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GP\AppData\Local\Microsoft\Windows\INetCache\Content.Outlook\2NN0JMB7\"/>
    </mc:Choice>
  </mc:AlternateContent>
  <xr:revisionPtr revIDLastSave="0" documentId="13_ncr:1_{7BD678B9-403B-4976-A933-62B3B7B215B9}" xr6:coauthVersionLast="47" xr6:coauthVersionMax="47" xr10:uidLastSave="{00000000-0000-0000-0000-000000000000}"/>
  <bookViews>
    <workbookView xWindow="-108" yWindow="-108" windowWidth="23256" windowHeight="12456" firstSheet="2" activeTab="3" xr2:uid="{7C956341-0F96-4853-9635-4F4C406BB150}"/>
  </bookViews>
  <sheets>
    <sheet name="DONNEES COMITE (3)" sheetId="10" state="hidden" r:id="rId1"/>
    <sheet name="PERFORMANCE DES TITRES" sheetId="6" state="hidden" r:id="rId2"/>
    <sheet name="EVOL INDICIELLE" sheetId="21" r:id="rId3"/>
    <sheet name="PERFORMANCE DES TITRES 08-03-24" sheetId="22" r:id="rId4"/>
    <sheet name="VOLUME" sheetId="23" r:id="rId5"/>
    <sheet name="EVA RECOM" sheetId="14" r:id="rId6"/>
    <sheet name="SYNTHESE RECOMMANDATION " sheetId="1" r:id="rId7"/>
    <sheet name="DONNEES COMITE (2)" sheetId="2" state="hidden" r:id="rId8"/>
    <sheet name="Dividendes" sheetId="16" state="hidden" r:id="rId9"/>
    <sheet name="RN CA" sheetId="9" state="hidden" r:id="rId10"/>
  </sheets>
  <definedNames>
    <definedName name="_xlnm._FilterDatabase" localSheetId="8" hidden="1">Dividendes!#REF!</definedName>
    <definedName name="_xlnm._FilterDatabase" localSheetId="7" hidden="1">'DONNEES COMITE (2)'!#REF!</definedName>
    <definedName name="_xlnm._FilterDatabase" localSheetId="0" hidden="1">'DONNEES COMITE (3)'!#REF!</definedName>
    <definedName name="_xlnm._FilterDatabase" localSheetId="5" hidden="1">'EVA RECOM'!$B$8:$I$170</definedName>
    <definedName name="_xlnm._FilterDatabase" localSheetId="2" hidden="1">'EVOL INDICIELLE'!#REF!</definedName>
    <definedName name="_xlnm._FilterDatabase" localSheetId="1" hidden="1">'PERFORMANCE DES TITRES'!#REF!</definedName>
    <definedName name="_xlnm._FilterDatabase" localSheetId="3" hidden="1">'PERFORMANCE DES TITRES 08-03-24'!#REF!</definedName>
    <definedName name="_xlnm._FilterDatabase" localSheetId="9" hidden="1">'RN CA'!#REF!</definedName>
    <definedName name="_xlnm._FilterDatabase" localSheetId="6" hidden="1">'SYNTHESE RECOMMANDATION '!$C$10:$W$172</definedName>
    <definedName name="_xlnm._FilterDatabase" localSheetId="4" hidden="1">VOLUME!#REF!</definedName>
    <definedName name="Z_0B777741_DBCA_4309_929C_0241CAF9DC57_.wvu.FilterData" localSheetId="2" hidden="1">'EVOL INDICIELLE'!#REF!</definedName>
    <definedName name="Z_0BBC6C2C_BF18_4838_957E_D08BDC83368C_.wvu.Cols" localSheetId="2" hidden="1">'EVOL INDICIELLE'!$A:$A,'EVOL INDICIELLE'!$H:$K</definedName>
    <definedName name="Z_0BBC6C2C_BF18_4838_957E_D08BDC83368C_.wvu.FilterData" localSheetId="2" hidden="1">'EVOL INDICIELLE'!#REF!</definedName>
    <definedName name="Z_0BBC6C2C_BF18_4838_957E_D08BDC83368C_.wvu.PrintArea" localSheetId="2" hidden="1">'EVOL INDICIELLE'!$B$1:$G$7</definedName>
    <definedName name="Z_0F634F09_7908_4A68_B4C0_734BFA6A835E_.wvu.Cols" localSheetId="2" hidden="1">'EVOL INDICIELLE'!$A:$A,'EVOL INDICIELLE'!$H:$K</definedName>
    <definedName name="Z_0F634F09_7908_4A68_B4C0_734BFA6A835E_.wvu.FilterData" localSheetId="2" hidden="1">'EVOL INDICIELLE'!#REF!</definedName>
    <definedName name="Z_0F634F09_7908_4A68_B4C0_734BFA6A835E_.wvu.PrintArea" localSheetId="2" hidden="1">'EVOL INDICIELLE'!$B$1:$J$5</definedName>
    <definedName name="Z_534AEDF7_1ACC_4619_B12A_095EC81F1FA8_.wvu.FilterData" localSheetId="2" hidden="1">'EVOL INDICIELLE'!#REF!</definedName>
    <definedName name="Z_BCCF36A1_FD99_4D4A_A000_E725CCC12ADD_.wvu.FilterData" localSheetId="2" hidden="1">'EVOL INDICIELLE'!#REF!</definedName>
    <definedName name="Z_E9F666C3_1FB1_41B2_A863_FD8CA81EC99B_.wvu.Cols" localSheetId="2" hidden="1">'EVOL INDICIELLE'!$A:$A,'EVOL INDICIELLE'!$H:$K</definedName>
    <definedName name="Z_E9F666C3_1FB1_41B2_A863_FD8CA81EC99B_.wvu.FilterData" localSheetId="2" hidden="1">'EVOL INDICIELLE'!#REF!</definedName>
    <definedName name="Z_E9F666C3_1FB1_41B2_A863_FD8CA81EC99B_.wvu.PrintArea" localSheetId="2" hidden="1">'EVOL INDICIELLE'!$B$1:$G$7</definedName>
    <definedName name="_xlnm.Print_Area" localSheetId="8">Dividendes!$B$1:$M$63</definedName>
    <definedName name="_xlnm.Print_Area" localSheetId="7">'DONNEES COMITE (2)'!$B$1:$AE$63</definedName>
    <definedName name="_xlnm.Print_Area" localSheetId="0">'DONNEES COMITE (3)'!$B$1:$AE$63</definedName>
    <definedName name="_xlnm.Print_Area" localSheetId="5">'EVA RECOM'!$A$3:$I$60</definedName>
    <definedName name="_xlnm.Print_Area" localSheetId="2">'EVOL INDICIELLE'!$B$1:$M$49</definedName>
    <definedName name="_xlnm.Print_Area" localSheetId="1">'PERFORMANCE DES TITRES'!$A$3:$G$60</definedName>
    <definedName name="_xlnm.Print_Area" localSheetId="3">'PERFORMANCE DES TITRES 08-03-24'!$A$3:$G$60</definedName>
    <definedName name="_xlnm.Print_Area" localSheetId="9">'RN CA'!$B$1:$Q$62</definedName>
    <definedName name="_xlnm.Print_Area" localSheetId="6">'SYNTHESE RECOMMANDATION '!$C$3:$W$62</definedName>
    <definedName name="_xlnm.Print_Area" localSheetId="4">VOLUME!$D$3:$R$33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16" i="23" l="1"/>
  <c r="B116" i="23"/>
  <c r="C108" i="23"/>
  <c r="B108" i="23"/>
  <c r="C102" i="23"/>
  <c r="B102" i="23"/>
  <c r="C99" i="23"/>
  <c r="B99" i="23"/>
  <c r="C83" i="23"/>
  <c r="B83" i="23"/>
  <c r="C77" i="23"/>
  <c r="B77" i="23"/>
  <c r="C65" i="23"/>
  <c r="B65" i="23"/>
  <c r="B59" i="23"/>
  <c r="B51" i="23"/>
  <c r="B45" i="23"/>
  <c r="B42" i="23"/>
  <c r="G37" i="23"/>
  <c r="C36" i="23" s="1"/>
  <c r="B26" i="23"/>
  <c r="B20" i="23"/>
  <c r="B8" i="23"/>
  <c r="G60" i="22" l="1"/>
  <c r="F60" i="22"/>
  <c r="G59" i="22"/>
  <c r="F59" i="22"/>
  <c r="G58" i="22"/>
  <c r="F58" i="22"/>
  <c r="G57" i="22"/>
  <c r="F57" i="22"/>
  <c r="G56" i="22"/>
  <c r="F56" i="22"/>
  <c r="G55" i="22"/>
  <c r="F55" i="22"/>
  <c r="G54" i="22"/>
  <c r="F54" i="22"/>
  <c r="G53" i="22"/>
  <c r="F53" i="22"/>
  <c r="G52" i="22"/>
  <c r="F52" i="22"/>
  <c r="G51" i="22"/>
  <c r="F51" i="22"/>
  <c r="G50" i="22"/>
  <c r="F50" i="22"/>
  <c r="G49" i="22"/>
  <c r="F49" i="22"/>
  <c r="G48" i="22"/>
  <c r="F48" i="22"/>
  <c r="G47" i="22"/>
  <c r="F47" i="22"/>
  <c r="G46" i="22"/>
  <c r="F46" i="22"/>
  <c r="G45" i="22"/>
  <c r="F45" i="22"/>
  <c r="G44" i="22"/>
  <c r="F44" i="22"/>
  <c r="G43" i="22"/>
  <c r="F43" i="22"/>
  <c r="G42" i="22"/>
  <c r="F42" i="22"/>
  <c r="G41" i="22"/>
  <c r="F41" i="22"/>
  <c r="G40" i="22"/>
  <c r="F40" i="22"/>
  <c r="G39" i="22"/>
  <c r="F39" i="22"/>
  <c r="G38" i="22"/>
  <c r="F38" i="22"/>
  <c r="G37" i="22"/>
  <c r="F37" i="22"/>
  <c r="G36" i="22"/>
  <c r="F36" i="22"/>
  <c r="G35" i="22"/>
  <c r="F35" i="22"/>
  <c r="G34" i="22"/>
  <c r="F34" i="22"/>
  <c r="G33" i="22"/>
  <c r="F33" i="22"/>
  <c r="G32" i="22"/>
  <c r="F32" i="22"/>
  <c r="G31" i="22"/>
  <c r="F31" i="22"/>
  <c r="G30" i="22"/>
  <c r="F30" i="22"/>
  <c r="G29" i="22"/>
  <c r="F29" i="22"/>
  <c r="G28" i="22"/>
  <c r="F28" i="22"/>
  <c r="G27" i="22"/>
  <c r="F27" i="22"/>
  <c r="G26" i="22"/>
  <c r="F26" i="22"/>
  <c r="G25" i="22"/>
  <c r="F25" i="22"/>
  <c r="G24" i="22"/>
  <c r="F24" i="22"/>
  <c r="G23" i="22"/>
  <c r="F23" i="22"/>
  <c r="G22" i="22"/>
  <c r="F22" i="22"/>
  <c r="G21" i="22"/>
  <c r="F21" i="22"/>
  <c r="G20" i="22"/>
  <c r="F20" i="22"/>
  <c r="G19" i="22"/>
  <c r="F19" i="22"/>
  <c r="G18" i="22"/>
  <c r="F18" i="22"/>
  <c r="G17" i="22"/>
  <c r="F17" i="22"/>
  <c r="G16" i="22"/>
  <c r="F16" i="22"/>
  <c r="G15" i="22"/>
  <c r="F15" i="22"/>
  <c r="G14" i="22"/>
  <c r="F14" i="22"/>
  <c r="G13" i="22"/>
  <c r="F13" i="22"/>
  <c r="G12" i="22"/>
  <c r="F12" i="22"/>
  <c r="G11" i="22"/>
  <c r="F11" i="22"/>
  <c r="G10" i="22"/>
  <c r="F10" i="22"/>
  <c r="G9" i="22"/>
  <c r="F9" i="22"/>
  <c r="G8" i="22"/>
  <c r="F8" i="22"/>
  <c r="G32" i="21" l="1"/>
  <c r="F32" i="21"/>
  <c r="G31" i="21"/>
  <c r="F31" i="21"/>
  <c r="G30" i="21"/>
  <c r="F30" i="21"/>
  <c r="G29" i="21"/>
  <c r="F29" i="21"/>
  <c r="G28" i="21"/>
  <c r="F28" i="21"/>
  <c r="G27" i="21"/>
  <c r="F27" i="21"/>
  <c r="G26" i="21"/>
  <c r="F26" i="21"/>
  <c r="G25" i="21"/>
  <c r="F25" i="21"/>
  <c r="G24" i="21"/>
  <c r="F24" i="21"/>
  <c r="U55" i="1" l="1"/>
  <c r="W19" i="2"/>
  <c r="U18" i="1"/>
  <c r="P23" i="16" l="1"/>
  <c r="P37" i="16"/>
  <c r="P20" i="16"/>
  <c r="U58" i="1" l="1"/>
  <c r="U59" i="1"/>
  <c r="U60" i="1"/>
  <c r="U49" i="1"/>
  <c r="U50" i="1"/>
  <c r="U51" i="1"/>
  <c r="U52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11" i="1"/>
  <c r="U12" i="1"/>
  <c r="U13" i="1"/>
  <c r="U14" i="1"/>
  <c r="U16" i="1"/>
  <c r="U17" i="1"/>
  <c r="U19" i="1"/>
  <c r="U23" i="1"/>
  <c r="U24" i="1"/>
  <c r="U25" i="1"/>
  <c r="U26" i="1"/>
  <c r="U29" i="1"/>
  <c r="X22" i="2"/>
  <c r="X20" i="2"/>
  <c r="K57" i="2"/>
  <c r="K55" i="2"/>
  <c r="K54" i="2"/>
  <c r="K50" i="2"/>
  <c r="K49" i="2"/>
  <c r="K47" i="2"/>
  <c r="K46" i="2"/>
  <c r="K44" i="2"/>
  <c r="K43" i="2"/>
  <c r="K40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7" i="2"/>
  <c r="K16" i="2"/>
  <c r="K14" i="2"/>
  <c r="K13" i="2"/>
  <c r="K9" i="2"/>
  <c r="K8" i="2"/>
  <c r="K7" i="2"/>
  <c r="K6" i="2"/>
  <c r="Q22" i="2"/>
  <c r="O57" i="2"/>
  <c r="O56" i="2"/>
  <c r="O55" i="2"/>
  <c r="O54" i="2"/>
  <c r="O53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R29" i="2" s="1"/>
  <c r="O28" i="2"/>
  <c r="O27" i="2"/>
  <c r="O26" i="2"/>
  <c r="R26" i="2" s="1"/>
  <c r="O25" i="2"/>
  <c r="O24" i="2"/>
  <c r="O23" i="2"/>
  <c r="O22" i="2"/>
  <c r="R22" i="2" s="1"/>
  <c r="O21" i="2"/>
  <c r="O20" i="2"/>
  <c r="R20" i="2" s="1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F37" i="16"/>
  <c r="G57" i="16"/>
  <c r="D57" i="16" s="1"/>
  <c r="H57" i="16"/>
  <c r="G56" i="16"/>
  <c r="G55" i="16"/>
  <c r="D55" i="16" s="1"/>
  <c r="G54" i="16"/>
  <c r="D54" i="16" s="1"/>
  <c r="H54" i="16"/>
  <c r="I53" i="16"/>
  <c r="H53" i="16"/>
  <c r="G53" i="16"/>
  <c r="H52" i="16"/>
  <c r="G52" i="16"/>
  <c r="D52" i="16" s="1"/>
  <c r="H51" i="16"/>
  <c r="G51" i="16"/>
  <c r="D51" i="16" s="1"/>
  <c r="G50" i="16"/>
  <c r="D50" i="16" s="1"/>
  <c r="I49" i="16"/>
  <c r="G49" i="16"/>
  <c r="G48" i="16"/>
  <c r="G47" i="16"/>
  <c r="D47" i="16" s="1"/>
  <c r="G46" i="16"/>
  <c r="D46" i="16"/>
  <c r="H45" i="16"/>
  <c r="G45" i="16"/>
  <c r="D45" i="16" s="1"/>
  <c r="G44" i="16"/>
  <c r="D44" i="16" s="1"/>
  <c r="G43" i="16"/>
  <c r="D43" i="16" s="1"/>
  <c r="G42" i="16"/>
  <c r="G41" i="16"/>
  <c r="D41" i="16" s="1"/>
  <c r="G40" i="16"/>
  <c r="D40" i="16" s="1"/>
  <c r="G39" i="16"/>
  <c r="G38" i="16"/>
  <c r="D38" i="16" s="1"/>
  <c r="G37" i="16"/>
  <c r="D37" i="16" s="1"/>
  <c r="G36" i="16"/>
  <c r="D36" i="16" s="1"/>
  <c r="G35" i="16"/>
  <c r="D35" i="16" s="1"/>
  <c r="G34" i="16"/>
  <c r="D34" i="16" s="1"/>
  <c r="G33" i="16"/>
  <c r="D33" i="16" s="1"/>
  <c r="G32" i="16"/>
  <c r="D32" i="16" s="1"/>
  <c r="G31" i="16"/>
  <c r="D31" i="16" s="1"/>
  <c r="G30" i="16"/>
  <c r="D30" i="16" s="1"/>
  <c r="G29" i="16"/>
  <c r="H29" i="16" s="1"/>
  <c r="D29" i="16"/>
  <c r="G28" i="16"/>
  <c r="D28" i="16" s="1"/>
  <c r="G27" i="16"/>
  <c r="G26" i="16"/>
  <c r="G25" i="16"/>
  <c r="D25" i="16" s="1"/>
  <c r="G24" i="16"/>
  <c r="D24" i="16" s="1"/>
  <c r="G23" i="16"/>
  <c r="G22" i="16"/>
  <c r="D22" i="16" s="1"/>
  <c r="G21" i="16"/>
  <c r="D21" i="16" s="1"/>
  <c r="G20" i="16"/>
  <c r="D20" i="16" s="1"/>
  <c r="G19" i="16"/>
  <c r="H19" i="16"/>
  <c r="D19" i="16"/>
  <c r="H18" i="16"/>
  <c r="G18" i="16"/>
  <c r="D18" i="16" s="1"/>
  <c r="G17" i="16"/>
  <c r="G16" i="16"/>
  <c r="D16" i="16" s="1"/>
  <c r="H15" i="16"/>
  <c r="G15" i="16"/>
  <c r="D15" i="16" s="1"/>
  <c r="G14" i="16"/>
  <c r="D14" i="16" s="1"/>
  <c r="G13" i="16"/>
  <c r="D13" i="16" s="1"/>
  <c r="H12" i="16"/>
  <c r="G12" i="16"/>
  <c r="D12" i="16" s="1"/>
  <c r="H11" i="16"/>
  <c r="G11" i="16"/>
  <c r="D11" i="16" s="1"/>
  <c r="H10" i="16"/>
  <c r="G10" i="16"/>
  <c r="D10" i="16" s="1"/>
  <c r="G9" i="16"/>
  <c r="D9" i="16" s="1"/>
  <c r="G8" i="16"/>
  <c r="D8" i="16" s="1"/>
  <c r="G7" i="16"/>
  <c r="D7" i="16" s="1"/>
  <c r="G6" i="16"/>
  <c r="D6" i="16" s="1"/>
  <c r="D27" i="16" l="1"/>
  <c r="H27" i="16"/>
  <c r="D26" i="16"/>
  <c r="H26" i="16"/>
  <c r="H20" i="16"/>
  <c r="H22" i="16"/>
  <c r="D53" i="16"/>
  <c r="D49" i="16"/>
  <c r="H14" i="16"/>
  <c r="H38" i="16"/>
  <c r="H49" i="16"/>
  <c r="H50" i="16"/>
  <c r="H28" i="16"/>
  <c r="H31" i="16"/>
  <c r="H55" i="16"/>
  <c r="H32" i="16"/>
  <c r="H43" i="16"/>
  <c r="H44" i="16"/>
  <c r="H35" i="16"/>
  <c r="H36" i="16"/>
  <c r="H46" i="16"/>
  <c r="H13" i="16"/>
  <c r="H24" i="16"/>
  <c r="H6" i="16"/>
  <c r="H7" i="16"/>
  <c r="H8" i="16"/>
  <c r="H9" i="16"/>
  <c r="H16" i="16"/>
  <c r="H33" i="16"/>
  <c r="H40" i="16"/>
  <c r="H21" i="16"/>
  <c r="H25" i="16"/>
  <c r="H30" i="16"/>
  <c r="H34" i="16"/>
  <c r="H47" i="16"/>
  <c r="I60" i="14" l="1"/>
  <c r="I58" i="14"/>
  <c r="I57" i="14"/>
  <c r="I56" i="14"/>
  <c r="I55" i="14"/>
  <c r="I54" i="14"/>
  <c r="I53" i="14"/>
  <c r="I52" i="14"/>
  <c r="I50" i="14"/>
  <c r="I49" i="14"/>
  <c r="I48" i="14"/>
  <c r="I47" i="14"/>
  <c r="I46" i="14"/>
  <c r="I44" i="14"/>
  <c r="I43" i="14"/>
  <c r="I41" i="14"/>
  <c r="I40" i="14"/>
  <c r="I39" i="14"/>
  <c r="I38" i="14"/>
  <c r="I37" i="14"/>
  <c r="I36" i="14"/>
  <c r="I35" i="14"/>
  <c r="I34" i="14"/>
  <c r="I33" i="14"/>
  <c r="I32" i="14"/>
  <c r="I31" i="14"/>
  <c r="I30" i="14"/>
  <c r="I29" i="14"/>
  <c r="I28" i="14"/>
  <c r="I27" i="14"/>
  <c r="I25" i="14"/>
  <c r="I24" i="14"/>
  <c r="I23" i="14"/>
  <c r="I22" i="14"/>
  <c r="I21" i="14"/>
  <c r="I19" i="14"/>
  <c r="I18" i="14"/>
  <c r="I17" i="14"/>
  <c r="I16" i="14"/>
  <c r="I15" i="14"/>
  <c r="I14" i="14"/>
  <c r="I13" i="14"/>
  <c r="I12" i="14"/>
  <c r="I11" i="14"/>
  <c r="I10" i="14"/>
  <c r="I9" i="14"/>
  <c r="V37" i="2" l="1"/>
  <c r="P36" i="2"/>
  <c r="P37" i="2"/>
  <c r="X37" i="2" s="1"/>
  <c r="J37" i="2" l="1"/>
  <c r="U37" i="2" s="1"/>
  <c r="T46" i="1"/>
  <c r="R45" i="2" l="1"/>
  <c r="R51" i="2"/>
  <c r="R52" i="2"/>
  <c r="R53" i="2"/>
  <c r="R18" i="2"/>
  <c r="R10" i="2"/>
  <c r="R11" i="2"/>
  <c r="R12" i="2"/>
  <c r="R15" i="2"/>
  <c r="X51" i="2"/>
  <c r="X52" i="2"/>
  <c r="X53" i="2"/>
  <c r="X45" i="2"/>
  <c r="X41" i="2"/>
  <c r="X18" i="2"/>
  <c r="X10" i="2"/>
  <c r="X11" i="2"/>
  <c r="X12" i="2"/>
  <c r="X15" i="2"/>
  <c r="V6" i="10"/>
  <c r="W57" i="2"/>
  <c r="W50" i="2"/>
  <c r="W51" i="2"/>
  <c r="W52" i="2"/>
  <c r="W53" i="2"/>
  <c r="W54" i="2"/>
  <c r="W55" i="2"/>
  <c r="W49" i="2"/>
  <c r="W47" i="2"/>
  <c r="W43" i="2"/>
  <c r="W44" i="2"/>
  <c r="W45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24" i="2"/>
  <c r="W20" i="2"/>
  <c r="W21" i="2"/>
  <c r="W22" i="2"/>
  <c r="W7" i="2"/>
  <c r="L12" i="1" s="1"/>
  <c r="W8" i="2"/>
  <c r="L13" i="1" s="1"/>
  <c r="W9" i="2"/>
  <c r="W11" i="2"/>
  <c r="W12" i="2"/>
  <c r="W13" i="2"/>
  <c r="W14" i="2"/>
  <c r="W15" i="2"/>
  <c r="W16" i="2"/>
  <c r="V6" i="2"/>
  <c r="W6" i="2"/>
  <c r="Y57" i="10"/>
  <c r="X57" i="10"/>
  <c r="V57" i="10"/>
  <c r="T57" i="10"/>
  <c r="O57" i="10"/>
  <c r="J57" i="10"/>
  <c r="R57" i="10" s="1"/>
  <c r="R56" i="10" s="1"/>
  <c r="H57" i="10"/>
  <c r="G57" i="10"/>
  <c r="F57" i="10"/>
  <c r="E57" i="10"/>
  <c r="D57" i="10"/>
  <c r="J56" i="10"/>
  <c r="Y55" i="10"/>
  <c r="X55" i="10"/>
  <c r="V55" i="10"/>
  <c r="U55" i="10"/>
  <c r="T55" i="10"/>
  <c r="O55" i="10"/>
  <c r="J55" i="10"/>
  <c r="R55" i="10" s="1"/>
  <c r="H55" i="10"/>
  <c r="G55" i="10"/>
  <c r="F55" i="10"/>
  <c r="E55" i="10"/>
  <c r="D55" i="10"/>
  <c r="Y54" i="10"/>
  <c r="X54" i="10"/>
  <c r="V54" i="10"/>
  <c r="U54" i="10"/>
  <c r="T54" i="10"/>
  <c r="O54" i="10"/>
  <c r="J54" i="10"/>
  <c r="R54" i="10" s="1"/>
  <c r="H54" i="10"/>
  <c r="G54" i="10"/>
  <c r="F54" i="10"/>
  <c r="E54" i="10"/>
  <c r="D54" i="10"/>
  <c r="Y53" i="10"/>
  <c r="X53" i="10"/>
  <c r="V53" i="10"/>
  <c r="U53" i="10"/>
  <c r="T53" i="10"/>
  <c r="P53" i="10"/>
  <c r="O53" i="10"/>
  <c r="J53" i="10"/>
  <c r="R53" i="10" s="1"/>
  <c r="H53" i="10"/>
  <c r="G53" i="10"/>
  <c r="F53" i="10"/>
  <c r="E53" i="10"/>
  <c r="D53" i="10"/>
  <c r="Y52" i="10"/>
  <c r="X52" i="10"/>
  <c r="V52" i="10"/>
  <c r="U52" i="10"/>
  <c r="T52" i="10"/>
  <c r="O52" i="10"/>
  <c r="J52" i="10"/>
  <c r="R52" i="10" s="1"/>
  <c r="H52" i="10"/>
  <c r="G52" i="10"/>
  <c r="F52" i="10"/>
  <c r="E52" i="10"/>
  <c r="D52" i="10"/>
  <c r="Y51" i="10"/>
  <c r="X51" i="10"/>
  <c r="V51" i="10"/>
  <c r="U51" i="10"/>
  <c r="T51" i="10"/>
  <c r="O51" i="10"/>
  <c r="J51" i="10"/>
  <c r="R51" i="10" s="1"/>
  <c r="H51" i="10"/>
  <c r="G51" i="10"/>
  <c r="F51" i="10"/>
  <c r="E51" i="10"/>
  <c r="D51" i="10"/>
  <c r="Y50" i="10"/>
  <c r="X50" i="10"/>
  <c r="V50" i="10"/>
  <c r="T50" i="10"/>
  <c r="O50" i="10"/>
  <c r="J50" i="10"/>
  <c r="R50" i="10" s="1"/>
  <c r="H50" i="10"/>
  <c r="G50" i="10"/>
  <c r="F50" i="10"/>
  <c r="E50" i="10"/>
  <c r="D50" i="10"/>
  <c r="Y49" i="10"/>
  <c r="X49" i="10"/>
  <c r="V49" i="10"/>
  <c r="T49" i="10"/>
  <c r="P49" i="10"/>
  <c r="O49" i="10"/>
  <c r="J49" i="10"/>
  <c r="R49" i="10" s="1"/>
  <c r="H49" i="10"/>
  <c r="G49" i="10"/>
  <c r="F49" i="10"/>
  <c r="E49" i="10"/>
  <c r="D49" i="10"/>
  <c r="J48" i="10"/>
  <c r="V47" i="10"/>
  <c r="T47" i="10"/>
  <c r="O47" i="10"/>
  <c r="J47" i="10"/>
  <c r="R47" i="10" s="1"/>
  <c r="V46" i="10"/>
  <c r="U46" i="10"/>
  <c r="T46" i="10"/>
  <c r="O46" i="10"/>
  <c r="J46" i="10"/>
  <c r="R46" i="10" s="1"/>
  <c r="T45" i="10"/>
  <c r="O45" i="10"/>
  <c r="J45" i="10"/>
  <c r="R45" i="10" s="1"/>
  <c r="V44" i="10"/>
  <c r="T44" i="10"/>
  <c r="O44" i="10"/>
  <c r="J44" i="10"/>
  <c r="R44" i="10" s="1"/>
  <c r="V43" i="10"/>
  <c r="T43" i="10"/>
  <c r="O43" i="10"/>
  <c r="J43" i="10"/>
  <c r="R43" i="10" s="1"/>
  <c r="J42" i="10"/>
  <c r="Y41" i="10"/>
  <c r="X41" i="10"/>
  <c r="V41" i="10"/>
  <c r="T41" i="10"/>
  <c r="O41" i="10"/>
  <c r="J41" i="10"/>
  <c r="R41" i="10" s="1"/>
  <c r="H41" i="10"/>
  <c r="G41" i="10"/>
  <c r="F41" i="10"/>
  <c r="E41" i="10"/>
  <c r="D41" i="10"/>
  <c r="Y40" i="10"/>
  <c r="X40" i="10"/>
  <c r="V40" i="10"/>
  <c r="U40" i="10"/>
  <c r="T40" i="10"/>
  <c r="O40" i="10"/>
  <c r="J40" i="10"/>
  <c r="R40" i="10" s="1"/>
  <c r="R39" i="10" s="1"/>
  <c r="H40" i="10"/>
  <c r="G40" i="10"/>
  <c r="F40" i="10"/>
  <c r="E40" i="10"/>
  <c r="D40" i="10"/>
  <c r="J39" i="10"/>
  <c r="Y38" i="10"/>
  <c r="X38" i="10"/>
  <c r="V38" i="10"/>
  <c r="U38" i="10"/>
  <c r="T38" i="10"/>
  <c r="O38" i="10"/>
  <c r="J38" i="10"/>
  <c r="R38" i="10" s="1"/>
  <c r="H38" i="10"/>
  <c r="G38" i="10"/>
  <c r="F38" i="10"/>
  <c r="E38" i="10"/>
  <c r="D38" i="10"/>
  <c r="Y37" i="10"/>
  <c r="X37" i="10"/>
  <c r="V37" i="10"/>
  <c r="U37" i="10"/>
  <c r="T37" i="10"/>
  <c r="O37" i="10"/>
  <c r="J37" i="10"/>
  <c r="R37" i="10" s="1"/>
  <c r="H37" i="10"/>
  <c r="G37" i="10"/>
  <c r="F37" i="10"/>
  <c r="E37" i="10"/>
  <c r="D37" i="10"/>
  <c r="Y36" i="10"/>
  <c r="X36" i="10"/>
  <c r="V36" i="10"/>
  <c r="T36" i="10"/>
  <c r="O36" i="10"/>
  <c r="J36" i="10"/>
  <c r="R36" i="10" s="1"/>
  <c r="H36" i="10"/>
  <c r="G36" i="10"/>
  <c r="F36" i="10"/>
  <c r="E36" i="10"/>
  <c r="D36" i="10"/>
  <c r="V35" i="10"/>
  <c r="U35" i="10"/>
  <c r="T35" i="10"/>
  <c r="O35" i="10"/>
  <c r="J35" i="10"/>
  <c r="R35" i="10" s="1"/>
  <c r="H35" i="10"/>
  <c r="G35" i="10"/>
  <c r="F35" i="10"/>
  <c r="E35" i="10"/>
  <c r="D35" i="10"/>
  <c r="Y34" i="10"/>
  <c r="X34" i="10"/>
  <c r="V34" i="10"/>
  <c r="U34" i="10"/>
  <c r="T34" i="10"/>
  <c r="O34" i="10"/>
  <c r="J34" i="10"/>
  <c r="R34" i="10" s="1"/>
  <c r="H34" i="10"/>
  <c r="G34" i="10"/>
  <c r="F34" i="10"/>
  <c r="E34" i="10"/>
  <c r="D34" i="10"/>
  <c r="Y33" i="10"/>
  <c r="X33" i="10"/>
  <c r="V33" i="10"/>
  <c r="T33" i="10"/>
  <c r="O33" i="10"/>
  <c r="J33" i="10"/>
  <c r="R33" i="10" s="1"/>
  <c r="H33" i="10"/>
  <c r="G33" i="10"/>
  <c r="F33" i="10"/>
  <c r="E33" i="10"/>
  <c r="D33" i="10"/>
  <c r="Y32" i="10"/>
  <c r="X32" i="10"/>
  <c r="V32" i="10"/>
  <c r="U32" i="10"/>
  <c r="T32" i="10"/>
  <c r="O32" i="10"/>
  <c r="J32" i="10"/>
  <c r="R32" i="10" s="1"/>
  <c r="H32" i="10"/>
  <c r="G32" i="10"/>
  <c r="F32" i="10"/>
  <c r="E32" i="10"/>
  <c r="D32" i="10"/>
  <c r="Y31" i="10"/>
  <c r="X31" i="10"/>
  <c r="V31" i="10"/>
  <c r="U31" i="10"/>
  <c r="T31" i="10"/>
  <c r="O31" i="10"/>
  <c r="J31" i="10"/>
  <c r="R31" i="10" s="1"/>
  <c r="H31" i="10"/>
  <c r="G31" i="10"/>
  <c r="F31" i="10"/>
  <c r="E31" i="10"/>
  <c r="D31" i="10"/>
  <c r="Y30" i="10"/>
  <c r="X30" i="10"/>
  <c r="V30" i="10"/>
  <c r="U30" i="10"/>
  <c r="T30" i="10"/>
  <c r="O30" i="10"/>
  <c r="J30" i="10"/>
  <c r="R30" i="10" s="1"/>
  <c r="H30" i="10"/>
  <c r="G30" i="10"/>
  <c r="F30" i="10"/>
  <c r="E30" i="10"/>
  <c r="D30" i="10"/>
  <c r="Y29" i="10"/>
  <c r="X29" i="10"/>
  <c r="V29" i="10"/>
  <c r="U29" i="10"/>
  <c r="T29" i="10"/>
  <c r="O29" i="10"/>
  <c r="J29" i="10"/>
  <c r="R29" i="10" s="1"/>
  <c r="H29" i="10"/>
  <c r="G29" i="10"/>
  <c r="F29" i="10"/>
  <c r="E29" i="10"/>
  <c r="D29" i="10"/>
  <c r="Y28" i="10"/>
  <c r="X28" i="10"/>
  <c r="V28" i="10"/>
  <c r="T28" i="10"/>
  <c r="O28" i="10"/>
  <c r="M28" i="10"/>
  <c r="J28" i="10"/>
  <c r="R28" i="10" s="1"/>
  <c r="H28" i="10"/>
  <c r="G28" i="10"/>
  <c r="F28" i="10"/>
  <c r="Y27" i="10"/>
  <c r="X27" i="10"/>
  <c r="V27" i="10"/>
  <c r="U27" i="10"/>
  <c r="T27" i="10"/>
  <c r="O27" i="10"/>
  <c r="J27" i="10"/>
  <c r="R27" i="10" s="1"/>
  <c r="H27" i="10"/>
  <c r="G27" i="10"/>
  <c r="F27" i="10"/>
  <c r="Y26" i="10"/>
  <c r="X26" i="10"/>
  <c r="V26" i="10"/>
  <c r="U26" i="10"/>
  <c r="T26" i="10"/>
  <c r="O26" i="10"/>
  <c r="J26" i="10"/>
  <c r="R26" i="10" s="1"/>
  <c r="H26" i="10"/>
  <c r="G26" i="10"/>
  <c r="F26" i="10"/>
  <c r="Y25" i="10"/>
  <c r="X25" i="10"/>
  <c r="V25" i="10"/>
  <c r="U25" i="10"/>
  <c r="T25" i="10"/>
  <c r="O25" i="10"/>
  <c r="J25" i="10"/>
  <c r="R25" i="10" s="1"/>
  <c r="H25" i="10"/>
  <c r="G25" i="10"/>
  <c r="F25" i="10"/>
  <c r="Y24" i="10"/>
  <c r="X24" i="10"/>
  <c r="V24" i="10"/>
  <c r="T24" i="10"/>
  <c r="O24" i="10"/>
  <c r="J24" i="10"/>
  <c r="R24" i="10" s="1"/>
  <c r="H24" i="10"/>
  <c r="G24" i="10"/>
  <c r="F24" i="10"/>
  <c r="J23" i="10"/>
  <c r="Y22" i="10"/>
  <c r="X22" i="10"/>
  <c r="V22" i="10"/>
  <c r="U22" i="10"/>
  <c r="T22" i="10"/>
  <c r="O22" i="10"/>
  <c r="J22" i="10"/>
  <c r="R22" i="10" s="1"/>
  <c r="H22" i="10"/>
  <c r="G22" i="10"/>
  <c r="F22" i="10"/>
  <c r="E22" i="10"/>
  <c r="Y21" i="10"/>
  <c r="X21" i="10"/>
  <c r="V21" i="10"/>
  <c r="U21" i="10"/>
  <c r="T21" i="10"/>
  <c r="O21" i="10"/>
  <c r="J21" i="10"/>
  <c r="R21" i="10" s="1"/>
  <c r="H21" i="10"/>
  <c r="G21" i="10"/>
  <c r="F21" i="10"/>
  <c r="E21" i="10"/>
  <c r="H20" i="10"/>
  <c r="G20" i="10"/>
  <c r="F20" i="10"/>
  <c r="E20" i="10"/>
  <c r="Y19" i="10"/>
  <c r="X19" i="10"/>
  <c r="V19" i="10"/>
  <c r="U19" i="10"/>
  <c r="T19" i="10"/>
  <c r="O19" i="10"/>
  <c r="J19" i="10"/>
  <c r="R19" i="10" s="1"/>
  <c r="H19" i="10"/>
  <c r="G19" i="10"/>
  <c r="F19" i="10"/>
  <c r="E19" i="10"/>
  <c r="Y18" i="10"/>
  <c r="X18" i="10"/>
  <c r="V18" i="10"/>
  <c r="U18" i="10"/>
  <c r="T18" i="10"/>
  <c r="O18" i="10"/>
  <c r="J18" i="10"/>
  <c r="R18" i="10" s="1"/>
  <c r="H18" i="10"/>
  <c r="G18" i="10"/>
  <c r="F18" i="10"/>
  <c r="E18" i="10"/>
  <c r="J17" i="10"/>
  <c r="Y16" i="10"/>
  <c r="X16" i="10"/>
  <c r="V16" i="10"/>
  <c r="T16" i="10"/>
  <c r="O16" i="10"/>
  <c r="J16" i="10"/>
  <c r="R16" i="10" s="1"/>
  <c r="H16" i="10"/>
  <c r="G16" i="10"/>
  <c r="F16" i="10"/>
  <c r="E16" i="10"/>
  <c r="Y15" i="10"/>
  <c r="X15" i="10"/>
  <c r="V15" i="10"/>
  <c r="T15" i="10"/>
  <c r="O15" i="10"/>
  <c r="J15" i="10"/>
  <c r="R15" i="10" s="1"/>
  <c r="H15" i="10"/>
  <c r="G15" i="10"/>
  <c r="F15" i="10"/>
  <c r="E15" i="10"/>
  <c r="Y14" i="10"/>
  <c r="X14" i="10"/>
  <c r="V14" i="10"/>
  <c r="T14" i="10"/>
  <c r="O14" i="10"/>
  <c r="J14" i="10"/>
  <c r="R14" i="10" s="1"/>
  <c r="H14" i="10"/>
  <c r="G14" i="10"/>
  <c r="F14" i="10"/>
  <c r="E14" i="10"/>
  <c r="Y13" i="10"/>
  <c r="X13" i="10"/>
  <c r="V13" i="10"/>
  <c r="T13" i="10"/>
  <c r="O13" i="10"/>
  <c r="J13" i="10"/>
  <c r="R13" i="10" s="1"/>
  <c r="H13" i="10"/>
  <c r="G13" i="10"/>
  <c r="F13" i="10"/>
  <c r="E13" i="10"/>
  <c r="Y12" i="10"/>
  <c r="X12" i="10"/>
  <c r="V12" i="10"/>
  <c r="T12" i="10"/>
  <c r="O12" i="10"/>
  <c r="J12" i="10"/>
  <c r="R12" i="10" s="1"/>
  <c r="H12" i="10"/>
  <c r="G12" i="10"/>
  <c r="F12" i="10"/>
  <c r="E12" i="10"/>
  <c r="Y11" i="10"/>
  <c r="X11" i="10"/>
  <c r="V11" i="10"/>
  <c r="T11" i="10"/>
  <c r="O11" i="10"/>
  <c r="J11" i="10"/>
  <c r="R11" i="10" s="1"/>
  <c r="H11" i="10"/>
  <c r="G11" i="10"/>
  <c r="F11" i="10"/>
  <c r="E11" i="10"/>
  <c r="Y10" i="10"/>
  <c r="X10" i="10"/>
  <c r="V10" i="10"/>
  <c r="T10" i="10"/>
  <c r="O10" i="10"/>
  <c r="J10" i="10"/>
  <c r="R10" i="10" s="1"/>
  <c r="H10" i="10"/>
  <c r="G10" i="10"/>
  <c r="F10" i="10"/>
  <c r="E10" i="10"/>
  <c r="Y9" i="10"/>
  <c r="X9" i="10"/>
  <c r="V9" i="10"/>
  <c r="T9" i="10"/>
  <c r="O9" i="10"/>
  <c r="J9" i="10"/>
  <c r="R9" i="10" s="1"/>
  <c r="H9" i="10"/>
  <c r="G9" i="10"/>
  <c r="F9" i="10"/>
  <c r="E9" i="10"/>
  <c r="Y8" i="10"/>
  <c r="X8" i="10"/>
  <c r="V8" i="10"/>
  <c r="T8" i="10"/>
  <c r="O8" i="10"/>
  <c r="J8" i="10"/>
  <c r="R8" i="10" s="1"/>
  <c r="H8" i="10"/>
  <c r="G8" i="10"/>
  <c r="F8" i="10"/>
  <c r="E8" i="10"/>
  <c r="Y7" i="10"/>
  <c r="X7" i="10"/>
  <c r="V7" i="10"/>
  <c r="U7" i="10"/>
  <c r="T7" i="10"/>
  <c r="O7" i="10"/>
  <c r="J7" i="10"/>
  <c r="R7" i="10" s="1"/>
  <c r="H7" i="10"/>
  <c r="G7" i="10"/>
  <c r="F7" i="10"/>
  <c r="E7" i="10"/>
  <c r="Y6" i="10"/>
  <c r="X6" i="10"/>
  <c r="U6" i="10"/>
  <c r="T6" i="10"/>
  <c r="O6" i="10"/>
  <c r="J6" i="10"/>
  <c r="R6" i="10" s="1"/>
  <c r="H6" i="10"/>
  <c r="G6" i="10"/>
  <c r="F6" i="10"/>
  <c r="E6" i="10"/>
  <c r="R17" i="10" l="1"/>
  <c r="R42" i="10"/>
  <c r="S36" i="10"/>
  <c r="S35" i="10"/>
  <c r="S34" i="10"/>
  <c r="S28" i="10"/>
  <c r="S24" i="10"/>
  <c r="S38" i="10"/>
  <c r="S37" i="10"/>
  <c r="S33" i="10"/>
  <c r="S32" i="10"/>
  <c r="S31" i="10"/>
  <c r="S30" i="10"/>
  <c r="S29" i="10"/>
  <c r="S27" i="10"/>
  <c r="S26" i="10"/>
  <c r="S25" i="10"/>
  <c r="R23" i="10"/>
  <c r="R5" i="10"/>
  <c r="S52" i="10"/>
  <c r="S50" i="10"/>
  <c r="S53" i="10"/>
  <c r="S54" i="10"/>
  <c r="S55" i="10"/>
  <c r="R48" i="10"/>
  <c r="S49" i="10"/>
  <c r="S51" i="10"/>
  <c r="V20" i="2" l="1"/>
  <c r="Q6" i="2"/>
  <c r="Q7" i="2"/>
  <c r="Q8" i="2"/>
  <c r="Q9" i="2"/>
  <c r="Q10" i="2"/>
  <c r="Q11" i="2"/>
  <c r="Q12" i="2"/>
  <c r="Q13" i="2"/>
  <c r="Q14" i="2"/>
  <c r="Q15" i="2"/>
  <c r="Q16" i="2"/>
  <c r="Q18" i="2"/>
  <c r="Q19" i="2"/>
  <c r="Q20" i="2"/>
  <c r="Q21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N57" i="2"/>
  <c r="N56" i="2"/>
  <c r="N55" i="2"/>
  <c r="N54" i="2"/>
  <c r="N53" i="2"/>
  <c r="N52" i="2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6" i="2"/>
  <c r="N15" i="2"/>
  <c r="N14" i="2"/>
  <c r="N13" i="2"/>
  <c r="N12" i="2"/>
  <c r="N11" i="2"/>
  <c r="N10" i="2"/>
  <c r="N9" i="2"/>
  <c r="N8" i="2"/>
  <c r="N7" i="2"/>
  <c r="N6" i="2"/>
  <c r="V7" i="2" l="1"/>
  <c r="P57" i="2" l="1"/>
  <c r="J57" i="2" s="1"/>
  <c r="U57" i="2" s="1"/>
  <c r="U56" i="2" s="1"/>
  <c r="P56" i="2"/>
  <c r="P55" i="2"/>
  <c r="J55" i="2" s="1"/>
  <c r="U55" i="2" s="1"/>
  <c r="P54" i="2"/>
  <c r="J54" i="2" s="1"/>
  <c r="U54" i="2" s="1"/>
  <c r="P53" i="2"/>
  <c r="P52" i="2"/>
  <c r="J52" i="2" s="1"/>
  <c r="U52" i="2" s="1"/>
  <c r="P51" i="2"/>
  <c r="J51" i="2" s="1"/>
  <c r="U51" i="2" s="1"/>
  <c r="P50" i="2"/>
  <c r="J50" i="2" s="1"/>
  <c r="U50" i="2" s="1"/>
  <c r="P49" i="2"/>
  <c r="P48" i="2"/>
  <c r="P47" i="2"/>
  <c r="J47" i="2" s="1"/>
  <c r="U47" i="2" s="1"/>
  <c r="P46" i="2"/>
  <c r="J46" i="2" s="1"/>
  <c r="U46" i="2" s="1"/>
  <c r="P45" i="2"/>
  <c r="J45" i="2" s="1"/>
  <c r="U45" i="2" s="1"/>
  <c r="P44" i="2"/>
  <c r="J44" i="2" s="1"/>
  <c r="U44" i="2" s="1"/>
  <c r="P43" i="2"/>
  <c r="J43" i="2" s="1"/>
  <c r="U43" i="2" s="1"/>
  <c r="P42" i="2"/>
  <c r="P41" i="2"/>
  <c r="J41" i="2" s="1"/>
  <c r="U41" i="2" s="1"/>
  <c r="P40" i="2"/>
  <c r="J40" i="2" s="1"/>
  <c r="U40" i="2" s="1"/>
  <c r="P39" i="2"/>
  <c r="P38" i="2"/>
  <c r="J38" i="2" s="1"/>
  <c r="U38" i="2" s="1"/>
  <c r="J36" i="2"/>
  <c r="U36" i="2" s="1"/>
  <c r="P35" i="2"/>
  <c r="J35" i="2" s="1"/>
  <c r="U35" i="2" s="1"/>
  <c r="P34" i="2"/>
  <c r="J34" i="2" s="1"/>
  <c r="U34" i="2" s="1"/>
  <c r="P33" i="2"/>
  <c r="J33" i="2" s="1"/>
  <c r="U33" i="2" s="1"/>
  <c r="P32" i="2"/>
  <c r="J32" i="2" s="1"/>
  <c r="U32" i="2" s="1"/>
  <c r="P31" i="2"/>
  <c r="J31" i="2" s="1"/>
  <c r="U31" i="2" s="1"/>
  <c r="P30" i="2"/>
  <c r="J30" i="2" s="1"/>
  <c r="U30" i="2" s="1"/>
  <c r="J29" i="2"/>
  <c r="U29" i="2" s="1"/>
  <c r="P28" i="2"/>
  <c r="J28" i="2" s="1"/>
  <c r="U28" i="2" s="1"/>
  <c r="P27" i="2"/>
  <c r="J27" i="2" s="1"/>
  <c r="U27" i="2" s="1"/>
  <c r="J26" i="2"/>
  <c r="U26" i="2" s="1"/>
  <c r="P25" i="2"/>
  <c r="J25" i="2" s="1"/>
  <c r="U25" i="2" s="1"/>
  <c r="P24" i="2"/>
  <c r="J24" i="2" s="1"/>
  <c r="U24" i="2" s="1"/>
  <c r="P23" i="2"/>
  <c r="J22" i="2"/>
  <c r="U22" i="2" s="1"/>
  <c r="J27" i="1" s="1"/>
  <c r="P21" i="2"/>
  <c r="J21" i="2" s="1"/>
  <c r="U21" i="2" s="1"/>
  <c r="J26" i="1" s="1"/>
  <c r="J20" i="2"/>
  <c r="U20" i="2" s="1"/>
  <c r="J25" i="1" s="1"/>
  <c r="P19" i="2"/>
  <c r="J19" i="2" s="1"/>
  <c r="U19" i="2" s="1"/>
  <c r="J24" i="1" s="1"/>
  <c r="P18" i="2"/>
  <c r="J18" i="2" s="1"/>
  <c r="U18" i="2" s="1"/>
  <c r="P17" i="2"/>
  <c r="P16" i="2"/>
  <c r="J16" i="2" s="1"/>
  <c r="U16" i="2" s="1"/>
  <c r="P15" i="2"/>
  <c r="J15" i="2" s="1"/>
  <c r="U15" i="2" s="1"/>
  <c r="P14" i="2"/>
  <c r="J14" i="2" s="1"/>
  <c r="U14" i="2" s="1"/>
  <c r="P13" i="2"/>
  <c r="J13" i="2" s="1"/>
  <c r="U13" i="2" s="1"/>
  <c r="P12" i="2"/>
  <c r="J12" i="2" s="1"/>
  <c r="U12" i="2" s="1"/>
  <c r="P11" i="2"/>
  <c r="J11" i="2" s="1"/>
  <c r="U11" i="2" s="1"/>
  <c r="P10" i="2"/>
  <c r="J10" i="2" s="1"/>
  <c r="P9" i="2"/>
  <c r="J9" i="2" s="1"/>
  <c r="U9" i="2" s="1"/>
  <c r="P8" i="2"/>
  <c r="J8" i="2" s="1"/>
  <c r="U8" i="2" s="1"/>
  <c r="P7" i="2"/>
  <c r="J7" i="2" s="1"/>
  <c r="U7" i="2" s="1"/>
  <c r="P6" i="2"/>
  <c r="J6" i="2" s="1"/>
  <c r="U6" i="2" s="1"/>
  <c r="M57" i="2"/>
  <c r="R57" i="2" s="1"/>
  <c r="L57" i="2"/>
  <c r="M55" i="2"/>
  <c r="R55" i="2" s="1"/>
  <c r="L55" i="2"/>
  <c r="M54" i="2"/>
  <c r="R54" i="2" s="1"/>
  <c r="L54" i="2"/>
  <c r="M50" i="2"/>
  <c r="R50" i="2" s="1"/>
  <c r="L50" i="2"/>
  <c r="M49" i="2"/>
  <c r="R49" i="2" s="1"/>
  <c r="L49" i="2"/>
  <c r="M47" i="2"/>
  <c r="R47" i="2" s="1"/>
  <c r="L47" i="2"/>
  <c r="M46" i="2"/>
  <c r="R46" i="2" s="1"/>
  <c r="L46" i="2"/>
  <c r="M44" i="2"/>
  <c r="R44" i="2" s="1"/>
  <c r="L44" i="2"/>
  <c r="M43" i="2"/>
  <c r="R43" i="2" s="1"/>
  <c r="L43" i="2"/>
  <c r="M40" i="2"/>
  <c r="R40" i="2" s="1"/>
  <c r="L40" i="2"/>
  <c r="M38" i="2"/>
  <c r="R38" i="2" s="1"/>
  <c r="L38" i="2"/>
  <c r="M37" i="2"/>
  <c r="M36" i="2"/>
  <c r="R36" i="2" s="1"/>
  <c r="L36" i="2"/>
  <c r="M35" i="2"/>
  <c r="R35" i="2" s="1"/>
  <c r="L35" i="2"/>
  <c r="M34" i="2"/>
  <c r="R34" i="2" s="1"/>
  <c r="L34" i="2"/>
  <c r="M33" i="2"/>
  <c r="R33" i="2" s="1"/>
  <c r="L33" i="2"/>
  <c r="M32" i="2"/>
  <c r="R32" i="2" s="1"/>
  <c r="L32" i="2"/>
  <c r="M31" i="2"/>
  <c r="R31" i="2" s="1"/>
  <c r="L31" i="2"/>
  <c r="M30" i="2"/>
  <c r="R30" i="2" s="1"/>
  <c r="L30" i="2"/>
  <c r="M29" i="2"/>
  <c r="L29" i="2"/>
  <c r="M28" i="2"/>
  <c r="R28" i="2" s="1"/>
  <c r="L28" i="2"/>
  <c r="M27" i="2"/>
  <c r="R27" i="2" s="1"/>
  <c r="L27" i="2"/>
  <c r="M26" i="2"/>
  <c r="L26" i="2"/>
  <c r="M25" i="2"/>
  <c r="R25" i="2" s="1"/>
  <c r="L25" i="2"/>
  <c r="M24" i="2"/>
  <c r="R24" i="2" s="1"/>
  <c r="L24" i="2"/>
  <c r="M23" i="2"/>
  <c r="L23" i="2"/>
  <c r="M22" i="2"/>
  <c r="M21" i="2"/>
  <c r="R21" i="2" s="1"/>
  <c r="L21" i="2"/>
  <c r="M20" i="2"/>
  <c r="M19" i="2"/>
  <c r="R19" i="2" s="1"/>
  <c r="L19" i="2"/>
  <c r="M17" i="2"/>
  <c r="L17" i="2"/>
  <c r="M16" i="2"/>
  <c r="R16" i="2" s="1"/>
  <c r="L16" i="2"/>
  <c r="M14" i="2"/>
  <c r="R14" i="2" s="1"/>
  <c r="L14" i="2"/>
  <c r="M13" i="2"/>
  <c r="R13" i="2" s="1"/>
  <c r="L13" i="2"/>
  <c r="M9" i="2"/>
  <c r="R9" i="2" s="1"/>
  <c r="L9" i="2"/>
  <c r="M8" i="2"/>
  <c r="R8" i="2" s="1"/>
  <c r="L8" i="2"/>
  <c r="X8" i="2" s="1"/>
  <c r="M7" i="2"/>
  <c r="R7" i="2" s="1"/>
  <c r="L7" i="2"/>
  <c r="M6" i="2"/>
  <c r="R6" i="2" s="1"/>
  <c r="L6" i="2"/>
  <c r="A2" i="2"/>
  <c r="U5" i="2" l="1"/>
  <c r="U17" i="2"/>
  <c r="U42" i="2"/>
  <c r="U23" i="2"/>
  <c r="X6" i="2"/>
  <c r="X7" i="2"/>
  <c r="X9" i="2"/>
  <c r="X13" i="2"/>
  <c r="X14" i="2"/>
  <c r="X16" i="2"/>
  <c r="X19" i="2"/>
  <c r="X21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8" i="2"/>
  <c r="X40" i="2"/>
  <c r="X43" i="2"/>
  <c r="X44" i="2"/>
  <c r="X46" i="2"/>
  <c r="X47" i="2"/>
  <c r="X49" i="2"/>
  <c r="X50" i="2"/>
  <c r="X54" i="2"/>
  <c r="X55" i="2"/>
  <c r="X57" i="2"/>
  <c r="J23" i="1"/>
  <c r="A27" i="2"/>
  <c r="F20" i="6" l="1"/>
  <c r="G58" i="6"/>
  <c r="G23" i="6"/>
  <c r="F23" i="6"/>
  <c r="F15" i="6"/>
  <c r="G12" i="6"/>
  <c r="G10" i="6"/>
  <c r="G9" i="6"/>
  <c r="F9" i="6"/>
  <c r="F8" i="6"/>
  <c r="E20" i="2"/>
  <c r="F20" i="2"/>
  <c r="G20" i="2"/>
  <c r="H20" i="2"/>
  <c r="M54" i="1" l="1"/>
  <c r="M48" i="1"/>
  <c r="M45" i="1"/>
  <c r="M50" i="1"/>
  <c r="R50" i="1" s="1"/>
  <c r="M32" i="1"/>
  <c r="M21" i="1"/>
  <c r="M19" i="1"/>
  <c r="M17" i="1"/>
  <c r="R17" i="1" s="1"/>
  <c r="M16" i="1"/>
  <c r="R16" i="1" s="1"/>
  <c r="M15" i="1"/>
  <c r="R15" i="1" s="1"/>
  <c r="M14" i="1"/>
  <c r="M13" i="1"/>
  <c r="M12" i="1" l="1"/>
  <c r="M18" i="1"/>
  <c r="M20" i="1"/>
  <c r="R20" i="1" s="1"/>
  <c r="M33" i="1"/>
  <c r="M25" i="1"/>
  <c r="M46" i="1"/>
  <c r="R46" i="1" s="1"/>
  <c r="Q12" i="1"/>
  <c r="W18" i="2"/>
  <c r="W40" i="2"/>
  <c r="W46" i="2"/>
  <c r="L31" i="1" l="1"/>
  <c r="L25" i="1"/>
  <c r="N62" i="1"/>
  <c r="N54" i="1"/>
  <c r="N55" i="1"/>
  <c r="N56" i="1"/>
  <c r="N57" i="1"/>
  <c r="N58" i="1"/>
  <c r="N59" i="1"/>
  <c r="N60" i="1"/>
  <c r="N52" i="1"/>
  <c r="N46" i="1"/>
  <c r="N31" i="1"/>
  <c r="N32" i="1"/>
  <c r="N34" i="1"/>
  <c r="N36" i="1"/>
  <c r="N38" i="1"/>
  <c r="N39" i="1"/>
  <c r="N40" i="1"/>
  <c r="N42" i="1"/>
  <c r="N29" i="1"/>
  <c r="N24" i="1"/>
  <c r="N23" i="1"/>
  <c r="N13" i="1"/>
  <c r="N14" i="1"/>
  <c r="N15" i="1"/>
  <c r="N17" i="1"/>
  <c r="N19" i="1"/>
  <c r="N21" i="1"/>
  <c r="D35" i="2"/>
  <c r="E35" i="2"/>
  <c r="F35" i="2"/>
  <c r="G35" i="2"/>
  <c r="H35" i="2"/>
  <c r="N30" i="1" l="1"/>
  <c r="N50" i="1"/>
  <c r="N20" i="1"/>
  <c r="N18" i="1"/>
  <c r="N16" i="1"/>
  <c r="N11" i="1"/>
  <c r="N12" i="1"/>
  <c r="N27" i="1"/>
  <c r="N43" i="1"/>
  <c r="N41" i="1"/>
  <c r="N37" i="1"/>
  <c r="N35" i="1"/>
  <c r="N33" i="1"/>
  <c r="N25" i="1"/>
  <c r="N45" i="1"/>
  <c r="N48" i="1"/>
  <c r="N51" i="1"/>
  <c r="N49" i="1"/>
  <c r="N26" i="1"/>
  <c r="F26" i="6" l="1"/>
  <c r="F42" i="6"/>
  <c r="F45" i="6"/>
  <c r="G51" i="6"/>
  <c r="F51" i="6"/>
  <c r="G59" i="6"/>
  <c r="F59" i="6"/>
  <c r="G45" i="6"/>
  <c r="G42" i="6"/>
  <c r="G26" i="6"/>
  <c r="G20" i="6"/>
  <c r="G8" i="6"/>
  <c r="G27" i="6" l="1"/>
  <c r="G44" i="6" l="1"/>
  <c r="G34" i="6"/>
  <c r="G38" i="6"/>
  <c r="G11" i="6"/>
  <c r="G13" i="6"/>
  <c r="G15" i="6"/>
  <c r="G17" i="6"/>
  <c r="G19" i="6"/>
  <c r="G22" i="6"/>
  <c r="G25" i="6"/>
  <c r="G28" i="6"/>
  <c r="G30" i="6"/>
  <c r="G32" i="6"/>
  <c r="G36" i="6"/>
  <c r="G40" i="6"/>
  <c r="G43" i="6"/>
  <c r="G46" i="6"/>
  <c r="G48" i="6"/>
  <c r="G50" i="6"/>
  <c r="G53" i="6"/>
  <c r="G55" i="6"/>
  <c r="G57" i="6"/>
  <c r="G60" i="6"/>
  <c r="F10" i="6"/>
  <c r="F60" i="6"/>
  <c r="F58" i="6"/>
  <c r="F57" i="6"/>
  <c r="F56" i="6"/>
  <c r="F55" i="6"/>
  <c r="F54" i="6"/>
  <c r="F53" i="6"/>
  <c r="F52" i="6"/>
  <c r="F46" i="6"/>
  <c r="F50" i="6"/>
  <c r="F49" i="6"/>
  <c r="F48" i="6"/>
  <c r="F47" i="6"/>
  <c r="F44" i="6"/>
  <c r="F43" i="6"/>
  <c r="F41" i="6"/>
  <c r="F29" i="6"/>
  <c r="F40" i="6"/>
  <c r="F39" i="6"/>
  <c r="F38" i="6"/>
  <c r="F37" i="6"/>
  <c r="F36" i="6"/>
  <c r="F35" i="6"/>
  <c r="F34" i="6"/>
  <c r="F33" i="6"/>
  <c r="F32" i="6"/>
  <c r="F31" i="6"/>
  <c r="F30" i="6"/>
  <c r="F28" i="6"/>
  <c r="F27" i="6"/>
  <c r="F25" i="6"/>
  <c r="F24" i="6"/>
  <c r="F22" i="6"/>
  <c r="F21" i="6"/>
  <c r="F19" i="6"/>
  <c r="F18" i="6"/>
  <c r="F17" i="6"/>
  <c r="F16" i="6"/>
  <c r="F14" i="6"/>
  <c r="F13" i="6"/>
  <c r="F12" i="6"/>
  <c r="F11" i="6"/>
  <c r="G56" i="6"/>
  <c r="G54" i="6"/>
  <c r="G52" i="6"/>
  <c r="G49" i="6"/>
  <c r="G47" i="6"/>
  <c r="G41" i="6"/>
  <c r="G39" i="6"/>
  <c r="G37" i="6"/>
  <c r="G35" i="6"/>
  <c r="G33" i="6"/>
  <c r="G31" i="6"/>
  <c r="G29" i="6"/>
  <c r="G24" i="6"/>
  <c r="G21" i="6"/>
  <c r="G18" i="6"/>
  <c r="G16" i="6"/>
  <c r="G14" i="6"/>
  <c r="M11" i="1" l="1"/>
  <c r="U21" i="1"/>
  <c r="M10" i="1" l="1"/>
  <c r="T27" i="1"/>
  <c r="U27" i="1" s="1"/>
  <c r="U45" i="1"/>
  <c r="U48" i="1"/>
  <c r="U54" i="1"/>
  <c r="U62" i="1"/>
  <c r="R19" i="1" l="1"/>
  <c r="R13" i="1"/>
  <c r="R14" i="1"/>
  <c r="R21" i="1"/>
  <c r="R12" i="1"/>
  <c r="R18" i="1"/>
  <c r="R11" i="1"/>
  <c r="M23" i="1"/>
  <c r="R23" i="1" s="1"/>
  <c r="M24" i="1"/>
  <c r="M26" i="1"/>
  <c r="M27" i="1"/>
  <c r="M29" i="1"/>
  <c r="M30" i="1"/>
  <c r="M31" i="1"/>
  <c r="M34" i="1"/>
  <c r="M35" i="1"/>
  <c r="M36" i="1"/>
  <c r="M37" i="1"/>
  <c r="M38" i="1"/>
  <c r="M39" i="1"/>
  <c r="M40" i="1"/>
  <c r="M41" i="1"/>
  <c r="M42" i="1"/>
  <c r="M43" i="1"/>
  <c r="M49" i="1"/>
  <c r="M51" i="1"/>
  <c r="M52" i="1"/>
  <c r="M55" i="1"/>
  <c r="M56" i="1"/>
  <c r="R56" i="1" s="1"/>
  <c r="M57" i="1"/>
  <c r="R57" i="1" s="1"/>
  <c r="M58" i="1"/>
  <c r="R58" i="1" s="1"/>
  <c r="M59" i="1"/>
  <c r="M60" i="1"/>
  <c r="M62" i="1"/>
  <c r="L14" i="1"/>
  <c r="M47" i="1" l="1"/>
  <c r="R48" i="1" s="1"/>
  <c r="M61" i="1"/>
  <c r="R62" i="1" s="1"/>
  <c r="M22" i="1"/>
  <c r="R25" i="1" s="1"/>
  <c r="M53" i="1"/>
  <c r="R54" i="1" s="1"/>
  <c r="M28" i="1"/>
  <c r="R40" i="1" s="1"/>
  <c r="R31" i="1" l="1"/>
  <c r="R37" i="1"/>
  <c r="R30" i="1"/>
  <c r="R24" i="1"/>
  <c r="R41" i="1"/>
  <c r="R36" i="1"/>
  <c r="R26" i="1"/>
  <c r="R51" i="1"/>
  <c r="R49" i="1"/>
  <c r="R59" i="1"/>
  <c r="R60" i="1"/>
  <c r="R32" i="1"/>
  <c r="R33" i="1"/>
  <c r="R29" i="1"/>
  <c r="R35" i="1"/>
  <c r="R39" i="1"/>
  <c r="R43" i="1"/>
  <c r="R55" i="1"/>
  <c r="R27" i="1"/>
  <c r="R34" i="1"/>
  <c r="R38" i="1"/>
  <c r="R42" i="1"/>
  <c r="R52" i="1"/>
  <c r="L62" i="1" l="1"/>
  <c r="Q62" i="1" s="1"/>
  <c r="L55" i="1"/>
  <c r="Q55" i="1" s="1"/>
  <c r="L54" i="1"/>
  <c r="L49" i="1"/>
  <c r="L50" i="1"/>
  <c r="Q50" i="1" s="1"/>
  <c r="L52" i="1"/>
  <c r="Q52" i="1" s="1"/>
  <c r="L48" i="1"/>
  <c r="Q48" i="1" s="1"/>
  <c r="L46" i="1"/>
  <c r="Q46" i="1" s="1"/>
  <c r="L45" i="1"/>
  <c r="L33" i="1"/>
  <c r="Q33" i="1" s="1"/>
  <c r="L38" i="1"/>
  <c r="L41" i="1"/>
  <c r="L29" i="1"/>
  <c r="L15" i="1"/>
  <c r="L16" i="1"/>
  <c r="L17" i="1"/>
  <c r="L18" i="1"/>
  <c r="L19" i="1"/>
  <c r="L20" i="1"/>
  <c r="Q20" i="1" s="1"/>
  <c r="L21" i="1"/>
  <c r="Q21" i="1" s="1"/>
  <c r="V18" i="2"/>
  <c r="V19" i="2"/>
  <c r="V21" i="2"/>
  <c r="V22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8" i="2"/>
  <c r="V40" i="2"/>
  <c r="V43" i="2"/>
  <c r="V44" i="2"/>
  <c r="V45" i="2"/>
  <c r="V46" i="2"/>
  <c r="V47" i="2"/>
  <c r="V49" i="2"/>
  <c r="V50" i="2"/>
  <c r="V51" i="2"/>
  <c r="V52" i="2"/>
  <c r="V53" i="2"/>
  <c r="V54" i="2"/>
  <c r="V55" i="2"/>
  <c r="V57" i="2"/>
  <c r="V8" i="2"/>
  <c r="V9" i="2"/>
  <c r="V11" i="2"/>
  <c r="V12" i="2"/>
  <c r="V13" i="2"/>
  <c r="V14" i="2"/>
  <c r="V15" i="2"/>
  <c r="V16" i="2"/>
  <c r="L11" i="1"/>
  <c r="L23" i="1"/>
  <c r="L56" i="1"/>
  <c r="L57" i="1"/>
  <c r="L58" i="1"/>
  <c r="L59" i="1"/>
  <c r="L60" i="1"/>
  <c r="L51" i="1"/>
  <c r="Q51" i="1" s="1"/>
  <c r="L30" i="1"/>
  <c r="L32" i="1"/>
  <c r="L34" i="1"/>
  <c r="Q34" i="1" s="1"/>
  <c r="L35" i="1"/>
  <c r="L36" i="1"/>
  <c r="L37" i="1"/>
  <c r="L39" i="1"/>
  <c r="L40" i="1"/>
  <c r="L42" i="1"/>
  <c r="L43" i="1"/>
  <c r="L24" i="1"/>
  <c r="Q24" i="1" s="1"/>
  <c r="L26" i="1"/>
  <c r="L27" i="1"/>
  <c r="L10" i="1" l="1"/>
  <c r="Q19" i="1" s="1"/>
  <c r="J11" i="1"/>
  <c r="K11" i="1" s="1"/>
  <c r="J15" i="1"/>
  <c r="K15" i="1" s="1"/>
  <c r="J17" i="1"/>
  <c r="K17" i="1" s="1"/>
  <c r="J12" i="1"/>
  <c r="K12" i="1" s="1"/>
  <c r="L28" i="1"/>
  <c r="Q31" i="1" s="1"/>
  <c r="M44" i="1"/>
  <c r="R45" i="1" s="1"/>
  <c r="L44" i="1"/>
  <c r="Q45" i="1" s="1"/>
  <c r="L22" i="1"/>
  <c r="L47" i="1"/>
  <c r="Q49" i="1" s="1"/>
  <c r="L53" i="1"/>
  <c r="Q59" i="1" s="1"/>
  <c r="E6" i="2"/>
  <c r="F6" i="2"/>
  <c r="G6" i="2"/>
  <c r="H6" i="2"/>
  <c r="AA6" i="2"/>
  <c r="E7" i="2"/>
  <c r="F7" i="2"/>
  <c r="G7" i="2"/>
  <c r="H7" i="2"/>
  <c r="AA7" i="2"/>
  <c r="E8" i="2"/>
  <c r="F8" i="2"/>
  <c r="G8" i="2"/>
  <c r="H8" i="2"/>
  <c r="AA8" i="2"/>
  <c r="E9" i="2"/>
  <c r="F9" i="2"/>
  <c r="G9" i="2"/>
  <c r="H9" i="2"/>
  <c r="AA9" i="2"/>
  <c r="E10" i="2"/>
  <c r="F10" i="2"/>
  <c r="G10" i="2"/>
  <c r="H10" i="2"/>
  <c r="AA10" i="2"/>
  <c r="E11" i="2"/>
  <c r="F11" i="2"/>
  <c r="G11" i="2"/>
  <c r="H11" i="2"/>
  <c r="AA11" i="2"/>
  <c r="E12" i="2"/>
  <c r="F12" i="2"/>
  <c r="G12" i="2"/>
  <c r="H12" i="2"/>
  <c r="AA12" i="2"/>
  <c r="E13" i="2"/>
  <c r="F13" i="2"/>
  <c r="G13" i="2"/>
  <c r="H13" i="2"/>
  <c r="AA13" i="2"/>
  <c r="E14" i="2"/>
  <c r="F14" i="2"/>
  <c r="G14" i="2"/>
  <c r="H14" i="2"/>
  <c r="O19" i="1"/>
  <c r="S19" i="1" s="1"/>
  <c r="AA14" i="2"/>
  <c r="E15" i="2"/>
  <c r="F15" i="2"/>
  <c r="G15" i="2"/>
  <c r="H15" i="2"/>
  <c r="J20" i="1"/>
  <c r="AA15" i="2"/>
  <c r="E16" i="2"/>
  <c r="F16" i="2"/>
  <c r="G16" i="2"/>
  <c r="H16" i="2"/>
  <c r="AA16" i="2"/>
  <c r="E18" i="2"/>
  <c r="F18" i="2"/>
  <c r="G18" i="2"/>
  <c r="H18" i="2"/>
  <c r="O23" i="1"/>
  <c r="S23" i="1" s="1"/>
  <c r="AA18" i="2"/>
  <c r="E19" i="2"/>
  <c r="F19" i="2"/>
  <c r="G19" i="2"/>
  <c r="H19" i="2"/>
  <c r="AA19" i="2"/>
  <c r="E21" i="2"/>
  <c r="F21" i="2"/>
  <c r="G21" i="2"/>
  <c r="H21" i="2"/>
  <c r="AA21" i="2"/>
  <c r="E22" i="2"/>
  <c r="F22" i="2"/>
  <c r="G22" i="2"/>
  <c r="H22" i="2"/>
  <c r="O27" i="1"/>
  <c r="S27" i="1" s="1"/>
  <c r="AA22" i="2"/>
  <c r="F24" i="2"/>
  <c r="G24" i="2"/>
  <c r="H24" i="2"/>
  <c r="AA24" i="2"/>
  <c r="F25" i="2"/>
  <c r="G25" i="2"/>
  <c r="H25" i="2"/>
  <c r="J30" i="1"/>
  <c r="O30" i="1"/>
  <c r="S30" i="1" s="1"/>
  <c r="AA25" i="2"/>
  <c r="F26" i="2"/>
  <c r="G26" i="2"/>
  <c r="H26" i="2"/>
  <c r="O31" i="1"/>
  <c r="S31" i="1" s="1"/>
  <c r="AA26" i="2"/>
  <c r="F27" i="2"/>
  <c r="G27" i="2"/>
  <c r="H27" i="2"/>
  <c r="O32" i="1"/>
  <c r="S32" i="1" s="1"/>
  <c r="AA27" i="2"/>
  <c r="F28" i="2"/>
  <c r="G28" i="2"/>
  <c r="H28" i="2"/>
  <c r="AA28" i="2"/>
  <c r="D29" i="2"/>
  <c r="E29" i="2"/>
  <c r="F29" i="2"/>
  <c r="G29" i="2"/>
  <c r="H29" i="2"/>
  <c r="O34" i="1"/>
  <c r="S34" i="1" s="1"/>
  <c r="AA29" i="2"/>
  <c r="D30" i="2"/>
  <c r="E30" i="2"/>
  <c r="F30" i="2"/>
  <c r="G30" i="2"/>
  <c r="H30" i="2"/>
  <c r="O35" i="1"/>
  <c r="S35" i="1" s="1"/>
  <c r="AA30" i="2"/>
  <c r="D31" i="2"/>
  <c r="E31" i="2"/>
  <c r="F31" i="2"/>
  <c r="G31" i="2"/>
  <c r="H31" i="2"/>
  <c r="AA31" i="2"/>
  <c r="D32" i="2"/>
  <c r="E32" i="2"/>
  <c r="F32" i="2"/>
  <c r="G32" i="2"/>
  <c r="H32" i="2"/>
  <c r="J37" i="1"/>
  <c r="O37" i="1"/>
  <c r="S37" i="1" s="1"/>
  <c r="AA32" i="2"/>
  <c r="D33" i="2"/>
  <c r="E33" i="2"/>
  <c r="F33" i="2"/>
  <c r="G33" i="2"/>
  <c r="H33" i="2"/>
  <c r="O38" i="1"/>
  <c r="S38" i="1" s="1"/>
  <c r="AA33" i="2"/>
  <c r="D34" i="2"/>
  <c r="E34" i="2"/>
  <c r="F34" i="2"/>
  <c r="G34" i="2"/>
  <c r="H34" i="2"/>
  <c r="AA34" i="2"/>
  <c r="J40" i="1"/>
  <c r="D36" i="2"/>
  <c r="E36" i="2"/>
  <c r="F36" i="2"/>
  <c r="G36" i="2"/>
  <c r="H36" i="2"/>
  <c r="J41" i="1"/>
  <c r="O41" i="1"/>
  <c r="S41" i="1" s="1"/>
  <c r="AA36" i="2"/>
  <c r="D37" i="2"/>
  <c r="E37" i="2"/>
  <c r="F37" i="2"/>
  <c r="G37" i="2"/>
  <c r="H37" i="2"/>
  <c r="O42" i="1"/>
  <c r="S42" i="1" s="1"/>
  <c r="AA37" i="2"/>
  <c r="D38" i="2"/>
  <c r="E38" i="2"/>
  <c r="F38" i="2"/>
  <c r="G38" i="2"/>
  <c r="H38" i="2"/>
  <c r="J43" i="1"/>
  <c r="O43" i="1"/>
  <c r="S43" i="1" s="1"/>
  <c r="AA38" i="2"/>
  <c r="D40" i="2"/>
  <c r="E40" i="2"/>
  <c r="F40" i="2"/>
  <c r="G40" i="2"/>
  <c r="H40" i="2"/>
  <c r="J45" i="1"/>
  <c r="AA40" i="2"/>
  <c r="D41" i="2"/>
  <c r="E41" i="2"/>
  <c r="F41" i="2"/>
  <c r="G41" i="2"/>
  <c r="H41" i="2"/>
  <c r="J46" i="1"/>
  <c r="O46" i="1"/>
  <c r="S46" i="1" s="1"/>
  <c r="AA41" i="2"/>
  <c r="J49" i="1"/>
  <c r="J50" i="1"/>
  <c r="J51" i="1"/>
  <c r="J52" i="1"/>
  <c r="D49" i="2"/>
  <c r="E49" i="2"/>
  <c r="F49" i="2"/>
  <c r="G49" i="2"/>
  <c r="H49" i="2"/>
  <c r="S49" i="2"/>
  <c r="J49" i="2" s="1"/>
  <c r="U49" i="2" s="1"/>
  <c r="O54" i="1"/>
  <c r="S54" i="1" s="1"/>
  <c r="AA49" i="2"/>
  <c r="D50" i="2"/>
  <c r="E50" i="2"/>
  <c r="F50" i="2"/>
  <c r="G50" i="2"/>
  <c r="H50" i="2"/>
  <c r="O55" i="1"/>
  <c r="S55" i="1" s="1"/>
  <c r="AA50" i="2"/>
  <c r="D51" i="2"/>
  <c r="E51" i="2"/>
  <c r="F51" i="2"/>
  <c r="G51" i="2"/>
  <c r="H51" i="2"/>
  <c r="O56" i="1"/>
  <c r="S56" i="1" s="1"/>
  <c r="AA51" i="2"/>
  <c r="D52" i="2"/>
  <c r="E52" i="2"/>
  <c r="F52" i="2"/>
  <c r="G52" i="2"/>
  <c r="H52" i="2"/>
  <c r="J57" i="1"/>
  <c r="O57" i="1"/>
  <c r="S57" i="1" s="1"/>
  <c r="AA52" i="2"/>
  <c r="D53" i="2"/>
  <c r="E53" i="2"/>
  <c r="F53" i="2"/>
  <c r="G53" i="2"/>
  <c r="H53" i="2"/>
  <c r="S53" i="2"/>
  <c r="J53" i="2" s="1"/>
  <c r="U53" i="2" s="1"/>
  <c r="O58" i="1"/>
  <c r="S58" i="1" s="1"/>
  <c r="AA53" i="2"/>
  <c r="D54" i="2"/>
  <c r="E54" i="2"/>
  <c r="F54" i="2"/>
  <c r="G54" i="2"/>
  <c r="H54" i="2"/>
  <c r="O59" i="1"/>
  <c r="S59" i="1" s="1"/>
  <c r="AA54" i="2"/>
  <c r="D55" i="2"/>
  <c r="E55" i="2"/>
  <c r="F55" i="2"/>
  <c r="G55" i="2"/>
  <c r="H55" i="2"/>
  <c r="O60" i="1"/>
  <c r="S60" i="1" s="1"/>
  <c r="AA55" i="2"/>
  <c r="D57" i="2"/>
  <c r="E57" i="2"/>
  <c r="F57" i="2"/>
  <c r="G57" i="2"/>
  <c r="H57" i="2"/>
  <c r="O62" i="1"/>
  <c r="S62" i="1" s="1"/>
  <c r="AA57" i="2"/>
  <c r="O52" i="1"/>
  <c r="S52" i="1" s="1"/>
  <c r="O51" i="1"/>
  <c r="S51" i="1" s="1"/>
  <c r="O49" i="1"/>
  <c r="S49" i="1" s="1"/>
  <c r="O48" i="1"/>
  <c r="S48" i="1" s="1"/>
  <c r="O40" i="1"/>
  <c r="S40" i="1" s="1"/>
  <c r="O17" i="1"/>
  <c r="S17" i="1" s="1"/>
  <c r="Q57" i="1" l="1"/>
  <c r="Q60" i="1"/>
  <c r="Q23" i="1"/>
  <c r="Q25" i="1"/>
  <c r="Q26" i="1"/>
  <c r="Q15" i="1"/>
  <c r="Q16" i="1"/>
  <c r="Q36" i="1"/>
  <c r="U48" i="2"/>
  <c r="Q35" i="1"/>
  <c r="Q58" i="1"/>
  <c r="Q27" i="1"/>
  <c r="Q43" i="1"/>
  <c r="Q29" i="1"/>
  <c r="Q54" i="1"/>
  <c r="Q14" i="1"/>
  <c r="Q13" i="1"/>
  <c r="Q18" i="1"/>
  <c r="Q11" i="1"/>
  <c r="Q17" i="1"/>
  <c r="Q56" i="1"/>
  <c r="Q37" i="1"/>
  <c r="Q30" i="1"/>
  <c r="Q38" i="1"/>
  <c r="Q39" i="1"/>
  <c r="Q42" i="1"/>
  <c r="Q32" i="1"/>
  <c r="Q40" i="1"/>
  <c r="Q41" i="1"/>
  <c r="J19" i="1"/>
  <c r="K19" i="1" s="1"/>
  <c r="J14" i="1"/>
  <c r="K14" i="1" s="1"/>
  <c r="J48" i="1"/>
  <c r="O36" i="1"/>
  <c r="S36" i="1" s="1"/>
  <c r="O33" i="1"/>
  <c r="S33" i="1" s="1"/>
  <c r="O25" i="1"/>
  <c r="S25" i="1" s="1"/>
  <c r="O29" i="1"/>
  <c r="S29" i="1" s="1"/>
  <c r="K27" i="1"/>
  <c r="O21" i="1"/>
  <c r="S21" i="1" s="1"/>
  <c r="O18" i="1"/>
  <c r="S18" i="1" s="1"/>
  <c r="O50" i="1"/>
  <c r="S50" i="1" s="1"/>
  <c r="O45" i="1"/>
  <c r="S45" i="1" s="1"/>
  <c r="J42" i="1"/>
  <c r="K42" i="1" s="1"/>
  <c r="O39" i="1"/>
  <c r="S39" i="1" s="1"/>
  <c r="J38" i="1"/>
  <c r="K38" i="1" s="1"/>
  <c r="J36" i="1"/>
  <c r="K36" i="1" s="1"/>
  <c r="J35" i="1"/>
  <c r="K35" i="1" s="1"/>
  <c r="J34" i="1"/>
  <c r="K34" i="1" s="1"/>
  <c r="J33" i="1"/>
  <c r="K33" i="1" s="1"/>
  <c r="J32" i="1"/>
  <c r="K32" i="1" s="1"/>
  <c r="J31" i="1"/>
  <c r="K31" i="1" s="1"/>
  <c r="J29" i="1"/>
  <c r="K29" i="1" s="1"/>
  <c r="K25" i="1"/>
  <c r="O24" i="1"/>
  <c r="S24" i="1" s="1"/>
  <c r="O20" i="1"/>
  <c r="S20" i="1" s="1"/>
  <c r="O16" i="1"/>
  <c r="S16" i="1" s="1"/>
  <c r="O15" i="1"/>
  <c r="S15" i="1" s="1"/>
  <c r="O14" i="1"/>
  <c r="S14" i="1" s="1"/>
  <c r="O13" i="1"/>
  <c r="S13" i="1" s="1"/>
  <c r="O12" i="1"/>
  <c r="S12" i="1" s="1"/>
  <c r="O11" i="1"/>
  <c r="S11" i="1" s="1"/>
  <c r="J39" i="1"/>
  <c r="K39" i="1" s="1"/>
  <c r="J13" i="1"/>
  <c r="K13" i="1" s="1"/>
  <c r="J16" i="1"/>
  <c r="K16" i="1" s="1"/>
  <c r="K23" i="1"/>
  <c r="O26" i="1"/>
  <c r="S26" i="1" s="1"/>
  <c r="K26" i="1"/>
  <c r="K57" i="1"/>
  <c r="K50" i="1"/>
  <c r="K24" i="1"/>
  <c r="K51" i="1"/>
  <c r="K49" i="1"/>
  <c r="K52" i="1"/>
  <c r="K46" i="1"/>
  <c r="K45" i="1"/>
  <c r="K43" i="1"/>
  <c r="K41" i="1"/>
  <c r="K37" i="1"/>
  <c r="K40" i="1"/>
  <c r="K30" i="1"/>
  <c r="K20" i="1"/>
  <c r="K48" i="1" l="1"/>
  <c r="J54" i="1"/>
  <c r="K54" i="1" s="1"/>
  <c r="J61" i="1"/>
  <c r="K61" i="1" s="1"/>
  <c r="J62" i="1"/>
  <c r="K62" i="1" s="1"/>
  <c r="J18" i="1"/>
  <c r="K18" i="1" s="1"/>
  <c r="J21" i="1"/>
  <c r="K21" i="1" s="1"/>
  <c r="J47" i="1" l="1"/>
  <c r="P48" i="1" s="1"/>
  <c r="J60" i="1"/>
  <c r="K60" i="1" s="1"/>
  <c r="U39" i="2"/>
  <c r="P62" i="1"/>
  <c r="J53" i="1"/>
  <c r="J44" i="1" l="1"/>
  <c r="K44" i="1" s="1"/>
  <c r="J59" i="1"/>
  <c r="K59" i="1" s="1"/>
  <c r="K47" i="1"/>
  <c r="P50" i="1"/>
  <c r="P52" i="1"/>
  <c r="P51" i="1"/>
  <c r="P49" i="1"/>
  <c r="K53" i="1"/>
  <c r="P57" i="1"/>
  <c r="P60" i="1"/>
  <c r="P54" i="1"/>
  <c r="P59" i="1" l="1"/>
  <c r="J28" i="1"/>
  <c r="J22" i="1"/>
  <c r="J58" i="1"/>
  <c r="P46" i="1"/>
  <c r="P45" i="1"/>
  <c r="P23" i="1" l="1"/>
  <c r="P24" i="1"/>
  <c r="K22" i="1"/>
  <c r="P27" i="1"/>
  <c r="P25" i="1"/>
  <c r="P26" i="1"/>
  <c r="K58" i="1"/>
  <c r="P58" i="1"/>
  <c r="P42" i="1"/>
  <c r="P34" i="1"/>
  <c r="P38" i="1"/>
  <c r="P36" i="1"/>
  <c r="K28" i="1"/>
  <c r="P30" i="1"/>
  <c r="P33" i="1"/>
  <c r="P37" i="1"/>
  <c r="P43" i="1"/>
  <c r="P29" i="1"/>
  <c r="P32" i="1"/>
  <c r="P31" i="1"/>
  <c r="P39" i="1"/>
  <c r="P40" i="1"/>
  <c r="P35" i="1"/>
  <c r="P41" i="1"/>
  <c r="J10" i="1"/>
  <c r="J56" i="1"/>
  <c r="P20" i="1" l="1"/>
  <c r="P19" i="1"/>
  <c r="P17" i="1"/>
  <c r="P12" i="1"/>
  <c r="P16" i="1"/>
  <c r="P11" i="1"/>
  <c r="P18" i="1"/>
  <c r="P14" i="1"/>
  <c r="P15" i="1"/>
  <c r="P13" i="1"/>
  <c r="K10" i="1"/>
  <c r="P21" i="1"/>
  <c r="K56" i="1"/>
  <c r="P56" i="1"/>
  <c r="J55" i="1"/>
  <c r="K55" i="1" l="1"/>
  <c r="P55" i="1"/>
</calcChain>
</file>

<file path=xl/sharedStrings.xml><?xml version="1.0" encoding="utf-8"?>
<sst xmlns="http://schemas.openxmlformats.org/spreadsheetml/2006/main" count="887" uniqueCount="151">
  <si>
    <t>ANALYSE TECHNIQUE</t>
  </si>
  <si>
    <t>ANALYSE FONDAMENTALE</t>
  </si>
  <si>
    <t>RECOMMANDATION</t>
  </si>
  <si>
    <t>TITRES</t>
  </si>
  <si>
    <t>MM</t>
  </si>
  <si>
    <t>MACD</t>
  </si>
  <si>
    <t>RSI</t>
  </si>
  <si>
    <t>BOL</t>
  </si>
  <si>
    <t xml:space="preserve">SIGNAL </t>
  </si>
  <si>
    <t>BNPA</t>
  </si>
  <si>
    <t>PER</t>
  </si>
  <si>
    <t>REND EN %</t>
  </si>
  <si>
    <t>TARGET PRICE</t>
  </si>
  <si>
    <t>VALO</t>
  </si>
  <si>
    <t>SYN FOND</t>
  </si>
  <si>
    <t>OBJECTIF DE PLACEMENT</t>
  </si>
  <si>
    <t>INDUSTRIE</t>
  </si>
  <si>
    <t>SICABLE CI</t>
  </si>
  <si>
    <t>Acheter</t>
  </si>
  <si>
    <t>FILTISAC CI</t>
  </si>
  <si>
    <t>Vendre</t>
  </si>
  <si>
    <t>NEI-CEDA CI</t>
  </si>
  <si>
    <t>Conserver</t>
  </si>
  <si>
    <t>NESTLE CI</t>
  </si>
  <si>
    <t xml:space="preserve">              Prendre ses bénéfices</t>
  </si>
  <si>
    <t>CROWN SIEM CI</t>
  </si>
  <si>
    <t>AIR LIQUIDE CI</t>
  </si>
  <si>
    <t>SOLIBRA CI</t>
  </si>
  <si>
    <t>SMB CI</t>
  </si>
  <si>
    <t>SITAB CI</t>
  </si>
  <si>
    <t>UNILEVER CI</t>
  </si>
  <si>
    <t>UNIWAX CI</t>
  </si>
  <si>
    <t>SERVICES PUBLICS</t>
  </si>
  <si>
    <t>CIE CI</t>
  </si>
  <si>
    <t>ONATEL BF</t>
  </si>
  <si>
    <t>SODE CI</t>
  </si>
  <si>
    <t xml:space="preserve"> </t>
  </si>
  <si>
    <t>SONATEL SN</t>
  </si>
  <si>
    <t>FINANCES</t>
  </si>
  <si>
    <t>BICI CI</t>
  </si>
  <si>
    <t>BANK OF AFRICA BN</t>
  </si>
  <si>
    <t>BANK OF AFRICA BF</t>
  </si>
  <si>
    <t>BANK OF AFRICA CI</t>
  </si>
  <si>
    <t>BANK OF AFRICA ML</t>
  </si>
  <si>
    <t>BANK OF AFRICA NG</t>
  </si>
  <si>
    <t>BANK OF AFRICA SN</t>
  </si>
  <si>
    <t>CORIS BANK INTERNATIONAL BF</t>
  </si>
  <si>
    <t>ECOBANK CI</t>
  </si>
  <si>
    <t>ECOBANK TRANS, INCRP, TG</t>
  </si>
  <si>
    <t>NSIA BANQUE CI</t>
  </si>
  <si>
    <t>ORAGROUP</t>
  </si>
  <si>
    <t>SAFCA CI</t>
  </si>
  <si>
    <t>SGB CI</t>
  </si>
  <si>
    <t>SIB</t>
  </si>
  <si>
    <t>TRANSPORT</t>
  </si>
  <si>
    <t>BOLORE AFRICA LOGISTICS CI</t>
  </si>
  <si>
    <t>MOVIS</t>
  </si>
  <si>
    <t>AGRICULTURE</t>
  </si>
  <si>
    <t xml:space="preserve"> PALM  CI </t>
  </si>
  <si>
    <t>SUCRIVOIRE</t>
  </si>
  <si>
    <t xml:space="preserve"> SICOR CI </t>
  </si>
  <si>
    <t xml:space="preserve"> SOGB CI </t>
  </si>
  <si>
    <t xml:space="preserve"> SAPH CI </t>
  </si>
  <si>
    <t>DISTRIBUTION</t>
  </si>
  <si>
    <t>SERVAIR ABIDJAN CI</t>
  </si>
  <si>
    <t>BERNABE CI</t>
  </si>
  <si>
    <t>CFAO CI</t>
  </si>
  <si>
    <t>TRACTAFRIC MOTORS</t>
  </si>
  <si>
    <t>VIVO ENERGY</t>
  </si>
  <si>
    <t>TOTAL CI</t>
  </si>
  <si>
    <t>TOTAL SN</t>
  </si>
  <si>
    <t>AUTRES SECTEURS</t>
  </si>
  <si>
    <t>SETAO</t>
  </si>
  <si>
    <t>‬‬‬‬‬‬‬</t>
  </si>
  <si>
    <t xml:space="preserve">DERNIER DIVIDENDE DISTRIBUE </t>
  </si>
  <si>
    <t>NOMBRE D'ACTION</t>
  </si>
  <si>
    <t xml:space="preserve">Cours </t>
  </si>
  <si>
    <t>CA</t>
  </si>
  <si>
    <t>EVOL RN</t>
  </si>
  <si>
    <t>RN</t>
  </si>
  <si>
    <t>sem</t>
  </si>
  <si>
    <t>trim</t>
  </si>
  <si>
    <t>sem 1</t>
  </si>
  <si>
    <t>RENTABILITE</t>
  </si>
  <si>
    <t>VAL PER</t>
  </si>
  <si>
    <t>VAL REND</t>
  </si>
  <si>
    <t>VAL RENT</t>
  </si>
  <si>
    <t>VAL VALO</t>
  </si>
  <si>
    <t>Alléger</t>
  </si>
  <si>
    <t>INDICES</t>
  </si>
  <si>
    <t>SECTEUR INDUSTRIE</t>
  </si>
  <si>
    <t>SECTEUR SERVICES PUBLICS</t>
  </si>
  <si>
    <t>SECTEUR FINANCES</t>
  </si>
  <si>
    <t>SECTEUR TRANSPORT</t>
  </si>
  <si>
    <t>SECTEUR AGRICULTURE</t>
  </si>
  <si>
    <t>SECTEUR DISTRIBUTION</t>
  </si>
  <si>
    <t>COURS</t>
  </si>
  <si>
    <t>VARIATION</t>
  </si>
  <si>
    <t>YTD</t>
  </si>
  <si>
    <t>PERIOD</t>
  </si>
  <si>
    <t>VALEUR</t>
  </si>
  <si>
    <t>DATE</t>
  </si>
  <si>
    <t>ACHAT</t>
  </si>
  <si>
    <t>VENTE</t>
  </si>
  <si>
    <t>div</t>
  </si>
  <si>
    <t>TRIM 3 2021</t>
  </si>
  <si>
    <t>TRIM 4 2021</t>
  </si>
  <si>
    <t>TRIM 1 2022</t>
  </si>
  <si>
    <t>TRIM 2 2022</t>
  </si>
  <si>
    <t>BRVM-IND</t>
  </si>
  <si>
    <t>BRVM-SPU</t>
  </si>
  <si>
    <t>BRVM-FIN</t>
  </si>
  <si>
    <t>BRVM-TRP</t>
  </si>
  <si>
    <t>BRVM-AGR</t>
  </si>
  <si>
    <t>BRVM-DIS</t>
  </si>
  <si>
    <t>BRVM-AUT</t>
  </si>
  <si>
    <t>ORANGE CI</t>
  </si>
  <si>
    <t>ORANGE</t>
  </si>
  <si>
    <t>BRVM-PRINC</t>
  </si>
  <si>
    <t>BRVM C</t>
  </si>
  <si>
    <t>BRVM-30</t>
  </si>
  <si>
    <t>BRVM-PRES</t>
  </si>
  <si>
    <t>CA T3</t>
  </si>
  <si>
    <t>RESULTAT NET ANNEE  2022</t>
  </si>
  <si>
    <t>RN T3 2022</t>
  </si>
  <si>
    <t>RN T3 2023</t>
  </si>
  <si>
    <t>RESULTAT NET ANNEE N-2</t>
  </si>
  <si>
    <t>RESULTAT NET ANNEE N-1</t>
  </si>
  <si>
    <t>PER SECTORIEL</t>
  </si>
  <si>
    <t>conserver</t>
  </si>
  <si>
    <t>Prendre ses bénéfices</t>
  </si>
  <si>
    <t>EVOLUTION SUR LA PERIODE</t>
  </si>
  <si>
    <t xml:space="preserve">TRANSACTION </t>
  </si>
  <si>
    <t>COURS VENTE</t>
  </si>
  <si>
    <t>COURS ACHAT</t>
  </si>
  <si>
    <t>SP</t>
  </si>
  <si>
    <t>CA 23</t>
  </si>
  <si>
    <t>RN 23</t>
  </si>
  <si>
    <t>RESULTAT NET ANNEE  2023</t>
  </si>
  <si>
    <t>,</t>
  </si>
  <si>
    <t>AU 23/02/2024</t>
  </si>
  <si>
    <t>Cours au 08/03/24</t>
  </si>
  <si>
    <t>970 - 980</t>
  </si>
  <si>
    <t>6200 - 6300</t>
  </si>
  <si>
    <t>8400 - 8500</t>
  </si>
  <si>
    <t>5300 - 5400</t>
  </si>
  <si>
    <t>16900 - 17000</t>
  </si>
  <si>
    <t>1000 - 1060</t>
  </si>
  <si>
    <t>4100 - 4200</t>
  </si>
  <si>
    <t>vendre</t>
  </si>
  <si>
    <t>AU 08/03/2024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</si>
</sst>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_-* #,##0.00\ _€_-;\-* #,##0.00\ _€_-;_-* &quot;-&quot;??\ _€_-;_-@_-"/>
    <numFmt numFmtId="165" formatCode="#,##0.00_ ;\-#,##0.00\ "/>
    <numFmt numFmtId="166" formatCode="#,##0_ ;\-#,##0\ "/>
    <numFmt numFmtId="167" formatCode="0.0000%"/>
    <numFmt numFmtId="168" formatCode="_-* #,##0\ _€_-;\-* #,##0\ _€_-;_-* &quot;-&quot;??\ _€_-;_-@_-"/>
    <numFmt numFmtId="169" formatCode="0.0%"/>
    <numFmt numFmtId="170" formatCode="_-* #,##0.00\ _F_C_F_A_-;\-* #,##0.00\ _F_C_F_A_-;_-* &quot;-&quot;??\ _F_C_F_A_-;_-@_-"/>
    <numFmt numFmtId="171" formatCode="_-* #,##0\ _F_C_F_A_-;\-* #,##0\ _F_C_F_A_-;_-* &quot;-&quot;??\ _F_C_F_A_-;_-@_-"/>
    <numFmt numFmtId="172" formatCode=";;;"/>
    <numFmt numFmtId="173" formatCode="#,##0.000_ ;\-#,##0.000\ 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rgb="FF0070C0"/>
      <name val="Arial"/>
      <family val="2"/>
    </font>
    <font>
      <sz val="11"/>
      <color rgb="FF0070C0"/>
      <name val="Arial"/>
      <family val="2"/>
    </font>
    <font>
      <b/>
      <sz val="11"/>
      <color theme="0"/>
      <name val="Arial"/>
      <family val="2"/>
    </font>
    <font>
      <sz val="11"/>
      <color theme="0"/>
      <name val="Arial"/>
      <family val="2"/>
    </font>
    <font>
      <sz val="11"/>
      <color theme="1"/>
      <name val="Calibri"/>
      <family val="2"/>
    </font>
    <font>
      <sz val="11"/>
      <name val="Arial"/>
      <family val="2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Garamond"/>
      <family val="1"/>
    </font>
    <font>
      <sz val="11"/>
      <color rgb="FFFF0000"/>
      <name val="Garamond"/>
      <family val="1"/>
    </font>
    <font>
      <b/>
      <sz val="9"/>
      <color rgb="FFFF0000"/>
      <name val="Garamond"/>
      <family val="1"/>
    </font>
    <font>
      <sz val="10"/>
      <color rgb="FF000000"/>
      <name val="Times New Roman"/>
      <family val="1"/>
    </font>
    <font>
      <b/>
      <sz val="10"/>
      <color rgb="FFFF0000"/>
      <name val="Garamond"/>
      <family val="1"/>
    </font>
    <font>
      <b/>
      <sz val="11"/>
      <name val="Arial"/>
      <family val="2"/>
    </font>
    <font>
      <b/>
      <sz val="11"/>
      <color rgb="FF0070C0"/>
      <name val="Garamond"/>
      <family val="1"/>
    </font>
    <font>
      <sz val="11"/>
      <color rgb="FF0070C0"/>
      <name val="Garamond"/>
      <family val="1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FF0000"/>
      <name val="Arial"/>
      <family val="2"/>
    </font>
    <font>
      <b/>
      <sz val="11"/>
      <color rgb="FFFF0000"/>
      <name val="Calibri"/>
      <family val="2"/>
      <scheme val="minor"/>
    </font>
    <font>
      <b/>
      <sz val="11"/>
      <color rgb="FFFF0000"/>
      <name val="Arial"/>
      <family val="2"/>
    </font>
    <font>
      <b/>
      <sz val="11"/>
      <color rgb="FF00B050"/>
      <name val="Calibri"/>
      <family val="2"/>
      <scheme val="minor"/>
    </font>
    <font>
      <b/>
      <sz val="11"/>
      <color rgb="FF00B050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DFDB9"/>
        <bgColor theme="4" tint="0.79998168889431442"/>
      </patternFill>
    </fill>
    <fill>
      <patternFill patternType="solid">
        <fgColor theme="9" tint="0.79998168889431442"/>
        <bgColor theme="4" tint="0.79998168889431442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 tint="-0.249977111117893"/>
        <bgColor theme="4" tint="0.79998168889431442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theme="4" tint="0.79998168889431442"/>
      </patternFill>
    </fill>
    <fill>
      <patternFill patternType="solid">
        <fgColor rgb="FFFF0000"/>
        <bgColor theme="4" tint="0.79998168889431442"/>
      </patternFill>
    </fill>
  </fills>
  <borders count="55">
    <border>
      <left/>
      <right/>
      <top/>
      <bottom/>
      <diagonal/>
    </border>
    <border>
      <left style="thin">
        <color rgb="FF0070C0"/>
      </left>
      <right/>
      <top style="thin">
        <color rgb="FF0070C0"/>
      </top>
      <bottom style="thin">
        <color rgb="FF0070C0"/>
      </bottom>
      <diagonal/>
    </border>
    <border>
      <left/>
      <right/>
      <top style="thin">
        <color rgb="FF0070C0"/>
      </top>
      <bottom style="thin">
        <color rgb="FF0070C0"/>
      </bottom>
      <diagonal/>
    </border>
    <border>
      <left/>
      <right style="thin">
        <color rgb="FF0070C0"/>
      </right>
      <top style="thin">
        <color rgb="FF0070C0"/>
      </top>
      <bottom style="thin">
        <color rgb="FF0070C0"/>
      </bottom>
      <diagonal/>
    </border>
    <border>
      <left/>
      <right style="thin">
        <color rgb="FF0070C0"/>
      </right>
      <top style="thin">
        <color rgb="FF0070C0"/>
      </top>
      <bottom/>
      <diagonal/>
    </border>
    <border>
      <left/>
      <right/>
      <top style="thin">
        <color rgb="FF0070C0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 style="thin">
        <color rgb="FF0070C0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rgb="FF0070C0"/>
      </right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rgb="FF0070C0"/>
      </right>
      <top style="thin">
        <color theme="4"/>
      </top>
      <bottom style="thin">
        <color theme="4"/>
      </bottom>
      <diagonal/>
    </border>
    <border>
      <left style="thin">
        <color theme="4"/>
      </left>
      <right/>
      <top/>
      <bottom style="thin">
        <color theme="4"/>
      </bottom>
      <diagonal/>
    </border>
    <border>
      <left style="thin">
        <color rgb="FF0070C0"/>
      </left>
      <right/>
      <top/>
      <bottom style="thin">
        <color rgb="FF0070C0"/>
      </bottom>
      <diagonal/>
    </border>
    <border>
      <left/>
      <right/>
      <top/>
      <bottom style="thin">
        <color rgb="FF0070C0"/>
      </bottom>
      <diagonal/>
    </border>
    <border>
      <left/>
      <right style="thin">
        <color rgb="FF0070C0"/>
      </right>
      <top/>
      <bottom style="thin">
        <color rgb="FF0070C0"/>
      </bottom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  <border>
      <left/>
      <right style="thin">
        <color theme="4"/>
      </right>
      <top/>
      <bottom style="thin">
        <color theme="4"/>
      </bottom>
      <diagonal/>
    </border>
    <border>
      <left style="thin">
        <color theme="4"/>
      </left>
      <right style="thin">
        <color theme="4"/>
      </right>
      <top/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/>
      <bottom style="thin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 style="thin">
        <color rgb="FF0070C0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rgb="FF0070C0"/>
      </right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rgb="FF0070C0"/>
      </right>
      <top style="thin">
        <color theme="4"/>
      </top>
      <bottom/>
      <diagonal/>
    </border>
    <border>
      <left style="thin">
        <color rgb="FF0070C0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thin">
        <color theme="4"/>
      </top>
      <bottom/>
      <diagonal/>
    </border>
    <border>
      <left style="thin">
        <color theme="4"/>
      </left>
      <right/>
      <top style="medium">
        <color indexed="64"/>
      </top>
      <bottom/>
      <diagonal/>
    </border>
    <border>
      <left style="thin">
        <color theme="4"/>
      </left>
      <right style="medium">
        <color indexed="64"/>
      </right>
      <top style="thin">
        <color theme="4"/>
      </top>
      <bottom/>
      <diagonal/>
    </border>
    <border>
      <left style="medium">
        <color indexed="64"/>
      </left>
      <right/>
      <top style="thin">
        <color theme="4"/>
      </top>
      <bottom style="medium">
        <color indexed="64"/>
      </bottom>
      <diagonal/>
    </border>
    <border>
      <left style="thin">
        <color theme="4"/>
      </left>
      <right/>
      <top style="thin">
        <color theme="4"/>
      </top>
      <bottom style="medium">
        <color indexed="64"/>
      </bottom>
      <diagonal/>
    </border>
    <border>
      <left style="thin">
        <color theme="4"/>
      </left>
      <right style="medium">
        <color indexed="64"/>
      </right>
      <top style="thin">
        <color theme="4"/>
      </top>
      <bottom style="medium">
        <color indexed="64"/>
      </bottom>
      <diagonal/>
    </border>
    <border>
      <left style="thin">
        <color theme="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theme="4"/>
      </top>
      <bottom/>
      <diagonal/>
    </border>
    <border>
      <left style="medium">
        <color indexed="64"/>
      </left>
      <right style="medium">
        <color indexed="64"/>
      </right>
      <top style="thin">
        <color theme="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theme="4"/>
      </left>
      <right/>
      <top style="medium">
        <color indexed="64"/>
      </top>
      <bottom style="medium">
        <color indexed="64"/>
      </bottom>
      <diagonal/>
    </border>
    <border>
      <left style="thin">
        <color theme="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rgb="FF0070C0"/>
      </right>
      <top style="medium">
        <color indexed="64"/>
      </top>
      <bottom style="medium">
        <color rgb="FF0070C0"/>
      </bottom>
      <diagonal/>
    </border>
    <border>
      <left style="medium">
        <color indexed="64"/>
      </left>
      <right style="medium">
        <color rgb="FF0070C0"/>
      </right>
      <top style="medium">
        <color indexed="64"/>
      </top>
      <bottom style="medium">
        <color indexed="64"/>
      </bottom>
      <diagonal/>
    </border>
    <border>
      <left style="medium">
        <color rgb="FF0070C0"/>
      </left>
      <right style="medium">
        <color rgb="FF0070C0"/>
      </right>
      <top style="medium">
        <color rgb="FF0070C0"/>
      </top>
      <bottom style="medium">
        <color rgb="FF0070C0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5" fillId="0" borderId="0"/>
    <xf numFmtId="170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443">
    <xf numFmtId="0" fontId="0" fillId="0" borderId="0" xfId="0"/>
    <xf numFmtId="0" fontId="2" fillId="0" borderId="0" xfId="0" applyFont="1" applyAlignment="1">
      <alignment horizontal="right"/>
    </xf>
    <xf numFmtId="0" fontId="3" fillId="0" borderId="0" xfId="0" applyFont="1"/>
    <xf numFmtId="0" fontId="4" fillId="4" borderId="4" xfId="0" applyFont="1" applyFill="1" applyBorder="1" applyAlignment="1">
      <alignment vertic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5" fillId="0" borderId="5" xfId="0" applyFont="1" applyBorder="1" applyAlignment="1">
      <alignment horizontal="center"/>
    </xf>
    <xf numFmtId="0" fontId="3" fillId="0" borderId="0" xfId="0" applyFont="1" applyAlignment="1">
      <alignment vertical="center"/>
    </xf>
    <xf numFmtId="0" fontId="4" fillId="0" borderId="6" xfId="0" applyFont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 wrapText="1"/>
    </xf>
    <xf numFmtId="0" fontId="4" fillId="3" borderId="1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6" fillId="5" borderId="12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left" vertical="center"/>
    </xf>
    <xf numFmtId="0" fontId="3" fillId="0" borderId="16" xfId="0" applyFont="1" applyBorder="1" applyAlignment="1">
      <alignment horizontal="center" vertical="center"/>
    </xf>
    <xf numFmtId="3" fontId="3" fillId="0" borderId="16" xfId="1" applyNumberFormat="1" applyFont="1" applyBorder="1" applyAlignment="1">
      <alignment horizontal="center" vertical="center"/>
    </xf>
    <xf numFmtId="10" fontId="3" fillId="0" borderId="16" xfId="2" applyNumberFormat="1" applyFont="1" applyBorder="1" applyAlignment="1">
      <alignment horizontal="center" vertical="center"/>
    </xf>
    <xf numFmtId="3" fontId="3" fillId="0" borderId="8" xfId="1" applyNumberFormat="1" applyFont="1" applyBorder="1" applyAlignment="1">
      <alignment horizontal="center" vertical="center"/>
    </xf>
    <xf numFmtId="14" fontId="4" fillId="0" borderId="6" xfId="0" applyNumberFormat="1" applyFont="1" applyBorder="1" applyAlignment="1">
      <alignment horizontal="left" vertical="center" wrapText="1"/>
    </xf>
    <xf numFmtId="0" fontId="2" fillId="0" borderId="0" xfId="0" applyFont="1" applyAlignment="1">
      <alignment horizontal="left"/>
    </xf>
    <xf numFmtId="0" fontId="6" fillId="5" borderId="6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3" fontId="3" fillId="0" borderId="18" xfId="1" applyNumberFormat="1" applyFont="1" applyBorder="1" applyAlignment="1">
      <alignment horizontal="center" vertical="center"/>
    </xf>
    <xf numFmtId="0" fontId="7" fillId="5" borderId="6" xfId="0" applyFont="1" applyFill="1" applyBorder="1" applyAlignment="1">
      <alignment horizontal="center" vertical="center"/>
    </xf>
    <xf numFmtId="0" fontId="7" fillId="5" borderId="19" xfId="0" applyFont="1" applyFill="1" applyBorder="1" applyAlignment="1">
      <alignment horizontal="center" vertical="center"/>
    </xf>
    <xf numFmtId="3" fontId="7" fillId="5" borderId="19" xfId="1" applyNumberFormat="1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3" fontId="3" fillId="0" borderId="19" xfId="1" applyNumberFormat="1" applyFont="1" applyBorder="1" applyAlignment="1">
      <alignment horizontal="center" vertical="center"/>
    </xf>
    <xf numFmtId="14" fontId="3" fillId="0" borderId="0" xfId="1" applyNumberFormat="1" applyFont="1" applyBorder="1" applyAlignment="1">
      <alignment horizontal="center" vertical="center"/>
    </xf>
    <xf numFmtId="14" fontId="3" fillId="0" borderId="0" xfId="1" applyNumberFormat="1" applyFont="1" applyBorder="1"/>
    <xf numFmtId="14" fontId="3" fillId="0" borderId="0" xfId="1" applyNumberFormat="1" applyFont="1"/>
    <xf numFmtId="14" fontId="0" fillId="0" borderId="0" xfId="1" applyNumberFormat="1" applyFont="1"/>
    <xf numFmtId="0" fontId="8" fillId="0" borderId="0" xfId="0" applyFont="1"/>
    <xf numFmtId="3" fontId="0" fillId="0" borderId="0" xfId="0" applyNumberFormat="1"/>
    <xf numFmtId="3" fontId="3" fillId="0" borderId="0" xfId="0" applyNumberFormat="1" applyFont="1"/>
    <xf numFmtId="165" fontId="3" fillId="0" borderId="8" xfId="1" applyNumberFormat="1" applyFont="1" applyBorder="1" applyAlignment="1">
      <alignment horizontal="center" vertical="center"/>
    </xf>
    <xf numFmtId="166" fontId="3" fillId="0" borderId="8" xfId="1" applyNumberFormat="1" applyFont="1" applyBorder="1" applyAlignment="1">
      <alignment horizontal="center" vertical="center"/>
    </xf>
    <xf numFmtId="3" fontId="7" fillId="5" borderId="10" xfId="1" applyNumberFormat="1" applyFont="1" applyFill="1" applyBorder="1" applyAlignment="1">
      <alignment horizontal="center" vertical="center"/>
    </xf>
    <xf numFmtId="165" fontId="7" fillId="5" borderId="19" xfId="1" applyNumberFormat="1" applyFont="1" applyFill="1" applyBorder="1" applyAlignment="1">
      <alignment horizontal="center" vertical="center"/>
    </xf>
    <xf numFmtId="166" fontId="7" fillId="5" borderId="19" xfId="1" applyNumberFormat="1" applyFont="1" applyFill="1" applyBorder="1" applyAlignment="1">
      <alignment horizontal="center" vertical="center"/>
    </xf>
    <xf numFmtId="3" fontId="3" fillId="0" borderId="10" xfId="1" applyNumberFormat="1" applyFont="1" applyBorder="1" applyAlignment="1">
      <alignment horizontal="center" vertical="center"/>
    </xf>
    <xf numFmtId="3" fontId="3" fillId="0" borderId="20" xfId="1" applyNumberFormat="1" applyFont="1" applyBorder="1" applyAlignment="1">
      <alignment horizontal="center" vertical="center"/>
    </xf>
    <xf numFmtId="165" fontId="3" fillId="0" borderId="19" xfId="1" applyNumberFormat="1" applyFont="1" applyBorder="1" applyAlignment="1">
      <alignment horizontal="center" vertical="center"/>
    </xf>
    <xf numFmtId="166" fontId="3" fillId="0" borderId="19" xfId="1" applyNumberFormat="1" applyFont="1" applyBorder="1" applyAlignment="1">
      <alignment horizontal="center" vertical="center"/>
    </xf>
    <xf numFmtId="165" fontId="3" fillId="0" borderId="16" xfId="1" applyNumberFormat="1" applyFont="1" applyBorder="1" applyAlignment="1">
      <alignment horizontal="center" vertical="center"/>
    </xf>
    <xf numFmtId="166" fontId="3" fillId="0" borderId="16" xfId="1" applyNumberFormat="1" applyFont="1" applyBorder="1" applyAlignment="1">
      <alignment horizontal="center" vertical="center"/>
    </xf>
    <xf numFmtId="165" fontId="7" fillId="5" borderId="0" xfId="1" applyNumberFormat="1" applyFont="1" applyFill="1" applyBorder="1" applyAlignment="1">
      <alignment horizontal="center" vertical="center"/>
    </xf>
    <xf numFmtId="166" fontId="7" fillId="5" borderId="0" xfId="1" applyNumberFormat="1" applyFont="1" applyFill="1" applyBorder="1" applyAlignment="1">
      <alignment horizontal="center" vertical="center"/>
    </xf>
    <xf numFmtId="3" fontId="7" fillId="5" borderId="17" xfId="1" applyNumberFormat="1" applyFont="1" applyFill="1" applyBorder="1" applyAlignment="1">
      <alignment horizontal="center" vertical="center"/>
    </xf>
    <xf numFmtId="3" fontId="7" fillId="5" borderId="0" xfId="1" applyNumberFormat="1" applyFont="1" applyFill="1" applyBorder="1" applyAlignment="1">
      <alignment horizontal="center" vertical="center"/>
    </xf>
    <xf numFmtId="0" fontId="7" fillId="5" borderId="15" xfId="0" applyFont="1" applyFill="1" applyBorder="1" applyAlignment="1">
      <alignment horizontal="center" vertical="center"/>
    </xf>
    <xf numFmtId="0" fontId="7" fillId="5" borderId="14" xfId="0" applyFont="1" applyFill="1" applyBorder="1" applyAlignment="1">
      <alignment horizontal="center" vertical="center"/>
    </xf>
    <xf numFmtId="0" fontId="7" fillId="5" borderId="14" xfId="0" applyFont="1" applyFill="1" applyBorder="1" applyAlignment="1">
      <alignment horizontal="center" vertical="center" wrapText="1"/>
    </xf>
    <xf numFmtId="3" fontId="7" fillId="5" borderId="14" xfId="0" applyNumberFormat="1" applyFont="1" applyFill="1" applyBorder="1" applyAlignment="1">
      <alignment horizontal="center" vertical="center"/>
    </xf>
    <xf numFmtId="0" fontId="7" fillId="5" borderId="13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 wrapText="1"/>
    </xf>
    <xf numFmtId="3" fontId="4" fillId="2" borderId="19" xfId="0" applyNumberFormat="1" applyFont="1" applyFill="1" applyBorder="1" applyAlignment="1">
      <alignment horizontal="center" vertical="center"/>
    </xf>
    <xf numFmtId="3" fontId="5" fillId="0" borderId="0" xfId="0" applyNumberFormat="1" applyFont="1" applyAlignment="1">
      <alignment horizontal="center"/>
    </xf>
    <xf numFmtId="3" fontId="4" fillId="2" borderId="2" xfId="0" applyNumberFormat="1" applyFont="1" applyFill="1" applyBorder="1" applyAlignment="1">
      <alignment horizontal="center"/>
    </xf>
    <xf numFmtId="9" fontId="4" fillId="3" borderId="10" xfId="2" applyFont="1" applyFill="1" applyBorder="1" applyAlignment="1">
      <alignment horizontal="center" vertical="center"/>
    </xf>
    <xf numFmtId="165" fontId="3" fillId="6" borderId="8" xfId="1" applyNumberFormat="1" applyFont="1" applyFill="1" applyBorder="1" applyAlignment="1">
      <alignment horizontal="center" vertical="center"/>
    </xf>
    <xf numFmtId="165" fontId="3" fillId="6" borderId="19" xfId="1" applyNumberFormat="1" applyFont="1" applyFill="1" applyBorder="1" applyAlignment="1">
      <alignment horizontal="center" vertical="center"/>
    </xf>
    <xf numFmtId="165" fontId="3" fillId="6" borderId="16" xfId="1" applyNumberFormat="1" applyFont="1" applyFill="1" applyBorder="1" applyAlignment="1">
      <alignment horizontal="center" vertical="center"/>
    </xf>
    <xf numFmtId="165" fontId="3" fillId="0" borderId="8" xfId="1" applyNumberFormat="1" applyFont="1" applyFill="1" applyBorder="1" applyAlignment="1">
      <alignment horizontal="center" vertical="center"/>
    </xf>
    <xf numFmtId="166" fontId="9" fillId="0" borderId="16" xfId="1" applyNumberFormat="1" applyFont="1" applyBorder="1" applyAlignment="1">
      <alignment horizontal="center" vertical="center"/>
    </xf>
    <xf numFmtId="166" fontId="9" fillId="0" borderId="8" xfId="1" applyNumberFormat="1" applyFont="1" applyBorder="1" applyAlignment="1">
      <alignment horizontal="center" vertical="center"/>
    </xf>
    <xf numFmtId="165" fontId="9" fillId="0" borderId="8" xfId="1" applyNumberFormat="1" applyFont="1" applyFill="1" applyBorder="1" applyAlignment="1">
      <alignment horizontal="center" vertical="center"/>
    </xf>
    <xf numFmtId="10" fontId="7" fillId="5" borderId="14" xfId="2" applyNumberFormat="1" applyFont="1" applyFill="1" applyBorder="1" applyAlignment="1">
      <alignment horizontal="center" vertical="center"/>
    </xf>
    <xf numFmtId="167" fontId="3" fillId="0" borderId="16" xfId="2" applyNumberFormat="1" applyFont="1" applyBorder="1" applyAlignment="1">
      <alignment horizontal="center" vertical="center"/>
    </xf>
    <xf numFmtId="9" fontId="5" fillId="0" borderId="0" xfId="0" applyNumberFormat="1" applyFont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4" borderId="0" xfId="0" applyFont="1" applyFill="1" applyAlignment="1">
      <alignment vertical="center"/>
    </xf>
    <xf numFmtId="168" fontId="0" fillId="0" borderId="0" xfId="1" applyNumberFormat="1" applyFont="1"/>
    <xf numFmtId="168" fontId="5" fillId="0" borderId="0" xfId="1" applyNumberFormat="1" applyFont="1" applyAlignment="1">
      <alignment horizontal="center"/>
    </xf>
    <xf numFmtId="168" fontId="4" fillId="3" borderId="10" xfId="1" applyNumberFormat="1" applyFont="1" applyFill="1" applyBorder="1" applyAlignment="1">
      <alignment horizontal="center" vertical="center" wrapText="1"/>
    </xf>
    <xf numFmtId="168" fontId="7" fillId="5" borderId="14" xfId="1" applyNumberFormat="1" applyFont="1" applyFill="1" applyBorder="1" applyAlignment="1">
      <alignment horizontal="center" vertical="center"/>
    </xf>
    <xf numFmtId="168" fontId="3" fillId="0" borderId="16" xfId="1" applyNumberFormat="1" applyFont="1" applyBorder="1" applyAlignment="1">
      <alignment horizontal="center" vertical="center"/>
    </xf>
    <xf numFmtId="168" fontId="7" fillId="5" borderId="0" xfId="1" applyNumberFormat="1" applyFont="1" applyFill="1" applyBorder="1" applyAlignment="1">
      <alignment horizontal="center" vertical="center"/>
    </xf>
    <xf numFmtId="168" fontId="3" fillId="0" borderId="8" xfId="1" applyNumberFormat="1" applyFont="1" applyBorder="1" applyAlignment="1">
      <alignment horizontal="center" vertical="center"/>
    </xf>
    <xf numFmtId="168" fontId="7" fillId="5" borderId="19" xfId="1" applyNumberFormat="1" applyFont="1" applyFill="1" applyBorder="1" applyAlignment="1">
      <alignment horizontal="center" vertical="center"/>
    </xf>
    <xf numFmtId="168" fontId="3" fillId="0" borderId="19" xfId="1" applyNumberFormat="1" applyFont="1" applyBorder="1" applyAlignment="1">
      <alignment horizontal="center" vertical="center"/>
    </xf>
    <xf numFmtId="168" fontId="3" fillId="0" borderId="0" xfId="1" applyNumberFormat="1" applyFont="1"/>
    <xf numFmtId="0" fontId="4" fillId="0" borderId="21" xfId="0" applyFont="1" applyBorder="1" applyAlignment="1">
      <alignment horizontal="center" vertical="center"/>
    </xf>
    <xf numFmtId="0" fontId="4" fillId="2" borderId="22" xfId="0" applyFont="1" applyFill="1" applyBorder="1" applyAlignment="1">
      <alignment horizontal="center" vertical="center"/>
    </xf>
    <xf numFmtId="0" fontId="4" fillId="2" borderId="23" xfId="0" applyFont="1" applyFill="1" applyBorder="1" applyAlignment="1">
      <alignment horizontal="center" vertical="center"/>
    </xf>
    <xf numFmtId="0" fontId="4" fillId="2" borderId="24" xfId="0" applyFont="1" applyFill="1" applyBorder="1" applyAlignment="1">
      <alignment horizontal="center" vertical="center"/>
    </xf>
    <xf numFmtId="0" fontId="4" fillId="3" borderId="23" xfId="0" applyFont="1" applyFill="1" applyBorder="1" applyAlignment="1">
      <alignment horizontal="center" vertical="center"/>
    </xf>
    <xf numFmtId="0" fontId="4" fillId="3" borderId="23" xfId="0" applyFont="1" applyFill="1" applyBorder="1" applyAlignment="1">
      <alignment horizontal="center" vertical="center" wrapText="1"/>
    </xf>
    <xf numFmtId="0" fontId="4" fillId="3" borderId="25" xfId="0" applyFont="1" applyFill="1" applyBorder="1" applyAlignment="1">
      <alignment horizontal="center" vertical="center"/>
    </xf>
    <xf numFmtId="0" fontId="4" fillId="3" borderId="26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3" fontId="6" fillId="5" borderId="8" xfId="0" applyNumberFormat="1" applyFont="1" applyFill="1" applyBorder="1" applyAlignment="1">
      <alignment horizontal="center" vertical="center"/>
    </xf>
    <xf numFmtId="4" fontId="6" fillId="5" borderId="8" xfId="0" applyNumberFormat="1" applyFont="1" applyFill="1" applyBorder="1" applyAlignment="1">
      <alignment horizontal="center" vertical="center"/>
    </xf>
    <xf numFmtId="10" fontId="6" fillId="5" borderId="8" xfId="2" applyNumberFormat="1" applyFont="1" applyFill="1" applyBorder="1" applyAlignment="1">
      <alignment horizontal="center" vertical="center"/>
    </xf>
    <xf numFmtId="0" fontId="4" fillId="0" borderId="8" xfId="0" applyFont="1" applyBorder="1" applyAlignment="1">
      <alignment horizontal="left" vertical="center"/>
    </xf>
    <xf numFmtId="3" fontId="4" fillId="0" borderId="8" xfId="0" applyNumberFormat="1" applyFont="1" applyBorder="1" applyAlignment="1">
      <alignment horizontal="center" vertical="center"/>
    </xf>
    <xf numFmtId="10" fontId="3" fillId="0" borderId="8" xfId="2" applyNumberFormat="1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14" fontId="4" fillId="0" borderId="8" xfId="0" applyNumberFormat="1" applyFont="1" applyBorder="1" applyAlignment="1">
      <alignment horizontal="left" vertical="center" wrapText="1"/>
    </xf>
    <xf numFmtId="3" fontId="4" fillId="0" borderId="8" xfId="0" applyNumberFormat="1" applyFont="1" applyBorder="1" applyAlignment="1">
      <alignment horizontal="center" vertical="center" wrapText="1"/>
    </xf>
    <xf numFmtId="3" fontId="3" fillId="5" borderId="8" xfId="1" applyNumberFormat="1" applyFont="1" applyFill="1" applyBorder="1" applyAlignment="1">
      <alignment horizontal="center" vertical="center"/>
    </xf>
    <xf numFmtId="10" fontId="7" fillId="5" borderId="8" xfId="0" applyNumberFormat="1" applyFont="1" applyFill="1" applyBorder="1" applyAlignment="1">
      <alignment horizontal="center" vertical="center"/>
    </xf>
    <xf numFmtId="0" fontId="4" fillId="2" borderId="22" xfId="0" applyFont="1" applyFill="1" applyBorder="1" applyAlignment="1">
      <alignment horizontal="center" vertical="center" wrapText="1"/>
    </xf>
    <xf numFmtId="166" fontId="2" fillId="0" borderId="16" xfId="1" applyNumberFormat="1" applyFont="1" applyBorder="1" applyAlignment="1">
      <alignment horizontal="center" vertical="center"/>
    </xf>
    <xf numFmtId="166" fontId="2" fillId="0" borderId="8" xfId="1" applyNumberFormat="1" applyFont="1" applyBorder="1" applyAlignment="1">
      <alignment horizontal="center" vertical="center"/>
    </xf>
    <xf numFmtId="0" fontId="12" fillId="0" borderId="0" xfId="0" applyFont="1"/>
    <xf numFmtId="3" fontId="13" fillId="0" borderId="0" xfId="0" applyNumberFormat="1" applyFont="1"/>
    <xf numFmtId="0" fontId="14" fillId="0" borderId="0" xfId="0" applyFont="1" applyAlignment="1">
      <alignment vertical="center" wrapText="1"/>
    </xf>
    <xf numFmtId="0" fontId="12" fillId="0" borderId="0" xfId="0" applyFont="1" applyAlignment="1">
      <alignment horizontal="left"/>
    </xf>
    <xf numFmtId="3" fontId="12" fillId="0" borderId="0" xfId="0" applyNumberFormat="1" applyFont="1"/>
    <xf numFmtId="0" fontId="11" fillId="0" borderId="0" xfId="0" applyFont="1" applyAlignment="1">
      <alignment vertical="center" wrapText="1"/>
    </xf>
    <xf numFmtId="0" fontId="13" fillId="0" borderId="0" xfId="0" applyFont="1"/>
    <xf numFmtId="171" fontId="13" fillId="0" borderId="0" xfId="4" applyNumberFormat="1" applyFont="1"/>
    <xf numFmtId="169" fontId="12" fillId="0" borderId="0" xfId="2" applyNumberFormat="1" applyFont="1"/>
    <xf numFmtId="3" fontId="16" fillId="8" borderId="0" xfId="0" applyNumberFormat="1" applyFont="1" applyFill="1" applyAlignment="1">
      <alignment wrapText="1"/>
    </xf>
    <xf numFmtId="3" fontId="9" fillId="0" borderId="21" xfId="0" applyNumberFormat="1" applyFont="1" applyBorder="1" applyAlignment="1">
      <alignment horizontal="center" vertical="center" wrapText="1"/>
    </xf>
    <xf numFmtId="3" fontId="9" fillId="10" borderId="21" xfId="0" applyNumberFormat="1" applyFont="1" applyFill="1" applyBorder="1" applyAlignment="1">
      <alignment horizontal="center" vertical="center"/>
    </xf>
    <xf numFmtId="3" fontId="9" fillId="0" borderId="21" xfId="0" applyNumberFormat="1" applyFont="1" applyBorder="1" applyAlignment="1">
      <alignment horizontal="center" vertical="center"/>
    </xf>
    <xf numFmtId="0" fontId="9" fillId="0" borderId="34" xfId="0" applyFont="1" applyBorder="1" applyAlignment="1">
      <alignment horizontal="left" vertical="center"/>
    </xf>
    <xf numFmtId="0" fontId="9" fillId="10" borderId="34" xfId="0" applyFont="1" applyFill="1" applyBorder="1" applyAlignment="1">
      <alignment horizontal="left" vertical="center"/>
    </xf>
    <xf numFmtId="14" fontId="9" fillId="0" borderId="32" xfId="0" applyNumberFormat="1" applyFont="1" applyBorder="1" applyAlignment="1">
      <alignment horizontal="left" vertical="center" wrapText="1"/>
    </xf>
    <xf numFmtId="3" fontId="9" fillId="0" borderId="35" xfId="0" applyNumberFormat="1" applyFont="1" applyBorder="1" applyAlignment="1">
      <alignment horizontal="center" vertical="center" wrapText="1"/>
    </xf>
    <xf numFmtId="14" fontId="9" fillId="0" borderId="34" xfId="0" applyNumberFormat="1" applyFont="1" applyBorder="1" applyAlignment="1">
      <alignment horizontal="left" vertical="center" wrapText="1"/>
    </xf>
    <xf numFmtId="14" fontId="9" fillId="0" borderId="37" xfId="0" applyNumberFormat="1" applyFont="1" applyBorder="1" applyAlignment="1">
      <alignment horizontal="left" vertical="center" wrapText="1"/>
    </xf>
    <xf numFmtId="3" fontId="9" fillId="0" borderId="38" xfId="0" applyNumberFormat="1" applyFont="1" applyBorder="1" applyAlignment="1">
      <alignment horizontal="center" vertical="center" wrapText="1"/>
    </xf>
    <xf numFmtId="0" fontId="4" fillId="0" borderId="29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14" fontId="9" fillId="0" borderId="29" xfId="0" applyNumberFormat="1" applyFont="1" applyBorder="1" applyAlignment="1">
      <alignment horizontal="left" vertical="center" wrapText="1"/>
    </xf>
    <xf numFmtId="3" fontId="9" fillId="0" borderId="45" xfId="0" applyNumberFormat="1" applyFont="1" applyBorder="1" applyAlignment="1">
      <alignment horizontal="center" vertical="center" wrapText="1"/>
    </xf>
    <xf numFmtId="14" fontId="9" fillId="13" borderId="34" xfId="0" applyNumberFormat="1" applyFont="1" applyFill="1" applyBorder="1" applyAlignment="1">
      <alignment horizontal="left" vertical="center" wrapText="1"/>
    </xf>
    <xf numFmtId="3" fontId="9" fillId="13" borderId="21" xfId="0" applyNumberFormat="1" applyFont="1" applyFill="1" applyBorder="1" applyAlignment="1">
      <alignment horizontal="center" vertical="center" wrapText="1"/>
    </xf>
    <xf numFmtId="14" fontId="9" fillId="14" borderId="32" xfId="0" applyNumberFormat="1" applyFont="1" applyFill="1" applyBorder="1" applyAlignment="1">
      <alignment horizontal="left" vertical="center" wrapText="1"/>
    </xf>
    <xf numFmtId="3" fontId="9" fillId="14" borderId="35" xfId="0" applyNumberFormat="1" applyFont="1" applyFill="1" applyBorder="1" applyAlignment="1">
      <alignment horizontal="center" vertical="center" wrapText="1"/>
    </xf>
    <xf numFmtId="14" fontId="9" fillId="14" borderId="34" xfId="0" applyNumberFormat="1" applyFont="1" applyFill="1" applyBorder="1" applyAlignment="1">
      <alignment horizontal="left" vertical="center" wrapText="1"/>
    </xf>
    <xf numFmtId="3" fontId="9" fillId="14" borderId="21" xfId="0" applyNumberFormat="1" applyFont="1" applyFill="1" applyBorder="1" applyAlignment="1">
      <alignment horizontal="center" vertical="center" wrapText="1"/>
    </xf>
    <xf numFmtId="14" fontId="9" fillId="14" borderId="37" xfId="0" applyNumberFormat="1" applyFont="1" applyFill="1" applyBorder="1" applyAlignment="1">
      <alignment horizontal="left" vertical="center" wrapText="1"/>
    </xf>
    <xf numFmtId="3" fontId="9" fillId="14" borderId="38" xfId="0" applyNumberFormat="1" applyFont="1" applyFill="1" applyBorder="1" applyAlignment="1">
      <alignment horizontal="center" vertical="center" wrapText="1"/>
    </xf>
    <xf numFmtId="14" fontId="4" fillId="0" borderId="29" xfId="0" applyNumberFormat="1" applyFont="1" applyBorder="1" applyAlignment="1">
      <alignment horizontal="center" vertical="center" wrapText="1"/>
    </xf>
    <xf numFmtId="0" fontId="4" fillId="0" borderId="46" xfId="0" applyFont="1" applyBorder="1" applyAlignment="1">
      <alignment horizontal="center" vertical="center"/>
    </xf>
    <xf numFmtId="14" fontId="4" fillId="0" borderId="45" xfId="0" applyNumberFormat="1" applyFont="1" applyBorder="1" applyAlignment="1">
      <alignment horizontal="center" vertical="center"/>
    </xf>
    <xf numFmtId="14" fontId="4" fillId="0" borderId="46" xfId="0" applyNumberFormat="1" applyFont="1" applyBorder="1" applyAlignment="1">
      <alignment horizontal="center" vertical="center"/>
    </xf>
    <xf numFmtId="10" fontId="9" fillId="0" borderId="44" xfId="2" applyNumberFormat="1" applyFont="1" applyBorder="1" applyAlignment="1">
      <alignment horizontal="center" vertical="center"/>
    </xf>
    <xf numFmtId="10" fontId="9" fillId="0" borderId="42" xfId="2" applyNumberFormat="1" applyFont="1" applyBorder="1" applyAlignment="1">
      <alignment horizontal="center" vertical="center"/>
    </xf>
    <xf numFmtId="10" fontId="9" fillId="0" borderId="43" xfId="2" applyNumberFormat="1" applyFont="1" applyBorder="1" applyAlignment="1">
      <alignment horizontal="center" vertical="center"/>
    </xf>
    <xf numFmtId="10" fontId="9" fillId="14" borderId="41" xfId="2" applyNumberFormat="1" applyFont="1" applyFill="1" applyBorder="1" applyAlignment="1">
      <alignment horizontal="center" vertical="center"/>
    </xf>
    <xf numFmtId="10" fontId="9" fillId="14" borderId="42" xfId="2" applyNumberFormat="1" applyFont="1" applyFill="1" applyBorder="1" applyAlignment="1">
      <alignment horizontal="center" vertical="center"/>
    </xf>
    <xf numFmtId="10" fontId="9" fillId="14" borderId="43" xfId="2" applyNumberFormat="1" applyFont="1" applyFill="1" applyBorder="1" applyAlignment="1">
      <alignment horizontal="center" vertical="center"/>
    </xf>
    <xf numFmtId="10" fontId="9" fillId="0" borderId="41" xfId="2" applyNumberFormat="1" applyFont="1" applyBorder="1" applyAlignment="1">
      <alignment horizontal="center" vertical="center"/>
    </xf>
    <xf numFmtId="10" fontId="9" fillId="0" borderId="28" xfId="2" applyNumberFormat="1" applyFont="1" applyFill="1" applyBorder="1" applyAlignment="1">
      <alignment horizontal="center" vertical="center"/>
    </xf>
    <xf numFmtId="10" fontId="9" fillId="0" borderId="42" xfId="2" applyNumberFormat="1" applyFont="1" applyFill="1" applyBorder="1" applyAlignment="1">
      <alignment horizontal="center" vertical="center"/>
    </xf>
    <xf numFmtId="10" fontId="9" fillId="10" borderId="42" xfId="2" applyNumberFormat="1" applyFont="1" applyFill="1" applyBorder="1" applyAlignment="1">
      <alignment horizontal="center" vertical="center"/>
    </xf>
    <xf numFmtId="10" fontId="9" fillId="0" borderId="43" xfId="2" applyNumberFormat="1" applyFont="1" applyFill="1" applyBorder="1" applyAlignment="1">
      <alignment horizontal="center" vertical="center"/>
    </xf>
    <xf numFmtId="0" fontId="19" fillId="0" borderId="32" xfId="0" applyFont="1" applyBorder="1" applyAlignment="1">
      <alignment horizontal="center" vertical="center"/>
    </xf>
    <xf numFmtId="0" fontId="19" fillId="0" borderId="48" xfId="0" applyFont="1" applyBorder="1" applyAlignment="1">
      <alignment horizontal="center" vertical="center"/>
    </xf>
    <xf numFmtId="14" fontId="19" fillId="0" borderId="51" xfId="0" applyNumberFormat="1" applyFont="1" applyBorder="1" applyAlignment="1">
      <alignment horizontal="center" vertical="center" wrapText="1"/>
    </xf>
    <xf numFmtId="0" fontId="19" fillId="0" borderId="28" xfId="0" applyFont="1" applyBorder="1" applyAlignment="1">
      <alignment horizontal="center" vertical="center"/>
    </xf>
    <xf numFmtId="0" fontId="12" fillId="0" borderId="52" xfId="0" applyFont="1" applyBorder="1"/>
    <xf numFmtId="14" fontId="4" fillId="0" borderId="52" xfId="0" applyNumberFormat="1" applyFont="1" applyBorder="1" applyAlignment="1">
      <alignment horizontal="center" vertical="center" wrapText="1"/>
    </xf>
    <xf numFmtId="14" fontId="18" fillId="0" borderId="52" xfId="0" applyNumberFormat="1" applyFont="1" applyBorder="1" applyAlignment="1">
      <alignment horizontal="center" vertical="center" wrapText="1"/>
    </xf>
    <xf numFmtId="14" fontId="18" fillId="0" borderId="52" xfId="0" applyNumberFormat="1" applyFont="1" applyBorder="1" applyAlignment="1">
      <alignment horizontal="center" vertical="center"/>
    </xf>
    <xf numFmtId="0" fontId="18" fillId="0" borderId="52" xfId="0" applyFont="1" applyBorder="1" applyAlignment="1">
      <alignment horizontal="center" vertical="center"/>
    </xf>
    <xf numFmtId="10" fontId="18" fillId="0" borderId="52" xfId="2" applyNumberFormat="1" applyFont="1" applyFill="1" applyBorder="1" applyAlignment="1">
      <alignment horizontal="center" vertical="center"/>
    </xf>
    <xf numFmtId="14" fontId="4" fillId="2" borderId="32" xfId="0" applyNumberFormat="1" applyFont="1" applyFill="1" applyBorder="1" applyAlignment="1">
      <alignment horizontal="center" vertical="center" wrapText="1"/>
    </xf>
    <xf numFmtId="0" fontId="17" fillId="5" borderId="29" xfId="0" applyFont="1" applyFill="1" applyBorder="1" applyAlignment="1">
      <alignment vertical="center"/>
    </xf>
    <xf numFmtId="3" fontId="17" fillId="5" borderId="47" xfId="0" applyNumberFormat="1" applyFont="1" applyFill="1" applyBorder="1" applyAlignment="1">
      <alignment vertical="center"/>
    </xf>
    <xf numFmtId="0" fontId="17" fillId="4" borderId="29" xfId="0" applyFont="1" applyFill="1" applyBorder="1" applyAlignment="1">
      <alignment vertical="center"/>
    </xf>
    <xf numFmtId="0" fontId="17" fillId="9" borderId="29" xfId="0" applyFont="1" applyFill="1" applyBorder="1" applyAlignment="1">
      <alignment vertical="center"/>
    </xf>
    <xf numFmtId="0" fontId="17" fillId="3" borderId="29" xfId="0" applyFont="1" applyFill="1" applyBorder="1" applyAlignment="1">
      <alignment vertical="center"/>
    </xf>
    <xf numFmtId="0" fontId="17" fillId="7" borderId="29" xfId="0" applyFont="1" applyFill="1" applyBorder="1" applyAlignment="1">
      <alignment vertical="center"/>
    </xf>
    <xf numFmtId="0" fontId="17" fillId="11" borderId="29" xfId="0" applyFont="1" applyFill="1" applyBorder="1" applyAlignment="1">
      <alignment vertical="center"/>
    </xf>
    <xf numFmtId="0" fontId="17" fillId="12" borderId="29" xfId="0" applyFont="1" applyFill="1" applyBorder="1" applyAlignment="1">
      <alignment vertical="center"/>
    </xf>
    <xf numFmtId="3" fontId="17" fillId="4" borderId="30" xfId="0" applyNumberFormat="1" applyFont="1" applyFill="1" applyBorder="1" applyAlignment="1">
      <alignment vertical="center"/>
    </xf>
    <xf numFmtId="3" fontId="17" fillId="9" borderId="30" xfId="0" applyNumberFormat="1" applyFont="1" applyFill="1" applyBorder="1" applyAlignment="1">
      <alignment vertical="center"/>
    </xf>
    <xf numFmtId="3" fontId="17" fillId="3" borderId="30" xfId="0" applyNumberFormat="1" applyFont="1" applyFill="1" applyBorder="1" applyAlignment="1">
      <alignment vertical="center"/>
    </xf>
    <xf numFmtId="3" fontId="17" fillId="7" borderId="30" xfId="0" applyNumberFormat="1" applyFont="1" applyFill="1" applyBorder="1" applyAlignment="1">
      <alignment vertical="center"/>
    </xf>
    <xf numFmtId="3" fontId="17" fillId="11" borderId="30" xfId="0" applyNumberFormat="1" applyFont="1" applyFill="1" applyBorder="1" applyAlignment="1">
      <alignment vertical="center"/>
    </xf>
    <xf numFmtId="3" fontId="17" fillId="12" borderId="30" xfId="0" applyNumberFormat="1" applyFont="1" applyFill="1" applyBorder="1" applyAlignment="1">
      <alignment vertical="center"/>
    </xf>
    <xf numFmtId="3" fontId="3" fillId="0" borderId="0" xfId="1" applyNumberFormat="1" applyFont="1" applyBorder="1" applyAlignment="1">
      <alignment horizontal="center" vertical="center"/>
    </xf>
    <xf numFmtId="3" fontId="0" fillId="0" borderId="0" xfId="0" applyNumberFormat="1" applyAlignment="1">
      <alignment horizontal="center"/>
    </xf>
    <xf numFmtId="3" fontId="3" fillId="0" borderId="0" xfId="1" applyNumberFormat="1" applyFont="1" applyBorder="1" applyAlignment="1">
      <alignment horizontal="center"/>
    </xf>
    <xf numFmtId="3" fontId="3" fillId="0" borderId="0" xfId="0" applyNumberFormat="1" applyFont="1" applyAlignment="1">
      <alignment horizontal="center"/>
    </xf>
    <xf numFmtId="3" fontId="3" fillId="0" borderId="0" xfId="1" applyNumberFormat="1" applyFont="1" applyAlignment="1">
      <alignment horizontal="center"/>
    </xf>
    <xf numFmtId="3" fontId="0" fillId="0" borderId="0" xfId="1" applyNumberFormat="1" applyFont="1" applyAlignment="1">
      <alignment horizontal="center"/>
    </xf>
    <xf numFmtId="3" fontId="9" fillId="0" borderId="36" xfId="0" applyNumberFormat="1" applyFont="1" applyBorder="1" applyAlignment="1">
      <alignment horizontal="center" vertical="center"/>
    </xf>
    <xf numFmtId="3" fontId="9" fillId="10" borderId="36" xfId="0" applyNumberFormat="1" applyFont="1" applyFill="1" applyBorder="1" applyAlignment="1">
      <alignment horizontal="center" vertical="center"/>
    </xf>
    <xf numFmtId="3" fontId="9" fillId="0" borderId="38" xfId="0" applyNumberFormat="1" applyFont="1" applyBorder="1" applyAlignment="1">
      <alignment horizontal="center" vertical="center"/>
    </xf>
    <xf numFmtId="3" fontId="9" fillId="0" borderId="39" xfId="0" applyNumberFormat="1" applyFont="1" applyBorder="1" applyAlignment="1">
      <alignment horizontal="center" vertical="center"/>
    </xf>
    <xf numFmtId="3" fontId="9" fillId="0" borderId="35" xfId="0" applyNumberFormat="1" applyFont="1" applyBorder="1" applyAlignment="1">
      <alignment horizontal="center" vertical="center"/>
    </xf>
    <xf numFmtId="3" fontId="9" fillId="0" borderId="40" xfId="0" applyNumberFormat="1" applyFont="1" applyBorder="1" applyAlignment="1">
      <alignment horizontal="center" vertical="center"/>
    </xf>
    <xf numFmtId="3" fontId="9" fillId="14" borderId="35" xfId="0" applyNumberFormat="1" applyFont="1" applyFill="1" applyBorder="1" applyAlignment="1">
      <alignment horizontal="center" vertical="center"/>
    </xf>
    <xf numFmtId="3" fontId="9" fillId="14" borderId="40" xfId="0" applyNumberFormat="1" applyFont="1" applyFill="1" applyBorder="1" applyAlignment="1">
      <alignment horizontal="center" vertical="center"/>
    </xf>
    <xf numFmtId="3" fontId="9" fillId="14" borderId="21" xfId="0" applyNumberFormat="1" applyFont="1" applyFill="1" applyBorder="1" applyAlignment="1">
      <alignment horizontal="center" vertical="center"/>
    </xf>
    <xf numFmtId="3" fontId="9" fillId="14" borderId="36" xfId="0" applyNumberFormat="1" applyFont="1" applyFill="1" applyBorder="1" applyAlignment="1">
      <alignment horizontal="center" vertical="center"/>
    </xf>
    <xf numFmtId="3" fontId="9" fillId="14" borderId="38" xfId="0" applyNumberFormat="1" applyFont="1" applyFill="1" applyBorder="1" applyAlignment="1">
      <alignment horizontal="center" vertical="center"/>
    </xf>
    <xf numFmtId="3" fontId="9" fillId="14" borderId="39" xfId="0" applyNumberFormat="1" applyFont="1" applyFill="1" applyBorder="1" applyAlignment="1">
      <alignment horizontal="center" vertical="center"/>
    </xf>
    <xf numFmtId="3" fontId="9" fillId="0" borderId="45" xfId="0" applyNumberFormat="1" applyFont="1" applyBorder="1" applyAlignment="1">
      <alignment horizontal="center" vertical="center"/>
    </xf>
    <xf numFmtId="3" fontId="9" fillId="0" borderId="46" xfId="0" applyNumberFormat="1" applyFont="1" applyBorder="1" applyAlignment="1">
      <alignment horizontal="center" vertical="center"/>
    </xf>
    <xf numFmtId="10" fontId="17" fillId="5" borderId="49" xfId="0" applyNumberFormat="1" applyFont="1" applyFill="1" applyBorder="1" applyAlignment="1">
      <alignment horizontal="center" vertical="center"/>
    </xf>
    <xf numFmtId="172" fontId="17" fillId="5" borderId="47" xfId="0" applyNumberFormat="1" applyFont="1" applyFill="1" applyBorder="1" applyAlignment="1">
      <alignment horizontal="center" vertical="center"/>
    </xf>
    <xf numFmtId="172" fontId="17" fillId="4" borderId="30" xfId="0" applyNumberFormat="1" applyFont="1" applyFill="1" applyBorder="1" applyAlignment="1">
      <alignment horizontal="center" vertical="center"/>
    </xf>
    <xf numFmtId="172" fontId="17" fillId="4" borderId="31" xfId="0" applyNumberFormat="1" applyFont="1" applyFill="1" applyBorder="1" applyAlignment="1">
      <alignment horizontal="center" vertical="center"/>
    </xf>
    <xf numFmtId="172" fontId="17" fillId="9" borderId="30" xfId="0" applyNumberFormat="1" applyFont="1" applyFill="1" applyBorder="1" applyAlignment="1">
      <alignment horizontal="center" vertical="center"/>
    </xf>
    <xf numFmtId="172" fontId="17" fillId="3" borderId="30" xfId="0" applyNumberFormat="1" applyFont="1" applyFill="1" applyBorder="1" applyAlignment="1">
      <alignment horizontal="center" vertical="center"/>
    </xf>
    <xf numFmtId="172" fontId="17" fillId="3" borderId="31" xfId="0" applyNumberFormat="1" applyFont="1" applyFill="1" applyBorder="1" applyAlignment="1">
      <alignment horizontal="center" vertical="center"/>
    </xf>
    <xf numFmtId="172" fontId="17" fillId="7" borderId="30" xfId="0" applyNumberFormat="1" applyFont="1" applyFill="1" applyBorder="1" applyAlignment="1">
      <alignment horizontal="center" vertical="center"/>
    </xf>
    <xf numFmtId="172" fontId="17" fillId="7" borderId="31" xfId="0" applyNumberFormat="1" applyFont="1" applyFill="1" applyBorder="1" applyAlignment="1">
      <alignment horizontal="center" vertical="center"/>
    </xf>
    <xf numFmtId="172" fontId="17" fillId="11" borderId="30" xfId="0" applyNumberFormat="1" applyFont="1" applyFill="1" applyBorder="1" applyAlignment="1">
      <alignment horizontal="center" vertical="center"/>
    </xf>
    <xf numFmtId="172" fontId="17" fillId="11" borderId="31" xfId="0" applyNumberFormat="1" applyFont="1" applyFill="1" applyBorder="1" applyAlignment="1">
      <alignment horizontal="center" vertical="center"/>
    </xf>
    <xf numFmtId="172" fontId="17" fillId="12" borderId="30" xfId="0" applyNumberFormat="1" applyFont="1" applyFill="1" applyBorder="1" applyAlignment="1">
      <alignment horizontal="center" vertical="center"/>
    </xf>
    <xf numFmtId="172" fontId="17" fillId="12" borderId="31" xfId="0" applyNumberFormat="1" applyFont="1" applyFill="1" applyBorder="1" applyAlignment="1">
      <alignment horizontal="center" vertical="center"/>
    </xf>
    <xf numFmtId="10" fontId="17" fillId="5" borderId="49" xfId="2" applyNumberFormat="1" applyFont="1" applyFill="1" applyBorder="1" applyAlignment="1" applyProtection="1">
      <alignment horizontal="center" vertical="center"/>
      <protection hidden="1"/>
    </xf>
    <xf numFmtId="4" fontId="18" fillId="0" borderId="52" xfId="0" applyNumberFormat="1" applyFont="1" applyBorder="1" applyAlignment="1">
      <alignment horizontal="center" vertical="center"/>
    </xf>
    <xf numFmtId="14" fontId="4" fillId="2" borderId="0" xfId="0" applyNumberFormat="1" applyFont="1" applyFill="1" applyAlignment="1">
      <alignment horizontal="center" vertical="center" wrapText="1"/>
    </xf>
    <xf numFmtId="14" fontId="4" fillId="0" borderId="0" xfId="0" applyNumberFormat="1" applyFont="1" applyAlignment="1">
      <alignment horizontal="center" vertical="center" wrapText="1"/>
    </xf>
    <xf numFmtId="3" fontId="17" fillId="5" borderId="0" xfId="0" applyNumberFormat="1" applyFont="1" applyFill="1" applyAlignment="1">
      <alignment vertical="center"/>
    </xf>
    <xf numFmtId="3" fontId="9" fillId="0" borderId="0" xfId="0" applyNumberFormat="1" applyFont="1" applyAlignment="1">
      <alignment horizontal="center" vertical="center"/>
    </xf>
    <xf numFmtId="3" fontId="9" fillId="10" borderId="0" xfId="0" applyNumberFormat="1" applyFont="1" applyFill="1" applyAlignment="1">
      <alignment horizontal="center" vertical="center"/>
    </xf>
    <xf numFmtId="3" fontId="9" fillId="0" borderId="0" xfId="0" applyNumberFormat="1" applyFont="1" applyAlignment="1">
      <alignment horizontal="center" vertical="center" wrapText="1"/>
    </xf>
    <xf numFmtId="3" fontId="17" fillId="4" borderId="0" xfId="0" applyNumberFormat="1" applyFont="1" applyFill="1" applyAlignment="1">
      <alignment vertical="center"/>
    </xf>
    <xf numFmtId="3" fontId="17" fillId="9" borderId="0" xfId="0" applyNumberFormat="1" applyFont="1" applyFill="1" applyAlignment="1">
      <alignment vertical="center"/>
    </xf>
    <xf numFmtId="3" fontId="17" fillId="3" borderId="0" xfId="0" applyNumberFormat="1" applyFont="1" applyFill="1" applyAlignment="1">
      <alignment vertical="center"/>
    </xf>
    <xf numFmtId="3" fontId="9" fillId="13" borderId="0" xfId="0" applyNumberFormat="1" applyFont="1" applyFill="1" applyAlignment="1">
      <alignment horizontal="center" vertical="center" wrapText="1"/>
    </xf>
    <xf numFmtId="3" fontId="17" fillId="7" borderId="0" xfId="0" applyNumberFormat="1" applyFont="1" applyFill="1" applyAlignment="1">
      <alignment vertical="center"/>
    </xf>
    <xf numFmtId="3" fontId="9" fillId="14" borderId="0" xfId="0" applyNumberFormat="1" applyFont="1" applyFill="1" applyAlignment="1">
      <alignment horizontal="center" vertical="center" wrapText="1"/>
    </xf>
    <xf numFmtId="3" fontId="17" fillId="11" borderId="0" xfId="0" applyNumberFormat="1" applyFont="1" applyFill="1" applyAlignment="1">
      <alignment vertical="center"/>
    </xf>
    <xf numFmtId="3" fontId="17" fillId="12" borderId="0" xfId="0" applyNumberFormat="1" applyFont="1" applyFill="1" applyAlignment="1">
      <alignment vertical="center"/>
    </xf>
    <xf numFmtId="14" fontId="4" fillId="2" borderId="28" xfId="0" applyNumberFormat="1" applyFont="1" applyFill="1" applyBorder="1" applyAlignment="1">
      <alignment horizontal="center" vertical="center" wrapText="1"/>
    </xf>
    <xf numFmtId="3" fontId="17" fillId="5" borderId="28" xfId="0" applyNumberFormat="1" applyFont="1" applyFill="1" applyBorder="1" applyAlignment="1">
      <alignment vertical="center"/>
    </xf>
    <xf numFmtId="3" fontId="9" fillId="0" borderId="42" xfId="0" applyNumberFormat="1" applyFont="1" applyBorder="1" applyAlignment="1">
      <alignment horizontal="center" vertical="center"/>
    </xf>
    <xf numFmtId="3" fontId="17" fillId="4" borderId="28" xfId="0" applyNumberFormat="1" applyFont="1" applyFill="1" applyBorder="1" applyAlignment="1">
      <alignment vertical="center"/>
    </xf>
    <xf numFmtId="3" fontId="9" fillId="0" borderId="41" xfId="0" applyNumberFormat="1" applyFont="1" applyBorder="1" applyAlignment="1">
      <alignment horizontal="center" vertical="center" wrapText="1"/>
    </xf>
    <xf numFmtId="3" fontId="9" fillId="0" borderId="42" xfId="0" applyNumberFormat="1" applyFont="1" applyBorder="1" applyAlignment="1">
      <alignment horizontal="center" vertical="center" wrapText="1"/>
    </xf>
    <xf numFmtId="3" fontId="9" fillId="0" borderId="43" xfId="0" applyNumberFormat="1" applyFont="1" applyBorder="1" applyAlignment="1">
      <alignment horizontal="center" vertical="center" wrapText="1"/>
    </xf>
    <xf numFmtId="3" fontId="17" fillId="9" borderId="28" xfId="0" applyNumberFormat="1" applyFont="1" applyFill="1" applyBorder="1" applyAlignment="1">
      <alignment vertical="center"/>
    </xf>
    <xf numFmtId="3" fontId="17" fillId="3" borderId="28" xfId="0" applyNumberFormat="1" applyFont="1" applyFill="1" applyBorder="1" applyAlignment="1">
      <alignment vertical="center"/>
    </xf>
    <xf numFmtId="3" fontId="9" fillId="13" borderId="42" xfId="0" applyNumberFormat="1" applyFont="1" applyFill="1" applyBorder="1" applyAlignment="1">
      <alignment horizontal="center" vertical="center" wrapText="1"/>
    </xf>
    <xf numFmtId="3" fontId="17" fillId="7" borderId="28" xfId="0" applyNumberFormat="1" applyFont="1" applyFill="1" applyBorder="1" applyAlignment="1">
      <alignment vertical="center"/>
    </xf>
    <xf numFmtId="3" fontId="9" fillId="14" borderId="41" xfId="0" applyNumberFormat="1" applyFont="1" applyFill="1" applyBorder="1" applyAlignment="1">
      <alignment horizontal="center" vertical="center" wrapText="1"/>
    </xf>
    <xf numFmtId="3" fontId="9" fillId="14" borderId="42" xfId="0" applyNumberFormat="1" applyFont="1" applyFill="1" applyBorder="1" applyAlignment="1">
      <alignment horizontal="center" vertical="center" wrapText="1"/>
    </xf>
    <xf numFmtId="3" fontId="9" fillId="14" borderId="43" xfId="0" applyNumberFormat="1" applyFont="1" applyFill="1" applyBorder="1" applyAlignment="1">
      <alignment horizontal="center" vertical="center" wrapText="1"/>
    </xf>
    <xf numFmtId="3" fontId="17" fillId="11" borderId="28" xfId="0" applyNumberFormat="1" applyFont="1" applyFill="1" applyBorder="1" applyAlignment="1">
      <alignment vertical="center"/>
    </xf>
    <xf numFmtId="3" fontId="17" fillId="12" borderId="28" xfId="0" applyNumberFormat="1" applyFont="1" applyFill="1" applyBorder="1" applyAlignment="1">
      <alignment vertical="center"/>
    </xf>
    <xf numFmtId="3" fontId="9" fillId="0" borderId="28" xfId="0" applyNumberFormat="1" applyFont="1" applyBorder="1" applyAlignment="1">
      <alignment horizontal="center" vertical="center" wrapText="1"/>
    </xf>
    <xf numFmtId="168" fontId="2" fillId="0" borderId="16" xfId="1" applyNumberFormat="1" applyFont="1" applyBorder="1" applyAlignment="1">
      <alignment horizontal="center" vertical="center"/>
    </xf>
    <xf numFmtId="166" fontId="2" fillId="0" borderId="19" xfId="1" applyNumberFormat="1" applyFont="1" applyBorder="1" applyAlignment="1">
      <alignment horizontal="center" vertical="center"/>
    </xf>
    <xf numFmtId="10" fontId="7" fillId="5" borderId="0" xfId="2" applyNumberFormat="1" applyFont="1" applyFill="1" applyBorder="1" applyAlignment="1">
      <alignment horizontal="center" vertical="center"/>
    </xf>
    <xf numFmtId="10" fontId="7" fillId="5" borderId="19" xfId="2" applyNumberFormat="1" applyFont="1" applyFill="1" applyBorder="1" applyAlignment="1">
      <alignment horizontal="center" vertical="center"/>
    </xf>
    <xf numFmtId="165" fontId="2" fillId="0" borderId="8" xfId="1" applyNumberFormat="1" applyFont="1" applyBorder="1" applyAlignment="1">
      <alignment horizontal="center" vertical="center"/>
    </xf>
    <xf numFmtId="166" fontId="3" fillId="0" borderId="16" xfId="1" applyNumberFormat="1" applyFont="1" applyFill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10" fontId="3" fillId="0" borderId="0" xfId="2" applyNumberFormat="1" applyFont="1"/>
    <xf numFmtId="165" fontId="2" fillId="0" borderId="16" xfId="1" applyNumberFormat="1" applyFont="1" applyBorder="1" applyAlignment="1">
      <alignment horizontal="center" vertical="center"/>
    </xf>
    <xf numFmtId="173" fontId="2" fillId="0" borderId="8" xfId="1" applyNumberFormat="1" applyFont="1" applyBorder="1" applyAlignment="1">
      <alignment horizontal="center" vertical="center"/>
    </xf>
    <xf numFmtId="173" fontId="2" fillId="0" borderId="16" xfId="1" applyNumberFormat="1" applyFont="1" applyBorder="1" applyAlignment="1">
      <alignment horizontal="center" vertical="center"/>
    </xf>
    <xf numFmtId="165" fontId="2" fillId="0" borderId="19" xfId="1" applyNumberFormat="1" applyFont="1" applyBorder="1" applyAlignment="1">
      <alignment horizontal="center" vertical="center"/>
    </xf>
    <xf numFmtId="165" fontId="2" fillId="0" borderId="16" xfId="1" applyNumberFormat="1" applyFont="1" applyFill="1" applyBorder="1" applyAlignment="1">
      <alignment horizontal="center" vertical="center"/>
    </xf>
    <xf numFmtId="168" fontId="0" fillId="0" borderId="0" xfId="1" applyNumberFormat="1" applyFont="1" applyAlignment="1">
      <alignment horizontal="center" vertical="center"/>
    </xf>
    <xf numFmtId="168" fontId="20" fillId="0" borderId="0" xfId="1" applyNumberFormat="1" applyFont="1" applyAlignment="1">
      <alignment horizontal="center" vertical="center"/>
    </xf>
    <xf numFmtId="10" fontId="17" fillId="4" borderId="28" xfId="2" applyNumberFormat="1" applyFont="1" applyFill="1" applyBorder="1" applyAlignment="1">
      <alignment horizontal="center" vertical="center"/>
    </xf>
    <xf numFmtId="10" fontId="17" fillId="9" borderId="28" xfId="2" applyNumberFormat="1" applyFont="1" applyFill="1" applyBorder="1" applyAlignment="1">
      <alignment horizontal="center" vertical="center"/>
    </xf>
    <xf numFmtId="10" fontId="17" fillId="3" borderId="28" xfId="2" applyNumberFormat="1" applyFont="1" applyFill="1" applyBorder="1" applyAlignment="1">
      <alignment horizontal="center" vertical="center"/>
    </xf>
    <xf numFmtId="10" fontId="17" fillId="7" borderId="28" xfId="2" applyNumberFormat="1" applyFont="1" applyFill="1" applyBorder="1" applyAlignment="1">
      <alignment horizontal="center" vertical="center"/>
    </xf>
    <xf numFmtId="10" fontId="17" fillId="11" borderId="28" xfId="2" applyNumberFormat="1" applyFont="1" applyFill="1" applyBorder="1" applyAlignment="1">
      <alignment horizontal="center" vertical="center"/>
    </xf>
    <xf numFmtId="10" fontId="17" fillId="12" borderId="28" xfId="2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2" fontId="18" fillId="0" borderId="52" xfId="0" applyNumberFormat="1" applyFont="1" applyBorder="1" applyAlignment="1">
      <alignment horizontal="center" vertical="center" wrapText="1"/>
    </xf>
    <xf numFmtId="2" fontId="18" fillId="0" borderId="52" xfId="0" applyNumberFormat="1" applyFont="1" applyBorder="1" applyAlignment="1">
      <alignment horizontal="center" vertical="center"/>
    </xf>
    <xf numFmtId="14" fontId="0" fillId="0" borderId="0" xfId="0" applyNumberFormat="1"/>
    <xf numFmtId="14" fontId="0" fillId="0" borderId="0" xfId="0" applyNumberFormat="1" applyAlignment="1">
      <alignment horizontal="center" vertical="center"/>
    </xf>
    <xf numFmtId="0" fontId="12" fillId="0" borderId="0" xfId="0" applyFont="1" applyAlignment="1">
      <alignment horizontal="center" vertical="center"/>
    </xf>
    <xf numFmtId="4" fontId="19" fillId="0" borderId="50" xfId="0" applyNumberFormat="1" applyFont="1" applyBorder="1" applyAlignment="1">
      <alignment horizontal="center" vertical="center"/>
    </xf>
    <xf numFmtId="14" fontId="21" fillId="0" borderId="0" xfId="0" applyNumberFormat="1" applyFont="1" applyAlignment="1">
      <alignment horizontal="center" wrapText="1"/>
    </xf>
    <xf numFmtId="168" fontId="0" fillId="0" borderId="0" xfId="1" quotePrefix="1" applyNumberFormat="1" applyFont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165" fontId="0" fillId="0" borderId="0" xfId="0" applyNumberFormat="1"/>
    <xf numFmtId="165" fontId="5" fillId="0" borderId="0" xfId="0" applyNumberFormat="1" applyFont="1" applyAlignment="1">
      <alignment horizontal="center"/>
    </xf>
    <xf numFmtId="165" fontId="4" fillId="3" borderId="10" xfId="0" applyNumberFormat="1" applyFont="1" applyFill="1" applyBorder="1" applyAlignment="1">
      <alignment horizontal="center" vertical="center"/>
    </xf>
    <xf numFmtId="165" fontId="7" fillId="5" borderId="14" xfId="0" applyNumberFormat="1" applyFont="1" applyFill="1" applyBorder="1" applyAlignment="1">
      <alignment horizontal="center" vertical="center"/>
    </xf>
    <xf numFmtId="165" fontId="3" fillId="0" borderId="0" xfId="0" applyNumberFormat="1" applyFont="1"/>
    <xf numFmtId="165" fontId="22" fillId="0" borderId="16" xfId="1" applyNumberFormat="1" applyFont="1" applyBorder="1" applyAlignment="1">
      <alignment horizontal="center" vertical="center"/>
    </xf>
    <xf numFmtId="10" fontId="22" fillId="0" borderId="16" xfId="2" applyNumberFormat="1" applyFont="1" applyBorder="1" applyAlignment="1">
      <alignment horizontal="center" vertical="center"/>
    </xf>
    <xf numFmtId="2" fontId="6" fillId="5" borderId="8" xfId="0" applyNumberFormat="1" applyFont="1" applyFill="1" applyBorder="1" applyAlignment="1">
      <alignment horizontal="center" vertical="center"/>
    </xf>
    <xf numFmtId="9" fontId="9" fillId="0" borderId="0" xfId="2" applyFont="1" applyAlignment="1">
      <alignment horizontal="center" vertical="center" wrapText="1"/>
    </xf>
    <xf numFmtId="0" fontId="0" fillId="0" borderId="0" xfId="0" applyAlignment="1">
      <alignment horizontal="left"/>
    </xf>
    <xf numFmtId="3" fontId="4" fillId="2" borderId="31" xfId="0" applyNumberFormat="1" applyFont="1" applyFill="1" applyBorder="1" applyAlignment="1">
      <alignment vertical="center" wrapText="1"/>
    </xf>
    <xf numFmtId="3" fontId="17" fillId="0" borderId="36" xfId="0" applyNumberFormat="1" applyFont="1" applyBorder="1" applyAlignment="1">
      <alignment horizontal="center" vertical="center"/>
    </xf>
    <xf numFmtId="3" fontId="17" fillId="10" borderId="36" xfId="0" applyNumberFormat="1" applyFont="1" applyFill="1" applyBorder="1" applyAlignment="1">
      <alignment horizontal="center" vertical="center"/>
    </xf>
    <xf numFmtId="3" fontId="17" fillId="0" borderId="39" xfId="0" applyNumberFormat="1" applyFont="1" applyBorder="1" applyAlignment="1">
      <alignment horizontal="center" vertical="center"/>
    </xf>
    <xf numFmtId="3" fontId="20" fillId="0" borderId="0" xfId="0" applyNumberFormat="1" applyFont="1" applyAlignment="1">
      <alignment horizontal="center"/>
    </xf>
    <xf numFmtId="3" fontId="17" fillId="0" borderId="40" xfId="0" applyNumberFormat="1" applyFont="1" applyBorder="1" applyAlignment="1">
      <alignment horizontal="center" vertical="center"/>
    </xf>
    <xf numFmtId="3" fontId="17" fillId="0" borderId="21" xfId="0" applyNumberFormat="1" applyFont="1" applyBorder="1" applyAlignment="1">
      <alignment horizontal="center" vertical="center" wrapText="1"/>
    </xf>
    <xf numFmtId="3" fontId="17" fillId="0" borderId="21" xfId="0" applyNumberFormat="1" applyFont="1" applyBorder="1" applyAlignment="1">
      <alignment horizontal="center" vertical="center"/>
    </xf>
    <xf numFmtId="3" fontId="17" fillId="14" borderId="40" xfId="0" applyNumberFormat="1" applyFont="1" applyFill="1" applyBorder="1" applyAlignment="1">
      <alignment horizontal="center" vertical="center"/>
    </xf>
    <xf numFmtId="3" fontId="17" fillId="14" borderId="36" xfId="0" applyNumberFormat="1" applyFont="1" applyFill="1" applyBorder="1" applyAlignment="1">
      <alignment horizontal="center" vertical="center"/>
    </xf>
    <xf numFmtId="3" fontId="17" fillId="14" borderId="39" xfId="0" applyNumberFormat="1" applyFont="1" applyFill="1" applyBorder="1" applyAlignment="1">
      <alignment horizontal="center" vertical="center"/>
    </xf>
    <xf numFmtId="3" fontId="17" fillId="0" borderId="46" xfId="0" applyNumberFormat="1" applyFont="1" applyBorder="1" applyAlignment="1">
      <alignment horizontal="center" vertical="center"/>
    </xf>
    <xf numFmtId="3" fontId="2" fillId="0" borderId="0" xfId="1" applyNumberFormat="1" applyFont="1" applyBorder="1" applyAlignment="1">
      <alignment horizontal="center" vertical="center"/>
    </xf>
    <xf numFmtId="3" fontId="2" fillId="0" borderId="0" xfId="1" applyNumberFormat="1" applyFont="1" applyBorder="1" applyAlignment="1">
      <alignment horizontal="center"/>
    </xf>
    <xf numFmtId="3" fontId="2" fillId="0" borderId="0" xfId="0" applyNumberFormat="1" applyFont="1" applyAlignment="1">
      <alignment horizontal="center"/>
    </xf>
    <xf numFmtId="3" fontId="2" fillId="0" borderId="0" xfId="1" applyNumberFormat="1" applyFont="1" applyAlignment="1">
      <alignment horizontal="center"/>
    </xf>
    <xf numFmtId="3" fontId="20" fillId="0" borderId="0" xfId="1" applyNumberFormat="1" applyFont="1" applyAlignment="1">
      <alignment horizontal="center"/>
    </xf>
    <xf numFmtId="10" fontId="9" fillId="6" borderId="42" xfId="2" applyNumberFormat="1" applyFont="1" applyFill="1" applyBorder="1" applyAlignment="1">
      <alignment horizontal="center" vertical="center"/>
    </xf>
    <xf numFmtId="3" fontId="23" fillId="0" borderId="0" xfId="0" applyNumberFormat="1" applyFont="1" applyAlignment="1">
      <alignment horizontal="center"/>
    </xf>
    <xf numFmtId="3" fontId="24" fillId="2" borderId="54" xfId="0" applyNumberFormat="1" applyFont="1" applyFill="1" applyBorder="1" applyAlignment="1">
      <alignment horizontal="center" vertical="center" wrapText="1"/>
    </xf>
    <xf numFmtId="172" fontId="24" fillId="5" borderId="47" xfId="0" applyNumberFormat="1" applyFont="1" applyFill="1" applyBorder="1" applyAlignment="1">
      <alignment horizontal="center" vertical="center"/>
    </xf>
    <xf numFmtId="3" fontId="24" fillId="0" borderId="36" xfId="0" applyNumberFormat="1" applyFont="1" applyBorder="1" applyAlignment="1">
      <alignment horizontal="center" vertical="center"/>
    </xf>
    <xf numFmtId="3" fontId="24" fillId="10" borderId="36" xfId="0" applyNumberFormat="1" applyFont="1" applyFill="1" applyBorder="1" applyAlignment="1">
      <alignment horizontal="center" vertical="center"/>
    </xf>
    <xf numFmtId="3" fontId="24" fillId="0" borderId="39" xfId="0" applyNumberFormat="1" applyFont="1" applyBorder="1" applyAlignment="1">
      <alignment horizontal="center" vertical="center"/>
    </xf>
    <xf numFmtId="172" fontId="24" fillId="4" borderId="30" xfId="0" applyNumberFormat="1" applyFont="1" applyFill="1" applyBorder="1" applyAlignment="1">
      <alignment horizontal="center" vertical="center"/>
    </xf>
    <xf numFmtId="3" fontId="24" fillId="0" borderId="40" xfId="0" applyNumberFormat="1" applyFont="1" applyBorder="1" applyAlignment="1">
      <alignment horizontal="center" vertical="center"/>
    </xf>
    <xf numFmtId="3" fontId="24" fillId="0" borderId="21" xfId="0" applyNumberFormat="1" applyFont="1" applyBorder="1" applyAlignment="1">
      <alignment horizontal="center" vertical="center" wrapText="1"/>
    </xf>
    <xf numFmtId="172" fontId="24" fillId="9" borderId="30" xfId="0" applyNumberFormat="1" applyFont="1" applyFill="1" applyBorder="1" applyAlignment="1">
      <alignment horizontal="center" vertical="center"/>
    </xf>
    <xf numFmtId="172" fontId="24" fillId="3" borderId="30" xfId="0" applyNumberFormat="1" applyFont="1" applyFill="1" applyBorder="1" applyAlignment="1">
      <alignment horizontal="center" vertical="center"/>
    </xf>
    <xf numFmtId="3" fontId="24" fillId="0" borderId="21" xfId="0" applyNumberFormat="1" applyFont="1" applyBorder="1" applyAlignment="1">
      <alignment horizontal="center" vertical="center"/>
    </xf>
    <xf numFmtId="172" fontId="24" fillId="7" borderId="30" xfId="0" applyNumberFormat="1" applyFont="1" applyFill="1" applyBorder="1" applyAlignment="1">
      <alignment horizontal="center" vertical="center"/>
    </xf>
    <xf numFmtId="3" fontId="24" fillId="14" borderId="40" xfId="0" applyNumberFormat="1" applyFont="1" applyFill="1" applyBorder="1" applyAlignment="1">
      <alignment horizontal="center" vertical="center"/>
    </xf>
    <xf numFmtId="3" fontId="24" fillId="14" borderId="36" xfId="0" applyNumberFormat="1" applyFont="1" applyFill="1" applyBorder="1" applyAlignment="1">
      <alignment horizontal="center" vertical="center"/>
    </xf>
    <xf numFmtId="3" fontId="24" fillId="14" borderId="39" xfId="0" applyNumberFormat="1" applyFont="1" applyFill="1" applyBorder="1" applyAlignment="1">
      <alignment horizontal="center" vertical="center"/>
    </xf>
    <xf numFmtId="172" fontId="24" fillId="11" borderId="30" xfId="0" applyNumberFormat="1" applyFont="1" applyFill="1" applyBorder="1" applyAlignment="1">
      <alignment horizontal="center" vertical="center"/>
    </xf>
    <xf numFmtId="172" fontId="24" fillId="12" borderId="30" xfId="0" applyNumberFormat="1" applyFont="1" applyFill="1" applyBorder="1" applyAlignment="1">
      <alignment horizontal="center" vertical="center"/>
    </xf>
    <xf numFmtId="3" fontId="24" fillId="0" borderId="46" xfId="0" applyNumberFormat="1" applyFont="1" applyBorder="1" applyAlignment="1">
      <alignment horizontal="center" vertical="center"/>
    </xf>
    <xf numFmtId="3" fontId="24" fillId="0" borderId="0" xfId="1" applyNumberFormat="1" applyFont="1" applyBorder="1" applyAlignment="1">
      <alignment horizontal="center" vertical="center"/>
    </xf>
    <xf numFmtId="3" fontId="24" fillId="0" borderId="0" xfId="1" applyNumberFormat="1" applyFont="1" applyBorder="1" applyAlignment="1">
      <alignment horizontal="center"/>
    </xf>
    <xf numFmtId="3" fontId="24" fillId="0" borderId="0" xfId="0" applyNumberFormat="1" applyFont="1" applyAlignment="1">
      <alignment horizontal="center"/>
    </xf>
    <xf numFmtId="3" fontId="24" fillId="0" borderId="0" xfId="1" applyNumberFormat="1" applyFont="1" applyAlignment="1">
      <alignment horizontal="center"/>
    </xf>
    <xf numFmtId="3" fontId="23" fillId="0" borderId="0" xfId="1" applyNumberFormat="1" applyFont="1" applyAlignment="1">
      <alignment horizontal="center"/>
    </xf>
    <xf numFmtId="3" fontId="25" fillId="0" borderId="0" xfId="0" applyNumberFormat="1" applyFont="1" applyAlignment="1">
      <alignment horizontal="center"/>
    </xf>
    <xf numFmtId="3" fontId="26" fillId="2" borderId="54" xfId="0" applyNumberFormat="1" applyFont="1" applyFill="1" applyBorder="1" applyAlignment="1">
      <alignment horizontal="center" vertical="center" wrapText="1"/>
    </xf>
    <xf numFmtId="172" fontId="26" fillId="5" borderId="47" xfId="0" applyNumberFormat="1" applyFont="1" applyFill="1" applyBorder="1" applyAlignment="1">
      <alignment horizontal="center" vertical="center"/>
    </xf>
    <xf numFmtId="3" fontId="26" fillId="0" borderId="36" xfId="0" applyNumberFormat="1" applyFont="1" applyBorder="1" applyAlignment="1">
      <alignment horizontal="center" vertical="center"/>
    </xf>
    <xf numFmtId="3" fontId="26" fillId="10" borderId="36" xfId="0" applyNumberFormat="1" applyFont="1" applyFill="1" applyBorder="1" applyAlignment="1">
      <alignment horizontal="center" vertical="center"/>
    </xf>
    <xf numFmtId="3" fontId="26" fillId="0" borderId="39" xfId="0" applyNumberFormat="1" applyFont="1" applyBorder="1" applyAlignment="1">
      <alignment horizontal="center" vertical="center"/>
    </xf>
    <xf numFmtId="172" fontId="26" fillId="4" borderId="30" xfId="0" applyNumberFormat="1" applyFont="1" applyFill="1" applyBorder="1" applyAlignment="1">
      <alignment horizontal="center" vertical="center"/>
    </xf>
    <xf numFmtId="3" fontId="26" fillId="0" borderId="40" xfId="0" applyNumberFormat="1" applyFont="1" applyBorder="1" applyAlignment="1">
      <alignment horizontal="center" vertical="center"/>
    </xf>
    <xf numFmtId="3" fontId="26" fillId="0" borderId="21" xfId="0" applyNumberFormat="1" applyFont="1" applyBorder="1" applyAlignment="1">
      <alignment horizontal="center" vertical="center" wrapText="1"/>
    </xf>
    <xf numFmtId="172" fontId="26" fillId="9" borderId="30" xfId="0" applyNumberFormat="1" applyFont="1" applyFill="1" applyBorder="1" applyAlignment="1">
      <alignment horizontal="center" vertical="center"/>
    </xf>
    <xf numFmtId="172" fontId="26" fillId="3" borderId="30" xfId="0" applyNumberFormat="1" applyFont="1" applyFill="1" applyBorder="1" applyAlignment="1">
      <alignment horizontal="center" vertical="center"/>
    </xf>
    <xf numFmtId="3" fontId="26" fillId="0" borderId="21" xfId="0" applyNumberFormat="1" applyFont="1" applyBorder="1" applyAlignment="1">
      <alignment horizontal="center" vertical="center"/>
    </xf>
    <xf numFmtId="172" fontId="26" fillId="7" borderId="30" xfId="0" applyNumberFormat="1" applyFont="1" applyFill="1" applyBorder="1" applyAlignment="1">
      <alignment horizontal="center" vertical="center"/>
    </xf>
    <xf numFmtId="3" fontId="26" fillId="14" borderId="40" xfId="0" applyNumberFormat="1" applyFont="1" applyFill="1" applyBorder="1" applyAlignment="1">
      <alignment horizontal="center" vertical="center"/>
    </xf>
    <xf numFmtId="3" fontId="26" fillId="14" borderId="36" xfId="0" applyNumberFormat="1" applyFont="1" applyFill="1" applyBorder="1" applyAlignment="1">
      <alignment horizontal="center" vertical="center"/>
    </xf>
    <xf numFmtId="3" fontId="26" fillId="14" borderId="39" xfId="0" applyNumberFormat="1" applyFont="1" applyFill="1" applyBorder="1" applyAlignment="1">
      <alignment horizontal="center" vertical="center"/>
    </xf>
    <xf numFmtId="172" fontId="26" fillId="11" borderId="30" xfId="0" applyNumberFormat="1" applyFont="1" applyFill="1" applyBorder="1" applyAlignment="1">
      <alignment horizontal="center" vertical="center"/>
    </xf>
    <xf numFmtId="172" fontId="26" fillId="12" borderId="30" xfId="0" applyNumberFormat="1" applyFont="1" applyFill="1" applyBorder="1" applyAlignment="1">
      <alignment horizontal="center" vertical="center"/>
    </xf>
    <xf numFmtId="3" fontId="26" fillId="0" borderId="46" xfId="0" applyNumberFormat="1" applyFont="1" applyBorder="1" applyAlignment="1">
      <alignment horizontal="center" vertical="center"/>
    </xf>
    <xf numFmtId="3" fontId="26" fillId="0" borderId="0" xfId="1" applyNumberFormat="1" applyFont="1" applyBorder="1" applyAlignment="1">
      <alignment horizontal="center" vertical="center"/>
    </xf>
    <xf numFmtId="3" fontId="26" fillId="0" borderId="0" xfId="1" applyNumberFormat="1" applyFont="1" applyBorder="1" applyAlignment="1">
      <alignment horizontal="center"/>
    </xf>
    <xf numFmtId="3" fontId="26" fillId="0" borderId="0" xfId="0" applyNumberFormat="1" applyFont="1" applyAlignment="1">
      <alignment horizontal="center"/>
    </xf>
    <xf numFmtId="3" fontId="26" fillId="0" borderId="0" xfId="1" applyNumberFormat="1" applyFont="1" applyAlignment="1">
      <alignment horizontal="center"/>
    </xf>
    <xf numFmtId="3" fontId="25" fillId="0" borderId="0" xfId="1" applyNumberFormat="1" applyFont="1" applyAlignment="1">
      <alignment horizontal="center"/>
    </xf>
    <xf numFmtId="10" fontId="9" fillId="15" borderId="42" xfId="2" applyNumberFormat="1" applyFont="1" applyFill="1" applyBorder="1" applyAlignment="1">
      <alignment horizontal="center" vertical="center"/>
    </xf>
    <xf numFmtId="0" fontId="9" fillId="16" borderId="34" xfId="0" applyFont="1" applyFill="1" applyBorder="1" applyAlignment="1">
      <alignment horizontal="left" vertical="center"/>
    </xf>
    <xf numFmtId="3" fontId="9" fillId="16" borderId="36" xfId="0" applyNumberFormat="1" applyFont="1" applyFill="1" applyBorder="1" applyAlignment="1">
      <alignment horizontal="center" vertical="center"/>
    </xf>
    <xf numFmtId="10" fontId="9" fillId="16" borderId="42" xfId="2" applyNumberFormat="1" applyFont="1" applyFill="1" applyBorder="1" applyAlignment="1">
      <alignment horizontal="center" vertical="center"/>
    </xf>
    <xf numFmtId="10" fontId="9" fillId="17" borderId="42" xfId="2" applyNumberFormat="1" applyFont="1" applyFill="1" applyBorder="1" applyAlignment="1">
      <alignment horizontal="center" vertical="center"/>
    </xf>
    <xf numFmtId="10" fontId="9" fillId="15" borderId="43" xfId="2" applyNumberFormat="1" applyFont="1" applyFill="1" applyBorder="1" applyAlignment="1">
      <alignment horizontal="center" vertical="center"/>
    </xf>
    <xf numFmtId="14" fontId="9" fillId="16" borderId="32" xfId="0" applyNumberFormat="1" applyFont="1" applyFill="1" applyBorder="1" applyAlignment="1">
      <alignment horizontal="left" vertical="center" wrapText="1"/>
    </xf>
    <xf numFmtId="3" fontId="9" fillId="16" borderId="40" xfId="0" applyNumberFormat="1" applyFont="1" applyFill="1" applyBorder="1" applyAlignment="1">
      <alignment horizontal="center" vertical="center"/>
    </xf>
    <xf numFmtId="14" fontId="9" fillId="16" borderId="34" xfId="0" applyNumberFormat="1" applyFont="1" applyFill="1" applyBorder="1" applyAlignment="1">
      <alignment horizontal="left" vertical="center" wrapText="1"/>
    </xf>
    <xf numFmtId="14" fontId="9" fillId="16" borderId="37" xfId="0" applyNumberFormat="1" applyFont="1" applyFill="1" applyBorder="1" applyAlignment="1">
      <alignment horizontal="left" vertical="center" wrapText="1"/>
    </xf>
    <xf numFmtId="3" fontId="9" fillId="16" borderId="39" xfId="0" applyNumberFormat="1" applyFont="1" applyFill="1" applyBorder="1" applyAlignment="1">
      <alignment horizontal="center" vertical="center"/>
    </xf>
    <xf numFmtId="10" fontId="9" fillId="15" borderId="28" xfId="2" applyNumberFormat="1" applyFont="1" applyFill="1" applyBorder="1" applyAlignment="1">
      <alignment horizontal="center" vertical="center"/>
    </xf>
    <xf numFmtId="0" fontId="11" fillId="0" borderId="0" xfId="0" applyFont="1"/>
    <xf numFmtId="0" fontId="24" fillId="4" borderId="0" xfId="0" applyFont="1" applyFill="1" applyAlignment="1">
      <alignment vertical="center"/>
    </xf>
    <xf numFmtId="0" fontId="24" fillId="4" borderId="4" xfId="0" applyFont="1" applyFill="1" applyBorder="1" applyAlignment="1">
      <alignment vertical="center" wrapText="1"/>
    </xf>
    <xf numFmtId="0" fontId="22" fillId="5" borderId="8" xfId="0" applyFont="1" applyFill="1" applyBorder="1" applyAlignment="1">
      <alignment horizontal="center" vertical="center"/>
    </xf>
    <xf numFmtId="0" fontId="24" fillId="0" borderId="8" xfId="0" applyFont="1" applyBorder="1" applyAlignment="1">
      <alignment horizontal="center" vertical="center"/>
    </xf>
    <xf numFmtId="0" fontId="24" fillId="0" borderId="8" xfId="0" applyFont="1" applyBorder="1" applyAlignment="1">
      <alignment horizontal="right"/>
    </xf>
    <xf numFmtId="3" fontId="24" fillId="0" borderId="16" xfId="1" applyNumberFormat="1" applyFont="1" applyBorder="1" applyAlignment="1">
      <alignment horizontal="center" vertical="center"/>
    </xf>
    <xf numFmtId="0" fontId="24" fillId="0" borderId="8" xfId="0" applyFont="1" applyBorder="1" applyAlignment="1">
      <alignment horizontal="left"/>
    </xf>
    <xf numFmtId="3" fontId="22" fillId="0" borderId="16" xfId="1" applyNumberFormat="1" applyFont="1" applyBorder="1" applyAlignment="1">
      <alignment horizontal="center" vertical="center"/>
    </xf>
    <xf numFmtId="0" fontId="11" fillId="0" borderId="8" xfId="0" applyFont="1" applyBorder="1"/>
    <xf numFmtId="166" fontId="3" fillId="3" borderId="8" xfId="1" applyNumberFormat="1" applyFont="1" applyFill="1" applyBorder="1" applyAlignment="1">
      <alignment horizontal="center" vertical="center"/>
    </xf>
    <xf numFmtId="14" fontId="3" fillId="0" borderId="8" xfId="1" applyNumberFormat="1" applyFont="1" applyBorder="1" applyAlignment="1">
      <alignment horizontal="center" vertical="center"/>
    </xf>
    <xf numFmtId="14" fontId="5" fillId="0" borderId="0" xfId="0" applyNumberFormat="1" applyFont="1" applyAlignment="1">
      <alignment horizontal="center"/>
    </xf>
    <xf numFmtId="14" fontId="4" fillId="3" borderId="10" xfId="0" applyNumberFormat="1" applyFont="1" applyFill="1" applyBorder="1" applyAlignment="1">
      <alignment horizontal="center" vertical="center" wrapText="1"/>
    </xf>
    <xf numFmtId="14" fontId="7" fillId="5" borderId="14" xfId="0" applyNumberFormat="1" applyFont="1" applyFill="1" applyBorder="1" applyAlignment="1">
      <alignment horizontal="center" vertical="center"/>
    </xf>
    <xf numFmtId="14" fontId="2" fillId="0" borderId="16" xfId="1" applyNumberFormat="1" applyFont="1" applyBorder="1" applyAlignment="1">
      <alignment horizontal="center" vertical="center"/>
    </xf>
    <xf numFmtId="14" fontId="3" fillId="0" borderId="16" xfId="1" applyNumberFormat="1" applyFont="1" applyBorder="1" applyAlignment="1">
      <alignment horizontal="center" vertical="center"/>
    </xf>
    <xf numFmtId="14" fontId="2" fillId="0" borderId="16" xfId="1" applyNumberFormat="1" applyFont="1" applyFill="1" applyBorder="1" applyAlignment="1">
      <alignment horizontal="center" vertical="center"/>
    </xf>
    <xf numFmtId="14" fontId="7" fillId="5" borderId="0" xfId="1" applyNumberFormat="1" applyFont="1" applyFill="1" applyBorder="1" applyAlignment="1">
      <alignment horizontal="center" vertical="center"/>
    </xf>
    <xf numFmtId="14" fontId="2" fillId="0" borderId="8" xfId="1" applyNumberFormat="1" applyFont="1" applyBorder="1" applyAlignment="1">
      <alignment horizontal="center" vertical="center"/>
    </xf>
    <xf numFmtId="14" fontId="7" fillId="5" borderId="19" xfId="1" applyNumberFormat="1" applyFont="1" applyFill="1" applyBorder="1" applyAlignment="1">
      <alignment horizontal="center" vertical="center"/>
    </xf>
    <xf numFmtId="14" fontId="3" fillId="0" borderId="19" xfId="1" applyNumberFormat="1" applyFont="1" applyBorder="1" applyAlignment="1">
      <alignment horizontal="center" vertical="center"/>
    </xf>
    <xf numFmtId="14" fontId="2" fillId="0" borderId="19" xfId="1" applyNumberFormat="1" applyFont="1" applyBorder="1" applyAlignment="1">
      <alignment horizontal="center" vertical="center"/>
    </xf>
    <xf numFmtId="14" fontId="3" fillId="0" borderId="0" xfId="0" applyNumberFormat="1" applyFont="1"/>
    <xf numFmtId="165" fontId="2" fillId="3" borderId="8" xfId="1" applyNumberFormat="1" applyFont="1" applyFill="1" applyBorder="1" applyAlignment="1">
      <alignment horizontal="center" vertical="center"/>
    </xf>
    <xf numFmtId="165" fontId="3" fillId="3" borderId="16" xfId="1" applyNumberFormat="1" applyFont="1" applyFill="1" applyBorder="1" applyAlignment="1">
      <alignment horizontal="center" vertical="center"/>
    </xf>
    <xf numFmtId="10" fontId="3" fillId="3" borderId="16" xfId="2" applyNumberFormat="1" applyFont="1" applyFill="1" applyBorder="1" applyAlignment="1">
      <alignment horizontal="center" vertical="center"/>
    </xf>
    <xf numFmtId="166" fontId="3" fillId="3" borderId="16" xfId="1" applyNumberFormat="1" applyFont="1" applyFill="1" applyBorder="1" applyAlignment="1">
      <alignment horizontal="center" vertical="center"/>
    </xf>
    <xf numFmtId="10" fontId="9" fillId="18" borderId="42" xfId="2" applyNumberFormat="1" applyFont="1" applyFill="1" applyBorder="1" applyAlignment="1">
      <alignment horizontal="center" vertical="center"/>
    </xf>
    <xf numFmtId="10" fontId="9" fillId="8" borderId="42" xfId="2" applyNumberFormat="1" applyFont="1" applyFill="1" applyBorder="1" applyAlignment="1">
      <alignment horizontal="center" vertical="center"/>
    </xf>
    <xf numFmtId="10" fontId="9" fillId="19" borderId="42" xfId="2" applyNumberFormat="1" applyFont="1" applyFill="1" applyBorder="1" applyAlignment="1">
      <alignment horizontal="center" vertical="center"/>
    </xf>
    <xf numFmtId="10" fontId="9" fillId="8" borderId="43" xfId="2" applyNumberFormat="1" applyFont="1" applyFill="1" applyBorder="1" applyAlignment="1">
      <alignment horizontal="center" vertical="center"/>
    </xf>
    <xf numFmtId="10" fontId="9" fillId="18" borderId="44" xfId="2" applyNumberFormat="1" applyFont="1" applyFill="1" applyBorder="1" applyAlignment="1">
      <alignment horizontal="center" vertical="center"/>
    </xf>
    <xf numFmtId="10" fontId="9" fillId="18" borderId="43" xfId="2" applyNumberFormat="1" applyFont="1" applyFill="1" applyBorder="1" applyAlignment="1">
      <alignment horizontal="center" vertical="center"/>
    </xf>
    <xf numFmtId="10" fontId="9" fillId="8" borderId="44" xfId="2" applyNumberFormat="1" applyFont="1" applyFill="1" applyBorder="1" applyAlignment="1">
      <alignment horizontal="center" vertical="center"/>
    </xf>
    <xf numFmtId="10" fontId="9" fillId="8" borderId="41" xfId="2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3" fontId="2" fillId="0" borderId="8" xfId="0" applyNumberFormat="1" applyFont="1" applyBorder="1" applyAlignment="1">
      <alignment horizontal="center" vertical="center"/>
    </xf>
    <xf numFmtId="3" fontId="2" fillId="0" borderId="0" xfId="0" applyNumberFormat="1" applyFont="1" applyAlignment="1">
      <alignment horizontal="center" vertical="center"/>
    </xf>
    <xf numFmtId="10" fontId="9" fillId="20" borderId="43" xfId="2" applyNumberFormat="1" applyFont="1" applyFill="1" applyBorder="1" applyAlignment="1">
      <alignment horizontal="center" vertical="center"/>
    </xf>
    <xf numFmtId="10" fontId="9" fillId="16" borderId="41" xfId="2" applyNumberFormat="1" applyFont="1" applyFill="1" applyBorder="1" applyAlignment="1">
      <alignment horizontal="center" vertical="center"/>
    </xf>
    <xf numFmtId="10" fontId="9" fillId="19" borderId="43" xfId="2" applyNumberFormat="1" applyFont="1" applyFill="1" applyBorder="1" applyAlignment="1">
      <alignment horizontal="center" vertical="center"/>
    </xf>
    <xf numFmtId="10" fontId="9" fillId="18" borderId="41" xfId="2" applyNumberFormat="1" applyFont="1" applyFill="1" applyBorder="1" applyAlignment="1">
      <alignment horizontal="center" vertical="center"/>
    </xf>
    <xf numFmtId="10" fontId="9" fillId="18" borderId="28" xfId="2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3" fontId="4" fillId="2" borderId="32" xfId="0" applyNumberFormat="1" applyFont="1" applyFill="1" applyBorder="1" applyAlignment="1">
      <alignment horizontal="center" vertical="center" wrapText="1"/>
    </xf>
    <xf numFmtId="3" fontId="4" fillId="2" borderId="33" xfId="0" applyNumberFormat="1" applyFont="1" applyFill="1" applyBorder="1" applyAlignment="1">
      <alignment horizontal="center" vertical="center" wrapText="1"/>
    </xf>
    <xf numFmtId="3" fontId="4" fillId="2" borderId="48" xfId="0" applyNumberFormat="1" applyFont="1" applyFill="1" applyBorder="1" applyAlignment="1">
      <alignment horizontal="center" vertical="center" wrapText="1"/>
    </xf>
    <xf numFmtId="0" fontId="4" fillId="2" borderId="32" xfId="0" applyFont="1" applyFill="1" applyBorder="1" applyAlignment="1">
      <alignment horizontal="center" vertical="center"/>
    </xf>
    <xf numFmtId="0" fontId="4" fillId="2" borderId="48" xfId="0" applyFont="1" applyFill="1" applyBorder="1" applyAlignment="1">
      <alignment horizontal="center" vertical="center"/>
    </xf>
    <xf numFmtId="14" fontId="4" fillId="9" borderId="52" xfId="0" applyNumberFormat="1" applyFont="1" applyFill="1" applyBorder="1" applyAlignment="1">
      <alignment horizontal="center" vertical="center" wrapText="1"/>
    </xf>
    <xf numFmtId="0" fontId="4" fillId="9" borderId="52" xfId="0" applyFont="1" applyFill="1" applyBorder="1" applyAlignment="1">
      <alignment horizontal="center" vertical="center"/>
    </xf>
    <xf numFmtId="14" fontId="4" fillId="0" borderId="29" xfId="0" applyNumberFormat="1" applyFont="1" applyBorder="1" applyAlignment="1">
      <alignment horizontal="center" vertical="center" wrapText="1"/>
    </xf>
    <xf numFmtId="14" fontId="4" fillId="0" borderId="31" xfId="0" applyNumberFormat="1" applyFont="1" applyBorder="1" applyAlignment="1">
      <alignment horizontal="center" vertical="center" wrapText="1"/>
    </xf>
    <xf numFmtId="3" fontId="4" fillId="2" borderId="41" xfId="0" applyNumberFormat="1" applyFont="1" applyFill="1" applyBorder="1" applyAlignment="1">
      <alignment horizontal="center" vertical="center" wrapText="1"/>
    </xf>
    <xf numFmtId="3" fontId="4" fillId="2" borderId="49" xfId="0" applyNumberFormat="1" applyFont="1" applyFill="1" applyBorder="1" applyAlignment="1">
      <alignment horizontal="center" vertical="center" wrapText="1"/>
    </xf>
    <xf numFmtId="0" fontId="4" fillId="2" borderId="32" xfId="0" applyFont="1" applyFill="1" applyBorder="1" applyAlignment="1">
      <alignment horizontal="center" vertical="center" wrapText="1"/>
    </xf>
    <xf numFmtId="0" fontId="4" fillId="2" borderId="53" xfId="0" applyFont="1" applyFill="1" applyBorder="1" applyAlignment="1">
      <alignment horizontal="center" vertical="center" wrapText="1"/>
    </xf>
    <xf numFmtId="3" fontId="4" fillId="2" borderId="29" xfId="0" applyNumberFormat="1" applyFont="1" applyFill="1" applyBorder="1" applyAlignment="1">
      <alignment horizontal="center" vertical="center" wrapText="1"/>
    </xf>
    <xf numFmtId="3" fontId="4" fillId="2" borderId="30" xfId="0" applyNumberFormat="1" applyFont="1" applyFill="1" applyBorder="1" applyAlignment="1">
      <alignment horizontal="center" vertical="center" wrapText="1"/>
    </xf>
    <xf numFmtId="0" fontId="4" fillId="4" borderId="27" xfId="0" applyFont="1" applyFill="1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6" fillId="5" borderId="19" xfId="0" applyFont="1" applyFill="1" applyBorder="1" applyAlignment="1">
      <alignment horizontal="center" vertical="center"/>
    </xf>
    <xf numFmtId="0" fontId="6" fillId="5" borderId="10" xfId="0" applyFont="1" applyFill="1" applyBorder="1" applyAlignment="1">
      <alignment horizontal="center" vertical="center"/>
    </xf>
    <xf numFmtId="14" fontId="4" fillId="3" borderId="1" xfId="0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</cellXfs>
  <cellStyles count="6">
    <cellStyle name="Milliers" xfId="1" builtinId="3"/>
    <cellStyle name="Milliers 2" xfId="4" xr:uid="{2DE8FB1C-75BD-4B28-A0EC-82F53AB1F9DE}"/>
    <cellStyle name="Milliers 3" xfId="5" xr:uid="{00000000-0005-0000-0000-000031000000}"/>
    <cellStyle name="Normal" xfId="0" builtinId="0"/>
    <cellStyle name="Normal 2" xfId="3" xr:uid="{5FBD181C-B9A8-44B4-A2D7-CCE95FC5E11A}"/>
    <cellStyle name="Pourcentage" xfId="2" builtinId="5"/>
  </cellStyles>
  <dxfs count="9">
    <dxf>
      <font>
        <color rgb="FF006100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00B050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FDFDB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6"/>
          <c:order val="6"/>
          <c:tx>
            <c:strRef>
              <c:f>'EVOL INDICIELLE'!$I$37</c:f>
              <c:strCache>
                <c:ptCount val="1"/>
                <c:pt idx="0">
                  <c:v>BRVM-DIS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'EVOL INDICIELLE'!$B$38:$B$48</c:f>
              <c:numCache>
                <c:formatCode>m/d/yyyy</c:formatCode>
                <c:ptCount val="11"/>
                <c:pt idx="0">
                  <c:v>45345</c:v>
                </c:pt>
                <c:pt idx="1">
                  <c:v>45348</c:v>
                </c:pt>
                <c:pt idx="2">
                  <c:v>45349</c:v>
                </c:pt>
                <c:pt idx="3">
                  <c:v>45350</c:v>
                </c:pt>
                <c:pt idx="4">
                  <c:v>45351</c:v>
                </c:pt>
                <c:pt idx="5">
                  <c:v>45352</c:v>
                </c:pt>
                <c:pt idx="6">
                  <c:v>45355</c:v>
                </c:pt>
                <c:pt idx="7">
                  <c:v>45356</c:v>
                </c:pt>
                <c:pt idx="8">
                  <c:v>45357</c:v>
                </c:pt>
                <c:pt idx="9">
                  <c:v>45358</c:v>
                </c:pt>
                <c:pt idx="10">
                  <c:v>45359</c:v>
                </c:pt>
              </c:numCache>
              <c:extLst xmlns:c15="http://schemas.microsoft.com/office/drawing/2012/chart"/>
            </c:numRef>
          </c:cat>
          <c:val>
            <c:numRef>
              <c:f>'EVOL INDICIELLE'!$I$38:$I$48</c:f>
              <c:numCache>
                <c:formatCode>#,##0.00</c:formatCode>
                <c:ptCount val="11"/>
                <c:pt idx="0">
                  <c:v>317.39</c:v>
                </c:pt>
                <c:pt idx="1">
                  <c:v>318.48</c:v>
                </c:pt>
                <c:pt idx="2">
                  <c:v>312.32</c:v>
                </c:pt>
                <c:pt idx="3">
                  <c:v>315.10000000000002</c:v>
                </c:pt>
                <c:pt idx="4">
                  <c:v>314.73</c:v>
                </c:pt>
                <c:pt idx="5">
                  <c:v>314.27</c:v>
                </c:pt>
                <c:pt idx="6">
                  <c:v>309.76</c:v>
                </c:pt>
                <c:pt idx="7">
                  <c:v>312.41000000000003</c:v>
                </c:pt>
                <c:pt idx="8">
                  <c:v>303.07</c:v>
                </c:pt>
                <c:pt idx="9">
                  <c:v>298.12</c:v>
                </c:pt>
                <c:pt idx="10">
                  <c:v>301.76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6-3C8E-4875-BDE7-26411BF37D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165359"/>
        <c:axId val="18817076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'EVOL INDICIELLE'!$C$37</c15:sqref>
                        </c15:formulaRef>
                      </c:ext>
                    </c:extLst>
                    <c:strCache>
                      <c:ptCount val="1"/>
                      <c:pt idx="0">
                        <c:v>BRVM 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'EVOL INDICIELLE'!$B$38:$B$48</c15:sqref>
                        </c15:formulaRef>
                      </c:ext>
                    </c:extLst>
                    <c:numCache>
                      <c:formatCode>m/d/yyyy</c:formatCode>
                      <c:ptCount val="11"/>
                      <c:pt idx="0">
                        <c:v>45345</c:v>
                      </c:pt>
                      <c:pt idx="1">
                        <c:v>45348</c:v>
                      </c:pt>
                      <c:pt idx="2">
                        <c:v>45349</c:v>
                      </c:pt>
                      <c:pt idx="3">
                        <c:v>45350</c:v>
                      </c:pt>
                      <c:pt idx="4">
                        <c:v>45351</c:v>
                      </c:pt>
                      <c:pt idx="5">
                        <c:v>45352</c:v>
                      </c:pt>
                      <c:pt idx="6">
                        <c:v>45355</c:v>
                      </c:pt>
                      <c:pt idx="7">
                        <c:v>45356</c:v>
                      </c:pt>
                      <c:pt idx="8">
                        <c:v>45357</c:v>
                      </c:pt>
                      <c:pt idx="9">
                        <c:v>45358</c:v>
                      </c:pt>
                      <c:pt idx="10">
                        <c:v>45359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'EVOL INDICIELLE'!$C$38:$C$48</c15:sqref>
                        </c15:formulaRef>
                      </c:ext>
                    </c:extLst>
                    <c:numCache>
                      <c:formatCode>#,##0.00</c:formatCode>
                      <c:ptCount val="11"/>
                      <c:pt idx="0">
                        <c:v>212.47</c:v>
                      </c:pt>
                      <c:pt idx="1">
                        <c:v>212.58</c:v>
                      </c:pt>
                      <c:pt idx="2">
                        <c:v>212.19</c:v>
                      </c:pt>
                      <c:pt idx="3">
                        <c:v>212.58</c:v>
                      </c:pt>
                      <c:pt idx="4">
                        <c:v>213.5</c:v>
                      </c:pt>
                      <c:pt idx="5">
                        <c:v>212.54</c:v>
                      </c:pt>
                      <c:pt idx="6">
                        <c:v>212.96</c:v>
                      </c:pt>
                      <c:pt idx="7">
                        <c:v>212.21</c:v>
                      </c:pt>
                      <c:pt idx="8">
                        <c:v>210.92</c:v>
                      </c:pt>
                      <c:pt idx="9">
                        <c:v>212.17</c:v>
                      </c:pt>
                      <c:pt idx="10">
                        <c:v>212.98</c:v>
                      </c:pt>
                    </c:numCache>
                  </c:numRef>
                </c:val>
                <c:smooth val="1"/>
                <c:extLst>
                  <c:ext xmlns:c16="http://schemas.microsoft.com/office/drawing/2014/chart" uri="{C3380CC4-5D6E-409C-BE32-E72D297353CC}">
                    <c16:uniqueId val="{00000000-3C8E-4875-BDE7-26411BF37DDC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'EVOL INDICIELLE'!$D$37</c15:sqref>
                        </c15:formulaRef>
                      </c:ext>
                    </c:extLst>
                    <c:strCache>
                      <c:ptCount val="1"/>
                      <c:pt idx="0">
                        <c:v>BRVM-IND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'EVOL INDICIELLE'!$B$38:$B$48</c15:sqref>
                        </c15:formulaRef>
                      </c:ext>
                    </c:extLst>
                    <c:numCache>
                      <c:formatCode>m/d/yyyy</c:formatCode>
                      <c:ptCount val="11"/>
                      <c:pt idx="0">
                        <c:v>45345</c:v>
                      </c:pt>
                      <c:pt idx="1">
                        <c:v>45348</c:v>
                      </c:pt>
                      <c:pt idx="2">
                        <c:v>45349</c:v>
                      </c:pt>
                      <c:pt idx="3">
                        <c:v>45350</c:v>
                      </c:pt>
                      <c:pt idx="4">
                        <c:v>45351</c:v>
                      </c:pt>
                      <c:pt idx="5">
                        <c:v>45352</c:v>
                      </c:pt>
                      <c:pt idx="6">
                        <c:v>45355</c:v>
                      </c:pt>
                      <c:pt idx="7">
                        <c:v>45356</c:v>
                      </c:pt>
                      <c:pt idx="8">
                        <c:v>45357</c:v>
                      </c:pt>
                      <c:pt idx="9">
                        <c:v>45358</c:v>
                      </c:pt>
                      <c:pt idx="10">
                        <c:v>45359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'EVOL INDICIELLE'!$D$38:$D$48</c15:sqref>
                        </c15:formulaRef>
                      </c:ext>
                    </c:extLst>
                    <c:numCache>
                      <c:formatCode>#,##0.00</c:formatCode>
                      <c:ptCount val="11"/>
                      <c:pt idx="0">
                        <c:v>102.66</c:v>
                      </c:pt>
                      <c:pt idx="1">
                        <c:v>101.53</c:v>
                      </c:pt>
                      <c:pt idx="2">
                        <c:v>101.45</c:v>
                      </c:pt>
                      <c:pt idx="3">
                        <c:v>101.52</c:v>
                      </c:pt>
                      <c:pt idx="4">
                        <c:v>101.91</c:v>
                      </c:pt>
                      <c:pt idx="5">
                        <c:v>101.62</c:v>
                      </c:pt>
                      <c:pt idx="6">
                        <c:v>101.27</c:v>
                      </c:pt>
                      <c:pt idx="7">
                        <c:v>101.33</c:v>
                      </c:pt>
                      <c:pt idx="8">
                        <c:v>99.83</c:v>
                      </c:pt>
                      <c:pt idx="9">
                        <c:v>101.04</c:v>
                      </c:pt>
                      <c:pt idx="10">
                        <c:v>100.84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3C8E-4875-BDE7-26411BF37DDC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'EVOL INDICIELLE'!$E$37</c15:sqref>
                        </c15:formulaRef>
                      </c:ext>
                    </c:extLst>
                    <c:strCache>
                      <c:ptCount val="1"/>
                      <c:pt idx="0">
                        <c:v>BRVM-SPU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'EVOL INDICIELLE'!$B$38:$B$48</c15:sqref>
                        </c15:formulaRef>
                      </c:ext>
                    </c:extLst>
                    <c:numCache>
                      <c:formatCode>m/d/yyyy</c:formatCode>
                      <c:ptCount val="11"/>
                      <c:pt idx="0">
                        <c:v>45345</c:v>
                      </c:pt>
                      <c:pt idx="1">
                        <c:v>45348</c:v>
                      </c:pt>
                      <c:pt idx="2">
                        <c:v>45349</c:v>
                      </c:pt>
                      <c:pt idx="3">
                        <c:v>45350</c:v>
                      </c:pt>
                      <c:pt idx="4">
                        <c:v>45351</c:v>
                      </c:pt>
                      <c:pt idx="5">
                        <c:v>45352</c:v>
                      </c:pt>
                      <c:pt idx="6">
                        <c:v>45355</c:v>
                      </c:pt>
                      <c:pt idx="7">
                        <c:v>45356</c:v>
                      </c:pt>
                      <c:pt idx="8">
                        <c:v>45357</c:v>
                      </c:pt>
                      <c:pt idx="9">
                        <c:v>45358</c:v>
                      </c:pt>
                      <c:pt idx="10">
                        <c:v>45359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'EVOL INDICIELLE'!$E$38:$E$48</c15:sqref>
                        </c15:formulaRef>
                      </c:ext>
                    </c:extLst>
                    <c:numCache>
                      <c:formatCode>#,##0.00</c:formatCode>
                      <c:ptCount val="11"/>
                      <c:pt idx="0">
                        <c:v>524.42999999999995</c:v>
                      </c:pt>
                      <c:pt idx="1">
                        <c:v>525.11</c:v>
                      </c:pt>
                      <c:pt idx="2">
                        <c:v>525.29999999999995</c:v>
                      </c:pt>
                      <c:pt idx="3">
                        <c:v>525.1</c:v>
                      </c:pt>
                      <c:pt idx="4">
                        <c:v>529.70000000000005</c:v>
                      </c:pt>
                      <c:pt idx="5">
                        <c:v>530.33000000000004</c:v>
                      </c:pt>
                      <c:pt idx="6">
                        <c:v>530.12</c:v>
                      </c:pt>
                      <c:pt idx="7">
                        <c:v>529.03</c:v>
                      </c:pt>
                      <c:pt idx="8">
                        <c:v>523.77</c:v>
                      </c:pt>
                      <c:pt idx="9">
                        <c:v>528.4</c:v>
                      </c:pt>
                      <c:pt idx="10">
                        <c:v>528.4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3C8E-4875-BDE7-26411BF37DDC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'EVOL INDICIELLE'!$F$37</c15:sqref>
                        </c15:formulaRef>
                      </c:ext>
                    </c:extLst>
                    <c:strCache>
                      <c:ptCount val="1"/>
                      <c:pt idx="0">
                        <c:v>BRVM-FIN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'EVOL INDICIELLE'!$B$38:$B$48</c15:sqref>
                        </c15:formulaRef>
                      </c:ext>
                    </c:extLst>
                    <c:numCache>
                      <c:formatCode>m/d/yyyy</c:formatCode>
                      <c:ptCount val="11"/>
                      <c:pt idx="0">
                        <c:v>45345</c:v>
                      </c:pt>
                      <c:pt idx="1">
                        <c:v>45348</c:v>
                      </c:pt>
                      <c:pt idx="2">
                        <c:v>45349</c:v>
                      </c:pt>
                      <c:pt idx="3">
                        <c:v>45350</c:v>
                      </c:pt>
                      <c:pt idx="4">
                        <c:v>45351</c:v>
                      </c:pt>
                      <c:pt idx="5">
                        <c:v>45352</c:v>
                      </c:pt>
                      <c:pt idx="6">
                        <c:v>45355</c:v>
                      </c:pt>
                      <c:pt idx="7">
                        <c:v>45356</c:v>
                      </c:pt>
                      <c:pt idx="8">
                        <c:v>45357</c:v>
                      </c:pt>
                      <c:pt idx="9">
                        <c:v>45358</c:v>
                      </c:pt>
                      <c:pt idx="10">
                        <c:v>45359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'EVOL INDICIELLE'!$F$38:$F$48</c15:sqref>
                        </c15:formulaRef>
                      </c:ext>
                    </c:extLst>
                    <c:numCache>
                      <c:formatCode>#,##0.00</c:formatCode>
                      <c:ptCount val="11"/>
                      <c:pt idx="0">
                        <c:v>86.06</c:v>
                      </c:pt>
                      <c:pt idx="1">
                        <c:v>86.21</c:v>
                      </c:pt>
                      <c:pt idx="2">
                        <c:v>85.98</c:v>
                      </c:pt>
                      <c:pt idx="3">
                        <c:v>86.21</c:v>
                      </c:pt>
                      <c:pt idx="4">
                        <c:v>86.2</c:v>
                      </c:pt>
                      <c:pt idx="5">
                        <c:v>85.11</c:v>
                      </c:pt>
                      <c:pt idx="6">
                        <c:v>85.94</c:v>
                      </c:pt>
                      <c:pt idx="7">
                        <c:v>85.28</c:v>
                      </c:pt>
                      <c:pt idx="8">
                        <c:v>85.57</c:v>
                      </c:pt>
                      <c:pt idx="9">
                        <c:v>85.96</c:v>
                      </c:pt>
                      <c:pt idx="10">
                        <c:v>86.64</c:v>
                      </c:pt>
                    </c:numCache>
                  </c:numRef>
                </c: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C8E-4875-BDE7-26411BF37DDC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'EVOL INDICIELLE'!$G$37</c15:sqref>
                        </c15:formulaRef>
                      </c:ext>
                    </c:extLst>
                    <c:strCache>
                      <c:ptCount val="1"/>
                      <c:pt idx="0">
                        <c:v>BRVM-TRP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'EVOL INDICIELLE'!$B$38:$B$48</c15:sqref>
                        </c15:formulaRef>
                      </c:ext>
                    </c:extLst>
                    <c:numCache>
                      <c:formatCode>m/d/yyyy</c:formatCode>
                      <c:ptCount val="11"/>
                      <c:pt idx="0">
                        <c:v>45345</c:v>
                      </c:pt>
                      <c:pt idx="1">
                        <c:v>45348</c:v>
                      </c:pt>
                      <c:pt idx="2">
                        <c:v>45349</c:v>
                      </c:pt>
                      <c:pt idx="3">
                        <c:v>45350</c:v>
                      </c:pt>
                      <c:pt idx="4">
                        <c:v>45351</c:v>
                      </c:pt>
                      <c:pt idx="5">
                        <c:v>45352</c:v>
                      </c:pt>
                      <c:pt idx="6">
                        <c:v>45355</c:v>
                      </c:pt>
                      <c:pt idx="7">
                        <c:v>45356</c:v>
                      </c:pt>
                      <c:pt idx="8">
                        <c:v>45357</c:v>
                      </c:pt>
                      <c:pt idx="9">
                        <c:v>45358</c:v>
                      </c:pt>
                      <c:pt idx="10">
                        <c:v>45359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'EVOL INDICIELLE'!$G$38:$G$48</c15:sqref>
                        </c15:formulaRef>
                      </c:ext>
                    </c:extLst>
                    <c:numCache>
                      <c:formatCode>#,##0.00</c:formatCode>
                      <c:ptCount val="11"/>
                      <c:pt idx="0">
                        <c:v>360.8</c:v>
                      </c:pt>
                      <c:pt idx="1">
                        <c:v>366.76</c:v>
                      </c:pt>
                      <c:pt idx="2">
                        <c:v>366.76</c:v>
                      </c:pt>
                      <c:pt idx="3">
                        <c:v>387.05</c:v>
                      </c:pt>
                      <c:pt idx="4">
                        <c:v>387.05</c:v>
                      </c:pt>
                      <c:pt idx="5">
                        <c:v>383.47</c:v>
                      </c:pt>
                      <c:pt idx="6">
                        <c:v>377.5</c:v>
                      </c:pt>
                      <c:pt idx="7">
                        <c:v>365.57</c:v>
                      </c:pt>
                      <c:pt idx="8">
                        <c:v>373.92</c:v>
                      </c:pt>
                      <c:pt idx="9">
                        <c:v>363.18</c:v>
                      </c:pt>
                      <c:pt idx="10">
                        <c:v>365.57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3C8E-4875-BDE7-26411BF37DDC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'EVOL INDICIELLE'!$H$37</c15:sqref>
                        </c15:formulaRef>
                      </c:ext>
                    </c:extLst>
                    <c:strCache>
                      <c:ptCount val="1"/>
                      <c:pt idx="0">
                        <c:v>BRVM-AGR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'EVOL INDICIELLE'!$B$38:$B$48</c15:sqref>
                        </c15:formulaRef>
                      </c:ext>
                    </c:extLst>
                    <c:numCache>
                      <c:formatCode>m/d/yyyy</c:formatCode>
                      <c:ptCount val="11"/>
                      <c:pt idx="0">
                        <c:v>45345</c:v>
                      </c:pt>
                      <c:pt idx="1">
                        <c:v>45348</c:v>
                      </c:pt>
                      <c:pt idx="2">
                        <c:v>45349</c:v>
                      </c:pt>
                      <c:pt idx="3">
                        <c:v>45350</c:v>
                      </c:pt>
                      <c:pt idx="4">
                        <c:v>45351</c:v>
                      </c:pt>
                      <c:pt idx="5">
                        <c:v>45352</c:v>
                      </c:pt>
                      <c:pt idx="6">
                        <c:v>45355</c:v>
                      </c:pt>
                      <c:pt idx="7">
                        <c:v>45356</c:v>
                      </c:pt>
                      <c:pt idx="8">
                        <c:v>45357</c:v>
                      </c:pt>
                      <c:pt idx="9">
                        <c:v>45358</c:v>
                      </c:pt>
                      <c:pt idx="10">
                        <c:v>45359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'EVOL INDICIELLE'!$H$38:$H$48</c15:sqref>
                        </c15:formulaRef>
                      </c:ext>
                    </c:extLst>
                    <c:numCache>
                      <c:formatCode>#,##0.00</c:formatCode>
                      <c:ptCount val="11"/>
                      <c:pt idx="0">
                        <c:v>160.16</c:v>
                      </c:pt>
                      <c:pt idx="1">
                        <c:v>158.72</c:v>
                      </c:pt>
                      <c:pt idx="2">
                        <c:v>159.26</c:v>
                      </c:pt>
                      <c:pt idx="3">
                        <c:v>158.97</c:v>
                      </c:pt>
                      <c:pt idx="4">
                        <c:v>159.04</c:v>
                      </c:pt>
                      <c:pt idx="5">
                        <c:v>158.35</c:v>
                      </c:pt>
                      <c:pt idx="6">
                        <c:v>157.96</c:v>
                      </c:pt>
                      <c:pt idx="7">
                        <c:v>158.38999999999999</c:v>
                      </c:pt>
                      <c:pt idx="8">
                        <c:v>157.66</c:v>
                      </c:pt>
                      <c:pt idx="9">
                        <c:v>159.59</c:v>
                      </c:pt>
                      <c:pt idx="10">
                        <c:v>161.88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3C8E-4875-BDE7-26411BF37DDC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'EVOL INDICIELLE'!$J$37</c15:sqref>
                        </c15:formulaRef>
                      </c:ext>
                    </c:extLst>
                    <c:strCache>
                      <c:ptCount val="1"/>
                      <c:pt idx="0">
                        <c:v>BRVM-AUT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'EVOL INDICIELLE'!$B$38:$B$48</c15:sqref>
                        </c15:formulaRef>
                      </c:ext>
                    </c:extLst>
                    <c:numCache>
                      <c:formatCode>m/d/yyyy</c:formatCode>
                      <c:ptCount val="11"/>
                      <c:pt idx="0">
                        <c:v>45345</c:v>
                      </c:pt>
                      <c:pt idx="1">
                        <c:v>45348</c:v>
                      </c:pt>
                      <c:pt idx="2">
                        <c:v>45349</c:v>
                      </c:pt>
                      <c:pt idx="3">
                        <c:v>45350</c:v>
                      </c:pt>
                      <c:pt idx="4">
                        <c:v>45351</c:v>
                      </c:pt>
                      <c:pt idx="5">
                        <c:v>45352</c:v>
                      </c:pt>
                      <c:pt idx="6">
                        <c:v>45355</c:v>
                      </c:pt>
                      <c:pt idx="7">
                        <c:v>45356</c:v>
                      </c:pt>
                      <c:pt idx="8">
                        <c:v>45357</c:v>
                      </c:pt>
                      <c:pt idx="9">
                        <c:v>45358</c:v>
                      </c:pt>
                      <c:pt idx="10">
                        <c:v>45359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'EVOL INDICIELLE'!$J$38:$J$48</c15:sqref>
                        </c15:formulaRef>
                      </c:ext>
                    </c:extLst>
                    <c:numCache>
                      <c:formatCode>#,##0.00</c:formatCode>
                      <c:ptCount val="11"/>
                      <c:pt idx="0">
                        <c:v>962.43</c:v>
                      </c:pt>
                      <c:pt idx="1">
                        <c:v>999.44</c:v>
                      </c:pt>
                      <c:pt idx="2">
                        <c:v>999.44</c:v>
                      </c:pt>
                      <c:pt idx="3">
                        <c:v>999.44</c:v>
                      </c:pt>
                      <c:pt idx="4">
                        <c:v>999.44</c:v>
                      </c:pt>
                      <c:pt idx="5">
                        <c:v>999.44</c:v>
                      </c:pt>
                      <c:pt idx="6">
                        <c:v>999.44</c:v>
                      </c:pt>
                      <c:pt idx="7">
                        <c:v>993.28</c:v>
                      </c:pt>
                      <c:pt idx="8">
                        <c:v>974.77</c:v>
                      </c:pt>
                      <c:pt idx="9">
                        <c:v>987.11</c:v>
                      </c:pt>
                      <c:pt idx="10">
                        <c:v>980.94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3C8E-4875-BDE7-26411BF37DDC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'EVOL INDICIELLE'!$K$37</c15:sqref>
                        </c15:formulaRef>
                      </c:ext>
                    </c:extLst>
                    <c:strCache>
                      <c:ptCount val="1"/>
                      <c:pt idx="0">
                        <c:v>BRVM-30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00B050"/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'EVOL INDICIELLE'!$B$38:$B$48</c15:sqref>
                        </c15:formulaRef>
                      </c:ext>
                    </c:extLst>
                    <c:numCache>
                      <c:formatCode>m/d/yyyy</c:formatCode>
                      <c:ptCount val="11"/>
                      <c:pt idx="0">
                        <c:v>45345</c:v>
                      </c:pt>
                      <c:pt idx="1">
                        <c:v>45348</c:v>
                      </c:pt>
                      <c:pt idx="2">
                        <c:v>45349</c:v>
                      </c:pt>
                      <c:pt idx="3">
                        <c:v>45350</c:v>
                      </c:pt>
                      <c:pt idx="4">
                        <c:v>45351</c:v>
                      </c:pt>
                      <c:pt idx="5">
                        <c:v>45352</c:v>
                      </c:pt>
                      <c:pt idx="6">
                        <c:v>45355</c:v>
                      </c:pt>
                      <c:pt idx="7">
                        <c:v>45356</c:v>
                      </c:pt>
                      <c:pt idx="8">
                        <c:v>45357</c:v>
                      </c:pt>
                      <c:pt idx="9">
                        <c:v>45358</c:v>
                      </c:pt>
                      <c:pt idx="10">
                        <c:v>45359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'EVOL INDICIELLE'!$K$38:$K$48</c15:sqref>
                        </c15:formulaRef>
                      </c:ext>
                    </c:extLst>
                    <c:numCache>
                      <c:formatCode>#,##0.00</c:formatCode>
                      <c:ptCount val="11"/>
                      <c:pt idx="0">
                        <c:v>106.83</c:v>
                      </c:pt>
                      <c:pt idx="1">
                        <c:v>106.92</c:v>
                      </c:pt>
                      <c:pt idx="2">
                        <c:v>106.73</c:v>
                      </c:pt>
                      <c:pt idx="3">
                        <c:v>106.93</c:v>
                      </c:pt>
                      <c:pt idx="4">
                        <c:v>107.53</c:v>
                      </c:pt>
                      <c:pt idx="5">
                        <c:v>107</c:v>
                      </c:pt>
                      <c:pt idx="6">
                        <c:v>107.13</c:v>
                      </c:pt>
                      <c:pt idx="7">
                        <c:v>106.72</c:v>
                      </c:pt>
                      <c:pt idx="8">
                        <c:v>106.15</c:v>
                      </c:pt>
                      <c:pt idx="9">
                        <c:v>106.72</c:v>
                      </c:pt>
                      <c:pt idx="10">
                        <c:v>107.11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3C8E-4875-BDE7-26411BF37DDC}"/>
                  </c:ext>
                </c:extLst>
              </c15:ser>
            </c15:filteredLineSeries>
          </c:ext>
        </c:extLst>
      </c:lineChart>
      <c:dateAx>
        <c:axId val="18816535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8170767"/>
        <c:crosses val="autoZero"/>
        <c:auto val="1"/>
        <c:lblOffset val="100"/>
        <c:baseTimeUnit val="days"/>
      </c:dateAx>
      <c:valAx>
        <c:axId val="18817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8165359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fr-FR" b="1">
                <a:solidFill>
                  <a:schemeClr val="accent1"/>
                </a:solidFill>
                <a:latin typeface="Aparajita" panose="02020603050405020304" pitchFamily="18" charset="0"/>
                <a:cs typeface="Aparajita" panose="02020603050405020304" pitchFamily="18" charset="0"/>
              </a:rPr>
              <a:t>Volume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4.283764090813915E-2"/>
          <c:y val="0.10228978435004199"/>
          <c:w val="0.94218696068983188"/>
          <c:h val="0.65424786130556678"/>
        </c:manualLayout>
      </c:layout>
      <c:bar3DChart>
        <c:barDir val="col"/>
        <c:grouping val="stacked"/>
        <c:varyColors val="1"/>
        <c:ser>
          <c:idx val="0"/>
          <c:order val="0"/>
          <c:spPr>
            <a:effectLst>
              <a:outerShdw blurRad="50800" dist="50800" sx="97000" sy="97000" algn="ctr" rotWithShape="0">
                <a:srgbClr val="000000">
                  <a:alpha val="50000"/>
                </a:srgbClr>
              </a:outerShdw>
            </a:effectLst>
            <a:scene3d>
              <a:camera prst="orthographicFront"/>
              <a:lightRig rig="threePt" dir="t"/>
            </a:scene3d>
            <a:sp3d>
              <a:bevelT w="50800" h="254000"/>
              <a:bevelB w="101600" h="12065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wrap="square" lIns="38100" tIns="19050" rIns="38100" bIns="19050" anchor="ctr" anchorCtr="0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parajita" panose="02020603050405020304" pitchFamily="18" charset="0"/>
                    <a:ea typeface="+mn-ea"/>
                    <a:cs typeface="Aparajita" panose="02020603050405020304" pitchFamily="18" charset="0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VOLUME!$A$8:$A$60</c15:sqref>
                  </c15:fullRef>
                </c:ext>
              </c:extLst>
              <c:f>VOLUME!$A$21:$A$25</c:f>
              <c:strCache>
                <c:ptCount val="5"/>
                <c:pt idx="0">
                  <c:v>CIE CI</c:v>
                </c:pt>
                <c:pt idx="1">
                  <c:v>ONATEL BF</c:v>
                </c:pt>
                <c:pt idx="2">
                  <c:v>ORANGE</c:v>
                </c:pt>
                <c:pt idx="3">
                  <c:v>SODE CI</c:v>
                </c:pt>
                <c:pt idx="4">
                  <c:v>SONATEL SN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VOLUME!$B$8:$B$60</c15:sqref>
                  </c15:fullRef>
                </c:ext>
              </c:extLst>
              <c:f>VOLUME!$B$21:$B$25</c:f>
              <c:numCache>
                <c:formatCode>#,##0</c:formatCode>
                <c:ptCount val="5"/>
                <c:pt idx="0">
                  <c:v>26811</c:v>
                </c:pt>
                <c:pt idx="1">
                  <c:v>25162</c:v>
                </c:pt>
                <c:pt idx="2">
                  <c:v>12257</c:v>
                </c:pt>
                <c:pt idx="3">
                  <c:v>3086</c:v>
                </c:pt>
                <c:pt idx="4">
                  <c:v>59947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VOLUME!$B$8</c15:sqref>
                  <c15:spPr xmlns:c15="http://schemas.microsoft.com/office/drawing/2012/chart"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50800" dist="50800" sx="97000" sy="97000" algn="ctr" rotWithShape="0">
                        <a:srgbClr val="000000">
                          <a:alpha val="50000"/>
                        </a:srgbClr>
                      </a:outerShdw>
                    </a:effectLst>
                    <a:scene3d>
                      <a:camera prst="orthographicFront"/>
                      <a:lightRig rig="threePt" dir="t"/>
                    </a:scene3d>
                    <a:sp3d>
                      <a:bevelT w="50800" h="254000"/>
                      <a:bevelB w="101600" h="120650"/>
                    </a:sp3d>
                  </c15:spPr>
                  <c15:invertIfNegative val="0"/>
                  <c15:bubble3D val="0"/>
                </c15:categoryFilterException>
                <c15:categoryFilterException>
                  <c15:sqref>VOLUME!$B$20</c15:sqref>
                  <c15:spPr xmlns:c15="http://schemas.microsoft.com/office/drawing/2012/chart"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50800" dist="50800" sx="97000" sy="97000" algn="ctr" rotWithShape="0">
                        <a:srgbClr val="000000">
                          <a:alpha val="50000"/>
                        </a:srgbClr>
                      </a:outerShdw>
                    </a:effectLst>
                    <a:scene3d>
                      <a:camera prst="orthographicFront"/>
                      <a:lightRig rig="threePt" dir="t"/>
                    </a:scene3d>
                    <a:sp3d>
                      <a:bevelT w="50800" h="254000"/>
                      <a:bevelB w="101600" h="120650"/>
                    </a:sp3d>
                  </c15:spPr>
                  <c15:invertIfNegative val="0"/>
                  <c15:bubble3D val="0"/>
                </c15:categoryFilterException>
                <c15:categoryFilterException>
                  <c15:sqref>VOLUME!$B$26</c15:sqref>
                  <c15:spPr xmlns:c15="http://schemas.microsoft.com/office/drawing/2012/chart"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50800" dist="50800" sx="97000" sy="97000" algn="ctr" rotWithShape="0">
                        <a:srgbClr val="000000">
                          <a:alpha val="50000"/>
                        </a:srgbClr>
                      </a:outerShdw>
                    </a:effectLst>
                    <a:scene3d>
                      <a:camera prst="orthographicFront"/>
                      <a:lightRig rig="threePt" dir="t"/>
                    </a:scene3d>
                    <a:sp3d>
                      <a:bevelT w="50800" h="254000"/>
                      <a:bevelB w="101600" h="120650"/>
                    </a:sp3d>
                  </c15:spPr>
                  <c15:invertIfNegative val="0"/>
                  <c15:bubble3D val="0"/>
                </c15:categoryFilterException>
                <c15:categoryFilterException>
                  <c15:sqref>VOLUME!$B$42</c15:sqref>
                  <c15:spPr xmlns:c15="http://schemas.microsoft.com/office/drawing/2012/chart">
                    <a:solidFill>
                      <a:schemeClr val="accent4"/>
                    </a:solidFill>
                    <a:ln>
                      <a:noFill/>
                    </a:ln>
                    <a:effectLst>
                      <a:outerShdw blurRad="50800" dist="50800" sx="97000" sy="97000" algn="ctr" rotWithShape="0">
                        <a:srgbClr val="000000">
                          <a:alpha val="50000"/>
                        </a:srgbClr>
                      </a:outerShdw>
                    </a:effectLst>
                    <a:scene3d>
                      <a:camera prst="orthographicFront"/>
                      <a:lightRig rig="threePt" dir="t"/>
                    </a:scene3d>
                    <a:sp3d>
                      <a:bevelT w="50800" h="254000"/>
                      <a:bevelB w="101600" h="120650"/>
                    </a:sp3d>
                  </c15:spPr>
                  <c15:invertIfNegative val="0"/>
                  <c15:bubble3D val="0"/>
                  <c15:dLbl>
                    <c:idx val="4"/>
                    <c:layout>
                      <c:manualLayout>
                        <c:x val="6.3626712598139198E-3"/>
                        <c:y val="-1.4177692706660069E-2"/>
                      </c:manualLayout>
                    </c:layout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7-5D20-450D-8CAE-7C983F1649D8}"/>
                      </c:ext>
                    </c:extLst>
                  </c15:dLbl>
                </c15:categoryFilterException>
                <c15:categoryFilterException>
                  <c15:sqref>VOLUME!$B$45</c15:sqref>
                  <c15:spPr xmlns:c15="http://schemas.microsoft.com/office/drawing/2012/chart">
                    <a:solidFill>
                      <a:schemeClr val="accent5"/>
                    </a:solidFill>
                    <a:ln>
                      <a:noFill/>
                    </a:ln>
                    <a:effectLst>
                      <a:outerShdw blurRad="50800" dist="50800" sx="97000" sy="97000" algn="ctr" rotWithShape="0">
                        <a:srgbClr val="000000">
                          <a:alpha val="50000"/>
                        </a:srgbClr>
                      </a:outerShdw>
                    </a:effectLst>
                    <a:scene3d>
                      <a:camera prst="orthographicFront"/>
                      <a:lightRig rig="threePt" dir="t"/>
                    </a:scene3d>
                    <a:sp3d>
                      <a:bevelT w="50800" h="254000"/>
                      <a:bevelB w="101600" h="120650"/>
                    </a:sp3d>
                  </c15:spPr>
                  <c15:invertIfNegative val="0"/>
                  <c15:bubble3D val="0"/>
                </c15:categoryFilterException>
                <c15:categoryFilterException>
                  <c15:sqref>VOLUME!$B$51</c15:sqref>
                  <c15:spPr xmlns:c15="http://schemas.microsoft.com/office/drawing/2012/chart">
                    <a:solidFill>
                      <a:schemeClr val="accent6"/>
                    </a:solidFill>
                    <a:ln>
                      <a:noFill/>
                    </a:ln>
                    <a:effectLst>
                      <a:outerShdw blurRad="50800" dist="50800" sx="97000" sy="97000" algn="ctr" rotWithShape="0">
                        <a:srgbClr val="000000">
                          <a:alpha val="50000"/>
                        </a:srgbClr>
                      </a:outerShdw>
                    </a:effectLst>
                    <a:scene3d>
                      <a:camera prst="orthographicFront"/>
                      <a:lightRig rig="threePt" dir="t"/>
                    </a:scene3d>
                    <a:sp3d>
                      <a:bevelT w="50800" h="254000"/>
                      <a:bevelB w="101600" h="120650"/>
                    </a:sp3d>
                  </c15:spPr>
                  <c15:invertIfNegative val="0"/>
                  <c15:bubble3D val="0"/>
                </c15:categoryFilterException>
                <c15:categoryFilterException>
                  <c15:sqref>VOLUME!$B$59</c15:sqref>
                  <c15:spPr xmlns:c15="http://schemas.microsoft.com/office/drawing/2012/chart">
                    <a:solidFill>
                      <a:schemeClr val="accent1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50800" dist="50800" sx="97000" sy="97000" algn="ctr" rotWithShape="0">
                        <a:srgbClr val="000000">
                          <a:alpha val="50000"/>
                        </a:srgbClr>
                      </a:outerShdw>
                    </a:effectLst>
                    <a:scene3d>
                      <a:camera prst="orthographicFront"/>
                      <a:lightRig rig="threePt" dir="t"/>
                    </a:scene3d>
                    <a:sp3d>
                      <a:bevelT w="50800" h="254000"/>
                      <a:bevelB w="101600" h="120650"/>
                    </a:sp3d>
                  </c15:spPr>
                  <c15:invertIfNegative val="0"/>
                  <c15:bubble3D val="0"/>
                  <c15:dLbl>
                    <c:idx val="4"/>
                    <c:layout>
                      <c:manualLayout>
                        <c:x val="1.729435443470146E-2"/>
                        <c:y val="-7.0066180385893309E-2"/>
                      </c:manualLayout>
                    </c:layout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D-5D20-450D-8CAE-7C983F1649D8}"/>
                      </c:ext>
                    </c:extLst>
                  </c15:dLbl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E-CA5B-4853-8ED8-99BD08C69FA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46"/>
        <c:gapDepth val="23"/>
        <c:shape val="cylinder"/>
        <c:axId val="1700100847"/>
        <c:axId val="1700109167"/>
        <c:axId val="0"/>
      </c:bar3DChart>
      <c:catAx>
        <c:axId val="1700100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none" spc="0" normalizeH="0" baseline="0">
                <a:solidFill>
                  <a:schemeClr val="accent1"/>
                </a:solidFill>
                <a:latin typeface="Aparajita" panose="02020603050405020304" pitchFamily="18" charset="0"/>
                <a:ea typeface="+mn-ea"/>
                <a:cs typeface="Aparajita" panose="02020603050405020304" pitchFamily="18" charset="0"/>
              </a:defRPr>
            </a:pPr>
            <a:endParaRPr lang="fr-FR"/>
          </a:p>
        </c:txPr>
        <c:crossAx val="1700109167"/>
        <c:crosses val="autoZero"/>
        <c:auto val="0"/>
        <c:lblAlgn val="ctr"/>
        <c:lblOffset val="100"/>
        <c:noMultiLvlLbl val="0"/>
      </c:catAx>
      <c:valAx>
        <c:axId val="1700109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0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accent1"/>
                </a:solidFill>
                <a:latin typeface="Aparajita" panose="02020603050405020304" pitchFamily="18" charset="0"/>
                <a:ea typeface="+mn-ea"/>
                <a:cs typeface="Aparajita" panose="02020603050405020304" pitchFamily="18" charset="0"/>
              </a:defRPr>
            </a:pPr>
            <a:endParaRPr lang="fr-FR"/>
          </a:p>
        </c:txPr>
        <c:crossAx val="1700100847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fr-FR" b="1">
                <a:solidFill>
                  <a:schemeClr val="accent1"/>
                </a:solidFill>
                <a:latin typeface="Aparajita" panose="02020603050405020304" pitchFamily="18" charset="0"/>
                <a:cs typeface="Aparajita" panose="02020603050405020304" pitchFamily="18" charset="0"/>
              </a:rPr>
              <a:t>Volume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1"/>
        <c:ser>
          <c:idx val="0"/>
          <c:order val="0"/>
          <c:spPr>
            <a:effectLst>
              <a:outerShdw blurRad="50800" dist="50800" sx="97000" sy="97000" algn="ctr" rotWithShape="0">
                <a:srgbClr val="000000">
                  <a:alpha val="50000"/>
                </a:srgbClr>
              </a:outerShdw>
            </a:effectLst>
            <a:scene3d>
              <a:camera prst="orthographicFront"/>
              <a:lightRig rig="threePt" dir="t"/>
            </a:scene3d>
            <a:sp3d>
              <a:bevelT w="50800" h="254000"/>
              <a:bevelB w="101600" h="12065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wrap="square" lIns="38100" tIns="19050" rIns="38100" bIns="19050" anchor="ctr" anchorCtr="0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parajita" panose="02020603050405020304" pitchFamily="18" charset="0"/>
                    <a:ea typeface="+mn-ea"/>
                    <a:cs typeface="Aparajita" panose="02020603050405020304" pitchFamily="18" charset="0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VOLUME!$A$65:$A$117</c15:sqref>
                  </c15:fullRef>
                </c:ext>
              </c:extLst>
              <c:f>VOLUME!$A$78:$A$82</c:f>
              <c:strCache>
                <c:ptCount val="5"/>
                <c:pt idx="0">
                  <c:v>CIE CI</c:v>
                </c:pt>
                <c:pt idx="1">
                  <c:v>ONATEL BF</c:v>
                </c:pt>
                <c:pt idx="2">
                  <c:v>ORANGE</c:v>
                </c:pt>
                <c:pt idx="3">
                  <c:v>SODE CI</c:v>
                </c:pt>
                <c:pt idx="4">
                  <c:v>SONATEL SN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VOLUME!$B$65:$B$117</c15:sqref>
                  </c15:fullRef>
                </c:ext>
              </c:extLst>
              <c:f>VOLUME!$B$78:$B$82</c:f>
              <c:numCache>
                <c:formatCode>#,##0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7356-47AC-9294-64DB47DA9F0D}"/>
            </c:ext>
          </c:extLst>
        </c:ser>
        <c:ser>
          <c:idx val="1"/>
          <c:order val="1"/>
          <c:spPr>
            <a:solidFill>
              <a:schemeClr val="accent2">
                <a:lumMod val="75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VOLUME!$A$65:$A$117</c15:sqref>
                  </c15:fullRef>
                </c:ext>
              </c:extLst>
              <c:f>VOLUME!$A$78:$A$82</c:f>
              <c:strCache>
                <c:ptCount val="5"/>
                <c:pt idx="0">
                  <c:v>CIE CI</c:v>
                </c:pt>
                <c:pt idx="1">
                  <c:v>ONATEL BF</c:v>
                </c:pt>
                <c:pt idx="2">
                  <c:v>ORANGE</c:v>
                </c:pt>
                <c:pt idx="3">
                  <c:v>SODE CI</c:v>
                </c:pt>
                <c:pt idx="4">
                  <c:v>SONATEL SN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VOLUME!$C$65:$C$117</c15:sqref>
                  </c15:fullRef>
                </c:ext>
              </c:extLst>
              <c:f>VOLUME!$C$78:$C$82</c:f>
              <c:numCache>
                <c:formatCode>#,##0</c:formatCode>
                <c:ptCount val="5"/>
                <c:pt idx="1">
                  <c:v>-126</c:v>
                </c:pt>
                <c:pt idx="4">
                  <c:v>-34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56-47AC-9294-64DB47DA9F0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46"/>
        <c:gapDepth val="23"/>
        <c:shape val="box"/>
        <c:axId val="1700100847"/>
        <c:axId val="1700109167"/>
        <c:axId val="0"/>
      </c:bar3DChart>
      <c:catAx>
        <c:axId val="1700100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none" spc="0" normalizeH="0" baseline="0">
                <a:solidFill>
                  <a:srgbClr val="92D050"/>
                </a:solidFill>
                <a:latin typeface="Aparajita" panose="02020603050405020304" pitchFamily="18" charset="0"/>
                <a:ea typeface="+mn-ea"/>
                <a:cs typeface="Aparajita" panose="02020603050405020304" pitchFamily="18" charset="0"/>
              </a:defRPr>
            </a:pPr>
            <a:endParaRPr lang="fr-FR"/>
          </a:p>
        </c:txPr>
        <c:crossAx val="1700109167"/>
        <c:crosses val="autoZero"/>
        <c:auto val="0"/>
        <c:lblAlgn val="ctr"/>
        <c:lblOffset val="100"/>
        <c:noMultiLvlLbl val="0"/>
      </c:catAx>
      <c:valAx>
        <c:axId val="1700109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0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accent1"/>
                </a:solidFill>
                <a:latin typeface="Aparajita" panose="02020603050405020304" pitchFamily="18" charset="0"/>
                <a:ea typeface="+mn-ea"/>
                <a:cs typeface="Aparajita" panose="02020603050405020304" pitchFamily="18" charset="0"/>
              </a:defRPr>
            </a:pPr>
            <a:endParaRPr lang="fr-FR"/>
          </a:p>
        </c:txPr>
        <c:crossAx val="1700100847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gif"/><Relationship Id="rId2" Type="http://schemas.openxmlformats.org/officeDocument/2006/relationships/image" Target="../media/image2.gif"/><Relationship Id="rId1" Type="http://schemas.openxmlformats.org/officeDocument/2006/relationships/image" Target="../media/image1.gif"/><Relationship Id="rId4" Type="http://schemas.openxmlformats.org/officeDocument/2006/relationships/image" Target="../media/image4.gi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gif"/><Relationship Id="rId2" Type="http://schemas.openxmlformats.org/officeDocument/2006/relationships/image" Target="../media/image2.gif"/><Relationship Id="rId1" Type="http://schemas.openxmlformats.org/officeDocument/2006/relationships/image" Target="../media/image1.gif"/><Relationship Id="rId4" Type="http://schemas.openxmlformats.org/officeDocument/2006/relationships/image" Target="../media/image4.g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25</xdr:col>
      <xdr:colOff>148168</xdr:colOff>
      <xdr:row>15</xdr:row>
      <xdr:rowOff>97602</xdr:rowOff>
    </xdr:from>
    <xdr:ext cx="243417" cy="135232"/>
    <xdr:pic>
      <xdr:nvPicPr>
        <xdr:cNvPr id="2" name="Image 1" descr="conseil achat">
          <a:extLst>
            <a:ext uri="{FF2B5EF4-FFF2-40B4-BE49-F238E27FC236}">
              <a16:creationId xmlns:a16="http://schemas.microsoft.com/office/drawing/2014/main" id="{59A70423-8143-4266-99B4-18DC479550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294043" y="5631627"/>
          <a:ext cx="243417" cy="1352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84667</xdr:colOff>
      <xdr:row>17</xdr:row>
      <xdr:rowOff>52918</xdr:rowOff>
    </xdr:from>
    <xdr:ext cx="342900" cy="190500"/>
    <xdr:pic>
      <xdr:nvPicPr>
        <xdr:cNvPr id="3" name="Image 2" descr="conseil ecart">
          <a:extLst>
            <a:ext uri="{FF2B5EF4-FFF2-40B4-BE49-F238E27FC236}">
              <a16:creationId xmlns:a16="http://schemas.microsoft.com/office/drawing/2014/main" id="{9150DC53-E43C-470A-8E0D-8A2D89A2ED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230542" y="6348943"/>
          <a:ext cx="3429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63501</xdr:colOff>
      <xdr:row>18</xdr:row>
      <xdr:rowOff>74082</xdr:rowOff>
    </xdr:from>
    <xdr:ext cx="323851" cy="179917"/>
    <xdr:pic>
      <xdr:nvPicPr>
        <xdr:cNvPr id="4" name="Image 3" descr="conseil benefice">
          <a:extLst>
            <a:ext uri="{FF2B5EF4-FFF2-40B4-BE49-F238E27FC236}">
              <a16:creationId xmlns:a16="http://schemas.microsoft.com/office/drawing/2014/main" id="{7CBBEFDF-EDC5-4CEE-AD04-69F7275C12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209376" y="6751107"/>
          <a:ext cx="323851" cy="1799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84667</xdr:colOff>
      <xdr:row>20</xdr:row>
      <xdr:rowOff>52916</xdr:rowOff>
    </xdr:from>
    <xdr:ext cx="342900" cy="190500"/>
    <xdr:pic>
      <xdr:nvPicPr>
        <xdr:cNvPr id="5" name="Image 4" descr="conseil conserver">
          <a:extLst>
            <a:ext uri="{FF2B5EF4-FFF2-40B4-BE49-F238E27FC236}">
              <a16:creationId xmlns:a16="http://schemas.microsoft.com/office/drawing/2014/main" id="{46AEB50F-EAD1-4DEC-8195-ACF227B5AB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230542" y="7491941"/>
          <a:ext cx="3429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33</xdr:col>
      <xdr:colOff>0</xdr:colOff>
      <xdr:row>76</xdr:row>
      <xdr:rowOff>0</xdr:rowOff>
    </xdr:from>
    <xdr:ext cx="304800" cy="300567"/>
    <xdr:sp macro="" textlink="">
      <xdr:nvSpPr>
        <xdr:cNvPr id="6" name="AutoShape 5" descr="Thumbs down icon vector">
          <a:extLst>
            <a:ext uri="{FF2B5EF4-FFF2-40B4-BE49-F238E27FC236}">
              <a16:creationId xmlns:a16="http://schemas.microsoft.com/office/drawing/2014/main" id="{0B561FAA-1B09-470A-8ECE-6CDA7951ADC8}"/>
            </a:ext>
          </a:extLst>
        </xdr:cNvPr>
        <xdr:cNvSpPr>
          <a:spLocks noChangeAspect="1" noChangeArrowheads="1"/>
        </xdr:cNvSpPr>
      </xdr:nvSpPr>
      <xdr:spPr bwMode="auto">
        <a:xfrm>
          <a:off x="31784925" y="25155525"/>
          <a:ext cx="304800" cy="3005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82</xdr:row>
      <xdr:rowOff>0</xdr:rowOff>
    </xdr:from>
    <xdr:ext cx="304800" cy="300567"/>
    <xdr:sp macro="" textlink="">
      <xdr:nvSpPr>
        <xdr:cNvPr id="7" name="AutoShape 6" descr="Thumbs down icon vector">
          <a:extLst>
            <a:ext uri="{FF2B5EF4-FFF2-40B4-BE49-F238E27FC236}">
              <a16:creationId xmlns:a16="http://schemas.microsoft.com/office/drawing/2014/main" id="{2E76351E-E352-40CC-87EC-8652ACA73CDE}"/>
            </a:ext>
          </a:extLst>
        </xdr:cNvPr>
        <xdr:cNvSpPr>
          <a:spLocks noChangeAspect="1" noChangeArrowheads="1"/>
        </xdr:cNvSpPr>
      </xdr:nvSpPr>
      <xdr:spPr bwMode="auto">
        <a:xfrm>
          <a:off x="31022925" y="26298525"/>
          <a:ext cx="304800" cy="3005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82</xdr:row>
      <xdr:rowOff>0</xdr:rowOff>
    </xdr:from>
    <xdr:ext cx="304800" cy="300567"/>
    <xdr:sp macro="" textlink="">
      <xdr:nvSpPr>
        <xdr:cNvPr id="8" name="AutoShape 7" descr="Thumbs down icon vector">
          <a:extLst>
            <a:ext uri="{FF2B5EF4-FFF2-40B4-BE49-F238E27FC236}">
              <a16:creationId xmlns:a16="http://schemas.microsoft.com/office/drawing/2014/main" id="{E1E021F9-471C-4149-B479-930CC08DEC66}"/>
            </a:ext>
          </a:extLst>
        </xdr:cNvPr>
        <xdr:cNvSpPr>
          <a:spLocks noChangeAspect="1" noChangeArrowheads="1"/>
        </xdr:cNvSpPr>
      </xdr:nvSpPr>
      <xdr:spPr bwMode="auto">
        <a:xfrm>
          <a:off x="31022925" y="26298525"/>
          <a:ext cx="304800" cy="3005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82</xdr:row>
      <xdr:rowOff>0</xdr:rowOff>
    </xdr:from>
    <xdr:ext cx="304800" cy="300567"/>
    <xdr:sp macro="" textlink="">
      <xdr:nvSpPr>
        <xdr:cNvPr id="9" name="AutoShape 8" descr="Thumbs down icon vector">
          <a:extLst>
            <a:ext uri="{FF2B5EF4-FFF2-40B4-BE49-F238E27FC236}">
              <a16:creationId xmlns:a16="http://schemas.microsoft.com/office/drawing/2014/main" id="{97D9CFA8-EF0F-4CFB-8250-8944F3D761DD}"/>
            </a:ext>
          </a:extLst>
        </xdr:cNvPr>
        <xdr:cNvSpPr>
          <a:spLocks noChangeAspect="1" noChangeArrowheads="1"/>
        </xdr:cNvSpPr>
      </xdr:nvSpPr>
      <xdr:spPr bwMode="auto">
        <a:xfrm>
          <a:off x="31022925" y="26298525"/>
          <a:ext cx="304800" cy="3005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82</xdr:row>
      <xdr:rowOff>0</xdr:rowOff>
    </xdr:from>
    <xdr:ext cx="304800" cy="300567"/>
    <xdr:sp macro="" textlink="">
      <xdr:nvSpPr>
        <xdr:cNvPr id="10" name="AutoShape 9" descr="Thumbs down icon vector">
          <a:extLst>
            <a:ext uri="{FF2B5EF4-FFF2-40B4-BE49-F238E27FC236}">
              <a16:creationId xmlns:a16="http://schemas.microsoft.com/office/drawing/2014/main" id="{96471472-B215-4798-907A-2E27637D9CB1}"/>
            </a:ext>
          </a:extLst>
        </xdr:cNvPr>
        <xdr:cNvSpPr>
          <a:spLocks noChangeAspect="1" noChangeArrowheads="1"/>
        </xdr:cNvSpPr>
      </xdr:nvSpPr>
      <xdr:spPr bwMode="auto">
        <a:xfrm>
          <a:off x="31022925" y="26298525"/>
          <a:ext cx="304800" cy="3005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82</xdr:row>
      <xdr:rowOff>0</xdr:rowOff>
    </xdr:from>
    <xdr:ext cx="304800" cy="300567"/>
    <xdr:sp macro="" textlink="">
      <xdr:nvSpPr>
        <xdr:cNvPr id="11" name="AutoShape 10" descr="Thumbs down icon vector">
          <a:extLst>
            <a:ext uri="{FF2B5EF4-FFF2-40B4-BE49-F238E27FC236}">
              <a16:creationId xmlns:a16="http://schemas.microsoft.com/office/drawing/2014/main" id="{4CD695E8-98B6-46FA-89D1-AE19A3F8AB9D}"/>
            </a:ext>
          </a:extLst>
        </xdr:cNvPr>
        <xdr:cNvSpPr>
          <a:spLocks noChangeAspect="1" noChangeArrowheads="1"/>
        </xdr:cNvSpPr>
      </xdr:nvSpPr>
      <xdr:spPr bwMode="auto">
        <a:xfrm>
          <a:off x="31022925" y="26298525"/>
          <a:ext cx="304800" cy="3005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82</xdr:row>
      <xdr:rowOff>0</xdr:rowOff>
    </xdr:from>
    <xdr:ext cx="304800" cy="300567"/>
    <xdr:sp macro="" textlink="">
      <xdr:nvSpPr>
        <xdr:cNvPr id="12" name="AutoShape 11" descr="Thumbs down icon vector">
          <a:extLst>
            <a:ext uri="{FF2B5EF4-FFF2-40B4-BE49-F238E27FC236}">
              <a16:creationId xmlns:a16="http://schemas.microsoft.com/office/drawing/2014/main" id="{6E6E2B60-F709-4F86-88D3-BBAE7B8534BF}"/>
            </a:ext>
          </a:extLst>
        </xdr:cNvPr>
        <xdr:cNvSpPr>
          <a:spLocks noChangeAspect="1" noChangeArrowheads="1"/>
        </xdr:cNvSpPr>
      </xdr:nvSpPr>
      <xdr:spPr bwMode="auto">
        <a:xfrm>
          <a:off x="31022925" y="26298525"/>
          <a:ext cx="304800" cy="3005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82</xdr:row>
      <xdr:rowOff>0</xdr:rowOff>
    </xdr:from>
    <xdr:ext cx="304800" cy="300567"/>
    <xdr:sp macro="" textlink="">
      <xdr:nvSpPr>
        <xdr:cNvPr id="13" name="AutoShape 12" descr="Thumbs down icon vector">
          <a:extLst>
            <a:ext uri="{FF2B5EF4-FFF2-40B4-BE49-F238E27FC236}">
              <a16:creationId xmlns:a16="http://schemas.microsoft.com/office/drawing/2014/main" id="{0A9B4D10-DF10-444B-82EA-FB77A7B73D16}"/>
            </a:ext>
          </a:extLst>
        </xdr:cNvPr>
        <xdr:cNvSpPr>
          <a:spLocks noChangeAspect="1" noChangeArrowheads="1"/>
        </xdr:cNvSpPr>
      </xdr:nvSpPr>
      <xdr:spPr bwMode="auto">
        <a:xfrm>
          <a:off x="31022925" y="26298525"/>
          <a:ext cx="304800" cy="3005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80</xdr:row>
      <xdr:rowOff>0</xdr:rowOff>
    </xdr:from>
    <xdr:ext cx="304800" cy="300566"/>
    <xdr:sp macro="" textlink="">
      <xdr:nvSpPr>
        <xdr:cNvPr id="14" name="AutoShape 14" descr="Thumbs down icon vector">
          <a:extLst>
            <a:ext uri="{FF2B5EF4-FFF2-40B4-BE49-F238E27FC236}">
              <a16:creationId xmlns:a16="http://schemas.microsoft.com/office/drawing/2014/main" id="{C0024C99-C1C9-42F3-B916-86DB639D5523}"/>
            </a:ext>
          </a:extLst>
        </xdr:cNvPr>
        <xdr:cNvSpPr>
          <a:spLocks noChangeAspect="1" noChangeArrowheads="1"/>
        </xdr:cNvSpPr>
      </xdr:nvSpPr>
      <xdr:spPr bwMode="auto">
        <a:xfrm>
          <a:off x="30260925" y="25917525"/>
          <a:ext cx="304800" cy="3005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80</xdr:row>
      <xdr:rowOff>0</xdr:rowOff>
    </xdr:from>
    <xdr:ext cx="304800" cy="300566"/>
    <xdr:sp macro="" textlink="">
      <xdr:nvSpPr>
        <xdr:cNvPr id="15" name="AutoShape 15" descr="Thumbs down icon vector">
          <a:extLst>
            <a:ext uri="{FF2B5EF4-FFF2-40B4-BE49-F238E27FC236}">
              <a16:creationId xmlns:a16="http://schemas.microsoft.com/office/drawing/2014/main" id="{2C36AD23-33AA-4D43-8DB9-B07BAD498359}"/>
            </a:ext>
          </a:extLst>
        </xdr:cNvPr>
        <xdr:cNvSpPr>
          <a:spLocks noChangeAspect="1" noChangeArrowheads="1"/>
        </xdr:cNvSpPr>
      </xdr:nvSpPr>
      <xdr:spPr bwMode="auto">
        <a:xfrm>
          <a:off x="30260925" y="25917525"/>
          <a:ext cx="304800" cy="3005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80</xdr:row>
      <xdr:rowOff>0</xdr:rowOff>
    </xdr:from>
    <xdr:ext cx="304800" cy="300566"/>
    <xdr:sp macro="" textlink="">
      <xdr:nvSpPr>
        <xdr:cNvPr id="16" name="AutoShape 16" descr="Thumbs down icon vector">
          <a:extLst>
            <a:ext uri="{FF2B5EF4-FFF2-40B4-BE49-F238E27FC236}">
              <a16:creationId xmlns:a16="http://schemas.microsoft.com/office/drawing/2014/main" id="{159A4709-96D3-47C0-8932-37B6CCFCE584}"/>
            </a:ext>
          </a:extLst>
        </xdr:cNvPr>
        <xdr:cNvSpPr>
          <a:spLocks noChangeAspect="1" noChangeArrowheads="1"/>
        </xdr:cNvSpPr>
      </xdr:nvSpPr>
      <xdr:spPr bwMode="auto">
        <a:xfrm>
          <a:off x="30260925" y="25917525"/>
          <a:ext cx="304800" cy="3005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84667</xdr:colOff>
      <xdr:row>21</xdr:row>
      <xdr:rowOff>52918</xdr:rowOff>
    </xdr:from>
    <xdr:ext cx="342900" cy="190500"/>
    <xdr:pic>
      <xdr:nvPicPr>
        <xdr:cNvPr id="17" name="Image 16" descr="conseil ecart">
          <a:extLst>
            <a:ext uri="{FF2B5EF4-FFF2-40B4-BE49-F238E27FC236}">
              <a16:creationId xmlns:a16="http://schemas.microsoft.com/office/drawing/2014/main" id="{80858238-9FF4-47D4-A14B-82089770F0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230542" y="7872943"/>
          <a:ext cx="3429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63501</xdr:colOff>
      <xdr:row>23</xdr:row>
      <xdr:rowOff>74082</xdr:rowOff>
    </xdr:from>
    <xdr:ext cx="323851" cy="179917"/>
    <xdr:pic>
      <xdr:nvPicPr>
        <xdr:cNvPr id="18" name="Image 17" descr="conseil benefice">
          <a:extLst>
            <a:ext uri="{FF2B5EF4-FFF2-40B4-BE49-F238E27FC236}">
              <a16:creationId xmlns:a16="http://schemas.microsoft.com/office/drawing/2014/main" id="{B7DE0A49-B94B-4D0A-BA47-4135D8C1AF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209376" y="8656107"/>
          <a:ext cx="323851" cy="1799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84667</xdr:colOff>
      <xdr:row>24</xdr:row>
      <xdr:rowOff>52916</xdr:rowOff>
    </xdr:from>
    <xdr:ext cx="342900" cy="190500"/>
    <xdr:pic>
      <xdr:nvPicPr>
        <xdr:cNvPr id="19" name="Image 18" descr="conseil conserver">
          <a:extLst>
            <a:ext uri="{FF2B5EF4-FFF2-40B4-BE49-F238E27FC236}">
              <a16:creationId xmlns:a16="http://schemas.microsoft.com/office/drawing/2014/main" id="{0745CF13-30BD-4805-9C66-0B2919AA96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230542" y="9015941"/>
          <a:ext cx="3429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148168</xdr:colOff>
      <xdr:row>25</xdr:row>
      <xdr:rowOff>97602</xdr:rowOff>
    </xdr:from>
    <xdr:ext cx="243417" cy="135232"/>
    <xdr:pic>
      <xdr:nvPicPr>
        <xdr:cNvPr id="20" name="Image 19" descr="conseil achat">
          <a:extLst>
            <a:ext uri="{FF2B5EF4-FFF2-40B4-BE49-F238E27FC236}">
              <a16:creationId xmlns:a16="http://schemas.microsoft.com/office/drawing/2014/main" id="{5C4CCC68-8BC5-4115-B7CE-F36C2B543D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294043" y="9441627"/>
          <a:ext cx="243417" cy="1352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84667</xdr:colOff>
      <xdr:row>26</xdr:row>
      <xdr:rowOff>52918</xdr:rowOff>
    </xdr:from>
    <xdr:ext cx="342900" cy="190500"/>
    <xdr:pic>
      <xdr:nvPicPr>
        <xdr:cNvPr id="21" name="Image 20" descr="conseil ecart">
          <a:extLst>
            <a:ext uri="{FF2B5EF4-FFF2-40B4-BE49-F238E27FC236}">
              <a16:creationId xmlns:a16="http://schemas.microsoft.com/office/drawing/2014/main" id="{FCDC9C4C-6A21-4E98-928A-E5432549BE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230542" y="9777943"/>
          <a:ext cx="3429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63501</xdr:colOff>
      <xdr:row>27</xdr:row>
      <xdr:rowOff>74082</xdr:rowOff>
    </xdr:from>
    <xdr:ext cx="323851" cy="179917"/>
    <xdr:pic>
      <xdr:nvPicPr>
        <xdr:cNvPr id="22" name="Image 21" descr="conseil benefice">
          <a:extLst>
            <a:ext uri="{FF2B5EF4-FFF2-40B4-BE49-F238E27FC236}">
              <a16:creationId xmlns:a16="http://schemas.microsoft.com/office/drawing/2014/main" id="{EB18BB56-CC83-4FB0-9B01-738CBEFCA1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209376" y="10180107"/>
          <a:ext cx="323851" cy="1799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63501</xdr:colOff>
      <xdr:row>28</xdr:row>
      <xdr:rowOff>74082</xdr:rowOff>
    </xdr:from>
    <xdr:ext cx="323851" cy="179917"/>
    <xdr:pic>
      <xdr:nvPicPr>
        <xdr:cNvPr id="23" name="Image 22" descr="conseil benefice">
          <a:extLst>
            <a:ext uri="{FF2B5EF4-FFF2-40B4-BE49-F238E27FC236}">
              <a16:creationId xmlns:a16="http://schemas.microsoft.com/office/drawing/2014/main" id="{F29F0980-BECF-49B4-BF4C-072F225DF5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209376" y="10561107"/>
          <a:ext cx="323851" cy="1799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84667</xdr:colOff>
      <xdr:row>29</xdr:row>
      <xdr:rowOff>52916</xdr:rowOff>
    </xdr:from>
    <xdr:ext cx="342900" cy="190500"/>
    <xdr:pic>
      <xdr:nvPicPr>
        <xdr:cNvPr id="24" name="Image 23" descr="conseil conserver">
          <a:extLst>
            <a:ext uri="{FF2B5EF4-FFF2-40B4-BE49-F238E27FC236}">
              <a16:creationId xmlns:a16="http://schemas.microsoft.com/office/drawing/2014/main" id="{77D9399F-DD7C-4B6C-9078-E5B01D0999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230542" y="10920941"/>
          <a:ext cx="3429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84667</xdr:colOff>
      <xdr:row>30</xdr:row>
      <xdr:rowOff>52918</xdr:rowOff>
    </xdr:from>
    <xdr:ext cx="342900" cy="190500"/>
    <xdr:pic>
      <xdr:nvPicPr>
        <xdr:cNvPr id="25" name="Image 24" descr="conseil ecart">
          <a:extLst>
            <a:ext uri="{FF2B5EF4-FFF2-40B4-BE49-F238E27FC236}">
              <a16:creationId xmlns:a16="http://schemas.microsoft.com/office/drawing/2014/main" id="{CB18DEEC-0056-4EE6-9B49-AF76D92A01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230542" y="11301943"/>
          <a:ext cx="3429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63501</xdr:colOff>
      <xdr:row>31</xdr:row>
      <xdr:rowOff>74082</xdr:rowOff>
    </xdr:from>
    <xdr:ext cx="323851" cy="179917"/>
    <xdr:pic>
      <xdr:nvPicPr>
        <xdr:cNvPr id="26" name="Image 25" descr="conseil benefice">
          <a:extLst>
            <a:ext uri="{FF2B5EF4-FFF2-40B4-BE49-F238E27FC236}">
              <a16:creationId xmlns:a16="http://schemas.microsoft.com/office/drawing/2014/main" id="{7AFB2FBE-E4ED-418A-AF04-534311C8F7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209376" y="11704107"/>
          <a:ext cx="323851" cy="1799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84667</xdr:colOff>
      <xdr:row>32</xdr:row>
      <xdr:rowOff>52916</xdr:rowOff>
    </xdr:from>
    <xdr:ext cx="342900" cy="190500"/>
    <xdr:pic>
      <xdr:nvPicPr>
        <xdr:cNvPr id="27" name="Image 26" descr="conseil conserver">
          <a:extLst>
            <a:ext uri="{FF2B5EF4-FFF2-40B4-BE49-F238E27FC236}">
              <a16:creationId xmlns:a16="http://schemas.microsoft.com/office/drawing/2014/main" id="{7F47D8D2-BE0C-40AC-9060-2A254C3BF3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230542" y="12063941"/>
          <a:ext cx="3429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148168</xdr:colOff>
      <xdr:row>33</xdr:row>
      <xdr:rowOff>97602</xdr:rowOff>
    </xdr:from>
    <xdr:ext cx="243417" cy="135232"/>
    <xdr:pic>
      <xdr:nvPicPr>
        <xdr:cNvPr id="28" name="Image 27" descr="conseil achat">
          <a:extLst>
            <a:ext uri="{FF2B5EF4-FFF2-40B4-BE49-F238E27FC236}">
              <a16:creationId xmlns:a16="http://schemas.microsoft.com/office/drawing/2014/main" id="{9265E9BE-BC5D-48E7-B045-03CCBDEE79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294043" y="12489627"/>
          <a:ext cx="243417" cy="1352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148168</xdr:colOff>
      <xdr:row>33</xdr:row>
      <xdr:rowOff>97602</xdr:rowOff>
    </xdr:from>
    <xdr:ext cx="243417" cy="135232"/>
    <xdr:pic>
      <xdr:nvPicPr>
        <xdr:cNvPr id="29" name="Image 28" descr="conseil achat">
          <a:extLst>
            <a:ext uri="{FF2B5EF4-FFF2-40B4-BE49-F238E27FC236}">
              <a16:creationId xmlns:a16="http://schemas.microsoft.com/office/drawing/2014/main" id="{529EAA84-01B2-4A26-82F1-233BA8EE30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294043" y="12489627"/>
          <a:ext cx="243417" cy="1352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84667</xdr:colOff>
      <xdr:row>35</xdr:row>
      <xdr:rowOff>52918</xdr:rowOff>
    </xdr:from>
    <xdr:ext cx="342900" cy="190500"/>
    <xdr:pic>
      <xdr:nvPicPr>
        <xdr:cNvPr id="30" name="Image 29" descr="conseil ecart">
          <a:extLst>
            <a:ext uri="{FF2B5EF4-FFF2-40B4-BE49-F238E27FC236}">
              <a16:creationId xmlns:a16="http://schemas.microsoft.com/office/drawing/2014/main" id="{EA92319C-F467-4F60-A39B-91DC25A479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230542" y="13206943"/>
          <a:ext cx="3429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63501</xdr:colOff>
      <xdr:row>36</xdr:row>
      <xdr:rowOff>74082</xdr:rowOff>
    </xdr:from>
    <xdr:ext cx="323851" cy="179917"/>
    <xdr:pic>
      <xdr:nvPicPr>
        <xdr:cNvPr id="31" name="Image 30" descr="conseil benefice">
          <a:extLst>
            <a:ext uri="{FF2B5EF4-FFF2-40B4-BE49-F238E27FC236}">
              <a16:creationId xmlns:a16="http://schemas.microsoft.com/office/drawing/2014/main" id="{AABBCB17-C3B2-4314-B918-763A794F93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209376" y="13609107"/>
          <a:ext cx="323851" cy="1799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63501</xdr:colOff>
      <xdr:row>37</xdr:row>
      <xdr:rowOff>74082</xdr:rowOff>
    </xdr:from>
    <xdr:ext cx="323851" cy="179917"/>
    <xdr:pic>
      <xdr:nvPicPr>
        <xdr:cNvPr id="32" name="Image 31" descr="conseil benefice">
          <a:extLst>
            <a:ext uri="{FF2B5EF4-FFF2-40B4-BE49-F238E27FC236}">
              <a16:creationId xmlns:a16="http://schemas.microsoft.com/office/drawing/2014/main" id="{BAD4245E-E783-4749-AA11-5E2D09E5AB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209376" y="13990107"/>
          <a:ext cx="323851" cy="1799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84667</xdr:colOff>
      <xdr:row>39</xdr:row>
      <xdr:rowOff>52916</xdr:rowOff>
    </xdr:from>
    <xdr:ext cx="342900" cy="190500"/>
    <xdr:pic>
      <xdr:nvPicPr>
        <xdr:cNvPr id="33" name="Image 32" descr="conseil conserver">
          <a:extLst>
            <a:ext uri="{FF2B5EF4-FFF2-40B4-BE49-F238E27FC236}">
              <a16:creationId xmlns:a16="http://schemas.microsoft.com/office/drawing/2014/main" id="{6CA3755C-2026-4B05-9EF1-B30884B224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230542" y="14730941"/>
          <a:ext cx="3429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84667</xdr:colOff>
      <xdr:row>54</xdr:row>
      <xdr:rowOff>52918</xdr:rowOff>
    </xdr:from>
    <xdr:ext cx="342900" cy="190500"/>
    <xdr:pic>
      <xdr:nvPicPr>
        <xdr:cNvPr id="34" name="Image 33" descr="conseil ecart">
          <a:extLst>
            <a:ext uri="{FF2B5EF4-FFF2-40B4-BE49-F238E27FC236}">
              <a16:creationId xmlns:a16="http://schemas.microsoft.com/office/drawing/2014/main" id="{6EEC6E98-D95A-4523-8C7D-352E88F7BF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230542" y="20445943"/>
          <a:ext cx="3429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84667</xdr:colOff>
      <xdr:row>54</xdr:row>
      <xdr:rowOff>52916</xdr:rowOff>
    </xdr:from>
    <xdr:ext cx="342900" cy="190500"/>
    <xdr:pic>
      <xdr:nvPicPr>
        <xdr:cNvPr id="35" name="Image 34" descr="conseil conserver">
          <a:extLst>
            <a:ext uri="{FF2B5EF4-FFF2-40B4-BE49-F238E27FC236}">
              <a16:creationId xmlns:a16="http://schemas.microsoft.com/office/drawing/2014/main" id="{D40C1D38-A5F0-40D9-9D8D-D41017FC94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230542" y="20445941"/>
          <a:ext cx="3429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148168</xdr:colOff>
      <xdr:row>56</xdr:row>
      <xdr:rowOff>97602</xdr:rowOff>
    </xdr:from>
    <xdr:ext cx="243417" cy="135232"/>
    <xdr:pic>
      <xdr:nvPicPr>
        <xdr:cNvPr id="36" name="Image 35" descr="conseil achat">
          <a:extLst>
            <a:ext uri="{FF2B5EF4-FFF2-40B4-BE49-F238E27FC236}">
              <a16:creationId xmlns:a16="http://schemas.microsoft.com/office/drawing/2014/main" id="{5F4A99CF-5D87-4EEA-9D8A-14D09AB58D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294043" y="21252627"/>
          <a:ext cx="243417" cy="1352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148168</xdr:colOff>
      <xdr:row>5</xdr:row>
      <xdr:rowOff>97602</xdr:rowOff>
    </xdr:from>
    <xdr:ext cx="243417" cy="135232"/>
    <xdr:pic>
      <xdr:nvPicPr>
        <xdr:cNvPr id="37" name="Image 36" descr="conseil achat">
          <a:extLst>
            <a:ext uri="{FF2B5EF4-FFF2-40B4-BE49-F238E27FC236}">
              <a16:creationId xmlns:a16="http://schemas.microsoft.com/office/drawing/2014/main" id="{AB9967D8-C870-4049-8DDE-05E2A19700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294043" y="1821627"/>
          <a:ext cx="243417" cy="1352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148168</xdr:colOff>
      <xdr:row>6</xdr:row>
      <xdr:rowOff>97602</xdr:rowOff>
    </xdr:from>
    <xdr:ext cx="243417" cy="135232"/>
    <xdr:pic>
      <xdr:nvPicPr>
        <xdr:cNvPr id="38" name="Image 37" descr="conseil achat">
          <a:extLst>
            <a:ext uri="{FF2B5EF4-FFF2-40B4-BE49-F238E27FC236}">
              <a16:creationId xmlns:a16="http://schemas.microsoft.com/office/drawing/2014/main" id="{06741863-0BDF-4C68-8BD4-E85859B3A3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294043" y="2202627"/>
          <a:ext cx="243417" cy="1352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148168</xdr:colOff>
      <xdr:row>7</xdr:row>
      <xdr:rowOff>97602</xdr:rowOff>
    </xdr:from>
    <xdr:ext cx="243417" cy="135232"/>
    <xdr:pic>
      <xdr:nvPicPr>
        <xdr:cNvPr id="39" name="Image 38" descr="conseil achat">
          <a:extLst>
            <a:ext uri="{FF2B5EF4-FFF2-40B4-BE49-F238E27FC236}">
              <a16:creationId xmlns:a16="http://schemas.microsoft.com/office/drawing/2014/main" id="{BB75BFA9-536C-4B4D-8F3F-E52C82F58C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294043" y="2583627"/>
          <a:ext cx="243417" cy="1352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148168</xdr:colOff>
      <xdr:row>8</xdr:row>
      <xdr:rowOff>97602</xdr:rowOff>
    </xdr:from>
    <xdr:ext cx="243417" cy="135232"/>
    <xdr:pic>
      <xdr:nvPicPr>
        <xdr:cNvPr id="40" name="Image 39" descr="conseil achat">
          <a:extLst>
            <a:ext uri="{FF2B5EF4-FFF2-40B4-BE49-F238E27FC236}">
              <a16:creationId xmlns:a16="http://schemas.microsoft.com/office/drawing/2014/main" id="{A32CD9BB-BF51-406D-856A-C1FE676821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294043" y="2964627"/>
          <a:ext cx="243417" cy="1352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148168</xdr:colOff>
      <xdr:row>9</xdr:row>
      <xdr:rowOff>97602</xdr:rowOff>
    </xdr:from>
    <xdr:ext cx="243417" cy="135232"/>
    <xdr:pic>
      <xdr:nvPicPr>
        <xdr:cNvPr id="41" name="Image 40" descr="conseil achat">
          <a:extLst>
            <a:ext uri="{FF2B5EF4-FFF2-40B4-BE49-F238E27FC236}">
              <a16:creationId xmlns:a16="http://schemas.microsoft.com/office/drawing/2014/main" id="{993C3A26-E082-444D-AD92-62827BD1AD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294043" y="3345627"/>
          <a:ext cx="243417" cy="1352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148168</xdr:colOff>
      <xdr:row>10</xdr:row>
      <xdr:rowOff>97602</xdr:rowOff>
    </xdr:from>
    <xdr:ext cx="243417" cy="135232"/>
    <xdr:pic>
      <xdr:nvPicPr>
        <xdr:cNvPr id="42" name="Image 41" descr="conseil achat">
          <a:extLst>
            <a:ext uri="{FF2B5EF4-FFF2-40B4-BE49-F238E27FC236}">
              <a16:creationId xmlns:a16="http://schemas.microsoft.com/office/drawing/2014/main" id="{42C51C6D-C749-4179-BBA9-9C5625AA10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294043" y="3726627"/>
          <a:ext cx="243417" cy="1352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148168</xdr:colOff>
      <xdr:row>11</xdr:row>
      <xdr:rowOff>97602</xdr:rowOff>
    </xdr:from>
    <xdr:ext cx="243417" cy="135232"/>
    <xdr:pic>
      <xdr:nvPicPr>
        <xdr:cNvPr id="43" name="Image 42" descr="conseil achat">
          <a:extLst>
            <a:ext uri="{FF2B5EF4-FFF2-40B4-BE49-F238E27FC236}">
              <a16:creationId xmlns:a16="http://schemas.microsoft.com/office/drawing/2014/main" id="{B198AE8D-F2C4-4598-B8C0-0EB1742230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294043" y="4107627"/>
          <a:ext cx="243417" cy="1352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148168</xdr:colOff>
      <xdr:row>12</xdr:row>
      <xdr:rowOff>21402</xdr:rowOff>
    </xdr:from>
    <xdr:ext cx="243417" cy="135232"/>
    <xdr:pic>
      <xdr:nvPicPr>
        <xdr:cNvPr id="44" name="Image 43" descr="conseil achat">
          <a:extLst>
            <a:ext uri="{FF2B5EF4-FFF2-40B4-BE49-F238E27FC236}">
              <a16:creationId xmlns:a16="http://schemas.microsoft.com/office/drawing/2014/main" id="{6940FEA6-32B5-48F6-B596-0A8B482DC6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294043" y="4412427"/>
          <a:ext cx="243417" cy="1352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167218</xdr:colOff>
      <xdr:row>13</xdr:row>
      <xdr:rowOff>49977</xdr:rowOff>
    </xdr:from>
    <xdr:ext cx="243417" cy="135232"/>
    <xdr:pic>
      <xdr:nvPicPr>
        <xdr:cNvPr id="45" name="Image 44" descr="conseil achat">
          <a:extLst>
            <a:ext uri="{FF2B5EF4-FFF2-40B4-BE49-F238E27FC236}">
              <a16:creationId xmlns:a16="http://schemas.microsoft.com/office/drawing/2014/main" id="{7CF35FAB-FAC2-4A03-9670-CEF38101DB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13093" y="4822002"/>
          <a:ext cx="243417" cy="1352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148168</xdr:colOff>
      <xdr:row>14</xdr:row>
      <xdr:rowOff>97602</xdr:rowOff>
    </xdr:from>
    <xdr:ext cx="243417" cy="135232"/>
    <xdr:pic>
      <xdr:nvPicPr>
        <xdr:cNvPr id="46" name="Image 45" descr="conseil achat">
          <a:extLst>
            <a:ext uri="{FF2B5EF4-FFF2-40B4-BE49-F238E27FC236}">
              <a16:creationId xmlns:a16="http://schemas.microsoft.com/office/drawing/2014/main" id="{1E89F1F1-A825-4EF0-AD2D-D04825DB05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294043" y="5250627"/>
          <a:ext cx="243417" cy="1352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84667</xdr:colOff>
      <xdr:row>40</xdr:row>
      <xdr:rowOff>52916</xdr:rowOff>
    </xdr:from>
    <xdr:ext cx="342900" cy="190500"/>
    <xdr:pic>
      <xdr:nvPicPr>
        <xdr:cNvPr id="47" name="Image 46" descr="conseil conserver">
          <a:extLst>
            <a:ext uri="{FF2B5EF4-FFF2-40B4-BE49-F238E27FC236}">
              <a16:creationId xmlns:a16="http://schemas.microsoft.com/office/drawing/2014/main" id="{F4D1B21D-E2AA-49BA-8E8F-2778743029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230542" y="15111941"/>
          <a:ext cx="3429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84667</xdr:colOff>
      <xdr:row>48</xdr:row>
      <xdr:rowOff>52916</xdr:rowOff>
    </xdr:from>
    <xdr:ext cx="342900" cy="190500"/>
    <xdr:pic>
      <xdr:nvPicPr>
        <xdr:cNvPr id="48" name="Image 47" descr="conseil conserver">
          <a:extLst>
            <a:ext uri="{FF2B5EF4-FFF2-40B4-BE49-F238E27FC236}">
              <a16:creationId xmlns:a16="http://schemas.microsoft.com/office/drawing/2014/main" id="{474D9F4E-9F1E-45A5-996D-635B2F869B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230542" y="18159941"/>
          <a:ext cx="3429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84667</xdr:colOff>
      <xdr:row>49</xdr:row>
      <xdr:rowOff>52916</xdr:rowOff>
    </xdr:from>
    <xdr:ext cx="342900" cy="190500"/>
    <xdr:pic>
      <xdr:nvPicPr>
        <xdr:cNvPr id="49" name="Image 48" descr="conseil conserver">
          <a:extLst>
            <a:ext uri="{FF2B5EF4-FFF2-40B4-BE49-F238E27FC236}">
              <a16:creationId xmlns:a16="http://schemas.microsoft.com/office/drawing/2014/main" id="{F1574D75-999C-470D-A943-052617CB42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230542" y="18540941"/>
          <a:ext cx="3429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84667</xdr:colOff>
      <xdr:row>50</xdr:row>
      <xdr:rowOff>52916</xdr:rowOff>
    </xdr:from>
    <xdr:ext cx="342900" cy="190500"/>
    <xdr:pic>
      <xdr:nvPicPr>
        <xdr:cNvPr id="50" name="Image 49" descr="conseil conserver">
          <a:extLst>
            <a:ext uri="{FF2B5EF4-FFF2-40B4-BE49-F238E27FC236}">
              <a16:creationId xmlns:a16="http://schemas.microsoft.com/office/drawing/2014/main" id="{6A9C7896-48F2-4AF1-9221-8015BDB84F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230542" y="18921941"/>
          <a:ext cx="3429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84667</xdr:colOff>
      <xdr:row>51</xdr:row>
      <xdr:rowOff>52916</xdr:rowOff>
    </xdr:from>
    <xdr:ext cx="342900" cy="190500"/>
    <xdr:pic>
      <xdr:nvPicPr>
        <xdr:cNvPr id="51" name="Image 50" descr="conseil conserver">
          <a:extLst>
            <a:ext uri="{FF2B5EF4-FFF2-40B4-BE49-F238E27FC236}">
              <a16:creationId xmlns:a16="http://schemas.microsoft.com/office/drawing/2014/main" id="{293A7E6B-3362-4E36-963C-8608920E0D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230542" y="19302941"/>
          <a:ext cx="3429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84667</xdr:colOff>
      <xdr:row>52</xdr:row>
      <xdr:rowOff>52916</xdr:rowOff>
    </xdr:from>
    <xdr:ext cx="342900" cy="190500"/>
    <xdr:pic>
      <xdr:nvPicPr>
        <xdr:cNvPr id="52" name="Image 51" descr="conseil conserver">
          <a:extLst>
            <a:ext uri="{FF2B5EF4-FFF2-40B4-BE49-F238E27FC236}">
              <a16:creationId xmlns:a16="http://schemas.microsoft.com/office/drawing/2014/main" id="{2BEFA36A-E380-4E8E-902F-68EA4CDD0E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230542" y="19683941"/>
          <a:ext cx="3429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84667</xdr:colOff>
      <xdr:row>53</xdr:row>
      <xdr:rowOff>52916</xdr:rowOff>
    </xdr:from>
    <xdr:ext cx="342900" cy="190500"/>
    <xdr:pic>
      <xdr:nvPicPr>
        <xdr:cNvPr id="53" name="Image 52" descr="conseil conserver">
          <a:extLst>
            <a:ext uri="{FF2B5EF4-FFF2-40B4-BE49-F238E27FC236}">
              <a16:creationId xmlns:a16="http://schemas.microsoft.com/office/drawing/2014/main" id="{D2F00B8D-A3F0-4A69-BC6F-057CCD2B3C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230542" y="20064941"/>
          <a:ext cx="3429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19</xdr:col>
      <xdr:colOff>0</xdr:colOff>
      <xdr:row>75</xdr:row>
      <xdr:rowOff>0</xdr:rowOff>
    </xdr:from>
    <xdr:ext cx="304800" cy="300567"/>
    <xdr:sp macro="" textlink="">
      <xdr:nvSpPr>
        <xdr:cNvPr id="6" name="AutoShape 5" descr="Thumbs down icon vector">
          <a:extLst>
            <a:ext uri="{FF2B5EF4-FFF2-40B4-BE49-F238E27FC236}">
              <a16:creationId xmlns:a16="http://schemas.microsoft.com/office/drawing/2014/main" id="{25CF970D-314E-40DF-8AF3-62B6483049A7}"/>
            </a:ext>
          </a:extLst>
        </xdr:cNvPr>
        <xdr:cNvSpPr>
          <a:spLocks noChangeAspect="1" noChangeArrowheads="1"/>
        </xdr:cNvSpPr>
      </xdr:nvSpPr>
      <xdr:spPr bwMode="auto">
        <a:xfrm>
          <a:off x="32750760" y="24612600"/>
          <a:ext cx="304800" cy="3005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81</xdr:row>
      <xdr:rowOff>0</xdr:rowOff>
    </xdr:from>
    <xdr:ext cx="304800" cy="300567"/>
    <xdr:sp macro="" textlink="">
      <xdr:nvSpPr>
        <xdr:cNvPr id="7" name="AutoShape 6" descr="Thumbs down icon vector">
          <a:extLst>
            <a:ext uri="{FF2B5EF4-FFF2-40B4-BE49-F238E27FC236}">
              <a16:creationId xmlns:a16="http://schemas.microsoft.com/office/drawing/2014/main" id="{5FA40DD0-FDA1-43DE-9103-94F5B6715BED}"/>
            </a:ext>
          </a:extLst>
        </xdr:cNvPr>
        <xdr:cNvSpPr>
          <a:spLocks noChangeAspect="1" noChangeArrowheads="1"/>
        </xdr:cNvSpPr>
      </xdr:nvSpPr>
      <xdr:spPr bwMode="auto">
        <a:xfrm>
          <a:off x="31958280" y="25709880"/>
          <a:ext cx="304800" cy="3005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81</xdr:row>
      <xdr:rowOff>0</xdr:rowOff>
    </xdr:from>
    <xdr:ext cx="304800" cy="300567"/>
    <xdr:sp macro="" textlink="">
      <xdr:nvSpPr>
        <xdr:cNvPr id="8" name="AutoShape 7" descr="Thumbs down icon vector">
          <a:extLst>
            <a:ext uri="{FF2B5EF4-FFF2-40B4-BE49-F238E27FC236}">
              <a16:creationId xmlns:a16="http://schemas.microsoft.com/office/drawing/2014/main" id="{764FA70B-613D-40A2-B86B-EDB655E0392B}"/>
            </a:ext>
          </a:extLst>
        </xdr:cNvPr>
        <xdr:cNvSpPr>
          <a:spLocks noChangeAspect="1" noChangeArrowheads="1"/>
        </xdr:cNvSpPr>
      </xdr:nvSpPr>
      <xdr:spPr bwMode="auto">
        <a:xfrm>
          <a:off x="31958280" y="25709880"/>
          <a:ext cx="304800" cy="3005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81</xdr:row>
      <xdr:rowOff>0</xdr:rowOff>
    </xdr:from>
    <xdr:ext cx="304800" cy="300567"/>
    <xdr:sp macro="" textlink="">
      <xdr:nvSpPr>
        <xdr:cNvPr id="9" name="AutoShape 8" descr="Thumbs down icon vector">
          <a:extLst>
            <a:ext uri="{FF2B5EF4-FFF2-40B4-BE49-F238E27FC236}">
              <a16:creationId xmlns:a16="http://schemas.microsoft.com/office/drawing/2014/main" id="{D7015C99-927F-44DA-BDC4-7A99B81B2D90}"/>
            </a:ext>
          </a:extLst>
        </xdr:cNvPr>
        <xdr:cNvSpPr>
          <a:spLocks noChangeAspect="1" noChangeArrowheads="1"/>
        </xdr:cNvSpPr>
      </xdr:nvSpPr>
      <xdr:spPr bwMode="auto">
        <a:xfrm>
          <a:off x="31958280" y="25709880"/>
          <a:ext cx="304800" cy="3005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81</xdr:row>
      <xdr:rowOff>0</xdr:rowOff>
    </xdr:from>
    <xdr:ext cx="304800" cy="300567"/>
    <xdr:sp macro="" textlink="">
      <xdr:nvSpPr>
        <xdr:cNvPr id="10" name="AutoShape 9" descr="Thumbs down icon vector">
          <a:extLst>
            <a:ext uri="{FF2B5EF4-FFF2-40B4-BE49-F238E27FC236}">
              <a16:creationId xmlns:a16="http://schemas.microsoft.com/office/drawing/2014/main" id="{F1FC8E9E-1397-4510-9A18-54203EA9FED1}"/>
            </a:ext>
          </a:extLst>
        </xdr:cNvPr>
        <xdr:cNvSpPr>
          <a:spLocks noChangeAspect="1" noChangeArrowheads="1"/>
        </xdr:cNvSpPr>
      </xdr:nvSpPr>
      <xdr:spPr bwMode="auto">
        <a:xfrm>
          <a:off x="31958280" y="25709880"/>
          <a:ext cx="304800" cy="3005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81</xdr:row>
      <xdr:rowOff>0</xdr:rowOff>
    </xdr:from>
    <xdr:ext cx="304800" cy="300567"/>
    <xdr:sp macro="" textlink="">
      <xdr:nvSpPr>
        <xdr:cNvPr id="11" name="AutoShape 10" descr="Thumbs down icon vector">
          <a:extLst>
            <a:ext uri="{FF2B5EF4-FFF2-40B4-BE49-F238E27FC236}">
              <a16:creationId xmlns:a16="http://schemas.microsoft.com/office/drawing/2014/main" id="{9B177134-E0A7-4105-B12F-A437DD02E6A2}"/>
            </a:ext>
          </a:extLst>
        </xdr:cNvPr>
        <xdr:cNvSpPr>
          <a:spLocks noChangeAspect="1" noChangeArrowheads="1"/>
        </xdr:cNvSpPr>
      </xdr:nvSpPr>
      <xdr:spPr bwMode="auto">
        <a:xfrm>
          <a:off x="31958280" y="25709880"/>
          <a:ext cx="304800" cy="3005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81</xdr:row>
      <xdr:rowOff>0</xdr:rowOff>
    </xdr:from>
    <xdr:ext cx="304800" cy="300567"/>
    <xdr:sp macro="" textlink="">
      <xdr:nvSpPr>
        <xdr:cNvPr id="12" name="AutoShape 11" descr="Thumbs down icon vector">
          <a:extLst>
            <a:ext uri="{FF2B5EF4-FFF2-40B4-BE49-F238E27FC236}">
              <a16:creationId xmlns:a16="http://schemas.microsoft.com/office/drawing/2014/main" id="{8B1E55B4-F76D-4787-9A7C-96E426809AC7}"/>
            </a:ext>
          </a:extLst>
        </xdr:cNvPr>
        <xdr:cNvSpPr>
          <a:spLocks noChangeAspect="1" noChangeArrowheads="1"/>
        </xdr:cNvSpPr>
      </xdr:nvSpPr>
      <xdr:spPr bwMode="auto">
        <a:xfrm>
          <a:off x="31958280" y="25709880"/>
          <a:ext cx="304800" cy="3005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81</xdr:row>
      <xdr:rowOff>0</xdr:rowOff>
    </xdr:from>
    <xdr:ext cx="304800" cy="300567"/>
    <xdr:sp macro="" textlink="">
      <xdr:nvSpPr>
        <xdr:cNvPr id="13" name="AutoShape 12" descr="Thumbs down icon vector">
          <a:extLst>
            <a:ext uri="{FF2B5EF4-FFF2-40B4-BE49-F238E27FC236}">
              <a16:creationId xmlns:a16="http://schemas.microsoft.com/office/drawing/2014/main" id="{0094AE3D-F528-4DF7-B3F4-E8D6A357FF17}"/>
            </a:ext>
          </a:extLst>
        </xdr:cNvPr>
        <xdr:cNvSpPr>
          <a:spLocks noChangeAspect="1" noChangeArrowheads="1"/>
        </xdr:cNvSpPr>
      </xdr:nvSpPr>
      <xdr:spPr bwMode="auto">
        <a:xfrm>
          <a:off x="31958280" y="25709880"/>
          <a:ext cx="304800" cy="3005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79</xdr:row>
      <xdr:rowOff>0</xdr:rowOff>
    </xdr:from>
    <xdr:ext cx="304800" cy="300566"/>
    <xdr:sp macro="" textlink="">
      <xdr:nvSpPr>
        <xdr:cNvPr id="14" name="AutoShape 14" descr="Thumbs down icon vector">
          <a:extLst>
            <a:ext uri="{FF2B5EF4-FFF2-40B4-BE49-F238E27FC236}">
              <a16:creationId xmlns:a16="http://schemas.microsoft.com/office/drawing/2014/main" id="{8EC17993-487B-407C-AA2C-F5405632044D}"/>
            </a:ext>
          </a:extLst>
        </xdr:cNvPr>
        <xdr:cNvSpPr>
          <a:spLocks noChangeAspect="1" noChangeArrowheads="1"/>
        </xdr:cNvSpPr>
      </xdr:nvSpPr>
      <xdr:spPr bwMode="auto">
        <a:xfrm>
          <a:off x="31165800" y="25344120"/>
          <a:ext cx="304800" cy="3005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79</xdr:row>
      <xdr:rowOff>0</xdr:rowOff>
    </xdr:from>
    <xdr:ext cx="304800" cy="300566"/>
    <xdr:sp macro="" textlink="">
      <xdr:nvSpPr>
        <xdr:cNvPr id="15" name="AutoShape 15" descr="Thumbs down icon vector">
          <a:extLst>
            <a:ext uri="{FF2B5EF4-FFF2-40B4-BE49-F238E27FC236}">
              <a16:creationId xmlns:a16="http://schemas.microsoft.com/office/drawing/2014/main" id="{9C901C4A-6229-4CE2-9250-1203C5D053A7}"/>
            </a:ext>
          </a:extLst>
        </xdr:cNvPr>
        <xdr:cNvSpPr>
          <a:spLocks noChangeAspect="1" noChangeArrowheads="1"/>
        </xdr:cNvSpPr>
      </xdr:nvSpPr>
      <xdr:spPr bwMode="auto">
        <a:xfrm>
          <a:off x="31165800" y="25344120"/>
          <a:ext cx="304800" cy="3005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79</xdr:row>
      <xdr:rowOff>0</xdr:rowOff>
    </xdr:from>
    <xdr:ext cx="304800" cy="300566"/>
    <xdr:sp macro="" textlink="">
      <xdr:nvSpPr>
        <xdr:cNvPr id="16" name="AutoShape 16" descr="Thumbs down icon vector">
          <a:extLst>
            <a:ext uri="{FF2B5EF4-FFF2-40B4-BE49-F238E27FC236}">
              <a16:creationId xmlns:a16="http://schemas.microsoft.com/office/drawing/2014/main" id="{39178F91-0160-48A6-97FA-6B5F6D66E28B}"/>
            </a:ext>
          </a:extLst>
        </xdr:cNvPr>
        <xdr:cNvSpPr>
          <a:spLocks noChangeAspect="1" noChangeArrowheads="1"/>
        </xdr:cNvSpPr>
      </xdr:nvSpPr>
      <xdr:spPr bwMode="auto">
        <a:xfrm>
          <a:off x="31165800" y="25344120"/>
          <a:ext cx="304800" cy="3005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79</xdr:row>
      <xdr:rowOff>0</xdr:rowOff>
    </xdr:from>
    <xdr:to>
      <xdr:col>8</xdr:col>
      <xdr:colOff>304800</xdr:colOff>
      <xdr:row>80</xdr:row>
      <xdr:rowOff>114300</xdr:rowOff>
    </xdr:to>
    <xdr:sp macro="" textlink="">
      <xdr:nvSpPr>
        <xdr:cNvPr id="2" name="AutoShape 5" descr="Thumbs down icon vector">
          <a:extLst>
            <a:ext uri="{FF2B5EF4-FFF2-40B4-BE49-F238E27FC236}">
              <a16:creationId xmlns:a16="http://schemas.microsoft.com/office/drawing/2014/main" id="{46D68738-CDBF-416C-9737-504AE7D1E51A}"/>
            </a:ext>
          </a:extLst>
        </xdr:cNvPr>
        <xdr:cNvSpPr>
          <a:spLocks noChangeAspect="1" noChangeArrowheads="1"/>
        </xdr:cNvSpPr>
      </xdr:nvSpPr>
      <xdr:spPr bwMode="auto">
        <a:xfrm>
          <a:off x="18798540" y="2513838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85</xdr:row>
      <xdr:rowOff>0</xdr:rowOff>
    </xdr:from>
    <xdr:to>
      <xdr:col>8</xdr:col>
      <xdr:colOff>304800</xdr:colOff>
      <xdr:row>86</xdr:row>
      <xdr:rowOff>114300</xdr:rowOff>
    </xdr:to>
    <xdr:sp macro="" textlink="">
      <xdr:nvSpPr>
        <xdr:cNvPr id="3" name="AutoShape 6" descr="Thumbs down icon vector">
          <a:extLst>
            <a:ext uri="{FF2B5EF4-FFF2-40B4-BE49-F238E27FC236}">
              <a16:creationId xmlns:a16="http://schemas.microsoft.com/office/drawing/2014/main" id="{CABFC334-69C1-4BB4-85B1-2B6E17FF7377}"/>
            </a:ext>
          </a:extLst>
        </xdr:cNvPr>
        <xdr:cNvSpPr>
          <a:spLocks noChangeAspect="1" noChangeArrowheads="1"/>
        </xdr:cNvSpPr>
      </xdr:nvSpPr>
      <xdr:spPr bwMode="auto">
        <a:xfrm>
          <a:off x="18006060" y="262356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85</xdr:row>
      <xdr:rowOff>0</xdr:rowOff>
    </xdr:from>
    <xdr:to>
      <xdr:col>8</xdr:col>
      <xdr:colOff>304800</xdr:colOff>
      <xdr:row>86</xdr:row>
      <xdr:rowOff>114300</xdr:rowOff>
    </xdr:to>
    <xdr:sp macro="" textlink="">
      <xdr:nvSpPr>
        <xdr:cNvPr id="4" name="AutoShape 7" descr="Thumbs down icon vector">
          <a:extLst>
            <a:ext uri="{FF2B5EF4-FFF2-40B4-BE49-F238E27FC236}">
              <a16:creationId xmlns:a16="http://schemas.microsoft.com/office/drawing/2014/main" id="{118F38F2-B676-464A-AFDC-F14616600660}"/>
            </a:ext>
          </a:extLst>
        </xdr:cNvPr>
        <xdr:cNvSpPr>
          <a:spLocks noChangeAspect="1" noChangeArrowheads="1"/>
        </xdr:cNvSpPr>
      </xdr:nvSpPr>
      <xdr:spPr bwMode="auto">
        <a:xfrm>
          <a:off x="18006060" y="262356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85</xdr:row>
      <xdr:rowOff>0</xdr:rowOff>
    </xdr:from>
    <xdr:to>
      <xdr:col>8</xdr:col>
      <xdr:colOff>304800</xdr:colOff>
      <xdr:row>86</xdr:row>
      <xdr:rowOff>114300</xdr:rowOff>
    </xdr:to>
    <xdr:sp macro="" textlink="">
      <xdr:nvSpPr>
        <xdr:cNvPr id="5" name="AutoShape 8" descr="Thumbs down icon vector">
          <a:extLst>
            <a:ext uri="{FF2B5EF4-FFF2-40B4-BE49-F238E27FC236}">
              <a16:creationId xmlns:a16="http://schemas.microsoft.com/office/drawing/2014/main" id="{876BDF8D-1C16-4419-B4B1-8EDC757208A5}"/>
            </a:ext>
          </a:extLst>
        </xdr:cNvPr>
        <xdr:cNvSpPr>
          <a:spLocks noChangeAspect="1" noChangeArrowheads="1"/>
        </xdr:cNvSpPr>
      </xdr:nvSpPr>
      <xdr:spPr bwMode="auto">
        <a:xfrm>
          <a:off x="18006060" y="262356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85</xdr:row>
      <xdr:rowOff>0</xdr:rowOff>
    </xdr:from>
    <xdr:to>
      <xdr:col>8</xdr:col>
      <xdr:colOff>304800</xdr:colOff>
      <xdr:row>86</xdr:row>
      <xdr:rowOff>114300</xdr:rowOff>
    </xdr:to>
    <xdr:sp macro="" textlink="">
      <xdr:nvSpPr>
        <xdr:cNvPr id="6" name="AutoShape 9" descr="Thumbs down icon vector">
          <a:extLst>
            <a:ext uri="{FF2B5EF4-FFF2-40B4-BE49-F238E27FC236}">
              <a16:creationId xmlns:a16="http://schemas.microsoft.com/office/drawing/2014/main" id="{4EFD2192-16FD-4967-98F0-062F89B8C72D}"/>
            </a:ext>
          </a:extLst>
        </xdr:cNvPr>
        <xdr:cNvSpPr>
          <a:spLocks noChangeAspect="1" noChangeArrowheads="1"/>
        </xdr:cNvSpPr>
      </xdr:nvSpPr>
      <xdr:spPr bwMode="auto">
        <a:xfrm>
          <a:off x="18006060" y="262356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85</xdr:row>
      <xdr:rowOff>0</xdr:rowOff>
    </xdr:from>
    <xdr:to>
      <xdr:col>8</xdr:col>
      <xdr:colOff>304800</xdr:colOff>
      <xdr:row>86</xdr:row>
      <xdr:rowOff>114300</xdr:rowOff>
    </xdr:to>
    <xdr:sp macro="" textlink="">
      <xdr:nvSpPr>
        <xdr:cNvPr id="7" name="AutoShape 10" descr="Thumbs down icon vector">
          <a:extLst>
            <a:ext uri="{FF2B5EF4-FFF2-40B4-BE49-F238E27FC236}">
              <a16:creationId xmlns:a16="http://schemas.microsoft.com/office/drawing/2014/main" id="{1A62C0F9-9838-4EDC-AC26-071BB6E774F8}"/>
            </a:ext>
          </a:extLst>
        </xdr:cNvPr>
        <xdr:cNvSpPr>
          <a:spLocks noChangeAspect="1" noChangeArrowheads="1"/>
        </xdr:cNvSpPr>
      </xdr:nvSpPr>
      <xdr:spPr bwMode="auto">
        <a:xfrm>
          <a:off x="18006060" y="262356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85</xdr:row>
      <xdr:rowOff>0</xdr:rowOff>
    </xdr:from>
    <xdr:to>
      <xdr:col>8</xdr:col>
      <xdr:colOff>304800</xdr:colOff>
      <xdr:row>86</xdr:row>
      <xdr:rowOff>114300</xdr:rowOff>
    </xdr:to>
    <xdr:sp macro="" textlink="">
      <xdr:nvSpPr>
        <xdr:cNvPr id="8" name="AutoShape 11" descr="Thumbs down icon vector">
          <a:extLst>
            <a:ext uri="{FF2B5EF4-FFF2-40B4-BE49-F238E27FC236}">
              <a16:creationId xmlns:a16="http://schemas.microsoft.com/office/drawing/2014/main" id="{0DD9F5E3-DD5D-4CB6-A037-E06DEAC14380}"/>
            </a:ext>
          </a:extLst>
        </xdr:cNvPr>
        <xdr:cNvSpPr>
          <a:spLocks noChangeAspect="1" noChangeArrowheads="1"/>
        </xdr:cNvSpPr>
      </xdr:nvSpPr>
      <xdr:spPr bwMode="auto">
        <a:xfrm>
          <a:off x="18006060" y="262356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85</xdr:row>
      <xdr:rowOff>0</xdr:rowOff>
    </xdr:from>
    <xdr:to>
      <xdr:col>8</xdr:col>
      <xdr:colOff>304800</xdr:colOff>
      <xdr:row>86</xdr:row>
      <xdr:rowOff>114300</xdr:rowOff>
    </xdr:to>
    <xdr:sp macro="" textlink="">
      <xdr:nvSpPr>
        <xdr:cNvPr id="9" name="AutoShape 12" descr="Thumbs down icon vector">
          <a:extLst>
            <a:ext uri="{FF2B5EF4-FFF2-40B4-BE49-F238E27FC236}">
              <a16:creationId xmlns:a16="http://schemas.microsoft.com/office/drawing/2014/main" id="{70871A90-AFBA-4E91-829D-62804D5DC0CB}"/>
            </a:ext>
          </a:extLst>
        </xdr:cNvPr>
        <xdr:cNvSpPr>
          <a:spLocks noChangeAspect="1" noChangeArrowheads="1"/>
        </xdr:cNvSpPr>
      </xdr:nvSpPr>
      <xdr:spPr bwMode="auto">
        <a:xfrm>
          <a:off x="18006060" y="262356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83</xdr:row>
      <xdr:rowOff>0</xdr:rowOff>
    </xdr:from>
    <xdr:to>
      <xdr:col>8</xdr:col>
      <xdr:colOff>304800</xdr:colOff>
      <xdr:row>84</xdr:row>
      <xdr:rowOff>114299</xdr:rowOff>
    </xdr:to>
    <xdr:sp macro="" textlink="">
      <xdr:nvSpPr>
        <xdr:cNvPr id="10" name="AutoShape 14" descr="Thumbs down icon vector">
          <a:extLst>
            <a:ext uri="{FF2B5EF4-FFF2-40B4-BE49-F238E27FC236}">
              <a16:creationId xmlns:a16="http://schemas.microsoft.com/office/drawing/2014/main" id="{74D6130F-185F-4860-90AE-0308C576E6AD}"/>
            </a:ext>
          </a:extLst>
        </xdr:cNvPr>
        <xdr:cNvSpPr>
          <a:spLocks noChangeAspect="1" noChangeArrowheads="1"/>
        </xdr:cNvSpPr>
      </xdr:nvSpPr>
      <xdr:spPr bwMode="auto">
        <a:xfrm>
          <a:off x="17213580" y="258699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83</xdr:row>
      <xdr:rowOff>0</xdr:rowOff>
    </xdr:from>
    <xdr:to>
      <xdr:col>8</xdr:col>
      <xdr:colOff>304800</xdr:colOff>
      <xdr:row>84</xdr:row>
      <xdr:rowOff>114299</xdr:rowOff>
    </xdr:to>
    <xdr:sp macro="" textlink="">
      <xdr:nvSpPr>
        <xdr:cNvPr id="11" name="AutoShape 15" descr="Thumbs down icon vector">
          <a:extLst>
            <a:ext uri="{FF2B5EF4-FFF2-40B4-BE49-F238E27FC236}">
              <a16:creationId xmlns:a16="http://schemas.microsoft.com/office/drawing/2014/main" id="{8A6CAB5E-CE24-4100-80D2-A3E4DFBE581A}"/>
            </a:ext>
          </a:extLst>
        </xdr:cNvPr>
        <xdr:cNvSpPr>
          <a:spLocks noChangeAspect="1" noChangeArrowheads="1"/>
        </xdr:cNvSpPr>
      </xdr:nvSpPr>
      <xdr:spPr bwMode="auto">
        <a:xfrm>
          <a:off x="17213580" y="258699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83</xdr:row>
      <xdr:rowOff>0</xdr:rowOff>
    </xdr:from>
    <xdr:to>
      <xdr:col>8</xdr:col>
      <xdr:colOff>304800</xdr:colOff>
      <xdr:row>84</xdr:row>
      <xdr:rowOff>114299</xdr:rowOff>
    </xdr:to>
    <xdr:sp macro="" textlink="">
      <xdr:nvSpPr>
        <xdr:cNvPr id="12" name="AutoShape 16" descr="Thumbs down icon vector">
          <a:extLst>
            <a:ext uri="{FF2B5EF4-FFF2-40B4-BE49-F238E27FC236}">
              <a16:creationId xmlns:a16="http://schemas.microsoft.com/office/drawing/2014/main" id="{91CDF7C2-E13F-4818-8FC7-E2BD69479579}"/>
            </a:ext>
          </a:extLst>
        </xdr:cNvPr>
        <xdr:cNvSpPr>
          <a:spLocks noChangeAspect="1" noChangeArrowheads="1"/>
        </xdr:cNvSpPr>
      </xdr:nvSpPr>
      <xdr:spPr bwMode="auto">
        <a:xfrm>
          <a:off x="17213580" y="258699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381000</xdr:colOff>
      <xdr:row>1</xdr:row>
      <xdr:rowOff>15240</xdr:rowOff>
    </xdr:from>
    <xdr:to>
      <xdr:col>8</xdr:col>
      <xdr:colOff>317500</xdr:colOff>
      <xdr:row>18</xdr:row>
      <xdr:rowOff>83820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6B103FEB-44FF-4798-9AD8-8EBA0E7C70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79</xdr:row>
      <xdr:rowOff>0</xdr:rowOff>
    </xdr:from>
    <xdr:to>
      <xdr:col>8</xdr:col>
      <xdr:colOff>304800</xdr:colOff>
      <xdr:row>80</xdr:row>
      <xdr:rowOff>114300</xdr:rowOff>
    </xdr:to>
    <xdr:sp macro="" textlink="">
      <xdr:nvSpPr>
        <xdr:cNvPr id="2" name="AutoShape 5" descr="Thumbs down icon vector">
          <a:extLst>
            <a:ext uri="{FF2B5EF4-FFF2-40B4-BE49-F238E27FC236}">
              <a16:creationId xmlns:a16="http://schemas.microsoft.com/office/drawing/2014/main" id="{F651704F-94A0-42DA-A0D1-AEC519D9E8E2}"/>
            </a:ext>
          </a:extLst>
        </xdr:cNvPr>
        <xdr:cNvSpPr>
          <a:spLocks noChangeAspect="1" noChangeArrowheads="1"/>
        </xdr:cNvSpPr>
      </xdr:nvSpPr>
      <xdr:spPr bwMode="auto">
        <a:xfrm>
          <a:off x="9172575" y="28413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85</xdr:row>
      <xdr:rowOff>0</xdr:rowOff>
    </xdr:from>
    <xdr:to>
      <xdr:col>8</xdr:col>
      <xdr:colOff>304800</xdr:colOff>
      <xdr:row>86</xdr:row>
      <xdr:rowOff>114300</xdr:rowOff>
    </xdr:to>
    <xdr:sp macro="" textlink="">
      <xdr:nvSpPr>
        <xdr:cNvPr id="3" name="AutoShape 6" descr="Thumbs down icon vector">
          <a:extLst>
            <a:ext uri="{FF2B5EF4-FFF2-40B4-BE49-F238E27FC236}">
              <a16:creationId xmlns:a16="http://schemas.microsoft.com/office/drawing/2014/main" id="{7DAA0ABB-196A-4897-A25C-05500CA327B3}"/>
            </a:ext>
          </a:extLst>
        </xdr:cNvPr>
        <xdr:cNvSpPr>
          <a:spLocks noChangeAspect="1" noChangeArrowheads="1"/>
        </xdr:cNvSpPr>
      </xdr:nvSpPr>
      <xdr:spPr bwMode="auto">
        <a:xfrm>
          <a:off x="9172575" y="29556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85</xdr:row>
      <xdr:rowOff>0</xdr:rowOff>
    </xdr:from>
    <xdr:to>
      <xdr:col>8</xdr:col>
      <xdr:colOff>304800</xdr:colOff>
      <xdr:row>86</xdr:row>
      <xdr:rowOff>114300</xdr:rowOff>
    </xdr:to>
    <xdr:sp macro="" textlink="">
      <xdr:nvSpPr>
        <xdr:cNvPr id="4" name="AutoShape 7" descr="Thumbs down icon vector">
          <a:extLst>
            <a:ext uri="{FF2B5EF4-FFF2-40B4-BE49-F238E27FC236}">
              <a16:creationId xmlns:a16="http://schemas.microsoft.com/office/drawing/2014/main" id="{FFAC8029-E645-4FE4-954D-4269B5534858}"/>
            </a:ext>
          </a:extLst>
        </xdr:cNvPr>
        <xdr:cNvSpPr>
          <a:spLocks noChangeAspect="1" noChangeArrowheads="1"/>
        </xdr:cNvSpPr>
      </xdr:nvSpPr>
      <xdr:spPr bwMode="auto">
        <a:xfrm>
          <a:off x="9172575" y="29556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85</xdr:row>
      <xdr:rowOff>0</xdr:rowOff>
    </xdr:from>
    <xdr:to>
      <xdr:col>8</xdr:col>
      <xdr:colOff>304800</xdr:colOff>
      <xdr:row>86</xdr:row>
      <xdr:rowOff>114300</xdr:rowOff>
    </xdr:to>
    <xdr:sp macro="" textlink="">
      <xdr:nvSpPr>
        <xdr:cNvPr id="5" name="AutoShape 8" descr="Thumbs down icon vector">
          <a:extLst>
            <a:ext uri="{FF2B5EF4-FFF2-40B4-BE49-F238E27FC236}">
              <a16:creationId xmlns:a16="http://schemas.microsoft.com/office/drawing/2014/main" id="{FF698C26-62FA-4449-887A-41E32A555808}"/>
            </a:ext>
          </a:extLst>
        </xdr:cNvPr>
        <xdr:cNvSpPr>
          <a:spLocks noChangeAspect="1" noChangeArrowheads="1"/>
        </xdr:cNvSpPr>
      </xdr:nvSpPr>
      <xdr:spPr bwMode="auto">
        <a:xfrm>
          <a:off x="9172575" y="29556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85</xdr:row>
      <xdr:rowOff>0</xdr:rowOff>
    </xdr:from>
    <xdr:to>
      <xdr:col>8</xdr:col>
      <xdr:colOff>304800</xdr:colOff>
      <xdr:row>86</xdr:row>
      <xdr:rowOff>114300</xdr:rowOff>
    </xdr:to>
    <xdr:sp macro="" textlink="">
      <xdr:nvSpPr>
        <xdr:cNvPr id="6" name="AutoShape 9" descr="Thumbs down icon vector">
          <a:extLst>
            <a:ext uri="{FF2B5EF4-FFF2-40B4-BE49-F238E27FC236}">
              <a16:creationId xmlns:a16="http://schemas.microsoft.com/office/drawing/2014/main" id="{605DFCAD-0676-418A-A126-D6ADFF9C5F34}"/>
            </a:ext>
          </a:extLst>
        </xdr:cNvPr>
        <xdr:cNvSpPr>
          <a:spLocks noChangeAspect="1" noChangeArrowheads="1"/>
        </xdr:cNvSpPr>
      </xdr:nvSpPr>
      <xdr:spPr bwMode="auto">
        <a:xfrm>
          <a:off x="9172575" y="29556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85</xdr:row>
      <xdr:rowOff>0</xdr:rowOff>
    </xdr:from>
    <xdr:to>
      <xdr:col>8</xdr:col>
      <xdr:colOff>304800</xdr:colOff>
      <xdr:row>86</xdr:row>
      <xdr:rowOff>114300</xdr:rowOff>
    </xdr:to>
    <xdr:sp macro="" textlink="">
      <xdr:nvSpPr>
        <xdr:cNvPr id="7" name="AutoShape 10" descr="Thumbs down icon vector">
          <a:extLst>
            <a:ext uri="{FF2B5EF4-FFF2-40B4-BE49-F238E27FC236}">
              <a16:creationId xmlns:a16="http://schemas.microsoft.com/office/drawing/2014/main" id="{AB408AD6-2A05-41F8-9F21-4F1029B92B80}"/>
            </a:ext>
          </a:extLst>
        </xdr:cNvPr>
        <xdr:cNvSpPr>
          <a:spLocks noChangeAspect="1" noChangeArrowheads="1"/>
        </xdr:cNvSpPr>
      </xdr:nvSpPr>
      <xdr:spPr bwMode="auto">
        <a:xfrm>
          <a:off x="9172575" y="29556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85</xdr:row>
      <xdr:rowOff>0</xdr:rowOff>
    </xdr:from>
    <xdr:to>
      <xdr:col>8</xdr:col>
      <xdr:colOff>304800</xdr:colOff>
      <xdr:row>86</xdr:row>
      <xdr:rowOff>114300</xdr:rowOff>
    </xdr:to>
    <xdr:sp macro="" textlink="">
      <xdr:nvSpPr>
        <xdr:cNvPr id="8" name="AutoShape 11" descr="Thumbs down icon vector">
          <a:extLst>
            <a:ext uri="{FF2B5EF4-FFF2-40B4-BE49-F238E27FC236}">
              <a16:creationId xmlns:a16="http://schemas.microsoft.com/office/drawing/2014/main" id="{8D337F98-5BE7-48C1-A954-3F41964ADB48}"/>
            </a:ext>
          </a:extLst>
        </xdr:cNvPr>
        <xdr:cNvSpPr>
          <a:spLocks noChangeAspect="1" noChangeArrowheads="1"/>
        </xdr:cNvSpPr>
      </xdr:nvSpPr>
      <xdr:spPr bwMode="auto">
        <a:xfrm>
          <a:off x="9172575" y="29556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85</xdr:row>
      <xdr:rowOff>0</xdr:rowOff>
    </xdr:from>
    <xdr:to>
      <xdr:col>8</xdr:col>
      <xdr:colOff>304800</xdr:colOff>
      <xdr:row>86</xdr:row>
      <xdr:rowOff>114300</xdr:rowOff>
    </xdr:to>
    <xdr:sp macro="" textlink="">
      <xdr:nvSpPr>
        <xdr:cNvPr id="9" name="AutoShape 12" descr="Thumbs down icon vector">
          <a:extLst>
            <a:ext uri="{FF2B5EF4-FFF2-40B4-BE49-F238E27FC236}">
              <a16:creationId xmlns:a16="http://schemas.microsoft.com/office/drawing/2014/main" id="{4667927D-423D-4AD3-A3A4-67379586C878}"/>
            </a:ext>
          </a:extLst>
        </xdr:cNvPr>
        <xdr:cNvSpPr>
          <a:spLocks noChangeAspect="1" noChangeArrowheads="1"/>
        </xdr:cNvSpPr>
      </xdr:nvSpPr>
      <xdr:spPr bwMode="auto">
        <a:xfrm>
          <a:off x="9172575" y="29556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83</xdr:row>
      <xdr:rowOff>0</xdr:rowOff>
    </xdr:from>
    <xdr:to>
      <xdr:col>8</xdr:col>
      <xdr:colOff>304800</xdr:colOff>
      <xdr:row>84</xdr:row>
      <xdr:rowOff>114299</xdr:rowOff>
    </xdr:to>
    <xdr:sp macro="" textlink="">
      <xdr:nvSpPr>
        <xdr:cNvPr id="10" name="AutoShape 14" descr="Thumbs down icon vector">
          <a:extLst>
            <a:ext uri="{FF2B5EF4-FFF2-40B4-BE49-F238E27FC236}">
              <a16:creationId xmlns:a16="http://schemas.microsoft.com/office/drawing/2014/main" id="{080A7AD2-EA65-4B97-88F9-B5B0A42E2A13}"/>
            </a:ext>
          </a:extLst>
        </xdr:cNvPr>
        <xdr:cNvSpPr>
          <a:spLocks noChangeAspect="1" noChangeArrowheads="1"/>
        </xdr:cNvSpPr>
      </xdr:nvSpPr>
      <xdr:spPr bwMode="auto">
        <a:xfrm>
          <a:off x="9172575" y="2917507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83</xdr:row>
      <xdr:rowOff>0</xdr:rowOff>
    </xdr:from>
    <xdr:to>
      <xdr:col>8</xdr:col>
      <xdr:colOff>304800</xdr:colOff>
      <xdr:row>84</xdr:row>
      <xdr:rowOff>114299</xdr:rowOff>
    </xdr:to>
    <xdr:sp macro="" textlink="">
      <xdr:nvSpPr>
        <xdr:cNvPr id="11" name="AutoShape 15" descr="Thumbs down icon vector">
          <a:extLst>
            <a:ext uri="{FF2B5EF4-FFF2-40B4-BE49-F238E27FC236}">
              <a16:creationId xmlns:a16="http://schemas.microsoft.com/office/drawing/2014/main" id="{4030E074-83E1-4829-83AA-C3D1FEEF7677}"/>
            </a:ext>
          </a:extLst>
        </xdr:cNvPr>
        <xdr:cNvSpPr>
          <a:spLocks noChangeAspect="1" noChangeArrowheads="1"/>
        </xdr:cNvSpPr>
      </xdr:nvSpPr>
      <xdr:spPr bwMode="auto">
        <a:xfrm>
          <a:off x="9172575" y="2917507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83</xdr:row>
      <xdr:rowOff>0</xdr:rowOff>
    </xdr:from>
    <xdr:to>
      <xdr:col>8</xdr:col>
      <xdr:colOff>304800</xdr:colOff>
      <xdr:row>84</xdr:row>
      <xdr:rowOff>114299</xdr:rowOff>
    </xdr:to>
    <xdr:sp macro="" textlink="">
      <xdr:nvSpPr>
        <xdr:cNvPr id="12" name="AutoShape 16" descr="Thumbs down icon vector">
          <a:extLst>
            <a:ext uri="{FF2B5EF4-FFF2-40B4-BE49-F238E27FC236}">
              <a16:creationId xmlns:a16="http://schemas.microsoft.com/office/drawing/2014/main" id="{9A130167-2BE6-47C7-A4B1-10506856A1D7}"/>
            </a:ext>
          </a:extLst>
        </xdr:cNvPr>
        <xdr:cNvSpPr>
          <a:spLocks noChangeAspect="1" noChangeArrowheads="1"/>
        </xdr:cNvSpPr>
      </xdr:nvSpPr>
      <xdr:spPr bwMode="auto">
        <a:xfrm>
          <a:off x="9172575" y="2917507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80</xdr:row>
      <xdr:rowOff>0</xdr:rowOff>
    </xdr:from>
    <xdr:to>
      <xdr:col>8</xdr:col>
      <xdr:colOff>304800</xdr:colOff>
      <xdr:row>81</xdr:row>
      <xdr:rowOff>104775</xdr:rowOff>
    </xdr:to>
    <xdr:sp macro="" textlink="">
      <xdr:nvSpPr>
        <xdr:cNvPr id="2" name="AutoShape 5" descr="Thumbs down icon vector">
          <a:extLst>
            <a:ext uri="{FF2B5EF4-FFF2-40B4-BE49-F238E27FC236}">
              <a16:creationId xmlns:a16="http://schemas.microsoft.com/office/drawing/2014/main" id="{BFF61CD0-EB53-4D52-BBB2-A6A0AD4B72FE}"/>
            </a:ext>
          </a:extLst>
        </xdr:cNvPr>
        <xdr:cNvSpPr>
          <a:spLocks noChangeAspect="1" noChangeArrowheads="1"/>
        </xdr:cNvSpPr>
      </xdr:nvSpPr>
      <xdr:spPr bwMode="auto">
        <a:xfrm>
          <a:off x="5800725" y="15859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86</xdr:row>
      <xdr:rowOff>0</xdr:rowOff>
    </xdr:from>
    <xdr:to>
      <xdr:col>8</xdr:col>
      <xdr:colOff>304800</xdr:colOff>
      <xdr:row>87</xdr:row>
      <xdr:rowOff>114300</xdr:rowOff>
    </xdr:to>
    <xdr:sp macro="" textlink="">
      <xdr:nvSpPr>
        <xdr:cNvPr id="3" name="AutoShape 6" descr="Thumbs down icon vector">
          <a:extLst>
            <a:ext uri="{FF2B5EF4-FFF2-40B4-BE49-F238E27FC236}">
              <a16:creationId xmlns:a16="http://schemas.microsoft.com/office/drawing/2014/main" id="{0519B032-1314-4848-A135-249FC221FB22}"/>
            </a:ext>
          </a:extLst>
        </xdr:cNvPr>
        <xdr:cNvSpPr>
          <a:spLocks noChangeAspect="1" noChangeArrowheads="1"/>
        </xdr:cNvSpPr>
      </xdr:nvSpPr>
      <xdr:spPr bwMode="auto">
        <a:xfrm>
          <a:off x="5800725" y="17030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86</xdr:row>
      <xdr:rowOff>0</xdr:rowOff>
    </xdr:from>
    <xdr:to>
      <xdr:col>8</xdr:col>
      <xdr:colOff>304800</xdr:colOff>
      <xdr:row>87</xdr:row>
      <xdr:rowOff>114300</xdr:rowOff>
    </xdr:to>
    <xdr:sp macro="" textlink="">
      <xdr:nvSpPr>
        <xdr:cNvPr id="4" name="AutoShape 7" descr="Thumbs down icon vector">
          <a:extLst>
            <a:ext uri="{FF2B5EF4-FFF2-40B4-BE49-F238E27FC236}">
              <a16:creationId xmlns:a16="http://schemas.microsoft.com/office/drawing/2014/main" id="{0141C3AB-7F46-4D0E-AE60-B8DB997D6F20}"/>
            </a:ext>
          </a:extLst>
        </xdr:cNvPr>
        <xdr:cNvSpPr>
          <a:spLocks noChangeAspect="1" noChangeArrowheads="1"/>
        </xdr:cNvSpPr>
      </xdr:nvSpPr>
      <xdr:spPr bwMode="auto">
        <a:xfrm>
          <a:off x="5800725" y="17030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86</xdr:row>
      <xdr:rowOff>0</xdr:rowOff>
    </xdr:from>
    <xdr:to>
      <xdr:col>8</xdr:col>
      <xdr:colOff>304800</xdr:colOff>
      <xdr:row>87</xdr:row>
      <xdr:rowOff>114300</xdr:rowOff>
    </xdr:to>
    <xdr:sp macro="" textlink="">
      <xdr:nvSpPr>
        <xdr:cNvPr id="5" name="AutoShape 8" descr="Thumbs down icon vector">
          <a:extLst>
            <a:ext uri="{FF2B5EF4-FFF2-40B4-BE49-F238E27FC236}">
              <a16:creationId xmlns:a16="http://schemas.microsoft.com/office/drawing/2014/main" id="{BE8D46A7-FEEF-4CC9-8513-878ED1070736}"/>
            </a:ext>
          </a:extLst>
        </xdr:cNvPr>
        <xdr:cNvSpPr>
          <a:spLocks noChangeAspect="1" noChangeArrowheads="1"/>
        </xdr:cNvSpPr>
      </xdr:nvSpPr>
      <xdr:spPr bwMode="auto">
        <a:xfrm>
          <a:off x="5800725" y="17030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86</xdr:row>
      <xdr:rowOff>0</xdr:rowOff>
    </xdr:from>
    <xdr:to>
      <xdr:col>8</xdr:col>
      <xdr:colOff>304800</xdr:colOff>
      <xdr:row>87</xdr:row>
      <xdr:rowOff>114300</xdr:rowOff>
    </xdr:to>
    <xdr:sp macro="" textlink="">
      <xdr:nvSpPr>
        <xdr:cNvPr id="6" name="AutoShape 9" descr="Thumbs down icon vector">
          <a:extLst>
            <a:ext uri="{FF2B5EF4-FFF2-40B4-BE49-F238E27FC236}">
              <a16:creationId xmlns:a16="http://schemas.microsoft.com/office/drawing/2014/main" id="{AEA29397-2A7B-4FA0-935A-F12E334AC825}"/>
            </a:ext>
          </a:extLst>
        </xdr:cNvPr>
        <xdr:cNvSpPr>
          <a:spLocks noChangeAspect="1" noChangeArrowheads="1"/>
        </xdr:cNvSpPr>
      </xdr:nvSpPr>
      <xdr:spPr bwMode="auto">
        <a:xfrm>
          <a:off x="5800725" y="17030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86</xdr:row>
      <xdr:rowOff>0</xdr:rowOff>
    </xdr:from>
    <xdr:to>
      <xdr:col>8</xdr:col>
      <xdr:colOff>304800</xdr:colOff>
      <xdr:row>87</xdr:row>
      <xdr:rowOff>114300</xdr:rowOff>
    </xdr:to>
    <xdr:sp macro="" textlink="">
      <xdr:nvSpPr>
        <xdr:cNvPr id="7" name="AutoShape 10" descr="Thumbs down icon vector">
          <a:extLst>
            <a:ext uri="{FF2B5EF4-FFF2-40B4-BE49-F238E27FC236}">
              <a16:creationId xmlns:a16="http://schemas.microsoft.com/office/drawing/2014/main" id="{52E497C7-8A84-44F0-ADEB-88EE47070BEB}"/>
            </a:ext>
          </a:extLst>
        </xdr:cNvPr>
        <xdr:cNvSpPr>
          <a:spLocks noChangeAspect="1" noChangeArrowheads="1"/>
        </xdr:cNvSpPr>
      </xdr:nvSpPr>
      <xdr:spPr bwMode="auto">
        <a:xfrm>
          <a:off x="5800725" y="17030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86</xdr:row>
      <xdr:rowOff>0</xdr:rowOff>
    </xdr:from>
    <xdr:to>
      <xdr:col>8</xdr:col>
      <xdr:colOff>304800</xdr:colOff>
      <xdr:row>87</xdr:row>
      <xdr:rowOff>114300</xdr:rowOff>
    </xdr:to>
    <xdr:sp macro="" textlink="">
      <xdr:nvSpPr>
        <xdr:cNvPr id="8" name="AutoShape 11" descr="Thumbs down icon vector">
          <a:extLst>
            <a:ext uri="{FF2B5EF4-FFF2-40B4-BE49-F238E27FC236}">
              <a16:creationId xmlns:a16="http://schemas.microsoft.com/office/drawing/2014/main" id="{E60CB3B6-A402-42EA-BD7B-6283C840A844}"/>
            </a:ext>
          </a:extLst>
        </xdr:cNvPr>
        <xdr:cNvSpPr>
          <a:spLocks noChangeAspect="1" noChangeArrowheads="1"/>
        </xdr:cNvSpPr>
      </xdr:nvSpPr>
      <xdr:spPr bwMode="auto">
        <a:xfrm>
          <a:off x="5800725" y="17030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86</xdr:row>
      <xdr:rowOff>0</xdr:rowOff>
    </xdr:from>
    <xdr:to>
      <xdr:col>8</xdr:col>
      <xdr:colOff>304800</xdr:colOff>
      <xdr:row>87</xdr:row>
      <xdr:rowOff>114300</xdr:rowOff>
    </xdr:to>
    <xdr:sp macro="" textlink="">
      <xdr:nvSpPr>
        <xdr:cNvPr id="9" name="AutoShape 12" descr="Thumbs down icon vector">
          <a:extLst>
            <a:ext uri="{FF2B5EF4-FFF2-40B4-BE49-F238E27FC236}">
              <a16:creationId xmlns:a16="http://schemas.microsoft.com/office/drawing/2014/main" id="{82BF9FBE-D8FE-48FB-A4F2-F46C7E290E5E}"/>
            </a:ext>
          </a:extLst>
        </xdr:cNvPr>
        <xdr:cNvSpPr>
          <a:spLocks noChangeAspect="1" noChangeArrowheads="1"/>
        </xdr:cNvSpPr>
      </xdr:nvSpPr>
      <xdr:spPr bwMode="auto">
        <a:xfrm>
          <a:off x="5800725" y="17030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84</xdr:row>
      <xdr:rowOff>0</xdr:rowOff>
    </xdr:from>
    <xdr:to>
      <xdr:col>7</xdr:col>
      <xdr:colOff>304800</xdr:colOff>
      <xdr:row>85</xdr:row>
      <xdr:rowOff>114300</xdr:rowOff>
    </xdr:to>
    <xdr:sp macro="" textlink="">
      <xdr:nvSpPr>
        <xdr:cNvPr id="10" name="AutoShape 14" descr="Thumbs down icon vector">
          <a:extLst>
            <a:ext uri="{FF2B5EF4-FFF2-40B4-BE49-F238E27FC236}">
              <a16:creationId xmlns:a16="http://schemas.microsoft.com/office/drawing/2014/main" id="{994DCDD6-C64E-4CF2-B141-A1AE6C28B298}"/>
            </a:ext>
          </a:extLst>
        </xdr:cNvPr>
        <xdr:cNvSpPr>
          <a:spLocks noChangeAspect="1" noChangeArrowheads="1"/>
        </xdr:cNvSpPr>
      </xdr:nvSpPr>
      <xdr:spPr bwMode="auto">
        <a:xfrm>
          <a:off x="5038725" y="16649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84</xdr:row>
      <xdr:rowOff>0</xdr:rowOff>
    </xdr:from>
    <xdr:to>
      <xdr:col>7</xdr:col>
      <xdr:colOff>304800</xdr:colOff>
      <xdr:row>85</xdr:row>
      <xdr:rowOff>114300</xdr:rowOff>
    </xdr:to>
    <xdr:sp macro="" textlink="">
      <xdr:nvSpPr>
        <xdr:cNvPr id="11" name="AutoShape 15" descr="Thumbs down icon vector">
          <a:extLst>
            <a:ext uri="{FF2B5EF4-FFF2-40B4-BE49-F238E27FC236}">
              <a16:creationId xmlns:a16="http://schemas.microsoft.com/office/drawing/2014/main" id="{49E4D287-05EC-4478-9391-488BEAA9A08F}"/>
            </a:ext>
          </a:extLst>
        </xdr:cNvPr>
        <xdr:cNvSpPr>
          <a:spLocks noChangeAspect="1" noChangeArrowheads="1"/>
        </xdr:cNvSpPr>
      </xdr:nvSpPr>
      <xdr:spPr bwMode="auto">
        <a:xfrm>
          <a:off x="5038725" y="16649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84</xdr:row>
      <xdr:rowOff>0</xdr:rowOff>
    </xdr:from>
    <xdr:to>
      <xdr:col>7</xdr:col>
      <xdr:colOff>304800</xdr:colOff>
      <xdr:row>85</xdr:row>
      <xdr:rowOff>114300</xdr:rowOff>
    </xdr:to>
    <xdr:sp macro="" textlink="">
      <xdr:nvSpPr>
        <xdr:cNvPr id="12" name="AutoShape 16" descr="Thumbs down icon vector">
          <a:extLst>
            <a:ext uri="{FF2B5EF4-FFF2-40B4-BE49-F238E27FC236}">
              <a16:creationId xmlns:a16="http://schemas.microsoft.com/office/drawing/2014/main" id="{58F5DC91-724A-416F-8B67-C1492BC3A001}"/>
            </a:ext>
          </a:extLst>
        </xdr:cNvPr>
        <xdr:cNvSpPr>
          <a:spLocks noChangeAspect="1" noChangeArrowheads="1"/>
        </xdr:cNvSpPr>
      </xdr:nvSpPr>
      <xdr:spPr bwMode="auto">
        <a:xfrm>
          <a:off x="5038725" y="16649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110067</xdr:colOff>
      <xdr:row>3</xdr:row>
      <xdr:rowOff>160867</xdr:rowOff>
    </xdr:from>
    <xdr:to>
      <xdr:col>17</xdr:col>
      <xdr:colOff>118533</xdr:colOff>
      <xdr:row>30</xdr:row>
      <xdr:rowOff>83820</xdr:rowOff>
    </xdr:to>
    <xdr:graphicFrame macro="">
      <xdr:nvGraphicFramePr>
        <xdr:cNvPr id="13" name="Graphique 12">
          <a:extLst>
            <a:ext uri="{FF2B5EF4-FFF2-40B4-BE49-F238E27FC236}">
              <a16:creationId xmlns:a16="http://schemas.microsoft.com/office/drawing/2014/main" id="{68AB36A1-2304-41A8-B699-279C07D748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388620</xdr:colOff>
      <xdr:row>45</xdr:row>
      <xdr:rowOff>53340</xdr:rowOff>
    </xdr:from>
    <xdr:to>
      <xdr:col>17</xdr:col>
      <xdr:colOff>397086</xdr:colOff>
      <xdr:row>72</xdr:row>
      <xdr:rowOff>22013</xdr:rowOff>
    </xdr:to>
    <xdr:graphicFrame macro="">
      <xdr:nvGraphicFramePr>
        <xdr:cNvPr id="14" name="Graphique 13">
          <a:extLst>
            <a:ext uri="{FF2B5EF4-FFF2-40B4-BE49-F238E27FC236}">
              <a16:creationId xmlns:a16="http://schemas.microsoft.com/office/drawing/2014/main" id="{358DF7F3-04AA-42DF-9CD5-BA13C46001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79</xdr:row>
      <xdr:rowOff>0</xdr:rowOff>
    </xdr:from>
    <xdr:to>
      <xdr:col>10</xdr:col>
      <xdr:colOff>304800</xdr:colOff>
      <xdr:row>80</xdr:row>
      <xdr:rowOff>114300</xdr:rowOff>
    </xdr:to>
    <xdr:sp macro="" textlink="">
      <xdr:nvSpPr>
        <xdr:cNvPr id="2" name="AutoShape 5" descr="Thumbs down icon vector">
          <a:extLst>
            <a:ext uri="{FF2B5EF4-FFF2-40B4-BE49-F238E27FC236}">
              <a16:creationId xmlns:a16="http://schemas.microsoft.com/office/drawing/2014/main" id="{E26D1517-2F32-4DCA-8365-B7ACF3F5DCD1}"/>
            </a:ext>
          </a:extLst>
        </xdr:cNvPr>
        <xdr:cNvSpPr>
          <a:spLocks noChangeAspect="1" noChangeArrowheads="1"/>
        </xdr:cNvSpPr>
      </xdr:nvSpPr>
      <xdr:spPr bwMode="auto">
        <a:xfrm>
          <a:off x="9172575" y="28413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85</xdr:row>
      <xdr:rowOff>0</xdr:rowOff>
    </xdr:from>
    <xdr:to>
      <xdr:col>10</xdr:col>
      <xdr:colOff>304800</xdr:colOff>
      <xdr:row>86</xdr:row>
      <xdr:rowOff>114300</xdr:rowOff>
    </xdr:to>
    <xdr:sp macro="" textlink="">
      <xdr:nvSpPr>
        <xdr:cNvPr id="3" name="AutoShape 6" descr="Thumbs down icon vector">
          <a:extLst>
            <a:ext uri="{FF2B5EF4-FFF2-40B4-BE49-F238E27FC236}">
              <a16:creationId xmlns:a16="http://schemas.microsoft.com/office/drawing/2014/main" id="{1BA72D2F-7A10-45B7-890F-8440EECADD23}"/>
            </a:ext>
          </a:extLst>
        </xdr:cNvPr>
        <xdr:cNvSpPr>
          <a:spLocks noChangeAspect="1" noChangeArrowheads="1"/>
        </xdr:cNvSpPr>
      </xdr:nvSpPr>
      <xdr:spPr bwMode="auto">
        <a:xfrm>
          <a:off x="9172575" y="29556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85</xdr:row>
      <xdr:rowOff>0</xdr:rowOff>
    </xdr:from>
    <xdr:to>
      <xdr:col>10</xdr:col>
      <xdr:colOff>304800</xdr:colOff>
      <xdr:row>86</xdr:row>
      <xdr:rowOff>114300</xdr:rowOff>
    </xdr:to>
    <xdr:sp macro="" textlink="">
      <xdr:nvSpPr>
        <xdr:cNvPr id="4" name="AutoShape 7" descr="Thumbs down icon vector">
          <a:extLst>
            <a:ext uri="{FF2B5EF4-FFF2-40B4-BE49-F238E27FC236}">
              <a16:creationId xmlns:a16="http://schemas.microsoft.com/office/drawing/2014/main" id="{A3AF1332-7769-497F-8256-0015D6B6DC9D}"/>
            </a:ext>
          </a:extLst>
        </xdr:cNvPr>
        <xdr:cNvSpPr>
          <a:spLocks noChangeAspect="1" noChangeArrowheads="1"/>
        </xdr:cNvSpPr>
      </xdr:nvSpPr>
      <xdr:spPr bwMode="auto">
        <a:xfrm>
          <a:off x="9172575" y="29556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85</xdr:row>
      <xdr:rowOff>0</xdr:rowOff>
    </xdr:from>
    <xdr:to>
      <xdr:col>10</xdr:col>
      <xdr:colOff>304800</xdr:colOff>
      <xdr:row>86</xdr:row>
      <xdr:rowOff>114300</xdr:rowOff>
    </xdr:to>
    <xdr:sp macro="" textlink="">
      <xdr:nvSpPr>
        <xdr:cNvPr id="5" name="AutoShape 8" descr="Thumbs down icon vector">
          <a:extLst>
            <a:ext uri="{FF2B5EF4-FFF2-40B4-BE49-F238E27FC236}">
              <a16:creationId xmlns:a16="http://schemas.microsoft.com/office/drawing/2014/main" id="{39C06546-DA96-4537-BFCC-276704F0DBE2}"/>
            </a:ext>
          </a:extLst>
        </xdr:cNvPr>
        <xdr:cNvSpPr>
          <a:spLocks noChangeAspect="1" noChangeArrowheads="1"/>
        </xdr:cNvSpPr>
      </xdr:nvSpPr>
      <xdr:spPr bwMode="auto">
        <a:xfrm>
          <a:off x="9172575" y="29556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85</xdr:row>
      <xdr:rowOff>0</xdr:rowOff>
    </xdr:from>
    <xdr:to>
      <xdr:col>10</xdr:col>
      <xdr:colOff>304800</xdr:colOff>
      <xdr:row>86</xdr:row>
      <xdr:rowOff>114300</xdr:rowOff>
    </xdr:to>
    <xdr:sp macro="" textlink="">
      <xdr:nvSpPr>
        <xdr:cNvPr id="6" name="AutoShape 9" descr="Thumbs down icon vector">
          <a:extLst>
            <a:ext uri="{FF2B5EF4-FFF2-40B4-BE49-F238E27FC236}">
              <a16:creationId xmlns:a16="http://schemas.microsoft.com/office/drawing/2014/main" id="{62970E91-6A52-4D17-B528-9E3116637974}"/>
            </a:ext>
          </a:extLst>
        </xdr:cNvPr>
        <xdr:cNvSpPr>
          <a:spLocks noChangeAspect="1" noChangeArrowheads="1"/>
        </xdr:cNvSpPr>
      </xdr:nvSpPr>
      <xdr:spPr bwMode="auto">
        <a:xfrm>
          <a:off x="9172575" y="29556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85</xdr:row>
      <xdr:rowOff>0</xdr:rowOff>
    </xdr:from>
    <xdr:to>
      <xdr:col>10</xdr:col>
      <xdr:colOff>304800</xdr:colOff>
      <xdr:row>86</xdr:row>
      <xdr:rowOff>114300</xdr:rowOff>
    </xdr:to>
    <xdr:sp macro="" textlink="">
      <xdr:nvSpPr>
        <xdr:cNvPr id="7" name="AutoShape 10" descr="Thumbs down icon vector">
          <a:extLst>
            <a:ext uri="{FF2B5EF4-FFF2-40B4-BE49-F238E27FC236}">
              <a16:creationId xmlns:a16="http://schemas.microsoft.com/office/drawing/2014/main" id="{9165C2D2-E413-48FD-A13F-97390FAA4B11}"/>
            </a:ext>
          </a:extLst>
        </xdr:cNvPr>
        <xdr:cNvSpPr>
          <a:spLocks noChangeAspect="1" noChangeArrowheads="1"/>
        </xdr:cNvSpPr>
      </xdr:nvSpPr>
      <xdr:spPr bwMode="auto">
        <a:xfrm>
          <a:off x="9172575" y="29556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85</xdr:row>
      <xdr:rowOff>0</xdr:rowOff>
    </xdr:from>
    <xdr:to>
      <xdr:col>10</xdr:col>
      <xdr:colOff>304800</xdr:colOff>
      <xdr:row>86</xdr:row>
      <xdr:rowOff>114300</xdr:rowOff>
    </xdr:to>
    <xdr:sp macro="" textlink="">
      <xdr:nvSpPr>
        <xdr:cNvPr id="8" name="AutoShape 11" descr="Thumbs down icon vector">
          <a:extLst>
            <a:ext uri="{FF2B5EF4-FFF2-40B4-BE49-F238E27FC236}">
              <a16:creationId xmlns:a16="http://schemas.microsoft.com/office/drawing/2014/main" id="{D059DF31-58D0-4144-A4C5-8A2A75877629}"/>
            </a:ext>
          </a:extLst>
        </xdr:cNvPr>
        <xdr:cNvSpPr>
          <a:spLocks noChangeAspect="1" noChangeArrowheads="1"/>
        </xdr:cNvSpPr>
      </xdr:nvSpPr>
      <xdr:spPr bwMode="auto">
        <a:xfrm>
          <a:off x="9172575" y="29556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85</xdr:row>
      <xdr:rowOff>0</xdr:rowOff>
    </xdr:from>
    <xdr:to>
      <xdr:col>10</xdr:col>
      <xdr:colOff>304800</xdr:colOff>
      <xdr:row>86</xdr:row>
      <xdr:rowOff>114300</xdr:rowOff>
    </xdr:to>
    <xdr:sp macro="" textlink="">
      <xdr:nvSpPr>
        <xdr:cNvPr id="9" name="AutoShape 12" descr="Thumbs down icon vector">
          <a:extLst>
            <a:ext uri="{FF2B5EF4-FFF2-40B4-BE49-F238E27FC236}">
              <a16:creationId xmlns:a16="http://schemas.microsoft.com/office/drawing/2014/main" id="{FCB59B50-FC56-4C8B-9B27-FD34BF7E09E4}"/>
            </a:ext>
          </a:extLst>
        </xdr:cNvPr>
        <xdr:cNvSpPr>
          <a:spLocks noChangeAspect="1" noChangeArrowheads="1"/>
        </xdr:cNvSpPr>
      </xdr:nvSpPr>
      <xdr:spPr bwMode="auto">
        <a:xfrm>
          <a:off x="9172575" y="29556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83</xdr:row>
      <xdr:rowOff>0</xdr:rowOff>
    </xdr:from>
    <xdr:to>
      <xdr:col>10</xdr:col>
      <xdr:colOff>304800</xdr:colOff>
      <xdr:row>84</xdr:row>
      <xdr:rowOff>114299</xdr:rowOff>
    </xdr:to>
    <xdr:sp macro="" textlink="">
      <xdr:nvSpPr>
        <xdr:cNvPr id="10" name="AutoShape 14" descr="Thumbs down icon vector">
          <a:extLst>
            <a:ext uri="{FF2B5EF4-FFF2-40B4-BE49-F238E27FC236}">
              <a16:creationId xmlns:a16="http://schemas.microsoft.com/office/drawing/2014/main" id="{8D445A73-D1F4-4873-BC5D-198023EAEC2A}"/>
            </a:ext>
          </a:extLst>
        </xdr:cNvPr>
        <xdr:cNvSpPr>
          <a:spLocks noChangeAspect="1" noChangeArrowheads="1"/>
        </xdr:cNvSpPr>
      </xdr:nvSpPr>
      <xdr:spPr bwMode="auto">
        <a:xfrm>
          <a:off x="9172575" y="2917507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83</xdr:row>
      <xdr:rowOff>0</xdr:rowOff>
    </xdr:from>
    <xdr:to>
      <xdr:col>10</xdr:col>
      <xdr:colOff>304800</xdr:colOff>
      <xdr:row>84</xdr:row>
      <xdr:rowOff>114299</xdr:rowOff>
    </xdr:to>
    <xdr:sp macro="" textlink="">
      <xdr:nvSpPr>
        <xdr:cNvPr id="11" name="AutoShape 15" descr="Thumbs down icon vector">
          <a:extLst>
            <a:ext uri="{FF2B5EF4-FFF2-40B4-BE49-F238E27FC236}">
              <a16:creationId xmlns:a16="http://schemas.microsoft.com/office/drawing/2014/main" id="{DA98A391-1A53-4986-862B-A0F289BDE884}"/>
            </a:ext>
          </a:extLst>
        </xdr:cNvPr>
        <xdr:cNvSpPr>
          <a:spLocks noChangeAspect="1" noChangeArrowheads="1"/>
        </xdr:cNvSpPr>
      </xdr:nvSpPr>
      <xdr:spPr bwMode="auto">
        <a:xfrm>
          <a:off x="9172575" y="2917507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83</xdr:row>
      <xdr:rowOff>0</xdr:rowOff>
    </xdr:from>
    <xdr:to>
      <xdr:col>10</xdr:col>
      <xdr:colOff>304800</xdr:colOff>
      <xdr:row>84</xdr:row>
      <xdr:rowOff>114299</xdr:rowOff>
    </xdr:to>
    <xdr:sp macro="" textlink="">
      <xdr:nvSpPr>
        <xdr:cNvPr id="12" name="AutoShape 16" descr="Thumbs down icon vector">
          <a:extLst>
            <a:ext uri="{FF2B5EF4-FFF2-40B4-BE49-F238E27FC236}">
              <a16:creationId xmlns:a16="http://schemas.microsoft.com/office/drawing/2014/main" id="{45DEB3F4-C1D9-4BD7-9A5B-CED5775F49D5}"/>
            </a:ext>
          </a:extLst>
        </xdr:cNvPr>
        <xdr:cNvSpPr>
          <a:spLocks noChangeAspect="1" noChangeArrowheads="1"/>
        </xdr:cNvSpPr>
      </xdr:nvSpPr>
      <xdr:spPr bwMode="auto">
        <a:xfrm>
          <a:off x="9172575" y="2917507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29</xdr:col>
      <xdr:colOff>0</xdr:colOff>
      <xdr:row>81</xdr:row>
      <xdr:rowOff>0</xdr:rowOff>
    </xdr:from>
    <xdr:to>
      <xdr:col>29</xdr:col>
      <xdr:colOff>304800</xdr:colOff>
      <xdr:row>82</xdr:row>
      <xdr:rowOff>114300</xdr:rowOff>
    </xdr:to>
    <xdr:sp macro="" textlink="">
      <xdr:nvSpPr>
        <xdr:cNvPr id="6" name="AutoShape 5" descr="Thumbs down icon vector">
          <a:extLst>
            <a:ext uri="{FF2B5EF4-FFF2-40B4-BE49-F238E27FC236}">
              <a16:creationId xmlns:a16="http://schemas.microsoft.com/office/drawing/2014/main" id="{45318935-3979-443B-8054-39F60F4894CA}"/>
            </a:ext>
          </a:extLst>
        </xdr:cNvPr>
        <xdr:cNvSpPr>
          <a:spLocks noChangeAspect="1" noChangeArrowheads="1"/>
        </xdr:cNvSpPr>
      </xdr:nvSpPr>
      <xdr:spPr bwMode="auto">
        <a:xfrm>
          <a:off x="19751040" y="2422398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28</xdr:col>
      <xdr:colOff>0</xdr:colOff>
      <xdr:row>87</xdr:row>
      <xdr:rowOff>0</xdr:rowOff>
    </xdr:from>
    <xdr:to>
      <xdr:col>28</xdr:col>
      <xdr:colOff>304800</xdr:colOff>
      <xdr:row>88</xdr:row>
      <xdr:rowOff>114300</xdr:rowOff>
    </xdr:to>
    <xdr:sp macro="" textlink="">
      <xdr:nvSpPr>
        <xdr:cNvPr id="7" name="AutoShape 6" descr="Thumbs down icon vector">
          <a:extLst>
            <a:ext uri="{FF2B5EF4-FFF2-40B4-BE49-F238E27FC236}">
              <a16:creationId xmlns:a16="http://schemas.microsoft.com/office/drawing/2014/main" id="{E24481FF-C48B-4A2A-94E9-BA2CE20E9FBB}"/>
            </a:ext>
          </a:extLst>
        </xdr:cNvPr>
        <xdr:cNvSpPr>
          <a:spLocks noChangeAspect="1" noChangeArrowheads="1"/>
        </xdr:cNvSpPr>
      </xdr:nvSpPr>
      <xdr:spPr bwMode="auto">
        <a:xfrm>
          <a:off x="18958560" y="253212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28</xdr:col>
      <xdr:colOff>0</xdr:colOff>
      <xdr:row>87</xdr:row>
      <xdr:rowOff>0</xdr:rowOff>
    </xdr:from>
    <xdr:to>
      <xdr:col>28</xdr:col>
      <xdr:colOff>304800</xdr:colOff>
      <xdr:row>88</xdr:row>
      <xdr:rowOff>114300</xdr:rowOff>
    </xdr:to>
    <xdr:sp macro="" textlink="">
      <xdr:nvSpPr>
        <xdr:cNvPr id="8" name="AutoShape 7" descr="Thumbs down icon vector">
          <a:extLst>
            <a:ext uri="{FF2B5EF4-FFF2-40B4-BE49-F238E27FC236}">
              <a16:creationId xmlns:a16="http://schemas.microsoft.com/office/drawing/2014/main" id="{F87AD7F5-2C32-40A1-850F-36EC606369B3}"/>
            </a:ext>
          </a:extLst>
        </xdr:cNvPr>
        <xdr:cNvSpPr>
          <a:spLocks noChangeAspect="1" noChangeArrowheads="1"/>
        </xdr:cNvSpPr>
      </xdr:nvSpPr>
      <xdr:spPr bwMode="auto">
        <a:xfrm>
          <a:off x="18958560" y="253212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28</xdr:col>
      <xdr:colOff>0</xdr:colOff>
      <xdr:row>87</xdr:row>
      <xdr:rowOff>0</xdr:rowOff>
    </xdr:from>
    <xdr:to>
      <xdr:col>28</xdr:col>
      <xdr:colOff>304800</xdr:colOff>
      <xdr:row>88</xdr:row>
      <xdr:rowOff>114300</xdr:rowOff>
    </xdr:to>
    <xdr:sp macro="" textlink="">
      <xdr:nvSpPr>
        <xdr:cNvPr id="9" name="AutoShape 8" descr="Thumbs down icon vector">
          <a:extLst>
            <a:ext uri="{FF2B5EF4-FFF2-40B4-BE49-F238E27FC236}">
              <a16:creationId xmlns:a16="http://schemas.microsoft.com/office/drawing/2014/main" id="{B33C4C79-7DEA-4734-A65A-D15738CBA604}"/>
            </a:ext>
          </a:extLst>
        </xdr:cNvPr>
        <xdr:cNvSpPr>
          <a:spLocks noChangeAspect="1" noChangeArrowheads="1"/>
        </xdr:cNvSpPr>
      </xdr:nvSpPr>
      <xdr:spPr bwMode="auto">
        <a:xfrm>
          <a:off x="18958560" y="253212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28</xdr:col>
      <xdr:colOff>0</xdr:colOff>
      <xdr:row>87</xdr:row>
      <xdr:rowOff>0</xdr:rowOff>
    </xdr:from>
    <xdr:to>
      <xdr:col>28</xdr:col>
      <xdr:colOff>304800</xdr:colOff>
      <xdr:row>88</xdr:row>
      <xdr:rowOff>114300</xdr:rowOff>
    </xdr:to>
    <xdr:sp macro="" textlink="">
      <xdr:nvSpPr>
        <xdr:cNvPr id="10" name="AutoShape 9" descr="Thumbs down icon vector">
          <a:extLst>
            <a:ext uri="{FF2B5EF4-FFF2-40B4-BE49-F238E27FC236}">
              <a16:creationId xmlns:a16="http://schemas.microsoft.com/office/drawing/2014/main" id="{F9C19D5D-3353-4E9A-9AD6-7074863574B0}"/>
            </a:ext>
          </a:extLst>
        </xdr:cNvPr>
        <xdr:cNvSpPr>
          <a:spLocks noChangeAspect="1" noChangeArrowheads="1"/>
        </xdr:cNvSpPr>
      </xdr:nvSpPr>
      <xdr:spPr bwMode="auto">
        <a:xfrm>
          <a:off x="18958560" y="253212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28</xdr:col>
      <xdr:colOff>0</xdr:colOff>
      <xdr:row>87</xdr:row>
      <xdr:rowOff>0</xdr:rowOff>
    </xdr:from>
    <xdr:to>
      <xdr:col>28</xdr:col>
      <xdr:colOff>304800</xdr:colOff>
      <xdr:row>88</xdr:row>
      <xdr:rowOff>114300</xdr:rowOff>
    </xdr:to>
    <xdr:sp macro="" textlink="">
      <xdr:nvSpPr>
        <xdr:cNvPr id="11" name="AutoShape 10" descr="Thumbs down icon vector">
          <a:extLst>
            <a:ext uri="{FF2B5EF4-FFF2-40B4-BE49-F238E27FC236}">
              <a16:creationId xmlns:a16="http://schemas.microsoft.com/office/drawing/2014/main" id="{409ACC69-5B5D-47B6-BCCE-C85E537AE5CE}"/>
            </a:ext>
          </a:extLst>
        </xdr:cNvPr>
        <xdr:cNvSpPr>
          <a:spLocks noChangeAspect="1" noChangeArrowheads="1"/>
        </xdr:cNvSpPr>
      </xdr:nvSpPr>
      <xdr:spPr bwMode="auto">
        <a:xfrm>
          <a:off x="18958560" y="253212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28</xdr:col>
      <xdr:colOff>0</xdr:colOff>
      <xdr:row>87</xdr:row>
      <xdr:rowOff>0</xdr:rowOff>
    </xdr:from>
    <xdr:to>
      <xdr:col>28</xdr:col>
      <xdr:colOff>304800</xdr:colOff>
      <xdr:row>88</xdr:row>
      <xdr:rowOff>114300</xdr:rowOff>
    </xdr:to>
    <xdr:sp macro="" textlink="">
      <xdr:nvSpPr>
        <xdr:cNvPr id="12" name="AutoShape 11" descr="Thumbs down icon vector">
          <a:extLst>
            <a:ext uri="{FF2B5EF4-FFF2-40B4-BE49-F238E27FC236}">
              <a16:creationId xmlns:a16="http://schemas.microsoft.com/office/drawing/2014/main" id="{671F8B08-5F3C-4423-B3CB-0204634DDF12}"/>
            </a:ext>
          </a:extLst>
        </xdr:cNvPr>
        <xdr:cNvSpPr>
          <a:spLocks noChangeAspect="1" noChangeArrowheads="1"/>
        </xdr:cNvSpPr>
      </xdr:nvSpPr>
      <xdr:spPr bwMode="auto">
        <a:xfrm>
          <a:off x="18958560" y="253212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28</xdr:col>
      <xdr:colOff>0</xdr:colOff>
      <xdr:row>87</xdr:row>
      <xdr:rowOff>0</xdr:rowOff>
    </xdr:from>
    <xdr:to>
      <xdr:col>28</xdr:col>
      <xdr:colOff>304800</xdr:colOff>
      <xdr:row>88</xdr:row>
      <xdr:rowOff>114300</xdr:rowOff>
    </xdr:to>
    <xdr:sp macro="" textlink="">
      <xdr:nvSpPr>
        <xdr:cNvPr id="13" name="AutoShape 12" descr="Thumbs down icon vector">
          <a:extLst>
            <a:ext uri="{FF2B5EF4-FFF2-40B4-BE49-F238E27FC236}">
              <a16:creationId xmlns:a16="http://schemas.microsoft.com/office/drawing/2014/main" id="{A76B246D-8D3F-420A-98F6-92F0CDDEF2D6}"/>
            </a:ext>
          </a:extLst>
        </xdr:cNvPr>
        <xdr:cNvSpPr>
          <a:spLocks noChangeAspect="1" noChangeArrowheads="1"/>
        </xdr:cNvSpPr>
      </xdr:nvSpPr>
      <xdr:spPr bwMode="auto">
        <a:xfrm>
          <a:off x="18958560" y="253212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27</xdr:col>
      <xdr:colOff>0</xdr:colOff>
      <xdr:row>85</xdr:row>
      <xdr:rowOff>0</xdr:rowOff>
    </xdr:from>
    <xdr:to>
      <xdr:col>27</xdr:col>
      <xdr:colOff>304800</xdr:colOff>
      <xdr:row>86</xdr:row>
      <xdr:rowOff>114300</xdr:rowOff>
    </xdr:to>
    <xdr:sp macro="" textlink="">
      <xdr:nvSpPr>
        <xdr:cNvPr id="14" name="AutoShape 14" descr="Thumbs down icon vector">
          <a:extLst>
            <a:ext uri="{FF2B5EF4-FFF2-40B4-BE49-F238E27FC236}">
              <a16:creationId xmlns:a16="http://schemas.microsoft.com/office/drawing/2014/main" id="{EF3FC267-6525-4059-B006-18EE20F3E49C}"/>
            </a:ext>
          </a:extLst>
        </xdr:cNvPr>
        <xdr:cNvSpPr>
          <a:spLocks noChangeAspect="1" noChangeArrowheads="1"/>
        </xdr:cNvSpPr>
      </xdr:nvSpPr>
      <xdr:spPr bwMode="auto">
        <a:xfrm>
          <a:off x="18166080" y="249555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27</xdr:col>
      <xdr:colOff>0</xdr:colOff>
      <xdr:row>85</xdr:row>
      <xdr:rowOff>0</xdr:rowOff>
    </xdr:from>
    <xdr:to>
      <xdr:col>27</xdr:col>
      <xdr:colOff>304800</xdr:colOff>
      <xdr:row>86</xdr:row>
      <xdr:rowOff>114300</xdr:rowOff>
    </xdr:to>
    <xdr:sp macro="" textlink="">
      <xdr:nvSpPr>
        <xdr:cNvPr id="15" name="AutoShape 15" descr="Thumbs down icon vector">
          <a:extLst>
            <a:ext uri="{FF2B5EF4-FFF2-40B4-BE49-F238E27FC236}">
              <a16:creationId xmlns:a16="http://schemas.microsoft.com/office/drawing/2014/main" id="{90BA3956-8F76-4CED-93E9-EBA5D193D089}"/>
            </a:ext>
          </a:extLst>
        </xdr:cNvPr>
        <xdr:cNvSpPr>
          <a:spLocks noChangeAspect="1" noChangeArrowheads="1"/>
        </xdr:cNvSpPr>
      </xdr:nvSpPr>
      <xdr:spPr bwMode="auto">
        <a:xfrm>
          <a:off x="18166080" y="249555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27</xdr:col>
      <xdr:colOff>0</xdr:colOff>
      <xdr:row>85</xdr:row>
      <xdr:rowOff>0</xdr:rowOff>
    </xdr:from>
    <xdr:to>
      <xdr:col>27</xdr:col>
      <xdr:colOff>304800</xdr:colOff>
      <xdr:row>86</xdr:row>
      <xdr:rowOff>114300</xdr:rowOff>
    </xdr:to>
    <xdr:sp macro="" textlink="">
      <xdr:nvSpPr>
        <xdr:cNvPr id="16" name="AutoShape 16" descr="Thumbs down icon vector">
          <a:extLst>
            <a:ext uri="{FF2B5EF4-FFF2-40B4-BE49-F238E27FC236}">
              <a16:creationId xmlns:a16="http://schemas.microsoft.com/office/drawing/2014/main" id="{4DA1C46A-4AB6-4DC2-9A38-4431019B4E13}"/>
            </a:ext>
          </a:extLst>
        </xdr:cNvPr>
        <xdr:cNvSpPr>
          <a:spLocks noChangeAspect="1" noChangeArrowheads="1"/>
        </xdr:cNvSpPr>
      </xdr:nvSpPr>
      <xdr:spPr bwMode="auto">
        <a:xfrm>
          <a:off x="18166080" y="249555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27</xdr:col>
      <xdr:colOff>148168</xdr:colOff>
      <xdr:row>15</xdr:row>
      <xdr:rowOff>97602</xdr:rowOff>
    </xdr:from>
    <xdr:ext cx="243417" cy="135232"/>
    <xdr:pic>
      <xdr:nvPicPr>
        <xdr:cNvPr id="2" name="Image 1" descr="conseil achat">
          <a:extLst>
            <a:ext uri="{FF2B5EF4-FFF2-40B4-BE49-F238E27FC236}">
              <a16:creationId xmlns:a16="http://schemas.microsoft.com/office/drawing/2014/main" id="{C31FDD59-AB60-408D-9771-58E58CFAE2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05288" y="2840802"/>
          <a:ext cx="243417" cy="1352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27</xdr:col>
      <xdr:colOff>84667</xdr:colOff>
      <xdr:row>17</xdr:row>
      <xdr:rowOff>52918</xdr:rowOff>
    </xdr:from>
    <xdr:ext cx="342900" cy="190500"/>
    <xdr:pic>
      <xdr:nvPicPr>
        <xdr:cNvPr id="3" name="Image 2" descr="conseil ecart">
          <a:extLst>
            <a:ext uri="{FF2B5EF4-FFF2-40B4-BE49-F238E27FC236}">
              <a16:creationId xmlns:a16="http://schemas.microsoft.com/office/drawing/2014/main" id="{759F30E9-BC20-4691-9E76-FD1FA38BC0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141787" y="3161878"/>
          <a:ext cx="3429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27</xdr:col>
      <xdr:colOff>63501</xdr:colOff>
      <xdr:row>18</xdr:row>
      <xdr:rowOff>74082</xdr:rowOff>
    </xdr:from>
    <xdr:ext cx="323851" cy="179917"/>
    <xdr:pic>
      <xdr:nvPicPr>
        <xdr:cNvPr id="4" name="Image 3" descr="conseil benefice">
          <a:extLst>
            <a:ext uri="{FF2B5EF4-FFF2-40B4-BE49-F238E27FC236}">
              <a16:creationId xmlns:a16="http://schemas.microsoft.com/office/drawing/2014/main" id="{49F287A3-BB09-4746-8FD6-33BB361BAA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120621" y="3365922"/>
          <a:ext cx="323851" cy="1799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27</xdr:col>
      <xdr:colOff>84667</xdr:colOff>
      <xdr:row>20</xdr:row>
      <xdr:rowOff>52916</xdr:rowOff>
    </xdr:from>
    <xdr:ext cx="342900" cy="190500"/>
    <xdr:pic>
      <xdr:nvPicPr>
        <xdr:cNvPr id="5" name="Image 4" descr="conseil conserver">
          <a:extLst>
            <a:ext uri="{FF2B5EF4-FFF2-40B4-BE49-F238E27FC236}">
              <a16:creationId xmlns:a16="http://schemas.microsoft.com/office/drawing/2014/main" id="{FE763850-D82D-4223-918A-8134FDE183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141787" y="3527636"/>
          <a:ext cx="3429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33</xdr:col>
      <xdr:colOff>0</xdr:colOff>
      <xdr:row>76</xdr:row>
      <xdr:rowOff>0</xdr:rowOff>
    </xdr:from>
    <xdr:ext cx="304800" cy="300567"/>
    <xdr:sp macro="" textlink="">
      <xdr:nvSpPr>
        <xdr:cNvPr id="6" name="AutoShape 5" descr="Thumbs down icon vector">
          <a:extLst>
            <a:ext uri="{FF2B5EF4-FFF2-40B4-BE49-F238E27FC236}">
              <a16:creationId xmlns:a16="http://schemas.microsoft.com/office/drawing/2014/main" id="{DB49424D-5177-4829-B1CC-686E74DB1F96}"/>
            </a:ext>
          </a:extLst>
        </xdr:cNvPr>
        <xdr:cNvSpPr>
          <a:spLocks noChangeAspect="1" noChangeArrowheads="1"/>
        </xdr:cNvSpPr>
      </xdr:nvSpPr>
      <xdr:spPr bwMode="auto">
        <a:xfrm>
          <a:off x="21396960" y="13716000"/>
          <a:ext cx="304800" cy="3005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82</xdr:row>
      <xdr:rowOff>0</xdr:rowOff>
    </xdr:from>
    <xdr:ext cx="304800" cy="300567"/>
    <xdr:sp macro="" textlink="">
      <xdr:nvSpPr>
        <xdr:cNvPr id="7" name="AutoShape 6" descr="Thumbs down icon vector">
          <a:extLst>
            <a:ext uri="{FF2B5EF4-FFF2-40B4-BE49-F238E27FC236}">
              <a16:creationId xmlns:a16="http://schemas.microsoft.com/office/drawing/2014/main" id="{1BAB1C28-0C33-4320-AB23-8378B6249B2E}"/>
            </a:ext>
          </a:extLst>
        </xdr:cNvPr>
        <xdr:cNvSpPr>
          <a:spLocks noChangeAspect="1" noChangeArrowheads="1"/>
        </xdr:cNvSpPr>
      </xdr:nvSpPr>
      <xdr:spPr bwMode="auto">
        <a:xfrm>
          <a:off x="20604480" y="14813280"/>
          <a:ext cx="304800" cy="3005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82</xdr:row>
      <xdr:rowOff>0</xdr:rowOff>
    </xdr:from>
    <xdr:ext cx="304800" cy="300567"/>
    <xdr:sp macro="" textlink="">
      <xdr:nvSpPr>
        <xdr:cNvPr id="8" name="AutoShape 7" descr="Thumbs down icon vector">
          <a:extLst>
            <a:ext uri="{FF2B5EF4-FFF2-40B4-BE49-F238E27FC236}">
              <a16:creationId xmlns:a16="http://schemas.microsoft.com/office/drawing/2014/main" id="{DBF35D86-675F-4B7E-86ED-0D7F73092433}"/>
            </a:ext>
          </a:extLst>
        </xdr:cNvPr>
        <xdr:cNvSpPr>
          <a:spLocks noChangeAspect="1" noChangeArrowheads="1"/>
        </xdr:cNvSpPr>
      </xdr:nvSpPr>
      <xdr:spPr bwMode="auto">
        <a:xfrm>
          <a:off x="20604480" y="14813280"/>
          <a:ext cx="304800" cy="3005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82</xdr:row>
      <xdr:rowOff>0</xdr:rowOff>
    </xdr:from>
    <xdr:ext cx="304800" cy="300567"/>
    <xdr:sp macro="" textlink="">
      <xdr:nvSpPr>
        <xdr:cNvPr id="9" name="AutoShape 8" descr="Thumbs down icon vector">
          <a:extLst>
            <a:ext uri="{FF2B5EF4-FFF2-40B4-BE49-F238E27FC236}">
              <a16:creationId xmlns:a16="http://schemas.microsoft.com/office/drawing/2014/main" id="{019EB0AB-B6DB-4004-96D6-05BDCB967DF3}"/>
            </a:ext>
          </a:extLst>
        </xdr:cNvPr>
        <xdr:cNvSpPr>
          <a:spLocks noChangeAspect="1" noChangeArrowheads="1"/>
        </xdr:cNvSpPr>
      </xdr:nvSpPr>
      <xdr:spPr bwMode="auto">
        <a:xfrm>
          <a:off x="20604480" y="14813280"/>
          <a:ext cx="304800" cy="3005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82</xdr:row>
      <xdr:rowOff>0</xdr:rowOff>
    </xdr:from>
    <xdr:ext cx="304800" cy="300567"/>
    <xdr:sp macro="" textlink="">
      <xdr:nvSpPr>
        <xdr:cNvPr id="10" name="AutoShape 9" descr="Thumbs down icon vector">
          <a:extLst>
            <a:ext uri="{FF2B5EF4-FFF2-40B4-BE49-F238E27FC236}">
              <a16:creationId xmlns:a16="http://schemas.microsoft.com/office/drawing/2014/main" id="{565449AB-5E3D-4B34-ACBB-C69661850E79}"/>
            </a:ext>
          </a:extLst>
        </xdr:cNvPr>
        <xdr:cNvSpPr>
          <a:spLocks noChangeAspect="1" noChangeArrowheads="1"/>
        </xdr:cNvSpPr>
      </xdr:nvSpPr>
      <xdr:spPr bwMode="auto">
        <a:xfrm>
          <a:off x="20604480" y="14813280"/>
          <a:ext cx="304800" cy="3005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82</xdr:row>
      <xdr:rowOff>0</xdr:rowOff>
    </xdr:from>
    <xdr:ext cx="304800" cy="300567"/>
    <xdr:sp macro="" textlink="">
      <xdr:nvSpPr>
        <xdr:cNvPr id="11" name="AutoShape 10" descr="Thumbs down icon vector">
          <a:extLst>
            <a:ext uri="{FF2B5EF4-FFF2-40B4-BE49-F238E27FC236}">
              <a16:creationId xmlns:a16="http://schemas.microsoft.com/office/drawing/2014/main" id="{7DFBB104-9B25-401A-A452-F50629F77DC4}"/>
            </a:ext>
          </a:extLst>
        </xdr:cNvPr>
        <xdr:cNvSpPr>
          <a:spLocks noChangeAspect="1" noChangeArrowheads="1"/>
        </xdr:cNvSpPr>
      </xdr:nvSpPr>
      <xdr:spPr bwMode="auto">
        <a:xfrm>
          <a:off x="20604480" y="14813280"/>
          <a:ext cx="304800" cy="3005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82</xdr:row>
      <xdr:rowOff>0</xdr:rowOff>
    </xdr:from>
    <xdr:ext cx="304800" cy="300567"/>
    <xdr:sp macro="" textlink="">
      <xdr:nvSpPr>
        <xdr:cNvPr id="12" name="AutoShape 11" descr="Thumbs down icon vector">
          <a:extLst>
            <a:ext uri="{FF2B5EF4-FFF2-40B4-BE49-F238E27FC236}">
              <a16:creationId xmlns:a16="http://schemas.microsoft.com/office/drawing/2014/main" id="{FC815EFF-3B52-4FAE-84B4-78FBD7876B64}"/>
            </a:ext>
          </a:extLst>
        </xdr:cNvPr>
        <xdr:cNvSpPr>
          <a:spLocks noChangeAspect="1" noChangeArrowheads="1"/>
        </xdr:cNvSpPr>
      </xdr:nvSpPr>
      <xdr:spPr bwMode="auto">
        <a:xfrm>
          <a:off x="20604480" y="14813280"/>
          <a:ext cx="304800" cy="3005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82</xdr:row>
      <xdr:rowOff>0</xdr:rowOff>
    </xdr:from>
    <xdr:ext cx="304800" cy="300567"/>
    <xdr:sp macro="" textlink="">
      <xdr:nvSpPr>
        <xdr:cNvPr id="13" name="AutoShape 12" descr="Thumbs down icon vector">
          <a:extLst>
            <a:ext uri="{FF2B5EF4-FFF2-40B4-BE49-F238E27FC236}">
              <a16:creationId xmlns:a16="http://schemas.microsoft.com/office/drawing/2014/main" id="{7762FB91-D30D-4745-ACE8-9D6E486669FB}"/>
            </a:ext>
          </a:extLst>
        </xdr:cNvPr>
        <xdr:cNvSpPr>
          <a:spLocks noChangeAspect="1" noChangeArrowheads="1"/>
        </xdr:cNvSpPr>
      </xdr:nvSpPr>
      <xdr:spPr bwMode="auto">
        <a:xfrm>
          <a:off x="20604480" y="14813280"/>
          <a:ext cx="304800" cy="3005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80</xdr:row>
      <xdr:rowOff>0</xdr:rowOff>
    </xdr:from>
    <xdr:ext cx="304800" cy="300566"/>
    <xdr:sp macro="" textlink="">
      <xdr:nvSpPr>
        <xdr:cNvPr id="14" name="AutoShape 14" descr="Thumbs down icon vector">
          <a:extLst>
            <a:ext uri="{FF2B5EF4-FFF2-40B4-BE49-F238E27FC236}">
              <a16:creationId xmlns:a16="http://schemas.microsoft.com/office/drawing/2014/main" id="{3EA9F934-2752-4C80-9156-2366B0CA9E7A}"/>
            </a:ext>
          </a:extLst>
        </xdr:cNvPr>
        <xdr:cNvSpPr>
          <a:spLocks noChangeAspect="1" noChangeArrowheads="1"/>
        </xdr:cNvSpPr>
      </xdr:nvSpPr>
      <xdr:spPr bwMode="auto">
        <a:xfrm>
          <a:off x="19812000" y="14447520"/>
          <a:ext cx="304800" cy="3005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80</xdr:row>
      <xdr:rowOff>0</xdr:rowOff>
    </xdr:from>
    <xdr:ext cx="304800" cy="300566"/>
    <xdr:sp macro="" textlink="">
      <xdr:nvSpPr>
        <xdr:cNvPr id="15" name="AutoShape 15" descr="Thumbs down icon vector">
          <a:extLst>
            <a:ext uri="{FF2B5EF4-FFF2-40B4-BE49-F238E27FC236}">
              <a16:creationId xmlns:a16="http://schemas.microsoft.com/office/drawing/2014/main" id="{39707583-52B9-444E-AB8D-01D0AB1F1CC5}"/>
            </a:ext>
          </a:extLst>
        </xdr:cNvPr>
        <xdr:cNvSpPr>
          <a:spLocks noChangeAspect="1" noChangeArrowheads="1"/>
        </xdr:cNvSpPr>
      </xdr:nvSpPr>
      <xdr:spPr bwMode="auto">
        <a:xfrm>
          <a:off x="19812000" y="14447520"/>
          <a:ext cx="304800" cy="3005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80</xdr:row>
      <xdr:rowOff>0</xdr:rowOff>
    </xdr:from>
    <xdr:ext cx="304800" cy="300566"/>
    <xdr:sp macro="" textlink="">
      <xdr:nvSpPr>
        <xdr:cNvPr id="16" name="AutoShape 16" descr="Thumbs down icon vector">
          <a:extLst>
            <a:ext uri="{FF2B5EF4-FFF2-40B4-BE49-F238E27FC236}">
              <a16:creationId xmlns:a16="http://schemas.microsoft.com/office/drawing/2014/main" id="{EE8769AC-2D0F-4CC8-B7E0-8DED0A67A885}"/>
            </a:ext>
          </a:extLst>
        </xdr:cNvPr>
        <xdr:cNvSpPr>
          <a:spLocks noChangeAspect="1" noChangeArrowheads="1"/>
        </xdr:cNvSpPr>
      </xdr:nvSpPr>
      <xdr:spPr bwMode="auto">
        <a:xfrm>
          <a:off x="19812000" y="14447520"/>
          <a:ext cx="304800" cy="3005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84667</xdr:colOff>
      <xdr:row>21</xdr:row>
      <xdr:rowOff>52918</xdr:rowOff>
    </xdr:from>
    <xdr:ext cx="342900" cy="190500"/>
    <xdr:pic>
      <xdr:nvPicPr>
        <xdr:cNvPr id="17" name="Image 16" descr="conseil ecart">
          <a:extLst>
            <a:ext uri="{FF2B5EF4-FFF2-40B4-BE49-F238E27FC236}">
              <a16:creationId xmlns:a16="http://schemas.microsoft.com/office/drawing/2014/main" id="{9FD48C56-6605-451E-AE71-D911953D67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141787" y="3710518"/>
          <a:ext cx="3429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27</xdr:col>
      <xdr:colOff>63501</xdr:colOff>
      <xdr:row>23</xdr:row>
      <xdr:rowOff>74082</xdr:rowOff>
    </xdr:from>
    <xdr:ext cx="323851" cy="179917"/>
    <xdr:pic>
      <xdr:nvPicPr>
        <xdr:cNvPr id="18" name="Image 17" descr="conseil benefice">
          <a:extLst>
            <a:ext uri="{FF2B5EF4-FFF2-40B4-BE49-F238E27FC236}">
              <a16:creationId xmlns:a16="http://schemas.microsoft.com/office/drawing/2014/main" id="{7AA758C7-4208-41BB-84E7-ABEB26BCD1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120621" y="4097442"/>
          <a:ext cx="323851" cy="1799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27</xdr:col>
      <xdr:colOff>84667</xdr:colOff>
      <xdr:row>24</xdr:row>
      <xdr:rowOff>52916</xdr:rowOff>
    </xdr:from>
    <xdr:ext cx="342900" cy="190500"/>
    <xdr:pic>
      <xdr:nvPicPr>
        <xdr:cNvPr id="19" name="Image 18" descr="conseil conserver">
          <a:extLst>
            <a:ext uri="{FF2B5EF4-FFF2-40B4-BE49-F238E27FC236}">
              <a16:creationId xmlns:a16="http://schemas.microsoft.com/office/drawing/2014/main" id="{D976E8EA-81A9-4D9B-B6D3-5CF1524182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141787" y="4259156"/>
          <a:ext cx="3429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27</xdr:col>
      <xdr:colOff>148168</xdr:colOff>
      <xdr:row>25</xdr:row>
      <xdr:rowOff>97602</xdr:rowOff>
    </xdr:from>
    <xdr:ext cx="243417" cy="135232"/>
    <xdr:pic>
      <xdr:nvPicPr>
        <xdr:cNvPr id="20" name="Image 19" descr="conseil achat">
          <a:extLst>
            <a:ext uri="{FF2B5EF4-FFF2-40B4-BE49-F238E27FC236}">
              <a16:creationId xmlns:a16="http://schemas.microsoft.com/office/drawing/2014/main" id="{34C8501C-F139-47D9-919A-8DF35F0F90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05288" y="4486722"/>
          <a:ext cx="243417" cy="1352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27</xdr:col>
      <xdr:colOff>84667</xdr:colOff>
      <xdr:row>26</xdr:row>
      <xdr:rowOff>52918</xdr:rowOff>
    </xdr:from>
    <xdr:ext cx="342900" cy="190500"/>
    <xdr:pic>
      <xdr:nvPicPr>
        <xdr:cNvPr id="21" name="Image 20" descr="conseil ecart">
          <a:extLst>
            <a:ext uri="{FF2B5EF4-FFF2-40B4-BE49-F238E27FC236}">
              <a16:creationId xmlns:a16="http://schemas.microsoft.com/office/drawing/2014/main" id="{2EC2D4EB-BFF3-4826-8220-D8256DB66F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141787" y="4624918"/>
          <a:ext cx="3429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27</xdr:col>
      <xdr:colOff>63501</xdr:colOff>
      <xdr:row>27</xdr:row>
      <xdr:rowOff>74082</xdr:rowOff>
    </xdr:from>
    <xdr:ext cx="323851" cy="179917"/>
    <xdr:pic>
      <xdr:nvPicPr>
        <xdr:cNvPr id="22" name="Image 21" descr="conseil benefice">
          <a:extLst>
            <a:ext uri="{FF2B5EF4-FFF2-40B4-BE49-F238E27FC236}">
              <a16:creationId xmlns:a16="http://schemas.microsoft.com/office/drawing/2014/main" id="{B30CD24E-E083-4F8F-84AB-C2BBED1481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120621" y="4828962"/>
          <a:ext cx="323851" cy="1799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27</xdr:col>
      <xdr:colOff>63501</xdr:colOff>
      <xdr:row>28</xdr:row>
      <xdr:rowOff>74082</xdr:rowOff>
    </xdr:from>
    <xdr:ext cx="323851" cy="179917"/>
    <xdr:pic>
      <xdr:nvPicPr>
        <xdr:cNvPr id="23" name="Image 22" descr="conseil benefice">
          <a:extLst>
            <a:ext uri="{FF2B5EF4-FFF2-40B4-BE49-F238E27FC236}">
              <a16:creationId xmlns:a16="http://schemas.microsoft.com/office/drawing/2014/main" id="{87561A82-02F3-40EB-BA0F-7828046C71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120621" y="5011842"/>
          <a:ext cx="323851" cy="1799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27</xdr:col>
      <xdr:colOff>84667</xdr:colOff>
      <xdr:row>29</xdr:row>
      <xdr:rowOff>52916</xdr:rowOff>
    </xdr:from>
    <xdr:ext cx="342900" cy="190500"/>
    <xdr:pic>
      <xdr:nvPicPr>
        <xdr:cNvPr id="24" name="Image 23" descr="conseil conserver">
          <a:extLst>
            <a:ext uri="{FF2B5EF4-FFF2-40B4-BE49-F238E27FC236}">
              <a16:creationId xmlns:a16="http://schemas.microsoft.com/office/drawing/2014/main" id="{7066603E-F28D-4C0F-BBA6-DE9441772B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141787" y="5173556"/>
          <a:ext cx="3429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27</xdr:col>
      <xdr:colOff>84667</xdr:colOff>
      <xdr:row>30</xdr:row>
      <xdr:rowOff>52918</xdr:rowOff>
    </xdr:from>
    <xdr:ext cx="342900" cy="190500"/>
    <xdr:pic>
      <xdr:nvPicPr>
        <xdr:cNvPr id="25" name="Image 24" descr="conseil ecart">
          <a:extLst>
            <a:ext uri="{FF2B5EF4-FFF2-40B4-BE49-F238E27FC236}">
              <a16:creationId xmlns:a16="http://schemas.microsoft.com/office/drawing/2014/main" id="{F1367E82-A162-4FF2-ACD6-81386DCD3B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141787" y="5356438"/>
          <a:ext cx="3429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27</xdr:col>
      <xdr:colOff>63501</xdr:colOff>
      <xdr:row>31</xdr:row>
      <xdr:rowOff>74082</xdr:rowOff>
    </xdr:from>
    <xdr:ext cx="323851" cy="179917"/>
    <xdr:pic>
      <xdr:nvPicPr>
        <xdr:cNvPr id="26" name="Image 25" descr="conseil benefice">
          <a:extLst>
            <a:ext uri="{FF2B5EF4-FFF2-40B4-BE49-F238E27FC236}">
              <a16:creationId xmlns:a16="http://schemas.microsoft.com/office/drawing/2014/main" id="{888C4D4A-544E-40A6-B204-5A7228CA50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120621" y="5560482"/>
          <a:ext cx="323851" cy="1799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27</xdr:col>
      <xdr:colOff>84667</xdr:colOff>
      <xdr:row>32</xdr:row>
      <xdr:rowOff>52916</xdr:rowOff>
    </xdr:from>
    <xdr:ext cx="342900" cy="190500"/>
    <xdr:pic>
      <xdr:nvPicPr>
        <xdr:cNvPr id="27" name="Image 26" descr="conseil conserver">
          <a:extLst>
            <a:ext uri="{FF2B5EF4-FFF2-40B4-BE49-F238E27FC236}">
              <a16:creationId xmlns:a16="http://schemas.microsoft.com/office/drawing/2014/main" id="{1354BEAA-C93B-4D4D-8AD5-0130D46478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141787" y="5722196"/>
          <a:ext cx="3429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27</xdr:col>
      <xdr:colOff>148168</xdr:colOff>
      <xdr:row>33</xdr:row>
      <xdr:rowOff>97602</xdr:rowOff>
    </xdr:from>
    <xdr:ext cx="243417" cy="135232"/>
    <xdr:pic>
      <xdr:nvPicPr>
        <xdr:cNvPr id="28" name="Image 27" descr="conseil achat">
          <a:extLst>
            <a:ext uri="{FF2B5EF4-FFF2-40B4-BE49-F238E27FC236}">
              <a16:creationId xmlns:a16="http://schemas.microsoft.com/office/drawing/2014/main" id="{F0C41861-41A6-4D16-BA24-275F0E1019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05288" y="5949762"/>
          <a:ext cx="243417" cy="1352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27</xdr:col>
      <xdr:colOff>148168</xdr:colOff>
      <xdr:row>33</xdr:row>
      <xdr:rowOff>97602</xdr:rowOff>
    </xdr:from>
    <xdr:ext cx="243417" cy="135232"/>
    <xdr:pic>
      <xdr:nvPicPr>
        <xdr:cNvPr id="29" name="Image 28" descr="conseil achat">
          <a:extLst>
            <a:ext uri="{FF2B5EF4-FFF2-40B4-BE49-F238E27FC236}">
              <a16:creationId xmlns:a16="http://schemas.microsoft.com/office/drawing/2014/main" id="{5F9AA17F-BBA4-410E-BD7D-527990C9AB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05288" y="5949762"/>
          <a:ext cx="243417" cy="1352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27</xdr:col>
      <xdr:colOff>84667</xdr:colOff>
      <xdr:row>35</xdr:row>
      <xdr:rowOff>52918</xdr:rowOff>
    </xdr:from>
    <xdr:ext cx="342900" cy="190500"/>
    <xdr:pic>
      <xdr:nvPicPr>
        <xdr:cNvPr id="30" name="Image 29" descr="conseil ecart">
          <a:extLst>
            <a:ext uri="{FF2B5EF4-FFF2-40B4-BE49-F238E27FC236}">
              <a16:creationId xmlns:a16="http://schemas.microsoft.com/office/drawing/2014/main" id="{C3281CF4-07D1-4D0F-8CD6-0A29ECD8C6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141787" y="6270838"/>
          <a:ext cx="3429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27</xdr:col>
      <xdr:colOff>63501</xdr:colOff>
      <xdr:row>36</xdr:row>
      <xdr:rowOff>74082</xdr:rowOff>
    </xdr:from>
    <xdr:ext cx="323851" cy="179917"/>
    <xdr:pic>
      <xdr:nvPicPr>
        <xdr:cNvPr id="31" name="Image 30" descr="conseil benefice">
          <a:extLst>
            <a:ext uri="{FF2B5EF4-FFF2-40B4-BE49-F238E27FC236}">
              <a16:creationId xmlns:a16="http://schemas.microsoft.com/office/drawing/2014/main" id="{28E48D86-7B45-4F94-A046-09CD02437F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120621" y="6474882"/>
          <a:ext cx="323851" cy="1799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27</xdr:col>
      <xdr:colOff>63501</xdr:colOff>
      <xdr:row>37</xdr:row>
      <xdr:rowOff>74082</xdr:rowOff>
    </xdr:from>
    <xdr:ext cx="323851" cy="179917"/>
    <xdr:pic>
      <xdr:nvPicPr>
        <xdr:cNvPr id="32" name="Image 31" descr="conseil benefice">
          <a:extLst>
            <a:ext uri="{FF2B5EF4-FFF2-40B4-BE49-F238E27FC236}">
              <a16:creationId xmlns:a16="http://schemas.microsoft.com/office/drawing/2014/main" id="{FABF13AA-8AFF-461B-9B25-9715E59002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120621" y="6657762"/>
          <a:ext cx="323851" cy="1799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27</xdr:col>
      <xdr:colOff>84667</xdr:colOff>
      <xdr:row>39</xdr:row>
      <xdr:rowOff>52916</xdr:rowOff>
    </xdr:from>
    <xdr:ext cx="342900" cy="190500"/>
    <xdr:pic>
      <xdr:nvPicPr>
        <xdr:cNvPr id="33" name="Image 32" descr="conseil conserver">
          <a:extLst>
            <a:ext uri="{FF2B5EF4-FFF2-40B4-BE49-F238E27FC236}">
              <a16:creationId xmlns:a16="http://schemas.microsoft.com/office/drawing/2014/main" id="{621EE174-E360-4DFC-8D39-630B61CC3E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141787" y="7002356"/>
          <a:ext cx="3429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27</xdr:col>
      <xdr:colOff>84667</xdr:colOff>
      <xdr:row>54</xdr:row>
      <xdr:rowOff>52918</xdr:rowOff>
    </xdr:from>
    <xdr:ext cx="342900" cy="190500"/>
    <xdr:pic>
      <xdr:nvPicPr>
        <xdr:cNvPr id="34" name="Image 33" descr="conseil ecart">
          <a:extLst>
            <a:ext uri="{FF2B5EF4-FFF2-40B4-BE49-F238E27FC236}">
              <a16:creationId xmlns:a16="http://schemas.microsoft.com/office/drawing/2014/main" id="{6DC5AC3E-FAF9-421A-9273-FEA0F9132F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141787" y="9745558"/>
          <a:ext cx="3429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27</xdr:col>
      <xdr:colOff>84667</xdr:colOff>
      <xdr:row>54</xdr:row>
      <xdr:rowOff>52916</xdr:rowOff>
    </xdr:from>
    <xdr:ext cx="342900" cy="190500"/>
    <xdr:pic>
      <xdr:nvPicPr>
        <xdr:cNvPr id="35" name="Image 34" descr="conseil conserver">
          <a:extLst>
            <a:ext uri="{FF2B5EF4-FFF2-40B4-BE49-F238E27FC236}">
              <a16:creationId xmlns:a16="http://schemas.microsoft.com/office/drawing/2014/main" id="{9ED4473B-89A1-4D82-B74E-42FF75DB13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141787" y="9745556"/>
          <a:ext cx="3429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27</xdr:col>
      <xdr:colOff>148168</xdr:colOff>
      <xdr:row>56</xdr:row>
      <xdr:rowOff>97602</xdr:rowOff>
    </xdr:from>
    <xdr:ext cx="243417" cy="135232"/>
    <xdr:pic>
      <xdr:nvPicPr>
        <xdr:cNvPr id="36" name="Image 35" descr="conseil achat">
          <a:extLst>
            <a:ext uri="{FF2B5EF4-FFF2-40B4-BE49-F238E27FC236}">
              <a16:creationId xmlns:a16="http://schemas.microsoft.com/office/drawing/2014/main" id="{05991EEB-14CF-41DA-8C09-29A25D51E9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05288" y="10156002"/>
          <a:ext cx="243417" cy="1352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27</xdr:col>
      <xdr:colOff>148168</xdr:colOff>
      <xdr:row>5</xdr:row>
      <xdr:rowOff>97602</xdr:rowOff>
    </xdr:from>
    <xdr:ext cx="243417" cy="135232"/>
    <xdr:pic>
      <xdr:nvPicPr>
        <xdr:cNvPr id="37" name="Image 36" descr="conseil achat">
          <a:extLst>
            <a:ext uri="{FF2B5EF4-FFF2-40B4-BE49-F238E27FC236}">
              <a16:creationId xmlns:a16="http://schemas.microsoft.com/office/drawing/2014/main" id="{ED32038C-C4E3-47CB-94E2-99DAEA2146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05288" y="1012002"/>
          <a:ext cx="243417" cy="1352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27</xdr:col>
      <xdr:colOff>148168</xdr:colOff>
      <xdr:row>6</xdr:row>
      <xdr:rowOff>97602</xdr:rowOff>
    </xdr:from>
    <xdr:ext cx="243417" cy="135232"/>
    <xdr:pic>
      <xdr:nvPicPr>
        <xdr:cNvPr id="38" name="Image 37" descr="conseil achat">
          <a:extLst>
            <a:ext uri="{FF2B5EF4-FFF2-40B4-BE49-F238E27FC236}">
              <a16:creationId xmlns:a16="http://schemas.microsoft.com/office/drawing/2014/main" id="{DC8D580C-D000-4821-BE27-DF352D2FC6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05288" y="1194882"/>
          <a:ext cx="243417" cy="1352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27</xdr:col>
      <xdr:colOff>148168</xdr:colOff>
      <xdr:row>7</xdr:row>
      <xdr:rowOff>97602</xdr:rowOff>
    </xdr:from>
    <xdr:ext cx="243417" cy="135232"/>
    <xdr:pic>
      <xdr:nvPicPr>
        <xdr:cNvPr id="39" name="Image 38" descr="conseil achat">
          <a:extLst>
            <a:ext uri="{FF2B5EF4-FFF2-40B4-BE49-F238E27FC236}">
              <a16:creationId xmlns:a16="http://schemas.microsoft.com/office/drawing/2014/main" id="{4949BA0E-3536-4FFB-BB5C-CCA940956B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05288" y="1377762"/>
          <a:ext cx="243417" cy="1352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27</xdr:col>
      <xdr:colOff>148168</xdr:colOff>
      <xdr:row>8</xdr:row>
      <xdr:rowOff>97602</xdr:rowOff>
    </xdr:from>
    <xdr:ext cx="243417" cy="135232"/>
    <xdr:pic>
      <xdr:nvPicPr>
        <xdr:cNvPr id="40" name="Image 39" descr="conseil achat">
          <a:extLst>
            <a:ext uri="{FF2B5EF4-FFF2-40B4-BE49-F238E27FC236}">
              <a16:creationId xmlns:a16="http://schemas.microsoft.com/office/drawing/2014/main" id="{062912E3-220A-47B9-90E5-0D3043CA35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05288" y="1560642"/>
          <a:ext cx="243417" cy="1352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27</xdr:col>
      <xdr:colOff>148168</xdr:colOff>
      <xdr:row>9</xdr:row>
      <xdr:rowOff>97602</xdr:rowOff>
    </xdr:from>
    <xdr:ext cx="243417" cy="135232"/>
    <xdr:pic>
      <xdr:nvPicPr>
        <xdr:cNvPr id="41" name="Image 40" descr="conseil achat">
          <a:extLst>
            <a:ext uri="{FF2B5EF4-FFF2-40B4-BE49-F238E27FC236}">
              <a16:creationId xmlns:a16="http://schemas.microsoft.com/office/drawing/2014/main" id="{A15CFC45-BA53-4F56-A64F-7BCED02955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05288" y="1743522"/>
          <a:ext cx="243417" cy="1352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27</xdr:col>
      <xdr:colOff>148168</xdr:colOff>
      <xdr:row>10</xdr:row>
      <xdr:rowOff>97602</xdr:rowOff>
    </xdr:from>
    <xdr:ext cx="243417" cy="135232"/>
    <xdr:pic>
      <xdr:nvPicPr>
        <xdr:cNvPr id="42" name="Image 41" descr="conseil achat">
          <a:extLst>
            <a:ext uri="{FF2B5EF4-FFF2-40B4-BE49-F238E27FC236}">
              <a16:creationId xmlns:a16="http://schemas.microsoft.com/office/drawing/2014/main" id="{F51C5D9C-019A-40EB-90B3-0099320EDD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05288" y="1926402"/>
          <a:ext cx="243417" cy="1352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27</xdr:col>
      <xdr:colOff>148168</xdr:colOff>
      <xdr:row>11</xdr:row>
      <xdr:rowOff>97602</xdr:rowOff>
    </xdr:from>
    <xdr:ext cx="243417" cy="135232"/>
    <xdr:pic>
      <xdr:nvPicPr>
        <xdr:cNvPr id="43" name="Image 42" descr="conseil achat">
          <a:extLst>
            <a:ext uri="{FF2B5EF4-FFF2-40B4-BE49-F238E27FC236}">
              <a16:creationId xmlns:a16="http://schemas.microsoft.com/office/drawing/2014/main" id="{CEB75606-5083-4E10-A2A4-1B0A542665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05288" y="2109282"/>
          <a:ext cx="243417" cy="1352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27</xdr:col>
      <xdr:colOff>148168</xdr:colOff>
      <xdr:row>12</xdr:row>
      <xdr:rowOff>21402</xdr:rowOff>
    </xdr:from>
    <xdr:ext cx="243417" cy="135232"/>
    <xdr:pic>
      <xdr:nvPicPr>
        <xdr:cNvPr id="44" name="Image 43" descr="conseil achat">
          <a:extLst>
            <a:ext uri="{FF2B5EF4-FFF2-40B4-BE49-F238E27FC236}">
              <a16:creationId xmlns:a16="http://schemas.microsoft.com/office/drawing/2014/main" id="{132BBCD5-4EAA-4B41-AFBA-2256AC4DAC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05288" y="2215962"/>
          <a:ext cx="243417" cy="1352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27</xdr:col>
      <xdr:colOff>167218</xdr:colOff>
      <xdr:row>13</xdr:row>
      <xdr:rowOff>49977</xdr:rowOff>
    </xdr:from>
    <xdr:ext cx="243417" cy="135232"/>
    <xdr:pic>
      <xdr:nvPicPr>
        <xdr:cNvPr id="45" name="Image 44" descr="conseil achat">
          <a:extLst>
            <a:ext uri="{FF2B5EF4-FFF2-40B4-BE49-F238E27FC236}">
              <a16:creationId xmlns:a16="http://schemas.microsoft.com/office/drawing/2014/main" id="{FFDE0248-A880-4666-A497-42265E89A3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24338" y="2427417"/>
          <a:ext cx="243417" cy="1352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27</xdr:col>
      <xdr:colOff>148168</xdr:colOff>
      <xdr:row>14</xdr:row>
      <xdr:rowOff>97602</xdr:rowOff>
    </xdr:from>
    <xdr:ext cx="243417" cy="135232"/>
    <xdr:pic>
      <xdr:nvPicPr>
        <xdr:cNvPr id="46" name="Image 45" descr="conseil achat">
          <a:extLst>
            <a:ext uri="{FF2B5EF4-FFF2-40B4-BE49-F238E27FC236}">
              <a16:creationId xmlns:a16="http://schemas.microsoft.com/office/drawing/2014/main" id="{032F2C11-35B5-437C-82C3-B2012E3457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05288" y="2657922"/>
          <a:ext cx="243417" cy="1352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27</xdr:col>
      <xdr:colOff>84667</xdr:colOff>
      <xdr:row>40</xdr:row>
      <xdr:rowOff>52916</xdr:rowOff>
    </xdr:from>
    <xdr:ext cx="342900" cy="190500"/>
    <xdr:pic>
      <xdr:nvPicPr>
        <xdr:cNvPr id="47" name="Image 46" descr="conseil conserver">
          <a:extLst>
            <a:ext uri="{FF2B5EF4-FFF2-40B4-BE49-F238E27FC236}">
              <a16:creationId xmlns:a16="http://schemas.microsoft.com/office/drawing/2014/main" id="{3188C359-EF13-4CCE-891F-A35BD3E46B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141787" y="7185236"/>
          <a:ext cx="3429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27</xdr:col>
      <xdr:colOff>84667</xdr:colOff>
      <xdr:row>48</xdr:row>
      <xdr:rowOff>52916</xdr:rowOff>
    </xdr:from>
    <xdr:ext cx="342900" cy="190500"/>
    <xdr:pic>
      <xdr:nvPicPr>
        <xdr:cNvPr id="48" name="Image 47" descr="conseil conserver">
          <a:extLst>
            <a:ext uri="{FF2B5EF4-FFF2-40B4-BE49-F238E27FC236}">
              <a16:creationId xmlns:a16="http://schemas.microsoft.com/office/drawing/2014/main" id="{BE2224AD-6AD7-4674-AC3B-905C87C6ED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141787" y="8648276"/>
          <a:ext cx="3429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27</xdr:col>
      <xdr:colOff>84667</xdr:colOff>
      <xdr:row>49</xdr:row>
      <xdr:rowOff>52916</xdr:rowOff>
    </xdr:from>
    <xdr:ext cx="342900" cy="190500"/>
    <xdr:pic>
      <xdr:nvPicPr>
        <xdr:cNvPr id="49" name="Image 48" descr="conseil conserver">
          <a:extLst>
            <a:ext uri="{FF2B5EF4-FFF2-40B4-BE49-F238E27FC236}">
              <a16:creationId xmlns:a16="http://schemas.microsoft.com/office/drawing/2014/main" id="{450578B1-4BAA-4C3A-87AF-F7BA0018C9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141787" y="8831156"/>
          <a:ext cx="3429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27</xdr:col>
      <xdr:colOff>84667</xdr:colOff>
      <xdr:row>50</xdr:row>
      <xdr:rowOff>52916</xdr:rowOff>
    </xdr:from>
    <xdr:ext cx="342900" cy="190500"/>
    <xdr:pic>
      <xdr:nvPicPr>
        <xdr:cNvPr id="50" name="Image 49" descr="conseil conserver">
          <a:extLst>
            <a:ext uri="{FF2B5EF4-FFF2-40B4-BE49-F238E27FC236}">
              <a16:creationId xmlns:a16="http://schemas.microsoft.com/office/drawing/2014/main" id="{D69056CD-B840-4E35-955D-A1A98072EE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141787" y="9014036"/>
          <a:ext cx="3429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27</xdr:col>
      <xdr:colOff>84667</xdr:colOff>
      <xdr:row>51</xdr:row>
      <xdr:rowOff>52916</xdr:rowOff>
    </xdr:from>
    <xdr:ext cx="342900" cy="190500"/>
    <xdr:pic>
      <xdr:nvPicPr>
        <xdr:cNvPr id="51" name="Image 50" descr="conseil conserver">
          <a:extLst>
            <a:ext uri="{FF2B5EF4-FFF2-40B4-BE49-F238E27FC236}">
              <a16:creationId xmlns:a16="http://schemas.microsoft.com/office/drawing/2014/main" id="{4834B522-D3E6-46E6-A9F3-640447C2B0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141787" y="9196916"/>
          <a:ext cx="3429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27</xdr:col>
      <xdr:colOff>84667</xdr:colOff>
      <xdr:row>52</xdr:row>
      <xdr:rowOff>52916</xdr:rowOff>
    </xdr:from>
    <xdr:ext cx="342900" cy="190500"/>
    <xdr:pic>
      <xdr:nvPicPr>
        <xdr:cNvPr id="52" name="Image 51" descr="conseil conserver">
          <a:extLst>
            <a:ext uri="{FF2B5EF4-FFF2-40B4-BE49-F238E27FC236}">
              <a16:creationId xmlns:a16="http://schemas.microsoft.com/office/drawing/2014/main" id="{2B6D6641-BB79-4105-B374-A802A31EBE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141787" y="9379796"/>
          <a:ext cx="3429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27</xdr:col>
      <xdr:colOff>84667</xdr:colOff>
      <xdr:row>53</xdr:row>
      <xdr:rowOff>52916</xdr:rowOff>
    </xdr:from>
    <xdr:ext cx="342900" cy="190500"/>
    <xdr:pic>
      <xdr:nvPicPr>
        <xdr:cNvPr id="53" name="Image 52" descr="conseil conserver">
          <a:extLst>
            <a:ext uri="{FF2B5EF4-FFF2-40B4-BE49-F238E27FC236}">
              <a16:creationId xmlns:a16="http://schemas.microsoft.com/office/drawing/2014/main" id="{BD760936-7108-4F86-8C3B-70F29C3C28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141787" y="9562676"/>
          <a:ext cx="3429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0</xdr:colOff>
      <xdr:row>76</xdr:row>
      <xdr:rowOff>0</xdr:rowOff>
    </xdr:from>
    <xdr:ext cx="304800" cy="300567"/>
    <xdr:sp macro="" textlink="">
      <xdr:nvSpPr>
        <xdr:cNvPr id="6" name="AutoShape 5" descr="Thumbs down icon vector">
          <a:extLst>
            <a:ext uri="{FF2B5EF4-FFF2-40B4-BE49-F238E27FC236}">
              <a16:creationId xmlns:a16="http://schemas.microsoft.com/office/drawing/2014/main" id="{8AAC5875-18F0-4550-B995-719DA2F2395F}"/>
            </a:ext>
          </a:extLst>
        </xdr:cNvPr>
        <xdr:cNvSpPr>
          <a:spLocks noChangeAspect="1" noChangeArrowheads="1"/>
        </xdr:cNvSpPr>
      </xdr:nvSpPr>
      <xdr:spPr bwMode="auto">
        <a:xfrm>
          <a:off x="30727650" y="25155525"/>
          <a:ext cx="304800" cy="3005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82</xdr:row>
      <xdr:rowOff>0</xdr:rowOff>
    </xdr:from>
    <xdr:ext cx="304800" cy="300567"/>
    <xdr:sp macro="" textlink="">
      <xdr:nvSpPr>
        <xdr:cNvPr id="7" name="AutoShape 6" descr="Thumbs down icon vector">
          <a:extLst>
            <a:ext uri="{FF2B5EF4-FFF2-40B4-BE49-F238E27FC236}">
              <a16:creationId xmlns:a16="http://schemas.microsoft.com/office/drawing/2014/main" id="{0DC646C3-3258-47F0-9F66-3AF5CFFA1495}"/>
            </a:ext>
          </a:extLst>
        </xdr:cNvPr>
        <xdr:cNvSpPr>
          <a:spLocks noChangeAspect="1" noChangeArrowheads="1"/>
        </xdr:cNvSpPr>
      </xdr:nvSpPr>
      <xdr:spPr bwMode="auto">
        <a:xfrm>
          <a:off x="29965650" y="26298525"/>
          <a:ext cx="304800" cy="3005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82</xdr:row>
      <xdr:rowOff>0</xdr:rowOff>
    </xdr:from>
    <xdr:ext cx="304800" cy="300567"/>
    <xdr:sp macro="" textlink="">
      <xdr:nvSpPr>
        <xdr:cNvPr id="8" name="AutoShape 7" descr="Thumbs down icon vector">
          <a:extLst>
            <a:ext uri="{FF2B5EF4-FFF2-40B4-BE49-F238E27FC236}">
              <a16:creationId xmlns:a16="http://schemas.microsoft.com/office/drawing/2014/main" id="{32089714-FF6D-4BDB-AD5D-5457304CE83E}"/>
            </a:ext>
          </a:extLst>
        </xdr:cNvPr>
        <xdr:cNvSpPr>
          <a:spLocks noChangeAspect="1" noChangeArrowheads="1"/>
        </xdr:cNvSpPr>
      </xdr:nvSpPr>
      <xdr:spPr bwMode="auto">
        <a:xfrm>
          <a:off x="29965650" y="26298525"/>
          <a:ext cx="304800" cy="3005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82</xdr:row>
      <xdr:rowOff>0</xdr:rowOff>
    </xdr:from>
    <xdr:ext cx="304800" cy="300567"/>
    <xdr:sp macro="" textlink="">
      <xdr:nvSpPr>
        <xdr:cNvPr id="9" name="AutoShape 8" descr="Thumbs down icon vector">
          <a:extLst>
            <a:ext uri="{FF2B5EF4-FFF2-40B4-BE49-F238E27FC236}">
              <a16:creationId xmlns:a16="http://schemas.microsoft.com/office/drawing/2014/main" id="{13B00F4B-9C71-4C67-A2B7-A5ADF55E8040}"/>
            </a:ext>
          </a:extLst>
        </xdr:cNvPr>
        <xdr:cNvSpPr>
          <a:spLocks noChangeAspect="1" noChangeArrowheads="1"/>
        </xdr:cNvSpPr>
      </xdr:nvSpPr>
      <xdr:spPr bwMode="auto">
        <a:xfrm>
          <a:off x="29965650" y="26298525"/>
          <a:ext cx="304800" cy="3005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82</xdr:row>
      <xdr:rowOff>0</xdr:rowOff>
    </xdr:from>
    <xdr:ext cx="304800" cy="300567"/>
    <xdr:sp macro="" textlink="">
      <xdr:nvSpPr>
        <xdr:cNvPr id="10" name="AutoShape 9" descr="Thumbs down icon vector">
          <a:extLst>
            <a:ext uri="{FF2B5EF4-FFF2-40B4-BE49-F238E27FC236}">
              <a16:creationId xmlns:a16="http://schemas.microsoft.com/office/drawing/2014/main" id="{2B6D89A3-2241-4C29-B055-F91B2FBA1279}"/>
            </a:ext>
          </a:extLst>
        </xdr:cNvPr>
        <xdr:cNvSpPr>
          <a:spLocks noChangeAspect="1" noChangeArrowheads="1"/>
        </xdr:cNvSpPr>
      </xdr:nvSpPr>
      <xdr:spPr bwMode="auto">
        <a:xfrm>
          <a:off x="29965650" y="26298525"/>
          <a:ext cx="304800" cy="3005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82</xdr:row>
      <xdr:rowOff>0</xdr:rowOff>
    </xdr:from>
    <xdr:ext cx="304800" cy="300567"/>
    <xdr:sp macro="" textlink="">
      <xdr:nvSpPr>
        <xdr:cNvPr id="11" name="AutoShape 10" descr="Thumbs down icon vector">
          <a:extLst>
            <a:ext uri="{FF2B5EF4-FFF2-40B4-BE49-F238E27FC236}">
              <a16:creationId xmlns:a16="http://schemas.microsoft.com/office/drawing/2014/main" id="{80D1A331-6355-4925-99F4-244F538C3414}"/>
            </a:ext>
          </a:extLst>
        </xdr:cNvPr>
        <xdr:cNvSpPr>
          <a:spLocks noChangeAspect="1" noChangeArrowheads="1"/>
        </xdr:cNvSpPr>
      </xdr:nvSpPr>
      <xdr:spPr bwMode="auto">
        <a:xfrm>
          <a:off x="29965650" y="26298525"/>
          <a:ext cx="304800" cy="3005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82</xdr:row>
      <xdr:rowOff>0</xdr:rowOff>
    </xdr:from>
    <xdr:ext cx="304800" cy="300567"/>
    <xdr:sp macro="" textlink="">
      <xdr:nvSpPr>
        <xdr:cNvPr id="12" name="AutoShape 11" descr="Thumbs down icon vector">
          <a:extLst>
            <a:ext uri="{FF2B5EF4-FFF2-40B4-BE49-F238E27FC236}">
              <a16:creationId xmlns:a16="http://schemas.microsoft.com/office/drawing/2014/main" id="{AC7CE29E-D3B4-47FB-809D-9AC1DBD2C026}"/>
            </a:ext>
          </a:extLst>
        </xdr:cNvPr>
        <xdr:cNvSpPr>
          <a:spLocks noChangeAspect="1" noChangeArrowheads="1"/>
        </xdr:cNvSpPr>
      </xdr:nvSpPr>
      <xdr:spPr bwMode="auto">
        <a:xfrm>
          <a:off x="29965650" y="26298525"/>
          <a:ext cx="304800" cy="3005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82</xdr:row>
      <xdr:rowOff>0</xdr:rowOff>
    </xdr:from>
    <xdr:ext cx="304800" cy="300567"/>
    <xdr:sp macro="" textlink="">
      <xdr:nvSpPr>
        <xdr:cNvPr id="13" name="AutoShape 12" descr="Thumbs down icon vector">
          <a:extLst>
            <a:ext uri="{FF2B5EF4-FFF2-40B4-BE49-F238E27FC236}">
              <a16:creationId xmlns:a16="http://schemas.microsoft.com/office/drawing/2014/main" id="{3C5C4507-A448-4F0B-9943-7AA5B82CBBAB}"/>
            </a:ext>
          </a:extLst>
        </xdr:cNvPr>
        <xdr:cNvSpPr>
          <a:spLocks noChangeAspect="1" noChangeArrowheads="1"/>
        </xdr:cNvSpPr>
      </xdr:nvSpPr>
      <xdr:spPr bwMode="auto">
        <a:xfrm>
          <a:off x="29965650" y="26298525"/>
          <a:ext cx="304800" cy="3005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80</xdr:row>
      <xdr:rowOff>0</xdr:rowOff>
    </xdr:from>
    <xdr:ext cx="304800" cy="300566"/>
    <xdr:sp macro="" textlink="">
      <xdr:nvSpPr>
        <xdr:cNvPr id="14" name="AutoShape 14" descr="Thumbs down icon vector">
          <a:extLst>
            <a:ext uri="{FF2B5EF4-FFF2-40B4-BE49-F238E27FC236}">
              <a16:creationId xmlns:a16="http://schemas.microsoft.com/office/drawing/2014/main" id="{454932D9-A0EC-494B-97E1-DDF65B9B84A5}"/>
            </a:ext>
          </a:extLst>
        </xdr:cNvPr>
        <xdr:cNvSpPr>
          <a:spLocks noChangeAspect="1" noChangeArrowheads="1"/>
        </xdr:cNvSpPr>
      </xdr:nvSpPr>
      <xdr:spPr bwMode="auto">
        <a:xfrm>
          <a:off x="29203650" y="25917525"/>
          <a:ext cx="304800" cy="3005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80</xdr:row>
      <xdr:rowOff>0</xdr:rowOff>
    </xdr:from>
    <xdr:ext cx="304800" cy="300566"/>
    <xdr:sp macro="" textlink="">
      <xdr:nvSpPr>
        <xdr:cNvPr id="15" name="AutoShape 15" descr="Thumbs down icon vector">
          <a:extLst>
            <a:ext uri="{FF2B5EF4-FFF2-40B4-BE49-F238E27FC236}">
              <a16:creationId xmlns:a16="http://schemas.microsoft.com/office/drawing/2014/main" id="{F5AC56EC-E0C6-4B15-A72B-1C593479BED2}"/>
            </a:ext>
          </a:extLst>
        </xdr:cNvPr>
        <xdr:cNvSpPr>
          <a:spLocks noChangeAspect="1" noChangeArrowheads="1"/>
        </xdr:cNvSpPr>
      </xdr:nvSpPr>
      <xdr:spPr bwMode="auto">
        <a:xfrm>
          <a:off x="29203650" y="25917525"/>
          <a:ext cx="304800" cy="3005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80</xdr:row>
      <xdr:rowOff>0</xdr:rowOff>
    </xdr:from>
    <xdr:ext cx="304800" cy="300566"/>
    <xdr:sp macro="" textlink="">
      <xdr:nvSpPr>
        <xdr:cNvPr id="16" name="AutoShape 16" descr="Thumbs down icon vector">
          <a:extLst>
            <a:ext uri="{FF2B5EF4-FFF2-40B4-BE49-F238E27FC236}">
              <a16:creationId xmlns:a16="http://schemas.microsoft.com/office/drawing/2014/main" id="{DBDE1A2D-257C-4A81-81C0-C54E9B82D3C7}"/>
            </a:ext>
          </a:extLst>
        </xdr:cNvPr>
        <xdr:cNvSpPr>
          <a:spLocks noChangeAspect="1" noChangeArrowheads="1"/>
        </xdr:cNvSpPr>
      </xdr:nvSpPr>
      <xdr:spPr bwMode="auto">
        <a:xfrm>
          <a:off x="29203650" y="25917525"/>
          <a:ext cx="304800" cy="3005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D7D4A-7346-4EF9-8A2E-4E15E8192895}">
  <sheetPr>
    <pageSetUpPr fitToPage="1"/>
  </sheetPr>
  <dimension ref="A1:AN167"/>
  <sheetViews>
    <sheetView topLeftCell="D1" zoomScale="85" zoomScaleNormal="85" zoomScaleSheetLayoutView="100" workbookViewId="0">
      <selection activeCell="V7" sqref="V7"/>
    </sheetView>
  </sheetViews>
  <sheetFormatPr baseColWidth="10" defaultRowHeight="14.4" x14ac:dyDescent="0.3"/>
  <cols>
    <col min="2" max="2" width="8.6640625" customWidth="1"/>
    <col min="3" max="3" width="26.44140625" customWidth="1"/>
    <col min="4" max="4" width="6.44140625" customWidth="1"/>
    <col min="5" max="5" width="8" customWidth="1"/>
    <col min="6" max="6" width="8.109375" customWidth="1"/>
    <col min="7" max="7" width="6.88671875" customWidth="1"/>
    <col min="8" max="8" width="10" customWidth="1"/>
    <col min="9" max="9" width="10" style="39" customWidth="1"/>
    <col min="10" max="10" width="8.6640625" customWidth="1"/>
    <col min="11" max="11" width="19.109375" bestFit="1" customWidth="1"/>
    <col min="12" max="12" width="18.88671875" bestFit="1" customWidth="1"/>
    <col min="13" max="13" width="21.6640625" style="81" bestFit="1" customWidth="1"/>
    <col min="14" max="14" width="20.44140625" customWidth="1"/>
    <col min="15" max="15" width="27.109375" customWidth="1"/>
    <col min="16" max="16" width="21.44140625" bestFit="1" customWidth="1"/>
    <col min="17" max="17" width="15.44140625" customWidth="1"/>
    <col min="18" max="18" width="10.88671875" customWidth="1"/>
    <col min="19" max="19" width="17.44140625" customWidth="1"/>
    <col min="20" max="21" width="14.33203125" customWidth="1"/>
    <col min="22" max="22" width="17.88671875" customWidth="1"/>
    <col min="23" max="23" width="16.44140625" customWidth="1"/>
    <col min="24" max="24" width="10" customWidth="1"/>
    <col min="25" max="25" width="12.109375" customWidth="1"/>
    <col min="26" max="26" width="32.6640625" bestFit="1" customWidth="1"/>
    <col min="27" max="27" width="12.6640625" customWidth="1"/>
    <col min="29" max="29" width="8.109375" customWidth="1"/>
    <col min="30" max="30" width="15.33203125" customWidth="1"/>
    <col min="31" max="31" width="11.44140625" customWidth="1"/>
  </cols>
  <sheetData>
    <row r="1" spans="1:27" x14ac:dyDescent="0.3">
      <c r="T1" s="1"/>
      <c r="U1" s="1"/>
      <c r="V1" s="1"/>
    </row>
    <row r="2" spans="1:27" x14ac:dyDescent="0.3">
      <c r="C2" s="2"/>
      <c r="D2" s="416" t="s">
        <v>0</v>
      </c>
      <c r="E2" s="417"/>
      <c r="F2" s="417"/>
      <c r="G2" s="417"/>
      <c r="H2" s="418"/>
      <c r="I2" s="64"/>
      <c r="J2" s="419" t="s">
        <v>1</v>
      </c>
      <c r="K2" s="419"/>
      <c r="L2" s="419"/>
      <c r="M2" s="419"/>
      <c r="N2" s="419"/>
      <c r="O2" s="419"/>
      <c r="P2" s="419"/>
      <c r="Q2" s="419"/>
      <c r="R2" s="419"/>
      <c r="S2" s="419"/>
      <c r="T2" s="419"/>
      <c r="U2" s="419"/>
      <c r="V2" s="419"/>
      <c r="W2" s="419"/>
      <c r="X2" s="419"/>
      <c r="Y2" s="420"/>
      <c r="Z2" s="3" t="s">
        <v>2</v>
      </c>
    </row>
    <row r="3" spans="1:27" x14ac:dyDescent="0.3">
      <c r="C3" s="4"/>
      <c r="D3" s="5"/>
      <c r="E3" s="5"/>
      <c r="F3" s="5"/>
      <c r="G3" s="5"/>
      <c r="H3" s="6"/>
      <c r="I3" s="63"/>
      <c r="J3" s="5"/>
      <c r="K3" s="5"/>
      <c r="L3" s="5"/>
      <c r="M3" s="82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6"/>
      <c r="Z3" s="7"/>
    </row>
    <row r="4" spans="1:27" ht="60.75" customHeight="1" x14ac:dyDescent="0.3">
      <c r="C4" s="8" t="s">
        <v>3</v>
      </c>
      <c r="D4" s="9" t="s">
        <v>4</v>
      </c>
      <c r="E4" s="10" t="s">
        <v>5</v>
      </c>
      <c r="F4" s="10" t="s">
        <v>6</v>
      </c>
      <c r="G4" s="10" t="s">
        <v>7</v>
      </c>
      <c r="H4" s="11" t="s">
        <v>8</v>
      </c>
      <c r="I4" s="62" t="s">
        <v>76</v>
      </c>
      <c r="J4" s="12" t="s">
        <v>9</v>
      </c>
      <c r="K4" s="12" t="s">
        <v>77</v>
      </c>
      <c r="L4" s="12" t="s">
        <v>79</v>
      </c>
      <c r="M4" s="83" t="s">
        <v>126</v>
      </c>
      <c r="N4" s="61" t="s">
        <v>127</v>
      </c>
      <c r="O4" s="65" t="s">
        <v>78</v>
      </c>
      <c r="P4" s="61" t="s">
        <v>75</v>
      </c>
      <c r="Q4" s="61" t="s">
        <v>74</v>
      </c>
      <c r="R4" s="13" t="s">
        <v>10</v>
      </c>
      <c r="S4" s="13" t="s">
        <v>128</v>
      </c>
      <c r="T4" s="14" t="s">
        <v>11</v>
      </c>
      <c r="U4" s="14" t="s">
        <v>11</v>
      </c>
      <c r="V4" s="14" t="s">
        <v>83</v>
      </c>
      <c r="W4" s="14" t="s">
        <v>12</v>
      </c>
      <c r="X4" s="13" t="s">
        <v>13</v>
      </c>
      <c r="Y4" s="15" t="s">
        <v>14</v>
      </c>
      <c r="Z4" s="3" t="s">
        <v>2</v>
      </c>
    </row>
    <row r="5" spans="1:27" ht="30" customHeight="1" x14ac:dyDescent="0.3">
      <c r="C5" s="17" t="s">
        <v>16</v>
      </c>
      <c r="D5" s="60"/>
      <c r="E5" s="57"/>
      <c r="F5" s="57"/>
      <c r="G5" s="57"/>
      <c r="H5" s="57"/>
      <c r="I5" s="59"/>
      <c r="J5" s="59"/>
      <c r="K5" s="59"/>
      <c r="L5" s="59"/>
      <c r="M5" s="84"/>
      <c r="N5" s="59"/>
      <c r="O5" s="59"/>
      <c r="P5" s="59"/>
      <c r="Q5" s="59"/>
      <c r="R5" s="59">
        <f>+AVERAGE(R6:R16)</f>
        <v>74.322372431796666</v>
      </c>
      <c r="S5" s="59"/>
      <c r="T5" s="73"/>
      <c r="U5" s="73"/>
      <c r="V5" s="73"/>
      <c r="W5" s="58"/>
      <c r="X5" s="57"/>
      <c r="Y5" s="57"/>
      <c r="Z5" s="56"/>
    </row>
    <row r="6" spans="1:27" ht="30" customHeight="1" x14ac:dyDescent="0.3">
      <c r="C6" s="18" t="s">
        <v>17</v>
      </c>
      <c r="D6" s="19">
        <v>1</v>
      </c>
      <c r="E6" s="19">
        <f t="shared" ref="E6:E16" ca="1" si="0">+RANDBETWEEN(0,4)</f>
        <v>0</v>
      </c>
      <c r="F6" s="19">
        <f t="shared" ref="F6:H16" ca="1" si="1">+RANDBETWEEN(-1,2)</f>
        <v>0</v>
      </c>
      <c r="G6" s="19">
        <f t="shared" ca="1" si="1"/>
        <v>-1</v>
      </c>
      <c r="H6" s="19">
        <f t="shared" ca="1" si="1"/>
        <v>1</v>
      </c>
      <c r="I6" s="51">
        <v>1145</v>
      </c>
      <c r="J6" s="51">
        <f>+IF(N6="","",N6/P6)</f>
        <v>197.07061689189189</v>
      </c>
      <c r="K6" s="112">
        <v>19036863791</v>
      </c>
      <c r="L6" s="112">
        <v>40094693</v>
      </c>
      <c r="M6" s="85"/>
      <c r="N6" s="51">
        <v>1166658052</v>
      </c>
      <c r="O6" s="21">
        <f>+(L6-N6)/N6</f>
        <v>-0.96563286651880065</v>
      </c>
      <c r="P6" s="51">
        <v>5920000</v>
      </c>
      <c r="Q6" s="260">
        <v>69</v>
      </c>
      <c r="R6" s="50">
        <f>IF(J6="","",IF(J6&lt;=0,"",I6/J6))</f>
        <v>5.8101000446358722</v>
      </c>
      <c r="S6" s="50"/>
      <c r="T6" s="21">
        <f>+Q6/I6</f>
        <v>6.0262008733624452E-2</v>
      </c>
      <c r="U6" s="21">
        <f>+Q6/I6</f>
        <v>6.0262008733624452E-2</v>
      </c>
      <c r="V6" s="21">
        <f>L6/K6</f>
        <v>2.1061606281469244E-3</v>
      </c>
      <c r="W6" s="20">
        <v>4200</v>
      </c>
      <c r="X6" s="20">
        <f t="shared" ref="X6:X16" si="2">+W6*1.5</f>
        <v>6300</v>
      </c>
      <c r="Y6" s="20">
        <f t="shared" ref="Y6:Y16" ca="1" si="3">+RANDBETWEEN(-1,3)</f>
        <v>1</v>
      </c>
      <c r="Z6" s="20" t="s">
        <v>18</v>
      </c>
    </row>
    <row r="7" spans="1:27" ht="30" customHeight="1" x14ac:dyDescent="0.3">
      <c r="A7" t="s">
        <v>104</v>
      </c>
      <c r="C7" s="18" t="s">
        <v>19</v>
      </c>
      <c r="D7" s="19">
        <v>2</v>
      </c>
      <c r="E7" s="19">
        <f t="shared" ca="1" si="0"/>
        <v>3</v>
      </c>
      <c r="F7" s="19">
        <f t="shared" ca="1" si="1"/>
        <v>2</v>
      </c>
      <c r="G7" s="19">
        <f t="shared" ca="1" si="1"/>
        <v>1</v>
      </c>
      <c r="H7" s="19">
        <f t="shared" ca="1" si="1"/>
        <v>0</v>
      </c>
      <c r="I7" s="51">
        <v>1375</v>
      </c>
      <c r="J7" s="51">
        <f t="shared" ref="J7:J57" si="4">+IF(N7="","",N7/P7)</f>
        <v>251.82455150194204</v>
      </c>
      <c r="K7" s="51"/>
      <c r="L7" s="85"/>
      <c r="M7" s="85">
        <v>3551668</v>
      </c>
      <c r="N7" s="85">
        <v>3551668000</v>
      </c>
      <c r="O7" s="21">
        <f>+(L7-N7)/N7</f>
        <v>-1</v>
      </c>
      <c r="P7" s="51">
        <v>14103740</v>
      </c>
      <c r="Q7" s="50">
        <v>235</v>
      </c>
      <c r="R7" s="50">
        <f t="shared" ref="R7:R31" si="5">IF(J7="","",IF(J7&lt;=0,"",I7/J7))</f>
        <v>5.4601506953915742</v>
      </c>
      <c r="S7" s="50">
        <v>9</v>
      </c>
      <c r="T7" s="21">
        <f>+Q7/I7</f>
        <v>0.1709090909090909</v>
      </c>
      <c r="U7" s="21">
        <f>+Q7/I7</f>
        <v>0.1709090909090909</v>
      </c>
      <c r="V7" s="21" t="e">
        <f t="shared" ref="V7:V16" si="6">L7/K7</f>
        <v>#DIV/0!</v>
      </c>
      <c r="W7" s="20">
        <v>4201</v>
      </c>
      <c r="X7" s="20">
        <f t="shared" si="2"/>
        <v>6301.5</v>
      </c>
      <c r="Y7" s="20">
        <f t="shared" ca="1" si="3"/>
        <v>2</v>
      </c>
      <c r="Z7" s="20" t="s">
        <v>18</v>
      </c>
    </row>
    <row r="8" spans="1:27" ht="30" customHeight="1" x14ac:dyDescent="0.3">
      <c r="C8" s="18" t="s">
        <v>21</v>
      </c>
      <c r="D8" s="19">
        <v>3</v>
      </c>
      <c r="E8" s="19">
        <f t="shared" ca="1" si="0"/>
        <v>0</v>
      </c>
      <c r="F8" s="19">
        <f t="shared" ca="1" si="1"/>
        <v>1</v>
      </c>
      <c r="G8" s="19">
        <f t="shared" ca="1" si="1"/>
        <v>-1</v>
      </c>
      <c r="H8" s="19">
        <f t="shared" ca="1" si="1"/>
        <v>0</v>
      </c>
      <c r="I8" s="51">
        <v>210</v>
      </c>
      <c r="J8" s="51">
        <f t="shared" si="4"/>
        <v>38.395719038918365</v>
      </c>
      <c r="K8" s="51"/>
      <c r="L8" s="51"/>
      <c r="M8" s="21"/>
      <c r="N8" s="51">
        <v>490153030</v>
      </c>
      <c r="O8" s="21">
        <f t="shared" ref="O8:O57" si="7">+(L8-N8)/N8</f>
        <v>-1</v>
      </c>
      <c r="P8" s="51">
        <v>12765825</v>
      </c>
      <c r="Q8" s="50">
        <v>9</v>
      </c>
      <c r="R8" s="50">
        <f t="shared" si="5"/>
        <v>5.4693597426093641</v>
      </c>
      <c r="S8" s="50">
        <v>9</v>
      </c>
      <c r="T8" s="21">
        <f t="shared" ref="T8:T16" si="8">+Q8/I8</f>
        <v>4.2857142857142858E-2</v>
      </c>
      <c r="U8" s="21"/>
      <c r="V8" s="21" t="e">
        <f t="shared" si="6"/>
        <v>#DIV/0!</v>
      </c>
      <c r="W8" s="20">
        <v>4202</v>
      </c>
      <c r="X8" s="20">
        <f t="shared" si="2"/>
        <v>6303</v>
      </c>
      <c r="Y8" s="20">
        <f t="shared" ca="1" si="3"/>
        <v>3</v>
      </c>
      <c r="Z8" s="20" t="s">
        <v>18</v>
      </c>
    </row>
    <row r="9" spans="1:27" ht="30" customHeight="1" x14ac:dyDescent="0.3">
      <c r="C9" s="18" t="s">
        <v>23</v>
      </c>
      <c r="D9" s="19">
        <v>4</v>
      </c>
      <c r="E9" s="19">
        <f t="shared" ca="1" si="0"/>
        <v>1</v>
      </c>
      <c r="F9" s="19">
        <f t="shared" ca="1" si="1"/>
        <v>-1</v>
      </c>
      <c r="G9" s="19">
        <f t="shared" ca="1" si="1"/>
        <v>1</v>
      </c>
      <c r="H9" s="19">
        <f t="shared" ca="1" si="1"/>
        <v>1</v>
      </c>
      <c r="I9" s="51">
        <v>595</v>
      </c>
      <c r="J9" s="51">
        <f t="shared" si="4"/>
        <v>946.94874098339858</v>
      </c>
      <c r="K9" s="51"/>
      <c r="L9" s="85"/>
      <c r="M9" s="85">
        <v>3551668</v>
      </c>
      <c r="N9" s="85">
        <v>20899537493</v>
      </c>
      <c r="O9" s="21">
        <f t="shared" si="7"/>
        <v>-1</v>
      </c>
      <c r="P9" s="51">
        <v>22070400</v>
      </c>
      <c r="Q9" s="260">
        <v>856.8</v>
      </c>
      <c r="R9" s="50">
        <f t="shared" si="5"/>
        <v>0.62833390472867345</v>
      </c>
      <c r="S9" s="50">
        <v>9</v>
      </c>
      <c r="T9" s="21">
        <f t="shared" si="8"/>
        <v>1.44</v>
      </c>
      <c r="U9" s="21"/>
      <c r="V9" s="21" t="e">
        <f t="shared" si="6"/>
        <v>#DIV/0!</v>
      </c>
      <c r="W9" s="20">
        <v>4203</v>
      </c>
      <c r="X9" s="20">
        <f t="shared" si="2"/>
        <v>6304.5</v>
      </c>
      <c r="Y9" s="20">
        <f t="shared" ca="1" si="3"/>
        <v>2</v>
      </c>
      <c r="Z9" s="20" t="s">
        <v>18</v>
      </c>
    </row>
    <row r="10" spans="1:27" ht="30" customHeight="1" x14ac:dyDescent="0.3">
      <c r="C10" s="18" t="s">
        <v>25</v>
      </c>
      <c r="D10" s="19">
        <v>5</v>
      </c>
      <c r="E10" s="19">
        <f t="shared" ca="1" si="0"/>
        <v>3</v>
      </c>
      <c r="F10" s="19">
        <f t="shared" ca="1" si="1"/>
        <v>1</v>
      </c>
      <c r="G10" s="19">
        <f t="shared" ca="1" si="1"/>
        <v>1</v>
      </c>
      <c r="H10" s="19">
        <f t="shared" ca="1" si="1"/>
        <v>1</v>
      </c>
      <c r="I10" s="51">
        <v>200</v>
      </c>
      <c r="J10" s="51">
        <f t="shared" si="4"/>
        <v>16.177946454092165</v>
      </c>
      <c r="K10" s="51"/>
      <c r="L10" s="51"/>
      <c r="M10" s="85"/>
      <c r="N10" s="51">
        <v>407516000</v>
      </c>
      <c r="O10" s="21">
        <f t="shared" si="7"/>
        <v>-1</v>
      </c>
      <c r="P10" s="51">
        <v>25189600</v>
      </c>
      <c r="Q10" s="51">
        <v>16.920000000000002</v>
      </c>
      <c r="R10" s="50">
        <f t="shared" si="5"/>
        <v>12.362508465925265</v>
      </c>
      <c r="S10" s="50">
        <v>9</v>
      </c>
      <c r="T10" s="21">
        <f t="shared" si="8"/>
        <v>8.4600000000000009E-2</v>
      </c>
      <c r="U10" s="21"/>
      <c r="V10" s="21" t="e">
        <f t="shared" si="6"/>
        <v>#DIV/0!</v>
      </c>
      <c r="W10" s="20">
        <v>4204</v>
      </c>
      <c r="X10" s="20">
        <f t="shared" si="2"/>
        <v>6306</v>
      </c>
      <c r="Y10" s="20">
        <f t="shared" ca="1" si="3"/>
        <v>-1</v>
      </c>
      <c r="Z10" s="20" t="s">
        <v>18</v>
      </c>
    </row>
    <row r="11" spans="1:27" ht="30" customHeight="1" x14ac:dyDescent="0.3">
      <c r="C11" s="18" t="s">
        <v>26</v>
      </c>
      <c r="D11" s="19">
        <v>6</v>
      </c>
      <c r="E11" s="19">
        <f t="shared" ca="1" si="0"/>
        <v>0</v>
      </c>
      <c r="F11" s="19">
        <f t="shared" ca="1" si="1"/>
        <v>0</v>
      </c>
      <c r="G11" s="19">
        <f t="shared" ca="1" si="1"/>
        <v>-1</v>
      </c>
      <c r="H11" s="19">
        <f t="shared" ca="1" si="1"/>
        <v>0</v>
      </c>
      <c r="I11" s="51">
        <v>200</v>
      </c>
      <c r="J11" s="51">
        <f t="shared" si="4"/>
        <v>-27.669567208610029</v>
      </c>
      <c r="K11" s="51"/>
      <c r="L11" s="51"/>
      <c r="M11" s="85"/>
      <c r="N11" s="51">
        <v>-241666000</v>
      </c>
      <c r="O11" s="21">
        <f t="shared" si="7"/>
        <v>-1</v>
      </c>
      <c r="P11" s="51">
        <v>8734000</v>
      </c>
      <c r="Q11" s="51">
        <v>63</v>
      </c>
      <c r="R11" s="50" t="str">
        <f t="shared" si="5"/>
        <v/>
      </c>
      <c r="S11" s="50">
        <v>9</v>
      </c>
      <c r="T11" s="21">
        <f t="shared" si="8"/>
        <v>0.315</v>
      </c>
      <c r="U11" s="21"/>
      <c r="V11" s="21" t="e">
        <f t="shared" si="6"/>
        <v>#DIV/0!</v>
      </c>
      <c r="W11" s="20">
        <v>4205</v>
      </c>
      <c r="X11" s="20">
        <f t="shared" si="2"/>
        <v>6307.5</v>
      </c>
      <c r="Y11" s="20">
        <f t="shared" ca="1" si="3"/>
        <v>1</v>
      </c>
      <c r="Z11" s="20" t="s">
        <v>18</v>
      </c>
    </row>
    <row r="12" spans="1:27" ht="30" customHeight="1" x14ac:dyDescent="0.3">
      <c r="B12" t="s">
        <v>80</v>
      </c>
      <c r="C12" s="18" t="s">
        <v>27</v>
      </c>
      <c r="D12" s="19">
        <v>7</v>
      </c>
      <c r="E12" s="19">
        <f t="shared" ca="1" si="0"/>
        <v>1</v>
      </c>
      <c r="F12" s="19">
        <f t="shared" ca="1" si="1"/>
        <v>1</v>
      </c>
      <c r="G12" s="19">
        <f t="shared" ca="1" si="1"/>
        <v>0</v>
      </c>
      <c r="H12" s="19">
        <f t="shared" ca="1" si="1"/>
        <v>0</v>
      </c>
      <c r="I12" s="51">
        <v>53010</v>
      </c>
      <c r="J12" s="51">
        <f>+IF(N12="","",N12/P12)</f>
        <v>4721.1538062456111</v>
      </c>
      <c r="K12" s="51"/>
      <c r="L12" s="51"/>
      <c r="M12" s="85"/>
      <c r="N12" s="51">
        <v>7771415742</v>
      </c>
      <c r="O12" s="21">
        <f t="shared" si="7"/>
        <v>-1</v>
      </c>
      <c r="P12" s="51">
        <v>1646084</v>
      </c>
      <c r="Q12" s="112">
        <v>4050</v>
      </c>
      <c r="R12" s="68">
        <f>IF(J12="","",IF(J12&lt;=0,"",I12/J12))</f>
        <v>11.228187467621391</v>
      </c>
      <c r="S12" s="50">
        <v>9</v>
      </c>
      <c r="T12" s="21">
        <f t="shared" si="8"/>
        <v>7.6400679117147707E-2</v>
      </c>
      <c r="U12" s="21"/>
      <c r="V12" s="21" t="e">
        <f t="shared" si="6"/>
        <v>#DIV/0!</v>
      </c>
      <c r="W12" s="20">
        <v>4206</v>
      </c>
      <c r="X12" s="20">
        <f t="shared" si="2"/>
        <v>6309</v>
      </c>
      <c r="Y12" s="20">
        <f t="shared" ca="1" si="3"/>
        <v>2</v>
      </c>
      <c r="Z12" s="20" t="s">
        <v>18</v>
      </c>
    </row>
    <row r="13" spans="1:27" ht="30" customHeight="1" x14ac:dyDescent="0.3">
      <c r="C13" s="18" t="s">
        <v>28</v>
      </c>
      <c r="D13" s="19">
        <v>8</v>
      </c>
      <c r="E13" s="19">
        <f t="shared" ca="1" si="0"/>
        <v>0</v>
      </c>
      <c r="F13" s="19">
        <f t="shared" ca="1" si="1"/>
        <v>1</v>
      </c>
      <c r="G13" s="19">
        <f t="shared" ca="1" si="1"/>
        <v>-1</v>
      </c>
      <c r="H13" s="19">
        <f t="shared" ca="1" si="1"/>
        <v>-1</v>
      </c>
      <c r="I13" s="51">
        <v>3355</v>
      </c>
      <c r="J13" s="51">
        <f t="shared" si="4"/>
        <v>1205.3571428571429</v>
      </c>
      <c r="K13" s="51"/>
      <c r="L13" s="51"/>
      <c r="M13" s="85"/>
      <c r="N13" s="51">
        <v>9396000000</v>
      </c>
      <c r="O13" s="21">
        <f t="shared" si="7"/>
        <v>-1</v>
      </c>
      <c r="P13" s="51">
        <v>7795200</v>
      </c>
      <c r="Q13" s="112">
        <v>720</v>
      </c>
      <c r="R13" s="50">
        <f t="shared" si="5"/>
        <v>2.7834074074074073</v>
      </c>
      <c r="S13" s="50">
        <v>9</v>
      </c>
      <c r="T13" s="21">
        <f t="shared" si="8"/>
        <v>0.21460506706408347</v>
      </c>
      <c r="U13" s="21"/>
      <c r="V13" s="21" t="e">
        <f t="shared" si="6"/>
        <v>#DIV/0!</v>
      </c>
      <c r="W13" s="20">
        <v>4207</v>
      </c>
      <c r="X13" s="20">
        <f t="shared" si="2"/>
        <v>6310.5</v>
      </c>
      <c r="Y13" s="20">
        <f t="shared" ca="1" si="3"/>
        <v>-1</v>
      </c>
      <c r="Z13" s="20" t="s">
        <v>18</v>
      </c>
    </row>
    <row r="14" spans="1:27" ht="30" customHeight="1" x14ac:dyDescent="0.3">
      <c r="C14" s="18" t="s">
        <v>29</v>
      </c>
      <c r="D14" s="19">
        <v>9</v>
      </c>
      <c r="E14" s="19">
        <f t="shared" ca="1" si="0"/>
        <v>2</v>
      </c>
      <c r="F14" s="19">
        <f t="shared" ca="1" si="1"/>
        <v>0</v>
      </c>
      <c r="G14" s="19">
        <f t="shared" ca="1" si="1"/>
        <v>2</v>
      </c>
      <c r="H14" s="19">
        <f t="shared" ca="1" si="1"/>
        <v>1</v>
      </c>
      <c r="I14" s="51">
        <v>750</v>
      </c>
      <c r="J14" s="51">
        <f t="shared" si="4"/>
        <v>53.122974101921471</v>
      </c>
      <c r="K14" s="51"/>
      <c r="L14" s="51"/>
      <c r="M14" s="85"/>
      <c r="N14" s="51">
        <v>953823000</v>
      </c>
      <c r="O14" s="21">
        <f t="shared" si="7"/>
        <v>-1</v>
      </c>
      <c r="P14" s="51">
        <v>17955000</v>
      </c>
      <c r="Q14" s="262">
        <v>445.11700000000002</v>
      </c>
      <c r="R14" s="68">
        <f>IF(J14="","",IF(J14&lt;=0,"",I14/J14))</f>
        <v>14.118185449501636</v>
      </c>
      <c r="S14" s="50">
        <v>9</v>
      </c>
      <c r="T14" s="21">
        <f t="shared" si="8"/>
        <v>0.59348933333333331</v>
      </c>
      <c r="U14" s="21"/>
      <c r="V14" s="21" t="e">
        <f t="shared" si="6"/>
        <v>#DIV/0!</v>
      </c>
      <c r="W14" s="20">
        <v>4208</v>
      </c>
      <c r="X14" s="20">
        <f t="shared" si="2"/>
        <v>6312</v>
      </c>
      <c r="Y14" s="20">
        <f t="shared" ca="1" si="3"/>
        <v>-1</v>
      </c>
      <c r="Z14" s="20" t="s">
        <v>18</v>
      </c>
    </row>
    <row r="15" spans="1:27" ht="30" customHeight="1" x14ac:dyDescent="0.3">
      <c r="B15" t="s">
        <v>81</v>
      </c>
      <c r="C15" s="18" t="s">
        <v>30</v>
      </c>
      <c r="D15" s="19">
        <v>10</v>
      </c>
      <c r="E15" s="19">
        <f t="shared" ca="1" si="0"/>
        <v>1</v>
      </c>
      <c r="F15" s="19">
        <f t="shared" ca="1" si="1"/>
        <v>2</v>
      </c>
      <c r="G15" s="19">
        <f t="shared" ca="1" si="1"/>
        <v>-1</v>
      </c>
      <c r="H15" s="19">
        <f t="shared" ca="1" si="1"/>
        <v>2</v>
      </c>
      <c r="I15" s="51">
        <v>4165</v>
      </c>
      <c r="J15" s="51">
        <f t="shared" si="4"/>
        <v>6.6699697279874552</v>
      </c>
      <c r="K15" s="51"/>
      <c r="L15" s="51"/>
      <c r="M15" s="85"/>
      <c r="N15" s="51">
        <v>61253000</v>
      </c>
      <c r="O15" s="21">
        <f t="shared" si="7"/>
        <v>-1</v>
      </c>
      <c r="P15" s="70">
        <v>9183400</v>
      </c>
      <c r="Q15" s="51">
        <v>1233</v>
      </c>
      <c r="R15" s="50">
        <f t="shared" si="5"/>
        <v>624.44061515354349</v>
      </c>
      <c r="S15" s="50">
        <v>9</v>
      </c>
      <c r="T15" s="21">
        <f t="shared" si="8"/>
        <v>0.29603841536614645</v>
      </c>
      <c r="U15" s="21"/>
      <c r="V15" s="21" t="e">
        <f t="shared" si="6"/>
        <v>#DIV/0!</v>
      </c>
      <c r="W15" s="20">
        <v>4209</v>
      </c>
      <c r="X15" s="20">
        <f t="shared" si="2"/>
        <v>6313.5</v>
      </c>
      <c r="Y15" s="20">
        <f t="shared" ca="1" si="3"/>
        <v>1</v>
      </c>
      <c r="Z15" s="20" t="s">
        <v>18</v>
      </c>
    </row>
    <row r="16" spans="1:27" ht="30" customHeight="1" x14ac:dyDescent="0.3">
      <c r="B16" t="s">
        <v>80</v>
      </c>
      <c r="C16" s="23" t="s">
        <v>31</v>
      </c>
      <c r="D16" s="19">
        <v>1</v>
      </c>
      <c r="E16" s="19">
        <f t="shared" ca="1" si="0"/>
        <v>3</v>
      </c>
      <c r="F16" s="19">
        <f t="shared" ca="1" si="1"/>
        <v>0</v>
      </c>
      <c r="G16" s="19">
        <f t="shared" ca="1" si="1"/>
        <v>2</v>
      </c>
      <c r="H16" s="19">
        <f t="shared" ca="1" si="1"/>
        <v>-1</v>
      </c>
      <c r="I16" s="51">
        <v>1040</v>
      </c>
      <c r="J16" s="51">
        <f t="shared" si="4"/>
        <v>17.070763373493975</v>
      </c>
      <c r="K16" s="51"/>
      <c r="L16" s="51"/>
      <c r="M16" s="85"/>
      <c r="N16" s="51">
        <v>354218340</v>
      </c>
      <c r="O16" s="21">
        <f t="shared" si="7"/>
        <v>-1</v>
      </c>
      <c r="P16" s="51">
        <v>20750000</v>
      </c>
      <c r="Q16" s="264">
        <v>60.8</v>
      </c>
      <c r="R16" s="50">
        <f t="shared" si="5"/>
        <v>60.922875986601937</v>
      </c>
      <c r="S16" s="50">
        <v>9</v>
      </c>
      <c r="T16" s="21">
        <f t="shared" si="8"/>
        <v>5.8461538461538461E-2</v>
      </c>
      <c r="U16" s="21"/>
      <c r="V16" s="21" t="e">
        <f t="shared" si="6"/>
        <v>#DIV/0!</v>
      </c>
      <c r="W16" s="20">
        <v>4200</v>
      </c>
      <c r="X16" s="20">
        <f t="shared" si="2"/>
        <v>6300</v>
      </c>
      <c r="Y16" s="20">
        <f t="shared" ca="1" si="3"/>
        <v>-1</v>
      </c>
      <c r="Z16" s="20" t="s">
        <v>18</v>
      </c>
      <c r="AA16" s="24"/>
    </row>
    <row r="17" spans="2:32" ht="30" customHeight="1" x14ac:dyDescent="0.3">
      <c r="C17" s="25" t="s">
        <v>32</v>
      </c>
      <c r="D17" s="283"/>
      <c r="E17" s="283"/>
      <c r="F17" s="283"/>
      <c r="G17" s="283"/>
      <c r="H17" s="283"/>
      <c r="I17" s="53"/>
      <c r="J17" s="53" t="str">
        <f t="shared" si="4"/>
        <v/>
      </c>
      <c r="K17" s="53"/>
      <c r="L17" s="53"/>
      <c r="M17" s="86"/>
      <c r="N17" s="53"/>
      <c r="O17" s="254"/>
      <c r="P17" s="53"/>
      <c r="Q17" s="53"/>
      <c r="R17" s="52">
        <f>+AVERAGE(R18:R22)</f>
        <v>10.048869277855882</v>
      </c>
      <c r="S17" s="52"/>
      <c r="T17" s="30"/>
      <c r="U17" s="55"/>
      <c r="V17" s="30"/>
      <c r="W17" s="55"/>
      <c r="X17" s="55"/>
      <c r="Y17" s="55"/>
      <c r="Z17" s="54"/>
      <c r="AA17" s="24"/>
    </row>
    <row r="18" spans="2:32" ht="30" customHeight="1" x14ac:dyDescent="0.3">
      <c r="C18" s="23" t="s">
        <v>33</v>
      </c>
      <c r="D18" s="26">
        <v>1</v>
      </c>
      <c r="E18" s="26">
        <f ca="1">+RANDBETWEEN(0,4)</f>
        <v>1</v>
      </c>
      <c r="F18" s="26">
        <f t="shared" ref="F18:H22" ca="1" si="9">+RANDBETWEEN(-1,2)</f>
        <v>2</v>
      </c>
      <c r="G18" s="26">
        <f t="shared" ca="1" si="9"/>
        <v>1</v>
      </c>
      <c r="H18" s="26">
        <f t="shared" ca="1" si="9"/>
        <v>1</v>
      </c>
      <c r="I18" s="42">
        <v>1420</v>
      </c>
      <c r="J18" s="42">
        <f>+IF(N18="","",N18/P18)</f>
        <v>65.321428571428569</v>
      </c>
      <c r="K18" s="42"/>
      <c r="L18" s="42"/>
      <c r="M18" s="87"/>
      <c r="N18" s="42">
        <v>3658000000</v>
      </c>
      <c r="O18" s="21">
        <f t="shared" si="7"/>
        <v>-1</v>
      </c>
      <c r="P18" s="42">
        <v>56000000</v>
      </c>
      <c r="Q18" s="256">
        <v>153.16</v>
      </c>
      <c r="R18" s="41">
        <f t="shared" si="5"/>
        <v>21.738655002733736</v>
      </c>
      <c r="S18" s="41">
        <v>7.5</v>
      </c>
      <c r="T18" s="21">
        <f>+Q18/I18</f>
        <v>0.10785915492957747</v>
      </c>
      <c r="U18" s="74">
        <f>+Q18/I18</f>
        <v>0.10785915492957747</v>
      </c>
      <c r="V18" s="21" t="e">
        <f>L18/K18</f>
        <v>#DIV/0!</v>
      </c>
      <c r="W18" s="22">
        <v>2095</v>
      </c>
      <c r="X18" s="22">
        <f>+W18*1.5</f>
        <v>3142.5</v>
      </c>
      <c r="Y18" s="22">
        <f ca="1">+RANDBETWEEN(-1,3)</f>
        <v>1</v>
      </c>
      <c r="Z18" s="22" t="s">
        <v>20</v>
      </c>
      <c r="AA18" s="24"/>
    </row>
    <row r="19" spans="2:32" ht="30" customHeight="1" x14ac:dyDescent="0.3">
      <c r="C19" s="23" t="s">
        <v>34</v>
      </c>
      <c r="D19" s="26">
        <v>2</v>
      </c>
      <c r="E19" s="26">
        <f ca="1">+RANDBETWEEN(0,4)</f>
        <v>2</v>
      </c>
      <c r="F19" s="26">
        <f t="shared" ca="1" si="9"/>
        <v>0</v>
      </c>
      <c r="G19" s="26">
        <f t="shared" ca="1" si="9"/>
        <v>2</v>
      </c>
      <c r="H19" s="26">
        <f t="shared" ca="1" si="9"/>
        <v>-1</v>
      </c>
      <c r="I19" s="42">
        <v>3100</v>
      </c>
      <c r="J19" s="42">
        <f t="shared" si="4"/>
        <v>471.52941176470586</v>
      </c>
      <c r="K19" s="113">
        <v>156676000000</v>
      </c>
      <c r="L19" s="113">
        <v>33948000000</v>
      </c>
      <c r="M19" s="42">
        <v>30085907977</v>
      </c>
      <c r="N19" s="42">
        <v>32064000000</v>
      </c>
      <c r="O19" s="21">
        <f t="shared" si="7"/>
        <v>5.8757485029940118E-2</v>
      </c>
      <c r="P19" s="42">
        <v>68000000</v>
      </c>
      <c r="Q19" s="256">
        <v>416.57909999999998</v>
      </c>
      <c r="R19" s="41">
        <f t="shared" si="5"/>
        <v>6.5743512974051903</v>
      </c>
      <c r="S19" s="41">
        <v>7.5</v>
      </c>
      <c r="T19" s="21">
        <f>+Q19/I19</f>
        <v>0.13438035483870966</v>
      </c>
      <c r="U19" s="21">
        <f>+Q19/I19</f>
        <v>0.13438035483870966</v>
      </c>
      <c r="V19" s="21">
        <f>L19/K19</f>
        <v>0.21667645331767468</v>
      </c>
      <c r="W19" s="22">
        <v>8900</v>
      </c>
      <c r="X19" s="27">
        <f>+W19*1.5</f>
        <v>13350</v>
      </c>
      <c r="Y19" s="27">
        <f ca="1">+RANDBETWEEN(-1,3)</f>
        <v>1</v>
      </c>
      <c r="Z19" s="22" t="s">
        <v>22</v>
      </c>
      <c r="AA19" s="24"/>
    </row>
    <row r="20" spans="2:32" ht="30" customHeight="1" x14ac:dyDescent="0.3">
      <c r="C20" s="23" t="s">
        <v>117</v>
      </c>
      <c r="D20" s="26">
        <v>3</v>
      </c>
      <c r="E20" s="26">
        <f ca="1">+RANDBETWEEN(0,4)</f>
        <v>3</v>
      </c>
      <c r="F20" s="26">
        <f t="shared" ca="1" si="9"/>
        <v>1</v>
      </c>
      <c r="G20" s="26">
        <f t="shared" ca="1" si="9"/>
        <v>2</v>
      </c>
      <c r="H20" s="26">
        <f t="shared" ca="1" si="9"/>
        <v>0</v>
      </c>
      <c r="I20" s="42"/>
      <c r="J20" s="42"/>
      <c r="K20" s="113"/>
      <c r="L20" s="113"/>
      <c r="M20" s="42"/>
      <c r="N20" s="42"/>
      <c r="O20" s="21"/>
      <c r="P20" s="42"/>
      <c r="Q20" s="256"/>
      <c r="R20" s="41"/>
      <c r="S20" s="41"/>
      <c r="T20" s="21"/>
      <c r="U20" s="21"/>
      <c r="V20" s="21"/>
      <c r="W20" s="22"/>
      <c r="X20" s="27"/>
      <c r="Y20" s="27"/>
      <c r="Z20" s="22"/>
      <c r="AA20" s="24"/>
    </row>
    <row r="21" spans="2:32" ht="30" customHeight="1" x14ac:dyDescent="0.3">
      <c r="C21" s="23" t="s">
        <v>35</v>
      </c>
      <c r="D21" s="26">
        <v>3</v>
      </c>
      <c r="E21" s="26">
        <f ca="1">+RANDBETWEEN(0,4)</f>
        <v>2</v>
      </c>
      <c r="F21" s="26">
        <f t="shared" ca="1" si="9"/>
        <v>0</v>
      </c>
      <c r="G21" s="26">
        <f t="shared" ca="1" si="9"/>
        <v>0</v>
      </c>
      <c r="H21" s="26">
        <f t="shared" ca="1" si="9"/>
        <v>0</v>
      </c>
      <c r="I21" s="42">
        <v>3000</v>
      </c>
      <c r="J21" s="42">
        <f t="shared" si="4"/>
        <v>478.608</v>
      </c>
      <c r="K21" s="42"/>
      <c r="L21" s="42"/>
      <c r="M21" s="42">
        <v>2952343608</v>
      </c>
      <c r="N21" s="42">
        <v>4307472000</v>
      </c>
      <c r="O21" s="21">
        <f t="shared" si="7"/>
        <v>-1</v>
      </c>
      <c r="P21" s="42">
        <v>9000000</v>
      </c>
      <c r="Q21" s="256">
        <v>432</v>
      </c>
      <c r="R21" s="41">
        <f t="shared" si="5"/>
        <v>6.2681777153745859</v>
      </c>
      <c r="S21" s="41">
        <v>7.5</v>
      </c>
      <c r="T21" s="21">
        <f>+Q21/I21</f>
        <v>0.14399999999999999</v>
      </c>
      <c r="U21" s="21">
        <f>+Q21/I21</f>
        <v>0.14399999999999999</v>
      </c>
      <c r="V21" s="21" t="e">
        <f>L21/K21</f>
        <v>#DIV/0!</v>
      </c>
      <c r="W21" s="22">
        <v>5800</v>
      </c>
      <c r="X21" s="27">
        <f>+W21*1.5</f>
        <v>8700</v>
      </c>
      <c r="Y21" s="27">
        <f ca="1">+RANDBETWEEN(-1,3)</f>
        <v>0</v>
      </c>
      <c r="Z21" s="22" t="s">
        <v>24</v>
      </c>
      <c r="AA21" s="24"/>
      <c r="AF21" t="s">
        <v>36</v>
      </c>
    </row>
    <row r="22" spans="2:32" ht="30" customHeight="1" x14ac:dyDescent="0.3">
      <c r="C22" s="23" t="s">
        <v>37</v>
      </c>
      <c r="D22" s="26">
        <v>4</v>
      </c>
      <c r="E22" s="26">
        <f ca="1">+RANDBETWEEN(0,4)</f>
        <v>2</v>
      </c>
      <c r="F22" s="26">
        <f t="shared" ca="1" si="9"/>
        <v>2</v>
      </c>
      <c r="G22" s="26">
        <f t="shared" ca="1" si="9"/>
        <v>0</v>
      </c>
      <c r="H22" s="26">
        <f t="shared" ca="1" si="9"/>
        <v>2</v>
      </c>
      <c r="I22" s="42">
        <v>11300</v>
      </c>
      <c r="J22" s="42">
        <f t="shared" si="4"/>
        <v>2012.72</v>
      </c>
      <c r="K22" s="113">
        <v>1334874000000</v>
      </c>
      <c r="L22" s="113">
        <v>252459000000</v>
      </c>
      <c r="M22" s="87"/>
      <c r="N22" s="42">
        <v>201272000000</v>
      </c>
      <c r="O22" s="21">
        <f t="shared" si="7"/>
        <v>0.25431754044278387</v>
      </c>
      <c r="P22" s="42">
        <v>100000000</v>
      </c>
      <c r="Q22" s="256">
        <v>1400</v>
      </c>
      <c r="R22" s="41">
        <f t="shared" si="5"/>
        <v>5.6142930959100124</v>
      </c>
      <c r="S22" s="41">
        <v>7.5</v>
      </c>
      <c r="T22" s="21">
        <f>+Q22/I22</f>
        <v>0.12389380530973451</v>
      </c>
      <c r="U22" s="21">
        <f>+Q22/I22</f>
        <v>0.12389380530973451</v>
      </c>
      <c r="V22" s="21">
        <f>L22/K22</f>
        <v>0.18912571523604474</v>
      </c>
      <c r="W22" s="22">
        <v>23000</v>
      </c>
      <c r="X22" s="27">
        <f>+W22*1.5</f>
        <v>34500</v>
      </c>
      <c r="Y22" s="27">
        <f ca="1">+RANDBETWEEN(-1,3)</f>
        <v>2</v>
      </c>
      <c r="Z22" s="22" t="s">
        <v>20</v>
      </c>
      <c r="AA22" s="24"/>
    </row>
    <row r="23" spans="2:32" ht="30" customHeight="1" x14ac:dyDescent="0.3">
      <c r="C23" s="25" t="s">
        <v>38</v>
      </c>
      <c r="D23" s="28"/>
      <c r="E23" s="29"/>
      <c r="F23" s="29"/>
      <c r="G23" s="29"/>
      <c r="H23" s="29"/>
      <c r="I23" s="53"/>
      <c r="J23" s="53" t="str">
        <f t="shared" si="4"/>
        <v/>
      </c>
      <c r="K23" s="53"/>
      <c r="L23" s="53"/>
      <c r="M23" s="86"/>
      <c r="N23" s="53"/>
      <c r="O23" s="254"/>
      <c r="P23" s="53"/>
      <c r="Q23" s="53"/>
      <c r="R23" s="52">
        <f>+AVERAGE(R24:R38)</f>
        <v>10.698076127868671</v>
      </c>
      <c r="S23" s="52"/>
      <c r="T23" s="30"/>
      <c r="U23" s="30"/>
      <c r="V23" s="30"/>
      <c r="W23" s="30"/>
      <c r="X23" s="30"/>
      <c r="Y23" s="30"/>
      <c r="Z23" s="43"/>
      <c r="AA23" s="24"/>
    </row>
    <row r="24" spans="2:32" ht="30" customHeight="1" x14ac:dyDescent="0.3">
      <c r="C24" s="18" t="s">
        <v>39</v>
      </c>
      <c r="D24" s="26">
        <v>0</v>
      </c>
      <c r="E24" s="26">
        <v>2</v>
      </c>
      <c r="F24" s="26">
        <f t="shared" ref="F24:H38" ca="1" si="10">+RANDBETWEEN(-1,2)</f>
        <v>-1</v>
      </c>
      <c r="G24" s="26">
        <f t="shared" ca="1" si="10"/>
        <v>-1</v>
      </c>
      <c r="H24" s="26">
        <f t="shared" ca="1" si="10"/>
        <v>0</v>
      </c>
      <c r="I24" s="51">
        <v>5000</v>
      </c>
      <c r="J24" s="51">
        <f t="shared" si="4"/>
        <v>282.89994342001131</v>
      </c>
      <c r="K24" s="51"/>
      <c r="L24" s="51"/>
      <c r="M24" s="85"/>
      <c r="N24" s="51">
        <v>4715000000</v>
      </c>
      <c r="O24" s="21">
        <f t="shared" si="7"/>
        <v>-1</v>
      </c>
      <c r="P24" s="51">
        <v>16666670</v>
      </c>
      <c r="Q24" s="112">
        <v>518</v>
      </c>
      <c r="R24" s="50">
        <f t="shared" si="5"/>
        <v>17.674093319194061</v>
      </c>
      <c r="S24" s="50">
        <f t="shared" ref="S24:S38" si="11">+AVERAGE($R$24:$R$38)</f>
        <v>10.698076127868671</v>
      </c>
      <c r="T24" s="21">
        <f t="shared" ref="T24:T38" si="12">+Q24/I24</f>
        <v>0.1036</v>
      </c>
      <c r="U24" s="21"/>
      <c r="V24" s="21" t="e">
        <f t="shared" ref="V24:V38" si="13">L24/K24</f>
        <v>#DIV/0!</v>
      </c>
      <c r="W24" s="22">
        <v>8700</v>
      </c>
      <c r="X24" s="27">
        <f t="shared" ref="X24:X34" si="14">+W24*1.5</f>
        <v>13050</v>
      </c>
      <c r="Y24" s="27">
        <f t="shared" ref="Y24:Y34" ca="1" si="15">+RANDBETWEEN(-1,3)</f>
        <v>0</v>
      </c>
      <c r="Z24" s="22" t="s">
        <v>22</v>
      </c>
    </row>
    <row r="25" spans="2:32" ht="30" customHeight="1" x14ac:dyDescent="0.3">
      <c r="C25" s="23" t="s">
        <v>40</v>
      </c>
      <c r="D25" s="26">
        <v>1</v>
      </c>
      <c r="E25" s="26">
        <v>3</v>
      </c>
      <c r="F25" s="26">
        <f t="shared" ca="1" si="10"/>
        <v>-1</v>
      </c>
      <c r="G25" s="26">
        <f t="shared" ca="1" si="10"/>
        <v>1</v>
      </c>
      <c r="H25" s="26">
        <f t="shared" ca="1" si="10"/>
        <v>0</v>
      </c>
      <c r="I25" s="42">
        <v>3900</v>
      </c>
      <c r="J25" s="42">
        <f t="shared" si="4"/>
        <v>656.39329634678074</v>
      </c>
      <c r="K25" s="113">
        <v>45259365692</v>
      </c>
      <c r="L25" s="113">
        <v>16663938680</v>
      </c>
      <c r="M25" s="87"/>
      <c r="N25" s="42">
        <v>13312000000</v>
      </c>
      <c r="O25" s="21">
        <f t="shared" si="7"/>
        <v>0.2517982782451923</v>
      </c>
      <c r="P25" s="42">
        <v>20280524</v>
      </c>
      <c r="Q25" s="256">
        <v>546</v>
      </c>
      <c r="R25" s="41">
        <f t="shared" si="5"/>
        <v>5.9415597656250005</v>
      </c>
      <c r="S25" s="41">
        <f t="shared" si="11"/>
        <v>10.698076127868671</v>
      </c>
      <c r="T25" s="21">
        <f t="shared" si="12"/>
        <v>0.14000000000000001</v>
      </c>
      <c r="U25" s="21">
        <f>+Q25/I25</f>
        <v>0.14000000000000001</v>
      </c>
      <c r="V25" s="21">
        <f t="shared" si="13"/>
        <v>0.36818763200089438</v>
      </c>
      <c r="W25" s="22">
        <v>7195</v>
      </c>
      <c r="X25" s="27">
        <f t="shared" si="14"/>
        <v>10792.5</v>
      </c>
      <c r="Y25" s="27">
        <f t="shared" ca="1" si="15"/>
        <v>3</v>
      </c>
      <c r="Z25" s="22" t="s">
        <v>24</v>
      </c>
      <c r="AA25" s="24"/>
    </row>
    <row r="26" spans="2:32" ht="30" customHeight="1" x14ac:dyDescent="0.3">
      <c r="C26" s="23" t="s">
        <v>41</v>
      </c>
      <c r="D26" s="26">
        <v>2</v>
      </c>
      <c r="E26" s="26">
        <v>4</v>
      </c>
      <c r="F26" s="26">
        <f t="shared" ca="1" si="10"/>
        <v>-1</v>
      </c>
      <c r="G26" s="26">
        <f t="shared" ca="1" si="10"/>
        <v>-1</v>
      </c>
      <c r="H26" s="26">
        <f t="shared" ca="1" si="10"/>
        <v>-1</v>
      </c>
      <c r="I26" s="42">
        <v>3800</v>
      </c>
      <c r="J26" s="42">
        <f t="shared" si="4"/>
        <v>800.35995068181819</v>
      </c>
      <c r="K26" s="113">
        <v>50828241839</v>
      </c>
      <c r="L26" s="113">
        <v>21244692497</v>
      </c>
      <c r="M26" s="87"/>
      <c r="N26" s="42">
        <v>17607918915</v>
      </c>
      <c r="O26" s="21">
        <f t="shared" si="7"/>
        <v>0.20654193147731223</v>
      </c>
      <c r="P26" s="42">
        <v>22000000</v>
      </c>
      <c r="Q26" s="256">
        <v>448</v>
      </c>
      <c r="R26" s="41">
        <f t="shared" si="5"/>
        <v>4.7478637540057074</v>
      </c>
      <c r="S26" s="41">
        <f t="shared" si="11"/>
        <v>10.698076127868671</v>
      </c>
      <c r="T26" s="21">
        <f t="shared" si="12"/>
        <v>0.11789473684210526</v>
      </c>
      <c r="U26" s="21">
        <f>+Q26/I26</f>
        <v>0.11789473684210526</v>
      </c>
      <c r="V26" s="21">
        <f t="shared" si="13"/>
        <v>0.41797024111699965</v>
      </c>
      <c r="W26" s="22">
        <v>7100</v>
      </c>
      <c r="X26" s="27">
        <f t="shared" si="14"/>
        <v>10650</v>
      </c>
      <c r="Y26" s="27">
        <f t="shared" ca="1" si="15"/>
        <v>-1</v>
      </c>
      <c r="Z26" s="27" t="s">
        <v>18</v>
      </c>
      <c r="AA26" s="24"/>
    </row>
    <row r="27" spans="2:32" ht="30" customHeight="1" x14ac:dyDescent="0.3">
      <c r="C27" s="23" t="s">
        <v>42</v>
      </c>
      <c r="D27" s="26">
        <v>3</v>
      </c>
      <c r="E27" s="26">
        <v>0</v>
      </c>
      <c r="F27" s="26">
        <f t="shared" ca="1" si="10"/>
        <v>-1</v>
      </c>
      <c r="G27" s="26">
        <f t="shared" ca="1" si="10"/>
        <v>2</v>
      </c>
      <c r="H27" s="26">
        <f t="shared" ca="1" si="10"/>
        <v>0</v>
      </c>
      <c r="I27" s="42">
        <v>3400</v>
      </c>
      <c r="J27" s="42">
        <f t="shared" si="4"/>
        <v>710.8</v>
      </c>
      <c r="K27" s="42"/>
      <c r="L27" s="113">
        <v>16638084189</v>
      </c>
      <c r="M27" s="87"/>
      <c r="N27" s="42">
        <v>14216000000</v>
      </c>
      <c r="O27" s="21">
        <f t="shared" si="7"/>
        <v>0.17037733462296004</v>
      </c>
      <c r="P27" s="42">
        <v>20000000</v>
      </c>
      <c r="Q27" s="256">
        <v>374</v>
      </c>
      <c r="R27" s="41">
        <f t="shared" si="5"/>
        <v>4.7833427124366912</v>
      </c>
      <c r="S27" s="41">
        <f t="shared" si="11"/>
        <v>10.698076127868671</v>
      </c>
      <c r="T27" s="21">
        <f t="shared" si="12"/>
        <v>0.11</v>
      </c>
      <c r="U27" s="21">
        <f>+Q27/I27</f>
        <v>0.11</v>
      </c>
      <c r="V27" s="21" t="e">
        <f t="shared" si="13"/>
        <v>#DIV/0!</v>
      </c>
      <c r="W27" s="22">
        <v>4900</v>
      </c>
      <c r="X27" s="27">
        <f t="shared" si="14"/>
        <v>7350</v>
      </c>
      <c r="Y27" s="27">
        <f t="shared" ca="1" si="15"/>
        <v>1</v>
      </c>
      <c r="Z27" s="22" t="s">
        <v>20</v>
      </c>
      <c r="AA27" s="24"/>
    </row>
    <row r="28" spans="2:32" ht="30" customHeight="1" x14ac:dyDescent="0.3">
      <c r="B28" t="s">
        <v>82</v>
      </c>
      <c r="C28" s="23" t="s">
        <v>43</v>
      </c>
      <c r="D28" s="26">
        <v>4</v>
      </c>
      <c r="E28" s="26">
        <v>1</v>
      </c>
      <c r="F28" s="26">
        <f t="shared" ca="1" si="10"/>
        <v>0</v>
      </c>
      <c r="G28" s="26">
        <f t="shared" ca="1" si="10"/>
        <v>1</v>
      </c>
      <c r="H28" s="26">
        <f t="shared" ca="1" si="10"/>
        <v>0</v>
      </c>
      <c r="I28" s="42">
        <v>1300</v>
      </c>
      <c r="J28" s="42">
        <f t="shared" si="4"/>
        <v>34.174757281553397</v>
      </c>
      <c r="K28" s="113">
        <v>35407562442</v>
      </c>
      <c r="L28" s="113">
        <v>2095292328</v>
      </c>
      <c r="M28" s="87">
        <f>+L28/P28</f>
        <v>135.61762640776698</v>
      </c>
      <c r="N28" s="42">
        <v>528000000</v>
      </c>
      <c r="O28" s="21">
        <f t="shared" si="7"/>
        <v>2.9683566818181819</v>
      </c>
      <c r="P28" s="42">
        <v>15450000</v>
      </c>
      <c r="Q28" s="256">
        <v>271</v>
      </c>
      <c r="R28" s="41">
        <f t="shared" si="5"/>
        <v>38.039772727272727</v>
      </c>
      <c r="S28" s="41">
        <f t="shared" si="11"/>
        <v>10.698076127868671</v>
      </c>
      <c r="T28" s="21">
        <f t="shared" si="12"/>
        <v>0.20846153846153845</v>
      </c>
      <c r="U28" s="21"/>
      <c r="V28" s="21">
        <f t="shared" si="13"/>
        <v>5.9176407058018514E-2</v>
      </c>
      <c r="W28" s="22">
        <v>5100</v>
      </c>
      <c r="X28" s="27">
        <f t="shared" si="14"/>
        <v>7650</v>
      </c>
      <c r="Y28" s="27">
        <f t="shared" ca="1" si="15"/>
        <v>3</v>
      </c>
      <c r="Z28" s="22" t="s">
        <v>22</v>
      </c>
      <c r="AA28" s="24"/>
    </row>
    <row r="29" spans="2:32" ht="30" customHeight="1" x14ac:dyDescent="0.3">
      <c r="C29" s="23" t="s">
        <v>44</v>
      </c>
      <c r="D29" s="26">
        <f t="shared" ref="D29:E38" ca="1" si="16">+RANDBETWEEN(0,4)</f>
        <v>3</v>
      </c>
      <c r="E29" s="26">
        <f t="shared" ca="1" si="16"/>
        <v>0</v>
      </c>
      <c r="F29" s="26">
        <f t="shared" ca="1" si="10"/>
        <v>0</v>
      </c>
      <c r="G29" s="26">
        <f t="shared" ca="1" si="10"/>
        <v>0</v>
      </c>
      <c r="H29" s="26">
        <f t="shared" ca="1" si="10"/>
        <v>1</v>
      </c>
      <c r="I29" s="42">
        <v>3600</v>
      </c>
      <c r="J29" s="42">
        <f t="shared" si="4"/>
        <v>570.8459318461538</v>
      </c>
      <c r="K29" s="113">
        <v>24995106993</v>
      </c>
      <c r="L29" s="113">
        <v>9396542105</v>
      </c>
      <c r="M29" s="87"/>
      <c r="N29" s="42">
        <v>7420997114</v>
      </c>
      <c r="O29" s="21">
        <f t="shared" si="7"/>
        <v>0.26621018181951012</v>
      </c>
      <c r="P29" s="42">
        <v>13000000</v>
      </c>
      <c r="Q29" s="256">
        <v>567.29999999999995</v>
      </c>
      <c r="R29" s="41">
        <f t="shared" si="5"/>
        <v>6.3064301577088582</v>
      </c>
      <c r="S29" s="41">
        <f t="shared" si="11"/>
        <v>10.698076127868671</v>
      </c>
      <c r="T29" s="21">
        <f t="shared" si="12"/>
        <v>0.15758333333333333</v>
      </c>
      <c r="U29" s="21">
        <f>+Q29/I29</f>
        <v>0.15758333333333333</v>
      </c>
      <c r="V29" s="21">
        <f t="shared" si="13"/>
        <v>0.37593526235480995</v>
      </c>
      <c r="W29" s="22">
        <v>4895</v>
      </c>
      <c r="X29" s="27">
        <f t="shared" si="14"/>
        <v>7342.5</v>
      </c>
      <c r="Y29" s="27">
        <f t="shared" ca="1" si="15"/>
        <v>3</v>
      </c>
      <c r="Z29" s="22" t="s">
        <v>22</v>
      </c>
      <c r="AA29" s="24"/>
    </row>
    <row r="30" spans="2:32" ht="30" customHeight="1" x14ac:dyDescent="0.3">
      <c r="C30" s="23" t="s">
        <v>45</v>
      </c>
      <c r="D30" s="26">
        <f t="shared" ca="1" si="16"/>
        <v>2</v>
      </c>
      <c r="E30" s="26">
        <f t="shared" ca="1" si="16"/>
        <v>0</v>
      </c>
      <c r="F30" s="26">
        <f t="shared" ca="1" si="10"/>
        <v>1</v>
      </c>
      <c r="G30" s="26">
        <f t="shared" ca="1" si="10"/>
        <v>2</v>
      </c>
      <c r="H30" s="26">
        <f t="shared" ca="1" si="10"/>
        <v>1</v>
      </c>
      <c r="I30" s="42">
        <v>1395</v>
      </c>
      <c r="J30" s="42">
        <f t="shared" si="4"/>
        <v>319.45833333333331</v>
      </c>
      <c r="K30" s="113">
        <v>35727000000</v>
      </c>
      <c r="L30" s="113">
        <v>11070228308</v>
      </c>
      <c r="M30" s="87"/>
      <c r="N30" s="42">
        <v>7667000000</v>
      </c>
      <c r="O30" s="21">
        <f>+(L30-N30)/N30</f>
        <v>0.4438800453893309</v>
      </c>
      <c r="P30" s="42">
        <v>24000000</v>
      </c>
      <c r="Q30" s="256">
        <v>161.01</v>
      </c>
      <c r="R30" s="41">
        <f t="shared" si="5"/>
        <v>4.36676666231903</v>
      </c>
      <c r="S30" s="41">
        <f t="shared" si="11"/>
        <v>10.698076127868671</v>
      </c>
      <c r="T30" s="21">
        <f t="shared" si="12"/>
        <v>0.11541935483870967</v>
      </c>
      <c r="U30" s="21">
        <f>+Q30/I30</f>
        <v>0.11541935483870967</v>
      </c>
      <c r="V30" s="21">
        <f t="shared" si="13"/>
        <v>0.3098560838581465</v>
      </c>
      <c r="W30" s="22">
        <v>2400</v>
      </c>
      <c r="X30" s="27">
        <f t="shared" si="14"/>
        <v>3600</v>
      </c>
      <c r="Y30" s="27">
        <f t="shared" ca="1" si="15"/>
        <v>3</v>
      </c>
      <c r="Z30" s="22" t="s">
        <v>24</v>
      </c>
      <c r="AA30" s="24"/>
    </row>
    <row r="31" spans="2:32" ht="30" customHeight="1" x14ac:dyDescent="0.3">
      <c r="C31" s="23" t="s">
        <v>46</v>
      </c>
      <c r="D31" s="26">
        <f t="shared" ca="1" si="16"/>
        <v>1</v>
      </c>
      <c r="E31" s="26">
        <f t="shared" ca="1" si="16"/>
        <v>0</v>
      </c>
      <c r="F31" s="26">
        <f t="shared" ca="1" si="10"/>
        <v>1</v>
      </c>
      <c r="G31" s="26">
        <f t="shared" ca="1" si="10"/>
        <v>0</v>
      </c>
      <c r="H31" s="26">
        <f t="shared" ca="1" si="10"/>
        <v>0</v>
      </c>
      <c r="I31" s="42">
        <v>7595</v>
      </c>
      <c r="J31" s="42">
        <f t="shared" si="4"/>
        <v>1074.15625</v>
      </c>
      <c r="K31" s="113">
        <v>90298000000</v>
      </c>
      <c r="L31" s="113">
        <v>46549000000</v>
      </c>
      <c r="M31" s="42">
        <v>16048000000</v>
      </c>
      <c r="N31" s="42">
        <v>34373000000</v>
      </c>
      <c r="O31" s="21">
        <f t="shared" si="7"/>
        <v>0.35423151892473742</v>
      </c>
      <c r="P31" s="42">
        <v>32000000</v>
      </c>
      <c r="Q31" s="256">
        <v>448</v>
      </c>
      <c r="R31" s="41">
        <f t="shared" si="5"/>
        <v>7.0706659296540888</v>
      </c>
      <c r="S31" s="41">
        <f t="shared" si="11"/>
        <v>10.698076127868671</v>
      </c>
      <c r="T31" s="21">
        <f t="shared" si="12"/>
        <v>5.8986175115207373E-2</v>
      </c>
      <c r="U31" s="21">
        <f>+Q31/I31</f>
        <v>5.8986175115207373E-2</v>
      </c>
      <c r="V31" s="21">
        <f t="shared" si="13"/>
        <v>0.51550421936255508</v>
      </c>
      <c r="W31" s="22">
        <v>9500</v>
      </c>
      <c r="X31" s="27">
        <f t="shared" si="14"/>
        <v>14250</v>
      </c>
      <c r="Y31" s="27">
        <f t="shared" ca="1" si="15"/>
        <v>3</v>
      </c>
      <c r="Z31" s="22" t="s">
        <v>20</v>
      </c>
      <c r="AA31" s="24"/>
    </row>
    <row r="32" spans="2:32" ht="30" customHeight="1" x14ac:dyDescent="0.3">
      <c r="C32" s="23" t="s">
        <v>47</v>
      </c>
      <c r="D32" s="26">
        <f t="shared" ca="1" si="16"/>
        <v>4</v>
      </c>
      <c r="E32" s="26">
        <f t="shared" ca="1" si="16"/>
        <v>1</v>
      </c>
      <c r="F32" s="26">
        <f t="shared" ca="1" si="10"/>
        <v>1</v>
      </c>
      <c r="G32" s="26">
        <f t="shared" ca="1" si="10"/>
        <v>1</v>
      </c>
      <c r="H32" s="26">
        <f t="shared" ca="1" si="10"/>
        <v>2</v>
      </c>
      <c r="I32" s="42">
        <v>3295</v>
      </c>
      <c r="J32" s="42">
        <f t="shared" si="4"/>
        <v>545.28016043421871</v>
      </c>
      <c r="K32" s="113">
        <v>90545000000</v>
      </c>
      <c r="L32" s="113">
        <v>34304000000</v>
      </c>
      <c r="M32" s="42">
        <v>25365000000</v>
      </c>
      <c r="N32" s="42">
        <v>30018000000</v>
      </c>
      <c r="O32" s="21">
        <f t="shared" si="7"/>
        <v>0.14278099806782596</v>
      </c>
      <c r="P32" s="42">
        <v>55050600</v>
      </c>
      <c r="Q32" s="256">
        <v>420.3</v>
      </c>
      <c r="R32" s="41">
        <f>IF(J32="","",IF(J32&lt;=0,"",I32/J32))</f>
        <v>6.0427652408554868</v>
      </c>
      <c r="S32" s="41">
        <f t="shared" si="11"/>
        <v>10.698076127868671</v>
      </c>
      <c r="T32" s="21">
        <f t="shared" si="12"/>
        <v>0.12755690440060699</v>
      </c>
      <c r="U32" s="21">
        <f>+Q32/I32</f>
        <v>0.12755690440060699</v>
      </c>
      <c r="V32" s="21">
        <f t="shared" si="13"/>
        <v>0.37886133966535979</v>
      </c>
      <c r="W32" s="22">
        <v>28500</v>
      </c>
      <c r="X32" s="27">
        <f t="shared" si="14"/>
        <v>42750</v>
      </c>
      <c r="Y32" s="27">
        <f t="shared" ca="1" si="15"/>
        <v>-1</v>
      </c>
      <c r="Z32" s="22" t="s">
        <v>22</v>
      </c>
      <c r="AA32" s="24"/>
    </row>
    <row r="33" spans="3:27" ht="30" customHeight="1" x14ac:dyDescent="0.3">
      <c r="C33" s="23" t="s">
        <v>48</v>
      </c>
      <c r="D33" s="26">
        <f t="shared" ca="1" si="16"/>
        <v>2</v>
      </c>
      <c r="E33" s="26">
        <f t="shared" ca="1" si="16"/>
        <v>0</v>
      </c>
      <c r="F33" s="26">
        <f t="shared" ca="1" si="10"/>
        <v>1</v>
      </c>
      <c r="G33" s="26">
        <f t="shared" ca="1" si="10"/>
        <v>1</v>
      </c>
      <c r="H33" s="26">
        <f t="shared" ca="1" si="10"/>
        <v>2</v>
      </c>
      <c r="I33" s="42">
        <v>13</v>
      </c>
      <c r="J33" s="42">
        <f>+IF(N33="","",N33/P33)</f>
        <v>2.8111424457673029</v>
      </c>
      <c r="K33" s="113">
        <v>965422000000</v>
      </c>
      <c r="L33" s="113">
        <v>193792000000</v>
      </c>
      <c r="M33" s="87"/>
      <c r="N33" s="42">
        <v>50837000000</v>
      </c>
      <c r="O33" s="21">
        <f t="shared" si="7"/>
        <v>2.812026673485847</v>
      </c>
      <c r="P33" s="42">
        <v>18084106722</v>
      </c>
      <c r="Q33" s="256">
        <v>0.9</v>
      </c>
      <c r="R33" s="66">
        <f t="shared" ref="R33:R38" si="17">IF(J33="","",IF(J33&lt;=0,"",I33/J33))</f>
        <v>4.6244543813757693</v>
      </c>
      <c r="S33" s="41">
        <f t="shared" si="11"/>
        <v>10.698076127868671</v>
      </c>
      <c r="T33" s="21">
        <f t="shared" si="12"/>
        <v>6.9230769230769235E-2</v>
      </c>
      <c r="U33" s="21"/>
      <c r="V33" s="21">
        <f t="shared" si="13"/>
        <v>0.20073294372823491</v>
      </c>
      <c r="W33" s="22">
        <v>18</v>
      </c>
      <c r="X33" s="27">
        <f t="shared" si="14"/>
        <v>27</v>
      </c>
      <c r="Y33" s="27">
        <f t="shared" ca="1" si="15"/>
        <v>3</v>
      </c>
      <c r="Z33" s="22" t="s">
        <v>24</v>
      </c>
      <c r="AA33" s="24"/>
    </row>
    <row r="34" spans="3:27" ht="30" customHeight="1" x14ac:dyDescent="0.3">
      <c r="C34" s="23" t="s">
        <v>49</v>
      </c>
      <c r="D34" s="26">
        <f t="shared" ca="1" si="16"/>
        <v>2</v>
      </c>
      <c r="E34" s="26">
        <f t="shared" ca="1" si="16"/>
        <v>3</v>
      </c>
      <c r="F34" s="26">
        <f t="shared" ca="1" si="10"/>
        <v>2</v>
      </c>
      <c r="G34" s="26">
        <f t="shared" ca="1" si="10"/>
        <v>1</v>
      </c>
      <c r="H34" s="26">
        <f t="shared" ca="1" si="10"/>
        <v>1</v>
      </c>
      <c r="I34" s="42">
        <v>3850</v>
      </c>
      <c r="J34" s="42">
        <f>+IF(N34="","",N34/P34)</f>
        <v>291.13097247043532</v>
      </c>
      <c r="K34" s="113">
        <v>76622000000</v>
      </c>
      <c r="L34" s="113">
        <v>20998000000</v>
      </c>
      <c r="M34" s="87"/>
      <c r="N34" s="42">
        <v>7201000000</v>
      </c>
      <c r="O34" s="21">
        <f t="shared" si="7"/>
        <v>1.9159838911262326</v>
      </c>
      <c r="P34" s="42">
        <v>24734572</v>
      </c>
      <c r="Q34" s="42">
        <v>77.69</v>
      </c>
      <c r="R34" s="66">
        <f>IF(J34="","",IF(J34&lt;=0,"",I34/J34))</f>
        <v>13.224288598805721</v>
      </c>
      <c r="S34" s="41">
        <f t="shared" si="11"/>
        <v>10.698076127868671</v>
      </c>
      <c r="T34" s="21">
        <f t="shared" si="12"/>
        <v>2.0179220779220779E-2</v>
      </c>
      <c r="U34" s="21">
        <f>+Q34/I34</f>
        <v>2.0179220779220779E-2</v>
      </c>
      <c r="V34" s="21">
        <f t="shared" si="13"/>
        <v>0.27404661846467071</v>
      </c>
      <c r="W34" s="22">
        <v>9000</v>
      </c>
      <c r="X34" s="27">
        <f t="shared" si="14"/>
        <v>13500</v>
      </c>
      <c r="Y34" s="27">
        <f t="shared" ca="1" si="15"/>
        <v>2</v>
      </c>
      <c r="Z34" s="27" t="s">
        <v>18</v>
      </c>
      <c r="AA34" s="24"/>
    </row>
    <row r="35" spans="3:27" ht="30" customHeight="1" x14ac:dyDescent="0.3">
      <c r="C35" s="23" t="s">
        <v>50</v>
      </c>
      <c r="D35" s="26">
        <f t="shared" ca="1" si="16"/>
        <v>0</v>
      </c>
      <c r="E35" s="26">
        <f t="shared" ca="1" si="16"/>
        <v>3</v>
      </c>
      <c r="F35" s="26">
        <f t="shared" ca="1" si="10"/>
        <v>-1</v>
      </c>
      <c r="G35" s="26">
        <f t="shared" ca="1" si="10"/>
        <v>0</v>
      </c>
      <c r="H35" s="26">
        <f t="shared" ca="1" si="10"/>
        <v>-1</v>
      </c>
      <c r="I35" s="42">
        <v>3745</v>
      </c>
      <c r="J35" s="42">
        <f t="shared" si="4"/>
        <v>135.99360057910224</v>
      </c>
      <c r="K35" s="42"/>
      <c r="L35" s="42"/>
      <c r="M35" s="42">
        <v>18327000000</v>
      </c>
      <c r="N35" s="42">
        <v>9440000000</v>
      </c>
      <c r="O35" s="21">
        <f t="shared" si="7"/>
        <v>-1</v>
      </c>
      <c r="P35" s="42">
        <v>69415031</v>
      </c>
      <c r="Q35" s="42">
        <v>59.52</v>
      </c>
      <c r="R35" s="72">
        <f t="shared" si="17"/>
        <v>27.538060497351697</v>
      </c>
      <c r="S35" s="41">
        <f t="shared" si="11"/>
        <v>10.698076127868671</v>
      </c>
      <c r="T35" s="21">
        <f t="shared" si="12"/>
        <v>1.5893190921228307E-2</v>
      </c>
      <c r="U35" s="21">
        <f>+Q35/I35</f>
        <v>1.5893190921228307E-2</v>
      </c>
      <c r="V35" s="21" t="e">
        <f t="shared" si="13"/>
        <v>#DIV/0!</v>
      </c>
      <c r="W35" s="22"/>
      <c r="X35" s="27"/>
      <c r="Y35" s="27"/>
      <c r="Z35" s="27"/>
      <c r="AA35" s="24"/>
    </row>
    <row r="36" spans="3:27" ht="30" customHeight="1" x14ac:dyDescent="0.3">
      <c r="C36" s="23" t="s">
        <v>51</v>
      </c>
      <c r="D36" s="26">
        <f t="shared" ca="1" si="16"/>
        <v>1</v>
      </c>
      <c r="E36" s="26">
        <f t="shared" ca="1" si="16"/>
        <v>2</v>
      </c>
      <c r="F36" s="26">
        <f t="shared" ca="1" si="10"/>
        <v>2</v>
      </c>
      <c r="G36" s="26">
        <f t="shared" ca="1" si="10"/>
        <v>1</v>
      </c>
      <c r="H36" s="26">
        <f t="shared" ca="1" si="10"/>
        <v>0</v>
      </c>
      <c r="I36" s="42">
        <v>280</v>
      </c>
      <c r="J36" s="42">
        <f t="shared" si="4"/>
        <v>-134.61005572831675</v>
      </c>
      <c r="K36" s="42"/>
      <c r="L36" s="42"/>
      <c r="M36" s="87"/>
      <c r="N36" s="42">
        <v>-1093000000</v>
      </c>
      <c r="O36" s="21">
        <f t="shared" si="7"/>
        <v>-1</v>
      </c>
      <c r="P36" s="42">
        <v>8119750</v>
      </c>
      <c r="Q36" s="42">
        <v>23.04</v>
      </c>
      <c r="R36" s="41" t="str">
        <f t="shared" si="17"/>
        <v/>
      </c>
      <c r="S36" s="41">
        <f t="shared" si="11"/>
        <v>10.698076127868671</v>
      </c>
      <c r="T36" s="21">
        <f t="shared" si="12"/>
        <v>8.2285714285714281E-2</v>
      </c>
      <c r="U36" s="21"/>
      <c r="V36" s="21" t="e">
        <f t="shared" si="13"/>
        <v>#DIV/0!</v>
      </c>
      <c r="W36" s="22">
        <v>10900</v>
      </c>
      <c r="X36" s="27">
        <f>+W36*1.5</f>
        <v>16350</v>
      </c>
      <c r="Y36" s="27">
        <f ca="1">+RANDBETWEEN(-1,3)</f>
        <v>2</v>
      </c>
      <c r="Z36" s="22" t="s">
        <v>20</v>
      </c>
    </row>
    <row r="37" spans="3:27" ht="30" customHeight="1" x14ac:dyDescent="0.3">
      <c r="C37" s="23" t="s">
        <v>52</v>
      </c>
      <c r="D37" s="26">
        <f t="shared" ca="1" si="16"/>
        <v>2</v>
      </c>
      <c r="E37" s="26">
        <f t="shared" ca="1" si="16"/>
        <v>4</v>
      </c>
      <c r="F37" s="26">
        <f t="shared" ca="1" si="10"/>
        <v>2</v>
      </c>
      <c r="G37" s="26">
        <f t="shared" ca="1" si="10"/>
        <v>0</v>
      </c>
      <c r="H37" s="26">
        <f t="shared" ca="1" si="10"/>
        <v>-1</v>
      </c>
      <c r="I37" s="42">
        <v>8005</v>
      </c>
      <c r="J37" s="42">
        <f t="shared" si="4"/>
        <v>1556.8393413156907</v>
      </c>
      <c r="K37" s="113">
        <v>189096000000</v>
      </c>
      <c r="L37" s="113">
        <v>67438000000</v>
      </c>
      <c r="M37" s="42">
        <v>50253000000</v>
      </c>
      <c r="N37" s="42">
        <v>48435000000</v>
      </c>
      <c r="O37" s="21">
        <f t="shared" si="7"/>
        <v>0.39234024981934551</v>
      </c>
      <c r="P37" s="42">
        <v>31111110</v>
      </c>
      <c r="Q37" s="256">
        <v>10040.93</v>
      </c>
      <c r="R37" s="41">
        <f t="shared" si="17"/>
        <v>5.1418279250541961</v>
      </c>
      <c r="S37" s="41">
        <f t="shared" si="11"/>
        <v>10.698076127868671</v>
      </c>
      <c r="T37" s="21">
        <f t="shared" si="12"/>
        <v>1.2543322923173017</v>
      </c>
      <c r="U37" s="21">
        <f>+Q37/I37</f>
        <v>1.2543322923173017</v>
      </c>
      <c r="V37" s="21">
        <f t="shared" si="13"/>
        <v>0.35663366755510428</v>
      </c>
      <c r="W37" s="22">
        <v>11550</v>
      </c>
      <c r="X37" s="27">
        <f>+W37*1.5</f>
        <v>17325</v>
      </c>
      <c r="Y37" s="27">
        <f ca="1">+RANDBETWEEN(-1,3)</f>
        <v>0</v>
      </c>
      <c r="Z37" s="22" t="s">
        <v>22</v>
      </c>
    </row>
    <row r="38" spans="3:27" ht="30" customHeight="1" x14ac:dyDescent="0.3">
      <c r="C38" s="23" t="s">
        <v>53</v>
      </c>
      <c r="D38" s="26">
        <f t="shared" ca="1" si="16"/>
        <v>3</v>
      </c>
      <c r="E38" s="26">
        <f t="shared" ca="1" si="16"/>
        <v>0</v>
      </c>
      <c r="F38" s="26">
        <f t="shared" ca="1" si="10"/>
        <v>2</v>
      </c>
      <c r="G38" s="26">
        <f t="shared" ca="1" si="10"/>
        <v>1</v>
      </c>
      <c r="H38" s="26">
        <f t="shared" ca="1" si="10"/>
        <v>-1</v>
      </c>
      <c r="I38" s="42">
        <v>2585</v>
      </c>
      <c r="J38" s="42">
        <f t="shared" si="4"/>
        <v>605.22</v>
      </c>
      <c r="K38" s="42"/>
      <c r="L38" s="42"/>
      <c r="M38" s="42">
        <v>20900000000</v>
      </c>
      <c r="N38" s="42">
        <v>30261000000</v>
      </c>
      <c r="O38" s="21">
        <f t="shared" si="7"/>
        <v>-1</v>
      </c>
      <c r="P38" s="42">
        <v>50000000</v>
      </c>
      <c r="Q38" s="256">
        <v>405</v>
      </c>
      <c r="R38" s="69">
        <f t="shared" si="17"/>
        <v>4.2711741185023628</v>
      </c>
      <c r="S38" s="41">
        <f t="shared" si="11"/>
        <v>10.698076127868671</v>
      </c>
      <c r="T38" s="21">
        <f t="shared" si="12"/>
        <v>0.15667311411992263</v>
      </c>
      <c r="U38" s="21">
        <f>+Q38/I38</f>
        <v>0.15667311411992263</v>
      </c>
      <c r="V38" s="21" t="e">
        <f t="shared" si="13"/>
        <v>#DIV/0!</v>
      </c>
      <c r="W38" s="22">
        <v>16945</v>
      </c>
      <c r="X38" s="27">
        <f>+W38*1.5</f>
        <v>25417.5</v>
      </c>
      <c r="Y38" s="27">
        <f ca="1">+RANDBETWEEN(-1,3)</f>
        <v>0</v>
      </c>
      <c r="Z38" s="22" t="s">
        <v>22</v>
      </c>
    </row>
    <row r="39" spans="3:27" ht="30" customHeight="1" x14ac:dyDescent="0.3">
      <c r="C39" s="25" t="s">
        <v>54</v>
      </c>
      <c r="D39" s="28"/>
      <c r="E39" s="29"/>
      <c r="F39" s="29"/>
      <c r="G39" s="29"/>
      <c r="H39" s="29"/>
      <c r="I39" s="45"/>
      <c r="J39" s="45" t="str">
        <f t="shared" si="4"/>
        <v/>
      </c>
      <c r="K39" s="45"/>
      <c r="L39" s="45"/>
      <c r="M39" s="88"/>
      <c r="N39" s="45"/>
      <c r="O39" s="255"/>
      <c r="P39" s="45"/>
      <c r="Q39" s="45"/>
      <c r="R39" s="52">
        <f>+AVERAGE(R40:R41)</f>
        <v>3.8157718196791515</v>
      </c>
      <c r="S39" s="44"/>
      <c r="T39" s="30"/>
      <c r="U39" s="30"/>
      <c r="V39" s="30"/>
      <c r="W39" s="30"/>
      <c r="X39" s="30"/>
      <c r="Y39" s="30"/>
      <c r="Z39" s="43"/>
    </row>
    <row r="40" spans="3:27" ht="30" customHeight="1" x14ac:dyDescent="0.3">
      <c r="C40" s="23" t="s">
        <v>55</v>
      </c>
      <c r="D40" s="26">
        <f ca="1">+RANDBETWEEN(0,4)</f>
        <v>0</v>
      </c>
      <c r="E40" s="26">
        <f ca="1">+RANDBETWEEN(0,4)</f>
        <v>3</v>
      </c>
      <c r="F40" s="26">
        <f t="shared" ref="F40:H41" ca="1" si="18">+RANDBETWEEN(-1,2)</f>
        <v>1</v>
      </c>
      <c r="G40" s="26">
        <f t="shared" ca="1" si="18"/>
        <v>-1</v>
      </c>
      <c r="H40" s="26">
        <f t="shared" ca="1" si="18"/>
        <v>0</v>
      </c>
      <c r="I40" s="42">
        <v>1445</v>
      </c>
      <c r="J40" s="42">
        <f t="shared" si="4"/>
        <v>197.10233271424977</v>
      </c>
      <c r="K40" s="42"/>
      <c r="L40" s="42"/>
      <c r="M40" s="87"/>
      <c r="N40" s="42">
        <v>10729324612</v>
      </c>
      <c r="O40" s="21">
        <f t="shared" si="7"/>
        <v>-1</v>
      </c>
      <c r="P40" s="42">
        <v>54435300</v>
      </c>
      <c r="Q40" s="113">
        <v>130</v>
      </c>
      <c r="R40" s="41">
        <f t="shared" ref="R40:R57" si="19">IF(J40="","",IF(J40&lt;=0,"",I40/J40))</f>
        <v>7.3312171403617885</v>
      </c>
      <c r="S40" s="41">
        <v>6</v>
      </c>
      <c r="T40" s="21">
        <f>+Q40/I40</f>
        <v>8.9965397923875437E-2</v>
      </c>
      <c r="U40" s="21">
        <f>+Q40/I40</f>
        <v>8.9965397923875437E-2</v>
      </c>
      <c r="V40" s="21" t="e">
        <f>L40/K40</f>
        <v>#DIV/0!</v>
      </c>
      <c r="W40" s="22">
        <v>4620</v>
      </c>
      <c r="X40" s="27">
        <f>+W40*1.5</f>
        <v>6930</v>
      </c>
      <c r="Y40" s="27">
        <f ca="1">+RANDBETWEEN(-1,3)</f>
        <v>2</v>
      </c>
      <c r="Z40" s="22" t="s">
        <v>24</v>
      </c>
    </row>
    <row r="41" spans="3:27" ht="30" customHeight="1" x14ac:dyDescent="0.3">
      <c r="C41" s="23" t="s">
        <v>56</v>
      </c>
      <c r="D41" s="26">
        <f ca="1">+RANDBETWEEN(0,4)</f>
        <v>4</v>
      </c>
      <c r="E41" s="26">
        <f ca="1">+RANDBETWEEN(0,4)</f>
        <v>3</v>
      </c>
      <c r="F41" s="26">
        <f t="shared" ca="1" si="18"/>
        <v>0</v>
      </c>
      <c r="G41" s="26">
        <f t="shared" ca="1" si="18"/>
        <v>1</v>
      </c>
      <c r="H41" s="26">
        <f t="shared" ca="1" si="18"/>
        <v>1</v>
      </c>
      <c r="I41" s="42">
        <v>2395</v>
      </c>
      <c r="J41" s="42">
        <f t="shared" si="4"/>
        <v>7974.6542779356769</v>
      </c>
      <c r="K41" s="42"/>
      <c r="L41" s="42"/>
      <c r="M41" s="87"/>
      <c r="N41" s="42">
        <v>6663820481</v>
      </c>
      <c r="O41" s="21">
        <f t="shared" si="7"/>
        <v>-1</v>
      </c>
      <c r="P41" s="42">
        <v>835625</v>
      </c>
      <c r="Q41" s="42">
        <v>270</v>
      </c>
      <c r="R41" s="41">
        <f t="shared" si="19"/>
        <v>0.30032649899651459</v>
      </c>
      <c r="S41" s="41"/>
      <c r="T41" s="21">
        <f>+Q41/I41</f>
        <v>0.11273486430062631</v>
      </c>
      <c r="U41" s="21"/>
      <c r="V41" s="21" t="e">
        <f>L41/K41</f>
        <v>#DIV/0!</v>
      </c>
      <c r="W41" s="22">
        <v>4620</v>
      </c>
      <c r="X41" s="27">
        <f>+W41*1.5</f>
        <v>6930</v>
      </c>
      <c r="Y41" s="27">
        <f ca="1">+RANDBETWEEN(-1,3)</f>
        <v>2</v>
      </c>
      <c r="Z41" s="22" t="s">
        <v>24</v>
      </c>
    </row>
    <row r="42" spans="3:27" ht="30" customHeight="1" x14ac:dyDescent="0.3">
      <c r="C42" s="25" t="s">
        <v>57</v>
      </c>
      <c r="D42" s="28"/>
      <c r="E42" s="29"/>
      <c r="F42" s="29"/>
      <c r="G42" s="29"/>
      <c r="H42" s="29"/>
      <c r="I42" s="45"/>
      <c r="J42" s="45" t="str">
        <f t="shared" si="4"/>
        <v/>
      </c>
      <c r="K42" s="45"/>
      <c r="L42" s="45"/>
      <c r="M42" s="88"/>
      <c r="N42" s="45"/>
      <c r="O42" s="255"/>
      <c r="P42" s="45"/>
      <c r="Q42" s="45"/>
      <c r="R42" s="52">
        <f>+AVERAGE(R43:R47)</f>
        <v>9.3023712453386391</v>
      </c>
      <c r="S42" s="44"/>
      <c r="T42" s="30"/>
      <c r="U42" s="30"/>
      <c r="V42" s="30"/>
      <c r="W42" s="30"/>
      <c r="X42" s="30"/>
      <c r="Y42" s="30"/>
      <c r="Z42" s="43"/>
    </row>
    <row r="43" spans="3:27" ht="30" customHeight="1" x14ac:dyDescent="0.3">
      <c r="C43" s="23" t="s">
        <v>58</v>
      </c>
      <c r="D43" s="31"/>
      <c r="E43" s="32"/>
      <c r="F43" s="32"/>
      <c r="G43" s="32"/>
      <c r="H43" s="32"/>
      <c r="I43" s="49">
        <v>3400</v>
      </c>
      <c r="J43" s="49">
        <f t="shared" si="4"/>
        <v>443.01740128735321</v>
      </c>
      <c r="K43" s="49"/>
      <c r="L43" s="49"/>
      <c r="M43" s="89"/>
      <c r="N43" s="49">
        <v>6848746000</v>
      </c>
      <c r="O43" s="21">
        <f t="shared" si="7"/>
        <v>-1</v>
      </c>
      <c r="P43" s="49">
        <v>15459316</v>
      </c>
      <c r="Q43" s="49">
        <v>102.51</v>
      </c>
      <c r="R43" s="48">
        <f t="shared" si="19"/>
        <v>7.6746421023644329</v>
      </c>
      <c r="S43" s="48">
        <v>9</v>
      </c>
      <c r="T43" s="21">
        <f>+Q43/I43</f>
        <v>3.0150000000000003E-2</v>
      </c>
      <c r="U43" s="21"/>
      <c r="V43" s="21" t="e">
        <f>L43/K43</f>
        <v>#DIV/0!</v>
      </c>
      <c r="W43" s="33"/>
      <c r="X43" s="47"/>
      <c r="Y43" s="47"/>
      <c r="Z43" s="46"/>
    </row>
    <row r="44" spans="3:27" ht="30" customHeight="1" x14ac:dyDescent="0.3">
      <c r="C44" s="23" t="s">
        <v>59</v>
      </c>
      <c r="D44" s="31"/>
      <c r="E44" s="32"/>
      <c r="F44" s="32"/>
      <c r="G44" s="32"/>
      <c r="H44" s="32"/>
      <c r="I44" s="49">
        <v>580</v>
      </c>
      <c r="J44" s="49">
        <f t="shared" si="4"/>
        <v>-47.501407551020407</v>
      </c>
      <c r="K44" s="49"/>
      <c r="L44" s="49"/>
      <c r="M44" s="89"/>
      <c r="N44" s="49">
        <v>-931027588</v>
      </c>
      <c r="O44" s="21">
        <f t="shared" si="7"/>
        <v>-1</v>
      </c>
      <c r="P44" s="49">
        <v>19600000</v>
      </c>
      <c r="Q44" s="49">
        <v>40.5</v>
      </c>
      <c r="R44" s="48" t="str">
        <f t="shared" si="19"/>
        <v/>
      </c>
      <c r="S44" s="48">
        <v>9</v>
      </c>
      <c r="T44" s="21">
        <f>+Q44/I44</f>
        <v>6.9827586206896552E-2</v>
      </c>
      <c r="U44" s="21"/>
      <c r="V44" s="21" t="e">
        <f>L44/K44</f>
        <v>#DIV/0!</v>
      </c>
      <c r="W44" s="33"/>
      <c r="X44" s="47"/>
      <c r="Y44" s="47"/>
      <c r="Z44" s="46"/>
    </row>
    <row r="45" spans="3:27" ht="30" customHeight="1" x14ac:dyDescent="0.3">
      <c r="C45" s="23" t="s">
        <v>60</v>
      </c>
      <c r="D45" s="31"/>
      <c r="E45" s="32"/>
      <c r="F45" s="32"/>
      <c r="G45" s="32"/>
      <c r="H45" s="32"/>
      <c r="I45" s="49">
        <v>1330</v>
      </c>
      <c r="J45" s="49" t="str">
        <f t="shared" si="4"/>
        <v/>
      </c>
      <c r="K45" s="49"/>
      <c r="L45" s="49"/>
      <c r="M45" s="89"/>
      <c r="N45" s="49"/>
      <c r="O45" s="21" t="e">
        <f t="shared" si="7"/>
        <v>#DIV/0!</v>
      </c>
      <c r="P45" s="49">
        <v>600000</v>
      </c>
      <c r="Q45" s="49">
        <v>1919</v>
      </c>
      <c r="R45" s="48" t="str">
        <f t="shared" si="19"/>
        <v/>
      </c>
      <c r="S45" s="48">
        <v>9</v>
      </c>
      <c r="T45" s="21">
        <f>+Q45/I45</f>
        <v>1.4428571428571428</v>
      </c>
      <c r="U45" s="21"/>
      <c r="V45" s="21"/>
      <c r="W45" s="33"/>
      <c r="X45" s="47"/>
      <c r="Y45" s="47"/>
      <c r="Z45" s="46"/>
    </row>
    <row r="46" spans="3:27" ht="30" customHeight="1" x14ac:dyDescent="0.3">
      <c r="C46" s="23" t="s">
        <v>61</v>
      </c>
      <c r="D46" s="31"/>
      <c r="E46" s="32"/>
      <c r="F46" s="32"/>
      <c r="G46" s="32"/>
      <c r="H46" s="32"/>
      <c r="I46" s="49">
        <v>2365</v>
      </c>
      <c r="J46" s="49">
        <f t="shared" si="4"/>
        <v>354.2559800461442</v>
      </c>
      <c r="K46" s="49"/>
      <c r="L46" s="49"/>
      <c r="M46" s="89"/>
      <c r="N46" s="49">
        <v>7652581000</v>
      </c>
      <c r="O46" s="21">
        <f t="shared" si="7"/>
        <v>-1</v>
      </c>
      <c r="P46" s="49">
        <v>21601840</v>
      </c>
      <c r="Q46" s="263">
        <v>541.79999999999995</v>
      </c>
      <c r="R46" s="48">
        <f t="shared" si="19"/>
        <v>6.6759635213269881</v>
      </c>
      <c r="S46" s="48">
        <v>9</v>
      </c>
      <c r="T46" s="21">
        <f>+Q46/I46</f>
        <v>0.22909090909090907</v>
      </c>
      <c r="U46" s="21">
        <f>+Q46/I46</f>
        <v>0.22909090909090907</v>
      </c>
      <c r="V46" s="21" t="e">
        <f>L46/K46</f>
        <v>#DIV/0!</v>
      </c>
      <c r="W46" s="33"/>
      <c r="X46" s="47"/>
      <c r="Y46" s="47"/>
      <c r="Z46" s="46"/>
    </row>
    <row r="47" spans="3:27" ht="30" customHeight="1" x14ac:dyDescent="0.3">
      <c r="C47" s="23" t="s">
        <v>62</v>
      </c>
      <c r="D47" s="31"/>
      <c r="E47" s="32"/>
      <c r="F47" s="32"/>
      <c r="G47" s="32"/>
      <c r="H47" s="32"/>
      <c r="I47" s="49">
        <v>1700</v>
      </c>
      <c r="J47" s="49">
        <f t="shared" si="4"/>
        <v>125.40102406271538</v>
      </c>
      <c r="K47" s="49"/>
      <c r="L47" s="49"/>
      <c r="M47" s="89"/>
      <c r="N47" s="49">
        <v>3205000000</v>
      </c>
      <c r="O47" s="21">
        <f t="shared" si="7"/>
        <v>-1</v>
      </c>
      <c r="P47" s="49">
        <v>25558005</v>
      </c>
      <c r="Q47" s="263">
        <v>365</v>
      </c>
      <c r="R47" s="67">
        <f t="shared" si="19"/>
        <v>13.556508112324494</v>
      </c>
      <c r="S47" s="48">
        <v>9</v>
      </c>
      <c r="T47" s="21">
        <f>+Q47/I47</f>
        <v>0.21470588235294116</v>
      </c>
      <c r="U47" s="21"/>
      <c r="V47" s="21" t="e">
        <f>L47/K47</f>
        <v>#DIV/0!</v>
      </c>
      <c r="W47" s="33"/>
      <c r="X47" s="47"/>
      <c r="Y47" s="47"/>
      <c r="Z47" s="46"/>
    </row>
    <row r="48" spans="3:27" ht="30" customHeight="1" x14ac:dyDescent="0.3">
      <c r="C48" s="25" t="s">
        <v>63</v>
      </c>
      <c r="D48" s="28"/>
      <c r="E48" s="29"/>
      <c r="F48" s="29"/>
      <c r="G48" s="29"/>
      <c r="H48" s="29"/>
      <c r="I48" s="45"/>
      <c r="J48" s="45" t="str">
        <f t="shared" si="4"/>
        <v/>
      </c>
      <c r="K48" s="45"/>
      <c r="L48" s="45"/>
      <c r="M48" s="88"/>
      <c r="N48" s="45"/>
      <c r="O48" s="255"/>
      <c r="P48" s="45"/>
      <c r="Q48" s="45"/>
      <c r="R48" s="52">
        <f>+AVERAGE(R49:R55)</f>
        <v>20.870355608249188</v>
      </c>
      <c r="S48" s="44"/>
      <c r="T48" s="30"/>
      <c r="U48" s="30"/>
      <c r="V48" s="30"/>
      <c r="W48" s="30"/>
      <c r="X48" s="30"/>
      <c r="Y48" s="30"/>
      <c r="Z48" s="43"/>
    </row>
    <row r="49" spans="3:27" ht="30" customHeight="1" x14ac:dyDescent="0.3">
      <c r="C49" s="23" t="s">
        <v>64</v>
      </c>
      <c r="D49" s="26">
        <f t="shared" ref="D49:E55" ca="1" si="20">+RANDBETWEEN(0,4)</f>
        <v>0</v>
      </c>
      <c r="E49" s="26">
        <f t="shared" ca="1" si="20"/>
        <v>1</v>
      </c>
      <c r="F49" s="26">
        <f t="shared" ref="F49:H55" ca="1" si="21">+RANDBETWEEN(-1,2)</f>
        <v>-1</v>
      </c>
      <c r="G49" s="26">
        <f t="shared" ca="1" si="21"/>
        <v>1</v>
      </c>
      <c r="H49" s="26">
        <f t="shared" ca="1" si="21"/>
        <v>2</v>
      </c>
      <c r="I49" s="42">
        <v>945</v>
      </c>
      <c r="J49" s="42">
        <f>+IF(N49="","",N49/P49)</f>
        <v>-43.996242668621704</v>
      </c>
      <c r="K49" s="42"/>
      <c r="L49" s="42"/>
      <c r="M49" s="87">
        <v>1509605657</v>
      </c>
      <c r="N49" s="42">
        <v>-480087000</v>
      </c>
      <c r="O49" s="21">
        <f>+(L49-N49)/N49</f>
        <v>-1</v>
      </c>
      <c r="P49" s="42">
        <f>545600*20</f>
        <v>10912000</v>
      </c>
      <c r="Q49" s="256">
        <v>57.74</v>
      </c>
      <c r="R49" s="41" t="str">
        <f t="shared" si="19"/>
        <v/>
      </c>
      <c r="S49" s="41">
        <f t="shared" ref="S49:S55" si="22">+AVERAGE($R$49:$R$55)</f>
        <v>20.870355608249188</v>
      </c>
      <c r="T49" s="21">
        <f t="shared" ref="T49:T55" si="23">+Q49/I49</f>
        <v>6.11005291005291E-2</v>
      </c>
      <c r="U49" s="21"/>
      <c r="V49" s="21" t="e">
        <f t="shared" ref="V49:V55" si="24">L49/K49</f>
        <v>#DIV/0!</v>
      </c>
      <c r="W49" s="22">
        <v>4620</v>
      </c>
      <c r="X49" s="27">
        <f t="shared" ref="X49:X55" si="25">+W49*1.5</f>
        <v>6930</v>
      </c>
      <c r="Y49" s="27">
        <f t="shared" ref="Y49:Y55" ca="1" si="26">+RANDBETWEEN(-1,3)</f>
        <v>1</v>
      </c>
      <c r="Z49" s="22" t="s">
        <v>24</v>
      </c>
    </row>
    <row r="50" spans="3:27" ht="30" customHeight="1" x14ac:dyDescent="0.3">
      <c r="C50" s="23" t="s">
        <v>65</v>
      </c>
      <c r="D50" s="26">
        <f t="shared" ca="1" si="20"/>
        <v>3</v>
      </c>
      <c r="E50" s="26">
        <f t="shared" ca="1" si="20"/>
        <v>1</v>
      </c>
      <c r="F50" s="26">
        <f t="shared" ca="1" si="21"/>
        <v>-1</v>
      </c>
      <c r="G50" s="26">
        <f t="shared" ca="1" si="21"/>
        <v>0</v>
      </c>
      <c r="H50" s="26">
        <f t="shared" ca="1" si="21"/>
        <v>1</v>
      </c>
      <c r="I50" s="42">
        <v>570</v>
      </c>
      <c r="J50" s="42">
        <f t="shared" ref="J50:J55" si="27">+IF(N50="","",N50/P50)</f>
        <v>73.171950483091791</v>
      </c>
      <c r="K50" s="42"/>
      <c r="L50" s="42"/>
      <c r="M50" s="87"/>
      <c r="N50" s="42">
        <v>484691000</v>
      </c>
      <c r="O50" s="21">
        <f t="shared" si="7"/>
        <v>-1</v>
      </c>
      <c r="P50" s="42">
        <v>6624000</v>
      </c>
      <c r="Q50" s="42">
        <v>45</v>
      </c>
      <c r="R50" s="66">
        <f t="shared" si="19"/>
        <v>7.7898702472296781</v>
      </c>
      <c r="S50" s="41">
        <f t="shared" si="22"/>
        <v>20.870355608249188</v>
      </c>
      <c r="T50" s="21">
        <f t="shared" si="23"/>
        <v>7.8947368421052627E-2</v>
      </c>
      <c r="U50" s="21"/>
      <c r="V50" s="21" t="e">
        <f t="shared" si="24"/>
        <v>#DIV/0!</v>
      </c>
      <c r="W50" s="22">
        <v>4620</v>
      </c>
      <c r="X50" s="27">
        <f t="shared" si="25"/>
        <v>6930</v>
      </c>
      <c r="Y50" s="27">
        <f t="shared" ca="1" si="26"/>
        <v>0</v>
      </c>
      <c r="Z50" s="22" t="s">
        <v>24</v>
      </c>
    </row>
    <row r="51" spans="3:27" ht="30" customHeight="1" x14ac:dyDescent="0.3">
      <c r="C51" s="23" t="s">
        <v>66</v>
      </c>
      <c r="D51" s="26">
        <f t="shared" ca="1" si="20"/>
        <v>4</v>
      </c>
      <c r="E51" s="26">
        <f t="shared" ca="1" si="20"/>
        <v>2</v>
      </c>
      <c r="F51" s="26">
        <f t="shared" ca="1" si="21"/>
        <v>0</v>
      </c>
      <c r="G51" s="26">
        <f t="shared" ca="1" si="21"/>
        <v>1</v>
      </c>
      <c r="H51" s="26">
        <f t="shared" ca="1" si="21"/>
        <v>2</v>
      </c>
      <c r="I51" s="42">
        <v>380</v>
      </c>
      <c r="J51" s="42">
        <f t="shared" si="27"/>
        <v>7.3320274419576572</v>
      </c>
      <c r="K51" s="42"/>
      <c r="L51" s="42"/>
      <c r="M51" s="87"/>
      <c r="N51" s="42">
        <v>1329823748</v>
      </c>
      <c r="O51" s="21">
        <f t="shared" si="7"/>
        <v>-1</v>
      </c>
      <c r="P51" s="42">
        <v>181371900</v>
      </c>
      <c r="Q51" s="256">
        <v>69.47</v>
      </c>
      <c r="R51" s="41">
        <f t="shared" si="19"/>
        <v>51.827411041241234</v>
      </c>
      <c r="S51" s="41">
        <f t="shared" si="22"/>
        <v>20.870355608249188</v>
      </c>
      <c r="T51" s="21">
        <f t="shared" si="23"/>
        <v>0.18281578947368421</v>
      </c>
      <c r="U51" s="21">
        <f>+Q51/I51</f>
        <v>0.18281578947368421</v>
      </c>
      <c r="V51" s="21" t="e">
        <f t="shared" si="24"/>
        <v>#DIV/0!</v>
      </c>
      <c r="W51" s="22">
        <v>4620</v>
      </c>
      <c r="X51" s="27">
        <f t="shared" si="25"/>
        <v>6930</v>
      </c>
      <c r="Y51" s="27">
        <f t="shared" ca="1" si="26"/>
        <v>2</v>
      </c>
      <c r="Z51" s="22" t="s">
        <v>24</v>
      </c>
    </row>
    <row r="52" spans="3:27" ht="30" customHeight="1" x14ac:dyDescent="0.3">
      <c r="C52" s="23" t="s">
        <v>67</v>
      </c>
      <c r="D52" s="26">
        <f t="shared" ca="1" si="20"/>
        <v>4</v>
      </c>
      <c r="E52" s="26">
        <f t="shared" ca="1" si="20"/>
        <v>0</v>
      </c>
      <c r="F52" s="26">
        <f t="shared" ca="1" si="21"/>
        <v>-1</v>
      </c>
      <c r="G52" s="26">
        <f t="shared" ca="1" si="21"/>
        <v>1</v>
      </c>
      <c r="H52" s="26">
        <f t="shared" ca="1" si="21"/>
        <v>0</v>
      </c>
      <c r="I52" s="42">
        <v>2060</v>
      </c>
      <c r="J52" s="42">
        <f t="shared" si="27"/>
        <v>105.6844044921875</v>
      </c>
      <c r="K52" s="42"/>
      <c r="L52" s="42"/>
      <c r="M52" s="87"/>
      <c r="N52" s="42">
        <v>1082208302</v>
      </c>
      <c r="O52" s="21">
        <f t="shared" si="7"/>
        <v>-1</v>
      </c>
      <c r="P52" s="42">
        <v>10240000</v>
      </c>
      <c r="Q52" s="256">
        <v>175.9</v>
      </c>
      <c r="R52" s="69">
        <f t="shared" si="19"/>
        <v>19.491996098178149</v>
      </c>
      <c r="S52" s="41">
        <f t="shared" si="22"/>
        <v>20.870355608249188</v>
      </c>
      <c r="T52" s="21">
        <f t="shared" si="23"/>
        <v>8.5388349514563103E-2</v>
      </c>
      <c r="U52" s="21">
        <f>+Q52/I52</f>
        <v>8.5388349514563103E-2</v>
      </c>
      <c r="V52" s="21" t="e">
        <f t="shared" si="24"/>
        <v>#DIV/0!</v>
      </c>
      <c r="W52" s="22">
        <v>4620</v>
      </c>
      <c r="X52" s="27">
        <f t="shared" si="25"/>
        <v>6930</v>
      </c>
      <c r="Y52" s="27">
        <f t="shared" ca="1" si="26"/>
        <v>0</v>
      </c>
      <c r="Z52" s="22" t="s">
        <v>24</v>
      </c>
    </row>
    <row r="53" spans="3:27" ht="30" customHeight="1" x14ac:dyDescent="0.3">
      <c r="C53" s="23" t="s">
        <v>68</v>
      </c>
      <c r="D53" s="26">
        <f t="shared" ca="1" si="20"/>
        <v>0</v>
      </c>
      <c r="E53" s="26">
        <f t="shared" ca="1" si="20"/>
        <v>4</v>
      </c>
      <c r="F53" s="26">
        <f t="shared" ca="1" si="21"/>
        <v>-1</v>
      </c>
      <c r="G53" s="26">
        <f t="shared" ca="1" si="21"/>
        <v>0</v>
      </c>
      <c r="H53" s="26">
        <f t="shared" ca="1" si="21"/>
        <v>0</v>
      </c>
      <c r="I53" s="42">
        <v>590</v>
      </c>
      <c r="J53" s="42">
        <f t="shared" si="27"/>
        <v>26.031746031746032</v>
      </c>
      <c r="K53" s="42"/>
      <c r="L53" s="42"/>
      <c r="M53" s="87"/>
      <c r="N53" s="42">
        <v>1640000000</v>
      </c>
      <c r="O53" s="21">
        <f t="shared" si="7"/>
        <v>-1</v>
      </c>
      <c r="P53" s="42">
        <f>1260000*50</f>
        <v>63000000</v>
      </c>
      <c r="Q53" s="113">
        <v>29</v>
      </c>
      <c r="R53" s="41">
        <f t="shared" si="19"/>
        <v>22.664634146341463</v>
      </c>
      <c r="S53" s="41">
        <f t="shared" si="22"/>
        <v>20.870355608249188</v>
      </c>
      <c r="T53" s="21">
        <f t="shared" si="23"/>
        <v>4.9152542372881358E-2</v>
      </c>
      <c r="U53" s="21">
        <f>+Q53/I53</f>
        <v>4.9152542372881358E-2</v>
      </c>
      <c r="V53" s="21" t="e">
        <f t="shared" si="24"/>
        <v>#DIV/0!</v>
      </c>
      <c r="W53" s="22">
        <v>4620</v>
      </c>
      <c r="X53" s="27">
        <f t="shared" si="25"/>
        <v>6930</v>
      </c>
      <c r="Y53" s="27">
        <f t="shared" ca="1" si="26"/>
        <v>0</v>
      </c>
      <c r="Z53" s="22" t="s">
        <v>24</v>
      </c>
    </row>
    <row r="54" spans="3:27" ht="30" customHeight="1" x14ac:dyDescent="0.3">
      <c r="C54" s="23" t="s">
        <v>69</v>
      </c>
      <c r="D54" s="26">
        <f t="shared" ca="1" si="20"/>
        <v>1</v>
      </c>
      <c r="E54" s="26">
        <f t="shared" ca="1" si="20"/>
        <v>1</v>
      </c>
      <c r="F54" s="26">
        <f t="shared" ca="1" si="21"/>
        <v>0</v>
      </c>
      <c r="G54" s="26">
        <f t="shared" ca="1" si="21"/>
        <v>-1</v>
      </c>
      <c r="H54" s="26">
        <f t="shared" ca="1" si="21"/>
        <v>-1</v>
      </c>
      <c r="I54" s="42">
        <v>1200</v>
      </c>
      <c r="J54" s="42">
        <f t="shared" si="27"/>
        <v>88.768392162842119</v>
      </c>
      <c r="K54" s="42"/>
      <c r="L54" s="42"/>
      <c r="M54" s="87"/>
      <c r="N54" s="42">
        <v>5589000000</v>
      </c>
      <c r="O54" s="21">
        <f t="shared" si="7"/>
        <v>-1</v>
      </c>
      <c r="P54" s="42">
        <v>62961600</v>
      </c>
      <c r="Q54" s="261">
        <v>159.28700000000001</v>
      </c>
      <c r="R54" s="66">
        <f t="shared" si="19"/>
        <v>13.518325281803541</v>
      </c>
      <c r="S54" s="41">
        <f t="shared" si="22"/>
        <v>20.870355608249188</v>
      </c>
      <c r="T54" s="21">
        <f t="shared" si="23"/>
        <v>0.13273916666666666</v>
      </c>
      <c r="U54" s="21">
        <f>+Q54/I54</f>
        <v>0.13273916666666666</v>
      </c>
      <c r="V54" s="21" t="e">
        <f t="shared" si="24"/>
        <v>#DIV/0!</v>
      </c>
      <c r="W54" s="22">
        <v>4620</v>
      </c>
      <c r="X54" s="27">
        <f t="shared" si="25"/>
        <v>6930</v>
      </c>
      <c r="Y54" s="27">
        <f t="shared" ca="1" si="26"/>
        <v>3</v>
      </c>
      <c r="Z54" s="22" t="s">
        <v>24</v>
      </c>
    </row>
    <row r="55" spans="3:27" ht="30" customHeight="1" x14ac:dyDescent="0.3">
      <c r="C55" s="23" t="s">
        <v>70</v>
      </c>
      <c r="D55" s="26">
        <f t="shared" ca="1" si="20"/>
        <v>2</v>
      </c>
      <c r="E55" s="26">
        <f t="shared" ca="1" si="20"/>
        <v>1</v>
      </c>
      <c r="F55" s="26">
        <f t="shared" ca="1" si="21"/>
        <v>0</v>
      </c>
      <c r="G55" s="26">
        <f t="shared" ca="1" si="21"/>
        <v>0</v>
      </c>
      <c r="H55" s="26">
        <f t="shared" ca="1" si="21"/>
        <v>1</v>
      </c>
      <c r="I55" s="42">
        <v>1300</v>
      </c>
      <c r="J55" s="42">
        <f t="shared" si="27"/>
        <v>130.917775042437</v>
      </c>
      <c r="K55" s="42"/>
      <c r="L55" s="42"/>
      <c r="M55" s="87"/>
      <c r="N55" s="42">
        <v>4265000000</v>
      </c>
      <c r="O55" s="21">
        <f t="shared" si="7"/>
        <v>-1</v>
      </c>
      <c r="P55" s="71">
        <v>32577700</v>
      </c>
      <c r="Q55" s="256">
        <v>187.3</v>
      </c>
      <c r="R55" s="69">
        <f t="shared" si="19"/>
        <v>9.9298968347010561</v>
      </c>
      <c r="S55" s="41">
        <f t="shared" si="22"/>
        <v>20.870355608249188</v>
      </c>
      <c r="T55" s="21">
        <f t="shared" si="23"/>
        <v>0.14407692307692307</v>
      </c>
      <c r="U55" s="21">
        <f>+Q55/I55</f>
        <v>0.14407692307692307</v>
      </c>
      <c r="V55" s="21" t="e">
        <f t="shared" si="24"/>
        <v>#DIV/0!</v>
      </c>
      <c r="W55" s="22">
        <v>1850</v>
      </c>
      <c r="X55" s="27">
        <f t="shared" si="25"/>
        <v>2775</v>
      </c>
      <c r="Y55" s="27">
        <f t="shared" ca="1" si="26"/>
        <v>3</v>
      </c>
      <c r="Z55" s="22" t="s">
        <v>20</v>
      </c>
      <c r="AA55" s="24"/>
    </row>
    <row r="56" spans="3:27" ht="30" customHeight="1" x14ac:dyDescent="0.3">
      <c r="C56" s="25" t="s">
        <v>71</v>
      </c>
      <c r="D56" s="28"/>
      <c r="E56" s="29"/>
      <c r="F56" s="29"/>
      <c r="G56" s="29"/>
      <c r="H56" s="29"/>
      <c r="I56" s="45"/>
      <c r="J56" s="45" t="str">
        <f t="shared" si="4"/>
        <v/>
      </c>
      <c r="K56" s="45"/>
      <c r="L56" s="45"/>
      <c r="M56" s="88"/>
      <c r="N56" s="45"/>
      <c r="O56" s="255"/>
      <c r="P56" s="45"/>
      <c r="Q56" s="45"/>
      <c r="R56" s="52">
        <f>+AVERAGE(R57)</f>
        <v>3.9334026121428227</v>
      </c>
      <c r="S56" s="44"/>
      <c r="T56" s="30"/>
      <c r="U56" s="30"/>
      <c r="V56" s="30"/>
      <c r="W56" s="30"/>
      <c r="X56" s="30"/>
      <c r="Y56" s="30"/>
      <c r="Z56" s="43"/>
      <c r="AA56" s="24"/>
    </row>
    <row r="57" spans="3:27" ht="30" customHeight="1" x14ac:dyDescent="0.3">
      <c r="C57" s="23" t="s">
        <v>72</v>
      </c>
      <c r="D57" s="26">
        <f ca="1">+RANDBETWEEN(0,4)</f>
        <v>3</v>
      </c>
      <c r="E57" s="26">
        <f ca="1">+RANDBETWEEN(0,4)</f>
        <v>3</v>
      </c>
      <c r="F57" s="26">
        <f ca="1">+RANDBETWEEN(-1,2)</f>
        <v>0</v>
      </c>
      <c r="G57" s="26">
        <f ca="1">+RANDBETWEEN(-1,2)</f>
        <v>2</v>
      </c>
      <c r="H57" s="26">
        <f ca="1">+RANDBETWEEN(-1,2)</f>
        <v>1</v>
      </c>
      <c r="I57" s="42">
        <v>300</v>
      </c>
      <c r="J57" s="42">
        <f t="shared" si="4"/>
        <v>76.269843080357148</v>
      </c>
      <c r="K57" s="42"/>
      <c r="L57" s="42"/>
      <c r="M57" s="87"/>
      <c r="N57" s="42">
        <v>1025066691</v>
      </c>
      <c r="O57" s="21">
        <f t="shared" si="7"/>
        <v>-1</v>
      </c>
      <c r="P57" s="42">
        <v>13440000</v>
      </c>
      <c r="Q57" s="256">
        <v>66.150000000000006</v>
      </c>
      <c r="R57" s="41">
        <f t="shared" si="19"/>
        <v>3.9334026121428227</v>
      </c>
      <c r="S57" s="41">
        <v>5</v>
      </c>
      <c r="T57" s="21">
        <f>+Q57/I57</f>
        <v>0.22050000000000003</v>
      </c>
      <c r="U57" s="21"/>
      <c r="V57" s="21" t="e">
        <f>L57/K57</f>
        <v>#DIV/0!</v>
      </c>
      <c r="W57" s="22">
        <v>395</v>
      </c>
      <c r="X57" s="27">
        <f>+W57*1.5</f>
        <v>592.5</v>
      </c>
      <c r="Y57" s="27">
        <f ca="1">+RANDBETWEEN(-1,3)</f>
        <v>1</v>
      </c>
      <c r="Z57" s="27" t="s">
        <v>18</v>
      </c>
    </row>
    <row r="58" spans="3:27" ht="15" customHeight="1" x14ac:dyDescent="0.3">
      <c r="C58" s="34"/>
      <c r="D58" s="2"/>
      <c r="E58" s="2"/>
      <c r="F58" s="2"/>
      <c r="G58" s="2"/>
      <c r="H58" s="2"/>
      <c r="I58" s="40"/>
      <c r="J58" s="2"/>
      <c r="K58" s="2"/>
      <c r="L58" s="2"/>
      <c r="M58" s="90"/>
      <c r="N58" s="40"/>
      <c r="O58" s="40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3:27" x14ac:dyDescent="0.3">
      <c r="C59" s="35"/>
      <c r="D59" s="2"/>
      <c r="E59" s="2"/>
      <c r="F59" s="2"/>
      <c r="G59" s="2"/>
      <c r="H59" s="2"/>
      <c r="I59" s="40"/>
      <c r="J59" s="2"/>
      <c r="K59" s="2"/>
      <c r="L59" s="2"/>
      <c r="M59" s="90"/>
      <c r="N59" s="40"/>
      <c r="O59" s="40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3:27" x14ac:dyDescent="0.3">
      <c r="C60" s="2"/>
      <c r="D60" s="2"/>
      <c r="E60" s="2"/>
      <c r="F60" s="2"/>
      <c r="G60" s="2"/>
      <c r="H60" s="2"/>
      <c r="I60" s="40"/>
      <c r="J60" s="2"/>
      <c r="K60" s="2"/>
      <c r="L60" s="2"/>
      <c r="M60" s="90"/>
      <c r="N60" s="40"/>
      <c r="O60" s="40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3:27" x14ac:dyDescent="0.3">
      <c r="C61" s="36"/>
      <c r="D61" s="2"/>
      <c r="E61" s="2"/>
      <c r="F61" s="2"/>
      <c r="G61" s="2"/>
      <c r="H61" s="2"/>
      <c r="I61" s="40"/>
      <c r="J61" s="2"/>
      <c r="K61" s="2"/>
      <c r="L61" s="2"/>
      <c r="M61" s="90"/>
      <c r="N61" s="40"/>
      <c r="O61" s="40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3:27" x14ac:dyDescent="0.3">
      <c r="C62" s="36"/>
      <c r="D62" s="2"/>
      <c r="E62" s="2"/>
      <c r="F62" s="2"/>
      <c r="G62" s="2"/>
      <c r="H62" s="2"/>
      <c r="I62" s="40"/>
      <c r="J62" s="2"/>
      <c r="K62" s="2"/>
      <c r="L62" s="2"/>
      <c r="M62" s="90"/>
      <c r="N62" s="40"/>
      <c r="O62" s="40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3:27" x14ac:dyDescent="0.3">
      <c r="C63" s="36"/>
      <c r="D63" s="2"/>
      <c r="E63" s="2"/>
      <c r="F63" s="2"/>
      <c r="G63" s="2"/>
      <c r="H63" s="2"/>
      <c r="I63" s="40"/>
      <c r="J63" s="2"/>
      <c r="K63" s="2"/>
      <c r="L63" s="2"/>
      <c r="M63" s="90"/>
      <c r="N63" s="40"/>
      <c r="O63" s="40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3:27" x14ac:dyDescent="0.3">
      <c r="C64" s="36"/>
      <c r="D64" s="2"/>
      <c r="E64" s="2"/>
      <c r="F64" s="2"/>
      <c r="G64" s="2"/>
      <c r="H64" s="2"/>
      <c r="I64" s="40"/>
      <c r="J64" s="2"/>
      <c r="K64" s="2"/>
      <c r="L64" s="2"/>
      <c r="M64" s="90"/>
      <c r="N64" s="40"/>
      <c r="O64" s="40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3:26" x14ac:dyDescent="0.3">
      <c r="C65" s="36"/>
      <c r="D65" s="2"/>
      <c r="E65" s="2"/>
      <c r="F65" s="2"/>
      <c r="G65" s="2"/>
      <c r="H65" s="2"/>
      <c r="I65" s="40"/>
      <c r="J65" s="2"/>
      <c r="K65" s="2"/>
      <c r="L65" s="2"/>
      <c r="M65" s="90"/>
      <c r="N65" s="40"/>
      <c r="O65" s="40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3:26" x14ac:dyDescent="0.3">
      <c r="C66" s="36"/>
      <c r="D66" s="2"/>
      <c r="E66" s="2"/>
      <c r="F66" s="2"/>
      <c r="G66" s="2"/>
      <c r="H66" s="2"/>
      <c r="I66" s="40"/>
      <c r="J66" s="2"/>
      <c r="K66" s="2"/>
      <c r="L66" s="2"/>
      <c r="M66" s="90"/>
      <c r="N66" s="40"/>
      <c r="O66" s="40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3:26" x14ac:dyDescent="0.3">
      <c r="C67" s="36"/>
      <c r="D67" s="2"/>
      <c r="E67" s="2"/>
      <c r="F67" s="2"/>
      <c r="G67" s="2"/>
      <c r="H67" s="2"/>
      <c r="I67" s="40"/>
      <c r="J67" s="2"/>
      <c r="K67" s="2"/>
      <c r="L67" s="2"/>
      <c r="M67" s="90"/>
      <c r="N67" s="40"/>
      <c r="O67" s="40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3:26" x14ac:dyDescent="0.3">
      <c r="C68" s="36"/>
      <c r="D68" s="2"/>
      <c r="E68" s="2"/>
      <c r="F68" s="2"/>
      <c r="G68" s="2"/>
      <c r="H68" s="2"/>
      <c r="I68" s="40"/>
      <c r="J68" s="2"/>
      <c r="K68" s="2"/>
      <c r="L68" s="2"/>
      <c r="M68" s="90"/>
      <c r="N68" s="40"/>
      <c r="O68" s="40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3:26" x14ac:dyDescent="0.3">
      <c r="C69" s="36"/>
      <c r="D69" s="2"/>
      <c r="E69" s="2"/>
      <c r="F69" s="2"/>
      <c r="G69" s="2"/>
      <c r="H69" s="2"/>
      <c r="I69" s="40"/>
      <c r="J69" s="2"/>
      <c r="K69" s="2"/>
      <c r="L69" s="2"/>
      <c r="M69" s="90"/>
      <c r="N69" s="40"/>
      <c r="O69" s="40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3:26" x14ac:dyDescent="0.3">
      <c r="C70" s="36"/>
      <c r="D70" s="2"/>
      <c r="E70" s="2"/>
      <c r="F70" s="2"/>
      <c r="G70" s="2"/>
      <c r="H70" s="2"/>
      <c r="I70" s="40"/>
      <c r="J70" s="2"/>
      <c r="K70" s="2"/>
      <c r="L70" s="2"/>
      <c r="M70" s="90"/>
      <c r="N70" s="40"/>
      <c r="O70" s="40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3:26" x14ac:dyDescent="0.3">
      <c r="C71" s="36"/>
      <c r="D71" s="2"/>
      <c r="E71" s="2"/>
      <c r="F71" s="2"/>
      <c r="G71" s="2"/>
      <c r="H71" s="2"/>
      <c r="I71" s="40"/>
      <c r="J71" s="2"/>
      <c r="K71" s="2"/>
      <c r="L71" s="2"/>
      <c r="M71" s="90"/>
      <c r="N71" s="40"/>
      <c r="O71" s="40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3:26" x14ac:dyDescent="0.3">
      <c r="C72" s="36"/>
      <c r="D72" s="2"/>
      <c r="E72" s="2"/>
      <c r="F72" s="2"/>
      <c r="G72" s="2"/>
      <c r="H72" s="2"/>
      <c r="I72" s="40"/>
      <c r="J72" s="2"/>
      <c r="K72" s="2"/>
      <c r="L72" s="2"/>
      <c r="M72" s="90"/>
      <c r="N72" s="40"/>
      <c r="O72" s="40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3:26" x14ac:dyDescent="0.3">
      <c r="C73" s="36"/>
      <c r="D73" s="2"/>
      <c r="E73" s="2"/>
      <c r="F73" s="2"/>
      <c r="G73" s="2"/>
      <c r="H73" s="2"/>
      <c r="I73" s="40"/>
      <c r="J73" s="2"/>
      <c r="K73" s="2"/>
      <c r="L73" s="2"/>
      <c r="M73" s="90"/>
      <c r="N73" s="40"/>
      <c r="O73" s="40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3:26" x14ac:dyDescent="0.3">
      <c r="C74" s="36"/>
      <c r="D74" s="2"/>
      <c r="E74" s="2"/>
      <c r="F74" s="2"/>
      <c r="G74" s="2"/>
      <c r="H74" s="2"/>
      <c r="I74" s="40"/>
      <c r="J74" s="2"/>
      <c r="K74" s="2"/>
      <c r="L74" s="2"/>
      <c r="M74" s="90"/>
      <c r="N74" s="40"/>
      <c r="O74" s="40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3:26" x14ac:dyDescent="0.3">
      <c r="C75" s="36"/>
      <c r="D75" s="2"/>
      <c r="E75" s="2"/>
      <c r="F75" s="2"/>
      <c r="G75" s="2"/>
      <c r="H75" s="2"/>
      <c r="I75" s="40"/>
      <c r="J75" s="2"/>
      <c r="K75" s="2"/>
      <c r="L75" s="2"/>
      <c r="M75" s="90"/>
      <c r="N75" s="40"/>
      <c r="O75" s="40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3:26" x14ac:dyDescent="0.3">
      <c r="C76" s="36"/>
      <c r="D76" s="2"/>
      <c r="E76" s="2"/>
      <c r="F76" s="2"/>
      <c r="G76" s="2"/>
      <c r="H76" s="2"/>
      <c r="I76" s="40"/>
      <c r="J76" s="2"/>
      <c r="K76" s="2"/>
      <c r="L76" s="2"/>
      <c r="M76" s="90"/>
      <c r="N76" s="40"/>
      <c r="O76" s="40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3:26" x14ac:dyDescent="0.3">
      <c r="C77" s="36"/>
      <c r="D77" s="2"/>
      <c r="E77" s="2"/>
      <c r="F77" s="2"/>
      <c r="G77" s="2"/>
      <c r="H77" s="2"/>
      <c r="I77" s="40"/>
      <c r="J77" s="2"/>
      <c r="K77" s="2"/>
      <c r="L77" s="2"/>
      <c r="M77" s="90"/>
      <c r="N77" s="40"/>
      <c r="O77" s="40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3:26" x14ac:dyDescent="0.3">
      <c r="C78" s="37"/>
      <c r="N78" s="39"/>
      <c r="O78" s="39"/>
    </row>
    <row r="79" spans="3:26" x14ac:dyDescent="0.3">
      <c r="C79" s="37"/>
      <c r="N79" s="39"/>
      <c r="O79" s="39"/>
    </row>
    <row r="80" spans="3:26" x14ac:dyDescent="0.3">
      <c r="C80" s="37"/>
      <c r="N80" s="39"/>
      <c r="O80" s="39"/>
    </row>
    <row r="81" spans="3:40" x14ac:dyDescent="0.3">
      <c r="C81" s="37"/>
      <c r="N81" s="39"/>
      <c r="O81" s="39"/>
    </row>
    <row r="82" spans="3:40" x14ac:dyDescent="0.3">
      <c r="C82" s="37"/>
      <c r="N82" s="39"/>
      <c r="O82" s="39"/>
    </row>
    <row r="83" spans="3:40" x14ac:dyDescent="0.3">
      <c r="C83" s="37"/>
      <c r="N83" s="39"/>
      <c r="O83" s="39"/>
    </row>
    <row r="84" spans="3:40" x14ac:dyDescent="0.3">
      <c r="C84" s="37"/>
      <c r="N84" s="39"/>
      <c r="O84" s="39"/>
    </row>
    <row r="85" spans="3:40" x14ac:dyDescent="0.3">
      <c r="C85" s="37"/>
      <c r="N85" s="39"/>
      <c r="O85" s="39"/>
    </row>
    <row r="86" spans="3:40" x14ac:dyDescent="0.3">
      <c r="C86" s="37"/>
      <c r="N86" s="39"/>
      <c r="O86" s="39"/>
    </row>
    <row r="87" spans="3:40" x14ac:dyDescent="0.3">
      <c r="C87" s="37"/>
      <c r="N87" s="39"/>
      <c r="O87" s="39"/>
    </row>
    <row r="88" spans="3:40" x14ac:dyDescent="0.3">
      <c r="C88" s="37"/>
      <c r="N88" s="39"/>
      <c r="O88" s="39"/>
    </row>
    <row r="89" spans="3:40" x14ac:dyDescent="0.3">
      <c r="C89" s="37"/>
      <c r="N89" s="39"/>
      <c r="O89" s="39"/>
    </row>
    <row r="90" spans="3:40" x14ac:dyDescent="0.3">
      <c r="C90" s="37"/>
      <c r="N90" s="39"/>
      <c r="O90" s="39"/>
    </row>
    <row r="91" spans="3:40" x14ac:dyDescent="0.3">
      <c r="C91" s="37"/>
      <c r="N91" s="39"/>
      <c r="O91" s="39"/>
    </row>
    <row r="92" spans="3:40" x14ac:dyDescent="0.3">
      <c r="C92" s="37"/>
      <c r="N92" s="39"/>
      <c r="O92" s="39"/>
    </row>
    <row r="93" spans="3:40" x14ac:dyDescent="0.3">
      <c r="C93" s="37"/>
      <c r="N93" s="39"/>
      <c r="O93" s="39"/>
    </row>
    <row r="94" spans="3:40" x14ac:dyDescent="0.3">
      <c r="C94" s="37"/>
      <c r="N94" s="39"/>
      <c r="O94" s="39"/>
    </row>
    <row r="95" spans="3:40" x14ac:dyDescent="0.3">
      <c r="C95" s="37"/>
      <c r="N95" s="39"/>
      <c r="O95" s="39"/>
      <c r="AN95" s="38" t="s">
        <v>73</v>
      </c>
    </row>
    <row r="96" spans="3:40" x14ac:dyDescent="0.3">
      <c r="C96" s="37"/>
      <c r="N96" s="39"/>
      <c r="O96" s="39"/>
    </row>
    <row r="97" spans="3:3" x14ac:dyDescent="0.3">
      <c r="C97" s="37"/>
    </row>
    <row r="98" spans="3:3" x14ac:dyDescent="0.3">
      <c r="C98" s="37"/>
    </row>
    <row r="99" spans="3:3" x14ac:dyDescent="0.3">
      <c r="C99" s="37"/>
    </row>
    <row r="100" spans="3:3" x14ac:dyDescent="0.3">
      <c r="C100" s="37"/>
    </row>
    <row r="101" spans="3:3" x14ac:dyDescent="0.3">
      <c r="C101" s="37"/>
    </row>
    <row r="102" spans="3:3" x14ac:dyDescent="0.3">
      <c r="C102" s="37"/>
    </row>
    <row r="103" spans="3:3" x14ac:dyDescent="0.3">
      <c r="C103" s="37"/>
    </row>
    <row r="104" spans="3:3" x14ac:dyDescent="0.3">
      <c r="C104" s="37"/>
    </row>
    <row r="105" spans="3:3" x14ac:dyDescent="0.3">
      <c r="C105" s="37"/>
    </row>
    <row r="106" spans="3:3" x14ac:dyDescent="0.3">
      <c r="C106" s="37"/>
    </row>
    <row r="107" spans="3:3" x14ac:dyDescent="0.3">
      <c r="C107" s="37"/>
    </row>
    <row r="108" spans="3:3" x14ac:dyDescent="0.3">
      <c r="C108" s="37"/>
    </row>
    <row r="109" spans="3:3" x14ac:dyDescent="0.3">
      <c r="C109" s="37"/>
    </row>
    <row r="110" spans="3:3" x14ac:dyDescent="0.3">
      <c r="C110" s="37"/>
    </row>
    <row r="111" spans="3:3" x14ac:dyDescent="0.3">
      <c r="C111" s="37"/>
    </row>
    <row r="112" spans="3:3" x14ac:dyDescent="0.3">
      <c r="C112" s="37"/>
    </row>
    <row r="113" spans="3:3" x14ac:dyDescent="0.3">
      <c r="C113" s="37"/>
    </row>
    <row r="114" spans="3:3" x14ac:dyDescent="0.3">
      <c r="C114" s="37"/>
    </row>
    <row r="115" spans="3:3" x14ac:dyDescent="0.3">
      <c r="C115" s="37"/>
    </row>
    <row r="116" spans="3:3" x14ac:dyDescent="0.3">
      <c r="C116" s="37"/>
    </row>
    <row r="117" spans="3:3" x14ac:dyDescent="0.3">
      <c r="C117" s="37"/>
    </row>
    <row r="118" spans="3:3" x14ac:dyDescent="0.3">
      <c r="C118" s="37"/>
    </row>
    <row r="119" spans="3:3" x14ac:dyDescent="0.3">
      <c r="C119" s="37"/>
    </row>
    <row r="120" spans="3:3" x14ac:dyDescent="0.3">
      <c r="C120" s="37"/>
    </row>
    <row r="121" spans="3:3" x14ac:dyDescent="0.3">
      <c r="C121" s="37"/>
    </row>
    <row r="122" spans="3:3" x14ac:dyDescent="0.3">
      <c r="C122" s="37"/>
    </row>
    <row r="123" spans="3:3" x14ac:dyDescent="0.3">
      <c r="C123" s="37"/>
    </row>
    <row r="124" spans="3:3" x14ac:dyDescent="0.3">
      <c r="C124" s="37"/>
    </row>
    <row r="125" spans="3:3" x14ac:dyDescent="0.3">
      <c r="C125" s="37"/>
    </row>
    <row r="126" spans="3:3" x14ac:dyDescent="0.3">
      <c r="C126" s="37"/>
    </row>
    <row r="127" spans="3:3" x14ac:dyDescent="0.3">
      <c r="C127" s="37"/>
    </row>
    <row r="128" spans="3:3" x14ac:dyDescent="0.3">
      <c r="C128" s="37"/>
    </row>
    <row r="129" spans="3:3" x14ac:dyDescent="0.3">
      <c r="C129" s="37"/>
    </row>
    <row r="130" spans="3:3" x14ac:dyDescent="0.3">
      <c r="C130" s="37"/>
    </row>
    <row r="131" spans="3:3" x14ac:dyDescent="0.3">
      <c r="C131" s="37"/>
    </row>
    <row r="132" spans="3:3" x14ac:dyDescent="0.3">
      <c r="C132" s="37"/>
    </row>
    <row r="133" spans="3:3" x14ac:dyDescent="0.3">
      <c r="C133" s="37"/>
    </row>
    <row r="134" spans="3:3" x14ac:dyDescent="0.3">
      <c r="C134" s="37"/>
    </row>
    <row r="135" spans="3:3" x14ac:dyDescent="0.3">
      <c r="C135" s="37"/>
    </row>
    <row r="136" spans="3:3" x14ac:dyDescent="0.3">
      <c r="C136" s="37"/>
    </row>
    <row r="137" spans="3:3" x14ac:dyDescent="0.3">
      <c r="C137" s="37"/>
    </row>
    <row r="138" spans="3:3" x14ac:dyDescent="0.3">
      <c r="C138" s="37"/>
    </row>
    <row r="139" spans="3:3" x14ac:dyDescent="0.3">
      <c r="C139" s="37"/>
    </row>
    <row r="140" spans="3:3" x14ac:dyDescent="0.3">
      <c r="C140" s="37"/>
    </row>
    <row r="141" spans="3:3" x14ac:dyDescent="0.3">
      <c r="C141" s="37"/>
    </row>
    <row r="142" spans="3:3" x14ac:dyDescent="0.3">
      <c r="C142" s="37"/>
    </row>
    <row r="143" spans="3:3" x14ac:dyDescent="0.3">
      <c r="C143" s="37"/>
    </row>
    <row r="144" spans="3:3" x14ac:dyDescent="0.3">
      <c r="C144" s="37"/>
    </row>
    <row r="145" spans="3:3" x14ac:dyDescent="0.3">
      <c r="C145" s="37"/>
    </row>
    <row r="146" spans="3:3" x14ac:dyDescent="0.3">
      <c r="C146" s="37"/>
    </row>
    <row r="147" spans="3:3" x14ac:dyDescent="0.3">
      <c r="C147" s="37"/>
    </row>
    <row r="148" spans="3:3" x14ac:dyDescent="0.3">
      <c r="C148" s="37"/>
    </row>
    <row r="149" spans="3:3" x14ac:dyDescent="0.3">
      <c r="C149" s="37"/>
    </row>
    <row r="150" spans="3:3" x14ac:dyDescent="0.3">
      <c r="C150" s="37"/>
    </row>
    <row r="151" spans="3:3" x14ac:dyDescent="0.3">
      <c r="C151" s="37"/>
    </row>
    <row r="152" spans="3:3" x14ac:dyDescent="0.3">
      <c r="C152" s="37"/>
    </row>
    <row r="153" spans="3:3" x14ac:dyDescent="0.3">
      <c r="C153" s="37"/>
    </row>
    <row r="154" spans="3:3" x14ac:dyDescent="0.3">
      <c r="C154" s="37"/>
    </row>
    <row r="155" spans="3:3" x14ac:dyDescent="0.3">
      <c r="C155" s="37"/>
    </row>
    <row r="156" spans="3:3" x14ac:dyDescent="0.3">
      <c r="C156" s="37"/>
    </row>
    <row r="157" spans="3:3" x14ac:dyDescent="0.3">
      <c r="C157" s="37"/>
    </row>
    <row r="158" spans="3:3" x14ac:dyDescent="0.3">
      <c r="C158" s="37"/>
    </row>
    <row r="159" spans="3:3" x14ac:dyDescent="0.3">
      <c r="C159" s="37"/>
    </row>
    <row r="160" spans="3:3" x14ac:dyDescent="0.3">
      <c r="C160" s="37"/>
    </row>
    <row r="161" spans="3:3" x14ac:dyDescent="0.3">
      <c r="C161" s="37"/>
    </row>
    <row r="162" spans="3:3" x14ac:dyDescent="0.3">
      <c r="C162" s="37"/>
    </row>
    <row r="163" spans="3:3" x14ac:dyDescent="0.3">
      <c r="C163" s="37"/>
    </row>
    <row r="164" spans="3:3" x14ac:dyDescent="0.3">
      <c r="C164" s="37"/>
    </row>
    <row r="165" spans="3:3" x14ac:dyDescent="0.3">
      <c r="C165" s="37"/>
    </row>
    <row r="166" spans="3:3" x14ac:dyDescent="0.3">
      <c r="C166" s="37"/>
    </row>
    <row r="167" spans="3:3" x14ac:dyDescent="0.3">
      <c r="C167" s="37"/>
    </row>
  </sheetData>
  <mergeCells count="2">
    <mergeCell ref="D2:H2"/>
    <mergeCell ref="J2:Y2"/>
  </mergeCells>
  <conditionalFormatting sqref="D6:E15">
    <cfRule type="iconSet" priority="19">
      <iconSet iconSet="5Arrows" showValue="0">
        <cfvo type="percent" val="0"/>
        <cfvo type="percent" val="20"/>
        <cfvo type="percent" val="40"/>
        <cfvo type="percent" val="60"/>
        <cfvo type="percent" val="80"/>
      </iconSet>
    </cfRule>
    <cfRule type="iconSet" priority="20">
      <iconSet iconSet="4Arrows">
        <cfvo type="percent" val="0"/>
        <cfvo type="percent" val="2"/>
        <cfvo type="percent" val="3"/>
        <cfvo type="percent" val="5"/>
      </iconSet>
    </cfRule>
  </conditionalFormatting>
  <conditionalFormatting sqref="D41:E41 D43:E47">
    <cfRule type="iconSet" priority="14">
      <iconSet iconSet="5Arrows" showValue="0">
        <cfvo type="percent" val="0"/>
        <cfvo type="percent" val="20"/>
        <cfvo type="percent" val="40"/>
        <cfvo type="percent" val="60"/>
        <cfvo type="percent" val="80"/>
      </iconSet>
    </cfRule>
    <cfRule type="iconSet" priority="15">
      <iconSet iconSet="4Arrows">
        <cfvo type="percent" val="0"/>
        <cfvo type="percent" val="2"/>
        <cfvo type="percent" val="3"/>
        <cfvo type="percent" val="5"/>
      </iconSet>
    </cfRule>
  </conditionalFormatting>
  <conditionalFormatting sqref="D42:E42">
    <cfRule type="iconSet" priority="4">
      <iconSet iconSet="5Arrows" showValue="0">
        <cfvo type="percent" val="0"/>
        <cfvo type="percent" val="20"/>
        <cfvo type="percent" val="40"/>
        <cfvo type="percent" val="60"/>
        <cfvo type="percent" val="80"/>
      </iconSet>
    </cfRule>
    <cfRule type="iconSet" priority="5">
      <iconSet iconSet="4Arrows">
        <cfvo type="percent" val="0"/>
        <cfvo type="percent" val="2"/>
        <cfvo type="percent" val="3"/>
        <cfvo type="percent" val="5"/>
      </iconSet>
    </cfRule>
  </conditionalFormatting>
  <conditionalFormatting sqref="D48:E48 D55:E57 D16:E40">
    <cfRule type="iconSet" priority="24">
      <iconSet iconSet="5Arrows" showValue="0">
        <cfvo type="percent" val="0"/>
        <cfvo type="percent" val="20"/>
        <cfvo type="percent" val="40"/>
        <cfvo type="percent" val="60"/>
        <cfvo type="percent" val="80"/>
      </iconSet>
    </cfRule>
    <cfRule type="iconSet" priority="25">
      <iconSet iconSet="4Arrows">
        <cfvo type="percent" val="0"/>
        <cfvo type="percent" val="2"/>
        <cfvo type="percent" val="3"/>
        <cfvo type="percent" val="5"/>
      </iconSet>
    </cfRule>
  </conditionalFormatting>
  <conditionalFormatting sqref="D49:E54">
    <cfRule type="iconSet" priority="9">
      <iconSet iconSet="5Arrows" showValue="0">
        <cfvo type="percent" val="0"/>
        <cfvo type="percent" val="20"/>
        <cfvo type="percent" val="40"/>
        <cfvo type="percent" val="60"/>
        <cfvo type="percent" val="80"/>
      </iconSet>
    </cfRule>
    <cfRule type="iconSet" priority="10">
      <iconSet iconSet="4Arrows">
        <cfvo type="percent" val="0"/>
        <cfvo type="percent" val="2"/>
        <cfvo type="percent" val="3"/>
        <cfvo type="percent" val="5"/>
      </iconSet>
    </cfRule>
  </conditionalFormatting>
  <conditionalFormatting sqref="Y6:Y15">
    <cfRule type="iconSet" priority="16">
      <iconSet iconSet="3Flags" showValue="0">
        <cfvo type="percent" val="0"/>
        <cfvo type="percent" val="1"/>
        <cfvo type="percent" val="3"/>
      </iconSet>
    </cfRule>
  </conditionalFormatting>
  <conditionalFormatting sqref="Y41 Y43:Y47">
    <cfRule type="iconSet" priority="11">
      <iconSet iconSet="3Flags" showValue="0">
        <cfvo type="percent" val="0"/>
        <cfvo type="percent" val="1"/>
        <cfvo type="percent" val="3"/>
      </iconSet>
    </cfRule>
  </conditionalFormatting>
  <conditionalFormatting sqref="Y42">
    <cfRule type="iconSet" priority="1">
      <iconSet iconSet="3Flags" showValue="0">
        <cfvo type="percent" val="0"/>
        <cfvo type="percent" val="1"/>
        <cfvo type="percent" val="3"/>
      </iconSet>
    </cfRule>
  </conditionalFormatting>
  <conditionalFormatting sqref="Y48 Y16:Y40 Y55:Y57">
    <cfRule type="iconSet" priority="21">
      <iconSet iconSet="3Flags" showValue="0">
        <cfvo type="percent" val="0"/>
        <cfvo type="percent" val="1"/>
        <cfvo type="percent" val="3"/>
      </iconSet>
    </cfRule>
  </conditionalFormatting>
  <conditionalFormatting sqref="Y49:Y54">
    <cfRule type="iconSet" priority="6">
      <iconSet iconSet="3Flags" showValue="0">
        <cfvo type="percent" val="0"/>
        <cfvo type="percent" val="1"/>
        <cfvo type="percent" val="3"/>
      </iconSet>
    </cfRule>
  </conditionalFormatting>
  <conditionalFormatting sqref="Y6:Z15">
    <cfRule type="iconSet" priority="17">
      <iconSet iconSet="4Rating" showValue="0">
        <cfvo type="percent" val="0"/>
        <cfvo type="num" val="1"/>
        <cfvo type="num" val="2"/>
        <cfvo type="num" val="4"/>
      </iconSet>
    </cfRule>
  </conditionalFormatting>
  <conditionalFormatting sqref="Y41:Z41 Y43:Z47">
    <cfRule type="iconSet" priority="12">
      <iconSet iconSet="4Rating" showValue="0">
        <cfvo type="percent" val="0"/>
        <cfvo type="num" val="1"/>
        <cfvo type="num" val="2"/>
        <cfvo type="num" val="4"/>
      </iconSet>
    </cfRule>
  </conditionalFormatting>
  <conditionalFormatting sqref="Y42:Z42">
    <cfRule type="iconSet" priority="2">
      <iconSet iconSet="4Rating" showValue="0">
        <cfvo type="percent" val="0"/>
        <cfvo type="num" val="1"/>
        <cfvo type="num" val="2"/>
        <cfvo type="num" val="4"/>
      </iconSet>
    </cfRule>
  </conditionalFormatting>
  <conditionalFormatting sqref="Y48:Z48 Y16:Z40 Y55:Z57">
    <cfRule type="iconSet" priority="22">
      <iconSet iconSet="4Rating" showValue="0">
        <cfvo type="percent" val="0"/>
        <cfvo type="num" val="1"/>
        <cfvo type="num" val="2"/>
        <cfvo type="num" val="4"/>
      </iconSet>
    </cfRule>
  </conditionalFormatting>
  <conditionalFormatting sqref="Y49:Z54">
    <cfRule type="iconSet" priority="7">
      <iconSet iconSet="4Rating" showValue="0">
        <cfvo type="percent" val="0"/>
        <cfvo type="num" val="1"/>
        <cfvo type="num" val="2"/>
        <cfvo type="num" val="4"/>
      </iconSet>
    </cfRule>
  </conditionalFormatting>
  <pageMargins left="0.7" right="0.7" top="0.75" bottom="0.75" header="0.3" footer="0.3"/>
  <pageSetup paperSize="9" scale="51" fitToHeight="0" orientation="landscape" horizontalDpi="4294967295" verticalDpi="4294967295" r:id="rId1"/>
  <colBreaks count="1" manualBreakCount="1">
    <brk id="29" max="1048575" man="1"/>
  </colBreak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8" id="{2E379543-2E83-4BD9-962C-3985FC92CC7A}">
            <x14:iconSet iconSet="3Triangles" showValue="0">
              <x14:cfvo type="percent">
                <xm:f>0</xm:f>
              </x14:cfvo>
              <x14:cfvo type="num">
                <xm:f>0</xm:f>
              </x14:cfvo>
              <x14:cfvo type="num">
                <xm:f>2</xm:f>
              </x14:cfvo>
            </x14:iconSet>
          </x14:cfRule>
          <xm:sqref>F6:H15</xm:sqref>
        </x14:conditionalFormatting>
        <x14:conditionalFormatting xmlns:xm="http://schemas.microsoft.com/office/excel/2006/main">
          <x14:cfRule type="iconSet" priority="13" id="{7AC2B8C8-C4C4-494C-A2F4-F507B3BCF712}">
            <x14:iconSet iconSet="3Triangles" showValue="0">
              <x14:cfvo type="percent">
                <xm:f>0</xm:f>
              </x14:cfvo>
              <x14:cfvo type="num">
                <xm:f>0</xm:f>
              </x14:cfvo>
              <x14:cfvo type="num">
                <xm:f>2</xm:f>
              </x14:cfvo>
            </x14:iconSet>
          </x14:cfRule>
          <xm:sqref>F41:H41 F43:H47</xm:sqref>
        </x14:conditionalFormatting>
        <x14:conditionalFormatting xmlns:xm="http://schemas.microsoft.com/office/excel/2006/main">
          <x14:cfRule type="iconSet" priority="3" id="{4F8C9698-AFD2-4D5F-9036-D2B8EF633201}">
            <x14:iconSet iconSet="3Triangles" showValue="0">
              <x14:cfvo type="percent">
                <xm:f>0</xm:f>
              </x14:cfvo>
              <x14:cfvo type="num">
                <xm:f>0</xm:f>
              </x14:cfvo>
              <x14:cfvo type="num">
                <xm:f>2</xm:f>
              </x14:cfvo>
            </x14:iconSet>
          </x14:cfRule>
          <xm:sqref>F42:H42</xm:sqref>
        </x14:conditionalFormatting>
        <x14:conditionalFormatting xmlns:xm="http://schemas.microsoft.com/office/excel/2006/main">
          <x14:cfRule type="iconSet" priority="23" id="{20D0DCE8-5487-429F-8DE2-4A92CB80F808}">
            <x14:iconSet iconSet="3Triangles" showValue="0">
              <x14:cfvo type="percent">
                <xm:f>0</xm:f>
              </x14:cfvo>
              <x14:cfvo type="num">
                <xm:f>0</xm:f>
              </x14:cfvo>
              <x14:cfvo type="num">
                <xm:f>2</xm:f>
              </x14:cfvo>
            </x14:iconSet>
          </x14:cfRule>
          <xm:sqref>F48:H48 F55:H57 F16:H40</xm:sqref>
        </x14:conditionalFormatting>
        <x14:conditionalFormatting xmlns:xm="http://schemas.microsoft.com/office/excel/2006/main">
          <x14:cfRule type="iconSet" priority="8" id="{CFBDA71A-CE3C-4E8A-9BA5-BD22547D536C}">
            <x14:iconSet iconSet="3Triangles" showValue="0">
              <x14:cfvo type="percent">
                <xm:f>0</xm:f>
              </x14:cfvo>
              <x14:cfvo type="num">
                <xm:f>0</xm:f>
              </x14:cfvo>
              <x14:cfvo type="num">
                <xm:f>2</xm:f>
              </x14:cfvo>
            </x14:iconSet>
          </x14:cfRule>
          <xm:sqref>F49:H54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7A448-D39A-40B2-BD48-DAEB7125FEA5}">
  <sheetPr>
    <pageSetUpPr fitToPage="1"/>
  </sheetPr>
  <dimension ref="C1:Z166"/>
  <sheetViews>
    <sheetView zoomScale="85" zoomScaleNormal="85" zoomScaleSheetLayoutView="100" workbookViewId="0">
      <selection activeCell="P6" sqref="P6"/>
    </sheetView>
  </sheetViews>
  <sheetFormatPr baseColWidth="10" defaultRowHeight="14.4" x14ac:dyDescent="0.3"/>
  <cols>
    <col min="2" max="2" width="8.6640625" customWidth="1"/>
    <col min="3" max="3" width="26.44140625" customWidth="1"/>
    <col min="4" max="4" width="19.109375" bestFit="1" customWidth="1"/>
    <col min="5" max="5" width="18.88671875" bestFit="1" customWidth="1"/>
    <col min="6" max="6" width="17" style="81" customWidth="1"/>
    <col min="7" max="7" width="16.88671875" customWidth="1"/>
    <col min="8" max="8" width="18.33203125" customWidth="1"/>
    <col min="9" max="9" width="17.88671875" customWidth="1"/>
    <col min="10" max="10" width="15.44140625" customWidth="1"/>
    <col min="11" max="11" width="18.88671875" bestFit="1" customWidth="1"/>
    <col min="12" max="12" width="17.44140625" customWidth="1"/>
    <col min="13" max="13" width="19.33203125" customWidth="1"/>
    <col min="15" max="15" width="8.109375" customWidth="1"/>
    <col min="16" max="16" width="15.33203125" customWidth="1"/>
    <col min="17" max="17" width="11.44140625" customWidth="1"/>
  </cols>
  <sheetData>
    <row r="1" spans="3:13" x14ac:dyDescent="0.3">
      <c r="M1" s="1"/>
    </row>
    <row r="2" spans="3:13" x14ac:dyDescent="0.3">
      <c r="C2" s="2"/>
      <c r="D2" s="441">
        <v>44196</v>
      </c>
      <c r="E2" s="420"/>
      <c r="F2" s="442" t="s">
        <v>107</v>
      </c>
      <c r="G2" s="420"/>
      <c r="H2" s="442" t="s">
        <v>108</v>
      </c>
      <c r="I2" s="420"/>
      <c r="J2" s="442" t="s">
        <v>105</v>
      </c>
      <c r="K2" s="420"/>
      <c r="L2" s="442" t="s">
        <v>106</v>
      </c>
      <c r="M2" s="420"/>
    </row>
    <row r="3" spans="3:13" x14ac:dyDescent="0.3">
      <c r="C3" s="4"/>
      <c r="D3" s="5"/>
      <c r="E3" s="5"/>
      <c r="F3" s="82"/>
      <c r="G3" s="5"/>
      <c r="H3" s="5"/>
      <c r="I3" s="5"/>
      <c r="J3" s="5"/>
      <c r="K3" s="5"/>
      <c r="L3" s="5"/>
      <c r="M3" s="5"/>
    </row>
    <row r="4" spans="3:13" ht="60.75" customHeight="1" x14ac:dyDescent="0.3">
      <c r="C4" s="258" t="s">
        <v>3</v>
      </c>
      <c r="D4" s="12" t="s">
        <v>77</v>
      </c>
      <c r="E4" s="12" t="s">
        <v>79</v>
      </c>
      <c r="F4" s="12" t="s">
        <v>77</v>
      </c>
      <c r="G4" s="12" t="s">
        <v>79</v>
      </c>
      <c r="H4" s="12" t="s">
        <v>77</v>
      </c>
      <c r="I4" s="12" t="s">
        <v>79</v>
      </c>
      <c r="J4" s="12" t="s">
        <v>77</v>
      </c>
      <c r="K4" s="12" t="s">
        <v>79</v>
      </c>
      <c r="L4" s="12" t="s">
        <v>77</v>
      </c>
      <c r="M4" s="12" t="s">
        <v>79</v>
      </c>
    </row>
    <row r="5" spans="3:13" ht="30" customHeight="1" x14ac:dyDescent="0.3">
      <c r="C5" s="17" t="s">
        <v>16</v>
      </c>
      <c r="D5" s="59"/>
      <c r="E5" s="59"/>
      <c r="F5" s="84"/>
      <c r="G5" s="59"/>
      <c r="H5" s="59"/>
      <c r="I5" s="59"/>
      <c r="J5" s="59"/>
      <c r="K5" s="59"/>
      <c r="L5" s="59"/>
      <c r="M5" s="73"/>
    </row>
    <row r="6" spans="3:13" ht="30" customHeight="1" x14ac:dyDescent="0.3">
      <c r="C6" s="18" t="s">
        <v>17</v>
      </c>
      <c r="D6" s="112">
        <v>18897903618</v>
      </c>
      <c r="E6" s="112">
        <v>1166658052</v>
      </c>
      <c r="F6" s="85"/>
      <c r="G6" s="112"/>
      <c r="H6" s="21"/>
      <c r="I6" s="51"/>
      <c r="J6" s="50"/>
      <c r="K6" s="50"/>
      <c r="L6" s="50"/>
      <c r="M6" s="21"/>
    </row>
    <row r="7" spans="3:13" ht="30" customHeight="1" x14ac:dyDescent="0.3">
      <c r="C7" s="18" t="s">
        <v>19</v>
      </c>
      <c r="D7" s="51">
        <v>39020184000</v>
      </c>
      <c r="E7" s="252">
        <v>3551668000</v>
      </c>
      <c r="F7" s="252"/>
      <c r="G7" s="51"/>
      <c r="H7" s="21"/>
      <c r="I7" s="51"/>
      <c r="J7" s="50"/>
      <c r="K7" s="50"/>
      <c r="L7" s="50"/>
      <c r="M7" s="21"/>
    </row>
    <row r="8" spans="3:13" ht="30" customHeight="1" x14ac:dyDescent="0.3">
      <c r="C8" s="18" t="s">
        <v>21</v>
      </c>
      <c r="D8" s="51">
        <v>4697251431</v>
      </c>
      <c r="E8" s="51">
        <v>490153030</v>
      </c>
      <c r="F8" s="21"/>
      <c r="G8" s="51"/>
      <c r="H8" s="21"/>
      <c r="I8" s="51"/>
      <c r="J8" s="50"/>
      <c r="K8" s="50"/>
      <c r="L8" s="50"/>
      <c r="M8" s="21"/>
    </row>
    <row r="9" spans="3:13" ht="30" customHeight="1" x14ac:dyDescent="0.3">
      <c r="C9" s="18" t="s">
        <v>23</v>
      </c>
      <c r="D9" s="112">
        <v>173224766894</v>
      </c>
      <c r="E9" s="252">
        <v>20899537493</v>
      </c>
      <c r="F9" s="252"/>
      <c r="G9" s="112"/>
      <c r="H9" s="21"/>
      <c r="I9" s="51"/>
      <c r="J9" s="50"/>
      <c r="K9" s="50"/>
      <c r="L9" s="50"/>
      <c r="M9" s="21"/>
    </row>
    <row r="10" spans="3:13" ht="30" customHeight="1" x14ac:dyDescent="0.3">
      <c r="C10" s="18" t="s">
        <v>25</v>
      </c>
      <c r="D10" s="51">
        <v>10008719000</v>
      </c>
      <c r="E10" s="51">
        <v>407516000</v>
      </c>
      <c r="F10" s="85"/>
      <c r="G10" s="51"/>
      <c r="H10" s="21"/>
      <c r="I10" s="51"/>
      <c r="J10" s="112"/>
      <c r="K10" s="50"/>
      <c r="L10" s="50"/>
      <c r="M10" s="21"/>
    </row>
    <row r="11" spans="3:13" ht="30" customHeight="1" x14ac:dyDescent="0.3">
      <c r="C11" s="18" t="s">
        <v>26</v>
      </c>
      <c r="D11" s="51">
        <v>4780460000</v>
      </c>
      <c r="E11" s="51">
        <v>-241666000</v>
      </c>
      <c r="F11" s="85"/>
      <c r="G11" s="51"/>
      <c r="H11" s="21"/>
      <c r="I11" s="51"/>
      <c r="J11" s="112"/>
      <c r="K11" s="50"/>
      <c r="L11" s="50"/>
      <c r="M11" s="21"/>
    </row>
    <row r="12" spans="3:13" ht="30" customHeight="1" x14ac:dyDescent="0.3">
      <c r="C12" s="18" t="s">
        <v>27</v>
      </c>
      <c r="D12" s="51">
        <v>87415281978</v>
      </c>
      <c r="E12" s="51">
        <v>7771415742</v>
      </c>
      <c r="F12" s="85"/>
      <c r="G12" s="51"/>
      <c r="H12" s="21"/>
      <c r="I12" s="51"/>
      <c r="J12" s="51"/>
      <c r="K12" s="51"/>
      <c r="L12" s="50"/>
      <c r="M12" s="21"/>
    </row>
    <row r="13" spans="3:13" ht="30" customHeight="1" x14ac:dyDescent="0.3">
      <c r="C13" s="18" t="s">
        <v>28</v>
      </c>
      <c r="D13" s="51">
        <v>102670000000</v>
      </c>
      <c r="E13" s="51">
        <v>9396000000</v>
      </c>
      <c r="F13" s="85"/>
      <c r="G13" s="51"/>
      <c r="H13" s="21"/>
      <c r="I13" s="51"/>
      <c r="J13" s="51"/>
      <c r="K13" s="51"/>
      <c r="L13" s="50"/>
      <c r="M13" s="21"/>
    </row>
    <row r="14" spans="3:13" ht="30" customHeight="1" x14ac:dyDescent="0.3">
      <c r="C14" s="18" t="s">
        <v>29</v>
      </c>
      <c r="D14" s="51">
        <v>27403060000</v>
      </c>
      <c r="E14" s="51">
        <v>953823000</v>
      </c>
      <c r="F14" s="85"/>
      <c r="G14" s="51"/>
      <c r="H14" s="21"/>
      <c r="I14" s="51"/>
      <c r="J14" s="51"/>
      <c r="K14" s="51"/>
      <c r="L14" s="50"/>
      <c r="M14" s="21"/>
    </row>
    <row r="15" spans="3:13" ht="30" customHeight="1" x14ac:dyDescent="0.3">
      <c r="C15" s="18" t="s">
        <v>30</v>
      </c>
      <c r="D15" s="51">
        <v>11511070000</v>
      </c>
      <c r="E15" s="51">
        <v>61253000</v>
      </c>
      <c r="F15" s="85"/>
      <c r="G15" s="51"/>
      <c r="H15" s="21"/>
      <c r="I15" s="70"/>
      <c r="J15" s="112"/>
      <c r="K15" s="50"/>
      <c r="L15" s="50"/>
      <c r="M15" s="21"/>
    </row>
    <row r="16" spans="3:13" ht="30" customHeight="1" x14ac:dyDescent="0.3">
      <c r="C16" s="23" t="s">
        <v>31</v>
      </c>
      <c r="D16" s="51">
        <v>16629360772</v>
      </c>
      <c r="E16" s="51">
        <v>354218340</v>
      </c>
      <c r="F16" s="85"/>
      <c r="G16" s="51"/>
      <c r="H16" s="21"/>
      <c r="I16" s="51"/>
      <c r="J16" s="257"/>
      <c r="K16" s="50"/>
      <c r="L16" s="50"/>
      <c r="M16" s="21"/>
    </row>
    <row r="17" spans="3:18" ht="30" customHeight="1" x14ac:dyDescent="0.3">
      <c r="C17" s="25" t="s">
        <v>32</v>
      </c>
      <c r="D17" s="53"/>
      <c r="E17" s="53"/>
      <c r="F17" s="86"/>
      <c r="G17" s="53"/>
      <c r="H17" s="254"/>
      <c r="I17" s="53"/>
      <c r="J17" s="53"/>
      <c r="K17" s="52"/>
      <c r="L17" s="52"/>
      <c r="M17" s="30"/>
    </row>
    <row r="18" spans="3:18" ht="30" customHeight="1" x14ac:dyDescent="0.3">
      <c r="C18" s="23" t="s">
        <v>33</v>
      </c>
      <c r="D18" s="42">
        <v>333149000000</v>
      </c>
      <c r="E18" s="42">
        <v>3658000000</v>
      </c>
      <c r="F18" s="87"/>
      <c r="G18" s="42"/>
      <c r="H18" s="21"/>
      <c r="I18" s="42"/>
      <c r="J18" s="42"/>
      <c r="K18" s="41"/>
      <c r="L18" s="41"/>
      <c r="M18" s="21"/>
    </row>
    <row r="19" spans="3:18" ht="30" customHeight="1" x14ac:dyDescent="0.3">
      <c r="C19" s="23" t="s">
        <v>34</v>
      </c>
      <c r="D19" s="113">
        <v>157358290011</v>
      </c>
      <c r="E19" s="113">
        <v>31051547884</v>
      </c>
      <c r="F19" s="113"/>
      <c r="G19" s="113"/>
      <c r="H19" s="21"/>
      <c r="I19" s="42"/>
      <c r="J19" s="41"/>
      <c r="K19" s="41"/>
      <c r="L19" s="41"/>
      <c r="M19" s="21"/>
    </row>
    <row r="20" spans="3:18" ht="30" customHeight="1" x14ac:dyDescent="0.3">
      <c r="C20" s="23" t="s">
        <v>35</v>
      </c>
      <c r="D20" s="113">
        <v>127480235000</v>
      </c>
      <c r="E20" s="113">
        <v>4307472000</v>
      </c>
      <c r="F20" s="42"/>
      <c r="G20" s="42"/>
      <c r="H20" s="21"/>
      <c r="I20" s="42"/>
      <c r="J20" s="41"/>
      <c r="K20" s="41"/>
      <c r="L20" s="41"/>
      <c r="M20" s="21"/>
      <c r="R20" t="s">
        <v>36</v>
      </c>
    </row>
    <row r="21" spans="3:18" ht="30" customHeight="1" x14ac:dyDescent="0.3">
      <c r="C21" s="23" t="s">
        <v>37</v>
      </c>
      <c r="D21" s="113">
        <v>1206086000000</v>
      </c>
      <c r="E21" s="113">
        <v>201272000000</v>
      </c>
      <c r="F21" s="87"/>
      <c r="G21" s="42"/>
      <c r="H21" s="21"/>
      <c r="I21" s="42"/>
      <c r="J21" s="41"/>
      <c r="K21" s="41"/>
      <c r="L21" s="41"/>
      <c r="M21" s="21"/>
    </row>
    <row r="22" spans="3:18" ht="30" customHeight="1" x14ac:dyDescent="0.3">
      <c r="C22" s="25" t="s">
        <v>38</v>
      </c>
      <c r="D22" s="53"/>
      <c r="E22" s="53"/>
      <c r="F22" s="86"/>
      <c r="G22" s="53"/>
      <c r="H22" s="254"/>
      <c r="I22" s="53"/>
      <c r="J22" s="53"/>
      <c r="K22" s="52"/>
      <c r="L22" s="52"/>
      <c r="M22" s="30"/>
    </row>
    <row r="23" spans="3:18" ht="30" customHeight="1" x14ac:dyDescent="0.3">
      <c r="C23" s="18" t="s">
        <v>39</v>
      </c>
      <c r="D23" s="51">
        <v>23380000000</v>
      </c>
      <c r="E23" s="51">
        <v>4715000000</v>
      </c>
      <c r="F23" s="85"/>
      <c r="G23" s="51"/>
      <c r="H23" s="21"/>
      <c r="I23" s="51"/>
      <c r="J23" s="51"/>
      <c r="K23" s="50"/>
      <c r="L23" s="50"/>
      <c r="M23" s="21"/>
    </row>
    <row r="24" spans="3:18" ht="30" customHeight="1" x14ac:dyDescent="0.3">
      <c r="C24" s="23" t="s">
        <v>40</v>
      </c>
      <c r="D24" s="113">
        <v>45286000000</v>
      </c>
      <c r="E24" s="113">
        <v>13312000000</v>
      </c>
      <c r="F24" s="87"/>
      <c r="G24" s="42"/>
      <c r="H24" s="21"/>
      <c r="I24" s="42"/>
      <c r="J24" s="41"/>
      <c r="K24" s="41"/>
      <c r="L24" s="41"/>
      <c r="M24" s="21"/>
    </row>
    <row r="25" spans="3:18" ht="30" customHeight="1" x14ac:dyDescent="0.3">
      <c r="C25" s="23" t="s">
        <v>41</v>
      </c>
      <c r="D25" s="113">
        <v>47333000000</v>
      </c>
      <c r="E25" s="113">
        <v>17608000000</v>
      </c>
      <c r="F25" s="87"/>
      <c r="G25" s="42"/>
      <c r="H25" s="21"/>
      <c r="I25" s="42"/>
      <c r="J25" s="41"/>
      <c r="K25" s="41"/>
      <c r="L25" s="41"/>
      <c r="M25" s="21"/>
    </row>
    <row r="26" spans="3:18" ht="30" customHeight="1" x14ac:dyDescent="0.3">
      <c r="C26" s="23" t="s">
        <v>42</v>
      </c>
      <c r="D26" s="113">
        <v>41149000000</v>
      </c>
      <c r="E26" s="113">
        <v>14216000000</v>
      </c>
      <c r="F26" s="87"/>
      <c r="G26" s="42"/>
      <c r="H26" s="21"/>
      <c r="I26" s="42"/>
      <c r="J26" s="41"/>
      <c r="K26" s="41"/>
      <c r="L26" s="41"/>
      <c r="M26" s="21"/>
    </row>
    <row r="27" spans="3:18" ht="30" customHeight="1" x14ac:dyDescent="0.3">
      <c r="C27" s="23" t="s">
        <v>43</v>
      </c>
      <c r="D27" s="113">
        <v>32517000000</v>
      </c>
      <c r="E27" s="113">
        <v>528000000</v>
      </c>
      <c r="F27" s="87"/>
      <c r="G27" s="42"/>
      <c r="H27" s="21"/>
      <c r="I27" s="42"/>
      <c r="J27" s="256"/>
      <c r="K27" s="41"/>
      <c r="L27" s="41"/>
      <c r="M27" s="21"/>
    </row>
    <row r="28" spans="3:18" ht="30" customHeight="1" x14ac:dyDescent="0.3">
      <c r="C28" s="23" t="s">
        <v>44</v>
      </c>
      <c r="D28" s="113">
        <v>24255000000</v>
      </c>
      <c r="E28" s="113">
        <v>7421000000</v>
      </c>
      <c r="F28" s="87"/>
      <c r="G28" s="42"/>
      <c r="H28" s="21"/>
      <c r="I28" s="42"/>
      <c r="J28" s="41"/>
      <c r="K28" s="41"/>
      <c r="L28" s="41"/>
      <c r="M28" s="21"/>
    </row>
    <row r="29" spans="3:18" ht="30" customHeight="1" x14ac:dyDescent="0.3">
      <c r="C29" s="23" t="s">
        <v>45</v>
      </c>
      <c r="D29" s="113">
        <v>29997000000</v>
      </c>
      <c r="E29" s="113">
        <v>7667000000</v>
      </c>
      <c r="F29" s="87"/>
      <c r="G29" s="42"/>
      <c r="H29" s="21"/>
      <c r="I29" s="42"/>
      <c r="J29" s="41"/>
      <c r="K29" s="41"/>
      <c r="L29" s="41"/>
      <c r="M29" s="21"/>
    </row>
    <row r="30" spans="3:18" ht="30" customHeight="1" x14ac:dyDescent="0.3">
      <c r="C30" s="23" t="s">
        <v>46</v>
      </c>
      <c r="D30" s="113">
        <v>75784000000</v>
      </c>
      <c r="E30" s="113">
        <v>34373000000</v>
      </c>
      <c r="F30" s="42"/>
      <c r="G30" s="42"/>
      <c r="H30" s="21"/>
      <c r="I30" s="42"/>
      <c r="J30" s="41"/>
      <c r="K30" s="41"/>
      <c r="L30" s="41"/>
      <c r="M30" s="21"/>
    </row>
    <row r="31" spans="3:18" ht="30" customHeight="1" x14ac:dyDescent="0.3">
      <c r="C31" s="23" t="s">
        <v>47</v>
      </c>
      <c r="D31" s="113">
        <v>86521000000</v>
      </c>
      <c r="E31" s="113">
        <v>30018000000</v>
      </c>
      <c r="F31" s="42"/>
      <c r="G31" s="42"/>
      <c r="H31" s="21"/>
      <c r="I31" s="42"/>
      <c r="J31" s="42"/>
      <c r="K31" s="41"/>
      <c r="L31" s="41"/>
      <c r="M31" s="21"/>
    </row>
    <row r="32" spans="3:18" ht="30" customHeight="1" x14ac:dyDescent="0.3">
      <c r="C32" s="23" t="s">
        <v>48</v>
      </c>
      <c r="D32" s="42">
        <v>708863000</v>
      </c>
      <c r="E32" s="42">
        <v>15809000</v>
      </c>
      <c r="F32" s="87"/>
      <c r="G32" s="42"/>
      <c r="H32" s="21"/>
      <c r="I32" s="42"/>
      <c r="J32" s="113"/>
      <c r="K32" s="41"/>
      <c r="L32" s="41"/>
      <c r="M32" s="21"/>
    </row>
    <row r="33" spans="3:13" ht="30" customHeight="1" x14ac:dyDescent="0.3">
      <c r="C33" s="23" t="s">
        <v>49</v>
      </c>
      <c r="D33" s="42">
        <v>45866000000</v>
      </c>
      <c r="E33" s="42">
        <v>4855000000</v>
      </c>
      <c r="F33" s="87"/>
      <c r="G33" s="42"/>
      <c r="H33" s="21"/>
      <c r="I33" s="42"/>
      <c r="J33" s="113"/>
      <c r="K33" s="41"/>
      <c r="L33" s="41"/>
      <c r="M33" s="21"/>
    </row>
    <row r="34" spans="3:13" ht="30" customHeight="1" x14ac:dyDescent="0.3">
      <c r="C34" s="23" t="s">
        <v>50</v>
      </c>
      <c r="D34" s="42">
        <v>155395000000</v>
      </c>
      <c r="E34" s="42">
        <v>9440000000</v>
      </c>
      <c r="F34" s="42"/>
      <c r="G34" s="42"/>
      <c r="H34" s="21"/>
      <c r="I34" s="42"/>
      <c r="J34" s="113"/>
      <c r="K34" s="41"/>
      <c r="L34" s="41"/>
      <c r="M34" s="21"/>
    </row>
    <row r="35" spans="3:13" ht="30" customHeight="1" x14ac:dyDescent="0.3">
      <c r="C35" s="23" t="s">
        <v>51</v>
      </c>
      <c r="D35" s="42">
        <v>2332000000</v>
      </c>
      <c r="E35" s="42">
        <v>-1093000000</v>
      </c>
      <c r="F35" s="87"/>
      <c r="G35" s="42"/>
      <c r="H35" s="21"/>
      <c r="I35" s="42"/>
      <c r="J35" s="42"/>
      <c r="K35" s="41"/>
      <c r="L35" s="41"/>
      <c r="M35" s="21"/>
    </row>
    <row r="36" spans="3:13" ht="30" customHeight="1" x14ac:dyDescent="0.3">
      <c r="C36" s="23" t="s">
        <v>52</v>
      </c>
      <c r="D36" s="113">
        <v>164062000000</v>
      </c>
      <c r="E36" s="113">
        <v>48435000000</v>
      </c>
      <c r="F36" s="42"/>
      <c r="G36" s="42"/>
      <c r="H36" s="21"/>
      <c r="I36" s="42"/>
      <c r="J36" s="41"/>
      <c r="K36" s="41"/>
      <c r="L36" s="41"/>
      <c r="M36" s="21"/>
    </row>
    <row r="37" spans="3:13" ht="30" customHeight="1" x14ac:dyDescent="0.3">
      <c r="C37" s="23" t="s">
        <v>53</v>
      </c>
      <c r="D37" s="113">
        <v>74467000000</v>
      </c>
      <c r="E37" s="113">
        <v>30261000000</v>
      </c>
      <c r="F37" s="42"/>
      <c r="G37" s="42"/>
      <c r="H37" s="21"/>
      <c r="I37" s="42"/>
      <c r="J37" s="41"/>
      <c r="K37" s="69"/>
      <c r="L37" s="41"/>
      <c r="M37" s="21"/>
    </row>
    <row r="38" spans="3:13" ht="30" customHeight="1" x14ac:dyDescent="0.3">
      <c r="C38" s="25" t="s">
        <v>54</v>
      </c>
      <c r="D38" s="45"/>
      <c r="E38" s="45"/>
      <c r="F38" s="88"/>
      <c r="G38" s="45"/>
      <c r="H38" s="255"/>
      <c r="I38" s="45"/>
      <c r="J38" s="45"/>
      <c r="K38" s="52"/>
      <c r="L38" s="44"/>
      <c r="M38" s="30"/>
    </row>
    <row r="39" spans="3:13" ht="30" customHeight="1" x14ac:dyDescent="0.3">
      <c r="C39" s="23" t="s">
        <v>55</v>
      </c>
      <c r="D39" s="42">
        <v>61274209495</v>
      </c>
      <c r="E39" s="42">
        <v>10729324612</v>
      </c>
      <c r="F39" s="87"/>
      <c r="G39" s="42"/>
      <c r="H39" s="21"/>
      <c r="I39" s="42"/>
      <c r="J39" s="42"/>
      <c r="K39" s="41"/>
      <c r="L39" s="41"/>
      <c r="M39" s="21"/>
    </row>
    <row r="40" spans="3:13" ht="30" customHeight="1" x14ac:dyDescent="0.3">
      <c r="C40" s="23" t="s">
        <v>56</v>
      </c>
      <c r="D40" s="42">
        <v>2670590558</v>
      </c>
      <c r="E40" s="42">
        <v>6663820481</v>
      </c>
      <c r="F40" s="87"/>
      <c r="G40" s="42"/>
      <c r="H40" s="21"/>
      <c r="I40" s="42"/>
      <c r="J40" s="42"/>
      <c r="K40" s="41"/>
      <c r="L40" s="41"/>
      <c r="M40" s="21"/>
    </row>
    <row r="41" spans="3:13" ht="30" customHeight="1" x14ac:dyDescent="0.3">
      <c r="C41" s="25" t="s">
        <v>57</v>
      </c>
      <c r="D41" s="45"/>
      <c r="E41" s="45"/>
      <c r="F41" s="88"/>
      <c r="G41" s="45"/>
      <c r="H41" s="255"/>
      <c r="I41" s="45"/>
      <c r="J41" s="45"/>
      <c r="K41" s="52"/>
      <c r="L41" s="44"/>
      <c r="M41" s="30"/>
    </row>
    <row r="42" spans="3:13" ht="30" customHeight="1" x14ac:dyDescent="0.3">
      <c r="C42" s="23" t="s">
        <v>58</v>
      </c>
      <c r="D42" s="49">
        <v>40949025000</v>
      </c>
      <c r="E42" s="49">
        <v>6848746000</v>
      </c>
      <c r="F42" s="89"/>
      <c r="G42" s="49"/>
      <c r="H42" s="21"/>
      <c r="I42" s="49"/>
      <c r="J42" s="49"/>
      <c r="K42" s="48"/>
      <c r="L42" s="48"/>
      <c r="M42" s="21"/>
    </row>
    <row r="43" spans="3:13" ht="30" customHeight="1" x14ac:dyDescent="0.3">
      <c r="C43" s="23" t="s">
        <v>59</v>
      </c>
      <c r="D43" s="49">
        <v>48400326575</v>
      </c>
      <c r="E43" s="49">
        <v>-931027588</v>
      </c>
      <c r="F43" s="89"/>
      <c r="G43" s="49"/>
      <c r="H43" s="21"/>
      <c r="I43" s="49"/>
      <c r="J43" s="49"/>
      <c r="K43" s="48"/>
      <c r="L43" s="48"/>
      <c r="M43" s="21"/>
    </row>
    <row r="44" spans="3:13" ht="30" customHeight="1" x14ac:dyDescent="0.3">
      <c r="C44" s="23" t="s">
        <v>60</v>
      </c>
      <c r="D44" s="49"/>
      <c r="E44" s="49"/>
      <c r="F44" s="89"/>
      <c r="G44" s="49"/>
      <c r="H44" s="21"/>
      <c r="I44" s="49"/>
      <c r="J44" s="253"/>
      <c r="K44" s="48"/>
      <c r="L44" s="48"/>
      <c r="M44" s="21"/>
    </row>
    <row r="45" spans="3:13" ht="30" customHeight="1" x14ac:dyDescent="0.3">
      <c r="C45" s="23" t="s">
        <v>61</v>
      </c>
      <c r="D45" s="253">
        <v>69118008000</v>
      </c>
      <c r="E45" s="253">
        <v>7652581000</v>
      </c>
      <c r="F45" s="89"/>
      <c r="G45" s="49"/>
      <c r="H45" s="21"/>
      <c r="I45" s="49"/>
      <c r="J45" s="49"/>
      <c r="K45" s="48"/>
      <c r="L45" s="48"/>
      <c r="M45" s="21"/>
    </row>
    <row r="46" spans="3:13" ht="30" customHeight="1" x14ac:dyDescent="0.3">
      <c r="C46" s="23" t="s">
        <v>62</v>
      </c>
      <c r="D46" s="49">
        <v>115923000000</v>
      </c>
      <c r="E46" s="49">
        <v>3205000000</v>
      </c>
      <c r="F46" s="89"/>
      <c r="G46" s="49"/>
      <c r="H46" s="21"/>
      <c r="I46" s="49"/>
      <c r="J46" s="49"/>
      <c r="K46" s="48"/>
      <c r="L46" s="48"/>
      <c r="M46" s="21"/>
    </row>
    <row r="47" spans="3:13" ht="30" customHeight="1" x14ac:dyDescent="0.3">
      <c r="C47" s="25" t="s">
        <v>63</v>
      </c>
      <c r="D47" s="45"/>
      <c r="E47" s="45"/>
      <c r="F47" s="88"/>
      <c r="G47" s="45"/>
      <c r="H47" s="255"/>
      <c r="I47" s="45"/>
      <c r="J47" s="45"/>
      <c r="K47" s="52"/>
      <c r="L47" s="44"/>
      <c r="M47" s="30"/>
    </row>
    <row r="48" spans="3:13" ht="30" customHeight="1" x14ac:dyDescent="0.3">
      <c r="C48" s="23" t="s">
        <v>64</v>
      </c>
      <c r="D48" s="42">
        <v>2869634000</v>
      </c>
      <c r="E48" s="42">
        <v>-480087000</v>
      </c>
      <c r="F48" s="87"/>
      <c r="G48" s="42"/>
      <c r="H48" s="21"/>
      <c r="I48" s="42"/>
      <c r="J48" s="113"/>
      <c r="K48" s="41"/>
      <c r="L48" s="41"/>
      <c r="M48" s="21"/>
    </row>
    <row r="49" spans="3:13" ht="30" customHeight="1" x14ac:dyDescent="0.3">
      <c r="C49" s="23" t="s">
        <v>65</v>
      </c>
      <c r="D49" s="42">
        <v>29175865000</v>
      </c>
      <c r="E49" s="42">
        <v>484691000</v>
      </c>
      <c r="F49" s="87"/>
      <c r="G49" s="42"/>
      <c r="H49" s="21"/>
      <c r="I49" s="42"/>
      <c r="J49" s="113"/>
      <c r="K49" s="41"/>
      <c r="L49" s="41"/>
      <c r="M49" s="21"/>
    </row>
    <row r="50" spans="3:13" ht="30" customHeight="1" x14ac:dyDescent="0.3">
      <c r="C50" s="23" t="s">
        <v>66</v>
      </c>
      <c r="D50" s="42">
        <v>44358902386</v>
      </c>
      <c r="E50" s="42">
        <v>1329823748</v>
      </c>
      <c r="F50" s="87"/>
      <c r="G50" s="42"/>
      <c r="H50" s="21"/>
      <c r="I50" s="42"/>
      <c r="J50" s="42"/>
      <c r="K50" s="41"/>
      <c r="L50" s="41"/>
      <c r="M50" s="21"/>
    </row>
    <row r="51" spans="3:13" ht="30" customHeight="1" x14ac:dyDescent="0.3">
      <c r="C51" s="23" t="s">
        <v>67</v>
      </c>
      <c r="D51" s="42">
        <v>37009672738</v>
      </c>
      <c r="E51" s="42">
        <v>1082208302</v>
      </c>
      <c r="F51" s="87"/>
      <c r="G51" s="42"/>
      <c r="H51" s="21"/>
      <c r="I51" s="42"/>
      <c r="J51" s="42"/>
      <c r="K51" s="41"/>
      <c r="L51" s="41"/>
      <c r="M51" s="21"/>
    </row>
    <row r="52" spans="3:13" ht="30" customHeight="1" x14ac:dyDescent="0.3">
      <c r="C52" s="23" t="s">
        <v>68</v>
      </c>
      <c r="D52" s="42">
        <v>233518000000</v>
      </c>
      <c r="E52" s="42">
        <v>1640000000</v>
      </c>
      <c r="F52" s="87"/>
      <c r="G52" s="42"/>
      <c r="H52" s="21"/>
      <c r="I52" s="42"/>
      <c r="J52" s="113"/>
      <c r="K52" s="41"/>
      <c r="L52" s="41"/>
      <c r="M52" s="21"/>
    </row>
    <row r="53" spans="3:13" ht="30" customHeight="1" x14ac:dyDescent="0.3">
      <c r="C53" s="23" t="s">
        <v>69</v>
      </c>
      <c r="D53" s="42">
        <v>308321000000</v>
      </c>
      <c r="E53" s="42">
        <v>5589000000</v>
      </c>
      <c r="F53" s="87"/>
      <c r="G53" s="42"/>
      <c r="H53" s="21"/>
      <c r="I53" s="42"/>
      <c r="J53" s="42"/>
      <c r="K53" s="41"/>
      <c r="L53" s="41"/>
      <c r="M53" s="21"/>
    </row>
    <row r="54" spans="3:13" ht="30" customHeight="1" x14ac:dyDescent="0.3">
      <c r="C54" s="23" t="s">
        <v>70</v>
      </c>
      <c r="D54" s="42">
        <v>197020000000</v>
      </c>
      <c r="E54" s="42">
        <v>4265000000</v>
      </c>
      <c r="F54" s="87"/>
      <c r="G54" s="42"/>
      <c r="H54" s="21"/>
      <c r="I54" s="71"/>
      <c r="J54" s="42"/>
      <c r="K54" s="41"/>
      <c r="L54" s="41"/>
      <c r="M54" s="21"/>
    </row>
    <row r="55" spans="3:13" ht="30" customHeight="1" x14ac:dyDescent="0.3">
      <c r="C55" s="25" t="s">
        <v>71</v>
      </c>
      <c r="D55" s="45"/>
      <c r="E55" s="45"/>
      <c r="F55" s="88"/>
      <c r="G55" s="45"/>
      <c r="H55" s="255"/>
      <c r="I55" s="45"/>
      <c r="J55" s="45"/>
      <c r="K55" s="52"/>
      <c r="L55" s="44"/>
      <c r="M55" s="30"/>
    </row>
    <row r="56" spans="3:13" ht="30" customHeight="1" x14ac:dyDescent="0.3">
      <c r="C56" s="23" t="s">
        <v>72</v>
      </c>
      <c r="D56" s="42">
        <v>9425414561</v>
      </c>
      <c r="E56" s="42">
        <v>1025066691</v>
      </c>
      <c r="F56" s="87"/>
      <c r="G56" s="42"/>
      <c r="H56" s="21"/>
      <c r="I56" s="42"/>
      <c r="J56" s="42"/>
      <c r="K56" s="41"/>
      <c r="L56" s="41"/>
      <c r="M56" s="21"/>
    </row>
    <row r="57" spans="3:13" ht="15" customHeight="1" x14ac:dyDescent="0.3">
      <c r="C57" s="34"/>
      <c r="D57" s="2"/>
      <c r="E57" s="2"/>
      <c r="F57" s="90"/>
      <c r="G57" s="40"/>
      <c r="H57" s="40"/>
      <c r="I57" s="2"/>
      <c r="J57" s="2"/>
      <c r="K57" s="2"/>
      <c r="L57" s="2"/>
      <c r="M57" s="2"/>
    </row>
    <row r="58" spans="3:13" x14ac:dyDescent="0.3">
      <c r="C58" s="35"/>
      <c r="D58" s="2"/>
      <c r="E58" s="2"/>
      <c r="F58" s="90"/>
      <c r="G58" s="40"/>
      <c r="H58" s="40"/>
      <c r="I58" s="2"/>
      <c r="J58" s="2"/>
      <c r="K58" s="2"/>
      <c r="L58" s="2"/>
      <c r="M58" s="2"/>
    </row>
    <row r="59" spans="3:13" x14ac:dyDescent="0.3">
      <c r="C59" s="2"/>
      <c r="D59" s="2"/>
      <c r="E59" s="2"/>
      <c r="F59" s="90"/>
      <c r="G59" s="40"/>
      <c r="H59" s="40"/>
      <c r="I59" s="2"/>
      <c r="J59" s="2"/>
      <c r="K59" s="90"/>
      <c r="L59" s="2"/>
      <c r="M59" s="2"/>
    </row>
    <row r="60" spans="3:13" x14ac:dyDescent="0.3">
      <c r="C60" s="36"/>
      <c r="D60" s="2"/>
      <c r="E60" s="2"/>
      <c r="F60" s="90"/>
      <c r="G60" s="40"/>
      <c r="H60" s="40"/>
      <c r="I60" s="259"/>
      <c r="J60" s="2"/>
      <c r="K60" s="2"/>
      <c r="L60" s="2"/>
      <c r="M60" s="2"/>
    </row>
    <row r="61" spans="3:13" x14ac:dyDescent="0.3">
      <c r="C61" s="36"/>
      <c r="D61" s="2"/>
      <c r="E61" s="2"/>
      <c r="F61" s="90"/>
      <c r="G61" s="40"/>
      <c r="H61" s="40"/>
      <c r="I61" s="2"/>
      <c r="J61" s="2"/>
      <c r="K61" s="2"/>
      <c r="L61" s="2"/>
      <c r="M61" s="2"/>
    </row>
    <row r="62" spans="3:13" x14ac:dyDescent="0.3">
      <c r="C62" s="36"/>
      <c r="D62" s="2"/>
      <c r="E62" s="2"/>
      <c r="F62" s="90"/>
      <c r="G62" s="40"/>
      <c r="H62" s="40"/>
      <c r="I62" s="2"/>
      <c r="J62" s="2"/>
      <c r="K62" s="90"/>
      <c r="L62" s="2"/>
      <c r="M62" s="2"/>
    </row>
    <row r="63" spans="3:13" x14ac:dyDescent="0.3">
      <c r="C63" s="36"/>
      <c r="D63" s="2"/>
      <c r="E63" s="2"/>
      <c r="F63" s="90"/>
      <c r="G63" s="40"/>
      <c r="H63" s="40"/>
      <c r="I63" s="2"/>
      <c r="J63" s="2"/>
      <c r="K63" s="2"/>
      <c r="L63" s="2"/>
      <c r="M63" s="2"/>
    </row>
    <row r="64" spans="3:13" x14ac:dyDescent="0.3">
      <c r="C64" s="36"/>
      <c r="D64" s="2"/>
      <c r="E64" s="2"/>
      <c r="F64" s="90"/>
      <c r="G64" s="40"/>
      <c r="H64" s="40"/>
      <c r="I64" s="2"/>
      <c r="J64" s="2"/>
      <c r="K64" s="2"/>
      <c r="L64" s="2"/>
      <c r="M64" s="2"/>
    </row>
    <row r="65" spans="3:13" x14ac:dyDescent="0.3">
      <c r="C65" s="36"/>
      <c r="D65" s="2"/>
      <c r="E65" s="2"/>
      <c r="F65" s="90"/>
      <c r="G65" s="40"/>
      <c r="H65" s="40"/>
      <c r="I65" s="2"/>
      <c r="J65" s="2"/>
      <c r="K65" s="2"/>
      <c r="L65" s="2"/>
      <c r="M65" s="2"/>
    </row>
    <row r="66" spans="3:13" x14ac:dyDescent="0.3">
      <c r="C66" s="36"/>
      <c r="D66" s="2"/>
      <c r="E66" s="2"/>
      <c r="F66" s="90"/>
      <c r="G66" s="40"/>
      <c r="H66" s="40"/>
      <c r="I66" s="2"/>
      <c r="J66" s="2"/>
      <c r="K66" s="2"/>
      <c r="L66" s="2"/>
      <c r="M66" s="2"/>
    </row>
    <row r="67" spans="3:13" x14ac:dyDescent="0.3">
      <c r="C67" s="36"/>
      <c r="D67" s="2"/>
      <c r="E67" s="2"/>
      <c r="F67" s="90"/>
      <c r="G67" s="40"/>
      <c r="H67" s="40"/>
      <c r="I67" s="2"/>
      <c r="J67" s="2"/>
      <c r="K67" s="2"/>
      <c r="L67" s="2"/>
      <c r="M67" s="2"/>
    </row>
    <row r="68" spans="3:13" x14ac:dyDescent="0.3">
      <c r="C68" s="36"/>
      <c r="D68" s="2"/>
      <c r="E68" s="2"/>
      <c r="F68" s="90"/>
      <c r="G68" s="40"/>
      <c r="H68" s="40"/>
      <c r="I68" s="2"/>
      <c r="J68" s="2"/>
      <c r="K68" s="2"/>
      <c r="L68" s="2"/>
      <c r="M68" s="2"/>
    </row>
    <row r="69" spans="3:13" x14ac:dyDescent="0.3">
      <c r="C69" s="36"/>
      <c r="D69" s="2"/>
      <c r="E69" s="2"/>
      <c r="F69" s="90"/>
      <c r="G69" s="40"/>
      <c r="H69" s="40"/>
      <c r="I69" s="2"/>
      <c r="J69" s="2"/>
      <c r="K69" s="2"/>
      <c r="L69" s="2"/>
      <c r="M69" s="2"/>
    </row>
    <row r="70" spans="3:13" x14ac:dyDescent="0.3">
      <c r="C70" s="36"/>
      <c r="D70" s="2"/>
      <c r="E70" s="2"/>
      <c r="F70" s="90"/>
      <c r="G70" s="40"/>
      <c r="H70" s="40"/>
      <c r="I70" s="2"/>
      <c r="J70" s="2"/>
      <c r="K70" s="2"/>
      <c r="L70" s="2"/>
      <c r="M70" s="2"/>
    </row>
    <row r="71" spans="3:13" x14ac:dyDescent="0.3">
      <c r="C71" s="36"/>
      <c r="D71" s="2"/>
      <c r="E71" s="2"/>
      <c r="F71" s="90"/>
      <c r="G71" s="40"/>
      <c r="H71" s="40"/>
      <c r="I71" s="2"/>
      <c r="J71" s="2"/>
      <c r="K71" s="2"/>
      <c r="L71" s="2"/>
      <c r="M71" s="2"/>
    </row>
    <row r="72" spans="3:13" x14ac:dyDescent="0.3">
      <c r="C72" s="36"/>
      <c r="D72" s="2"/>
      <c r="E72" s="2"/>
      <c r="F72" s="90"/>
      <c r="G72" s="40"/>
      <c r="H72" s="40"/>
      <c r="I72" s="2"/>
      <c r="J72" s="2"/>
      <c r="K72" s="2"/>
      <c r="L72" s="2"/>
      <c r="M72" s="2"/>
    </row>
    <row r="73" spans="3:13" x14ac:dyDescent="0.3">
      <c r="C73" s="36"/>
      <c r="D73" s="2"/>
      <c r="E73" s="2"/>
      <c r="F73" s="90"/>
      <c r="G73" s="40"/>
      <c r="H73" s="40"/>
      <c r="I73" s="2"/>
      <c r="J73" s="2"/>
      <c r="K73" s="2"/>
      <c r="L73" s="2"/>
      <c r="M73" s="2"/>
    </row>
    <row r="74" spans="3:13" x14ac:dyDescent="0.3">
      <c r="C74" s="36"/>
      <c r="D74" s="2"/>
      <c r="E74" s="2"/>
      <c r="F74" s="90"/>
      <c r="G74" s="40"/>
      <c r="H74" s="40"/>
      <c r="I74" s="2"/>
      <c r="J74" s="2"/>
      <c r="K74" s="2"/>
      <c r="L74" s="2"/>
      <c r="M74" s="2"/>
    </row>
    <row r="75" spans="3:13" x14ac:dyDescent="0.3">
      <c r="C75" s="36"/>
      <c r="D75" s="2"/>
      <c r="E75" s="2"/>
      <c r="F75" s="90"/>
      <c r="G75" s="40"/>
      <c r="H75" s="40"/>
      <c r="I75" s="2"/>
      <c r="J75" s="2"/>
      <c r="K75" s="2"/>
      <c r="L75" s="2"/>
      <c r="M75" s="2"/>
    </row>
    <row r="76" spans="3:13" x14ac:dyDescent="0.3">
      <c r="C76" s="36"/>
      <c r="D76" s="2"/>
      <c r="E76" s="2"/>
      <c r="F76" s="90"/>
      <c r="G76" s="40"/>
      <c r="H76" s="40"/>
      <c r="I76" s="2"/>
      <c r="J76" s="2"/>
      <c r="K76" s="2"/>
      <c r="L76" s="2"/>
      <c r="M76" s="2"/>
    </row>
    <row r="77" spans="3:13" x14ac:dyDescent="0.3">
      <c r="C77" s="37"/>
      <c r="G77" s="39"/>
      <c r="H77" s="39"/>
    </row>
    <row r="78" spans="3:13" x14ac:dyDescent="0.3">
      <c r="C78" s="37"/>
      <c r="G78" s="39"/>
      <c r="H78" s="39"/>
    </row>
    <row r="79" spans="3:13" x14ac:dyDescent="0.3">
      <c r="C79" s="37"/>
      <c r="G79" s="39"/>
      <c r="H79" s="39"/>
    </row>
    <row r="80" spans="3:13" x14ac:dyDescent="0.3">
      <c r="C80" s="37"/>
      <c r="G80" s="39"/>
      <c r="H80" s="39"/>
    </row>
    <row r="81" spans="3:26" x14ac:dyDescent="0.3">
      <c r="C81" s="37"/>
      <c r="G81" s="39"/>
      <c r="H81" s="39"/>
    </row>
    <row r="82" spans="3:26" x14ac:dyDescent="0.3">
      <c r="C82" s="37"/>
      <c r="G82" s="39"/>
      <c r="H82" s="39"/>
    </row>
    <row r="83" spans="3:26" x14ac:dyDescent="0.3">
      <c r="C83" s="37"/>
      <c r="G83" s="39"/>
      <c r="H83" s="39"/>
    </row>
    <row r="84" spans="3:26" x14ac:dyDescent="0.3">
      <c r="C84" s="37"/>
      <c r="G84" s="39"/>
      <c r="H84" s="39"/>
    </row>
    <row r="85" spans="3:26" x14ac:dyDescent="0.3">
      <c r="C85" s="37"/>
      <c r="G85" s="39"/>
      <c r="H85" s="39"/>
    </row>
    <row r="86" spans="3:26" x14ac:dyDescent="0.3">
      <c r="C86" s="37"/>
      <c r="G86" s="39"/>
      <c r="H86" s="39"/>
    </row>
    <row r="87" spans="3:26" x14ac:dyDescent="0.3">
      <c r="C87" s="37"/>
      <c r="G87" s="39"/>
      <c r="H87" s="39"/>
    </row>
    <row r="88" spans="3:26" x14ac:dyDescent="0.3">
      <c r="C88" s="37"/>
      <c r="G88" s="39"/>
      <c r="H88" s="39"/>
    </row>
    <row r="89" spans="3:26" x14ac:dyDescent="0.3">
      <c r="C89" s="37"/>
      <c r="G89" s="39"/>
      <c r="H89" s="39"/>
    </row>
    <row r="90" spans="3:26" x14ac:dyDescent="0.3">
      <c r="C90" s="37"/>
      <c r="G90" s="39"/>
      <c r="H90" s="39"/>
    </row>
    <row r="91" spans="3:26" x14ac:dyDescent="0.3">
      <c r="C91" s="37"/>
      <c r="G91" s="39"/>
      <c r="H91" s="39"/>
    </row>
    <row r="92" spans="3:26" x14ac:dyDescent="0.3">
      <c r="C92" s="37"/>
      <c r="G92" s="39"/>
      <c r="H92" s="39"/>
    </row>
    <row r="93" spans="3:26" x14ac:dyDescent="0.3">
      <c r="C93" s="37"/>
      <c r="G93" s="39"/>
      <c r="H93" s="39"/>
    </row>
    <row r="94" spans="3:26" x14ac:dyDescent="0.3">
      <c r="C94" s="37"/>
      <c r="G94" s="39"/>
      <c r="H94" s="39"/>
      <c r="Z94" s="38" t="s">
        <v>73</v>
      </c>
    </row>
    <row r="95" spans="3:26" x14ac:dyDescent="0.3">
      <c r="C95" s="37"/>
      <c r="G95" s="39"/>
      <c r="H95" s="39"/>
    </row>
    <row r="96" spans="3:26" x14ac:dyDescent="0.3">
      <c r="C96" s="37"/>
    </row>
    <row r="97" spans="3:3" x14ac:dyDescent="0.3">
      <c r="C97" s="37"/>
    </row>
    <row r="98" spans="3:3" x14ac:dyDescent="0.3">
      <c r="C98" s="37"/>
    </row>
    <row r="99" spans="3:3" x14ac:dyDescent="0.3">
      <c r="C99" s="37"/>
    </row>
    <row r="100" spans="3:3" x14ac:dyDescent="0.3">
      <c r="C100" s="37"/>
    </row>
    <row r="101" spans="3:3" x14ac:dyDescent="0.3">
      <c r="C101" s="37"/>
    </row>
    <row r="102" spans="3:3" x14ac:dyDescent="0.3">
      <c r="C102" s="37"/>
    </row>
    <row r="103" spans="3:3" x14ac:dyDescent="0.3">
      <c r="C103" s="37"/>
    </row>
    <row r="104" spans="3:3" x14ac:dyDescent="0.3">
      <c r="C104" s="37"/>
    </row>
    <row r="105" spans="3:3" x14ac:dyDescent="0.3">
      <c r="C105" s="37"/>
    </row>
    <row r="106" spans="3:3" x14ac:dyDescent="0.3">
      <c r="C106" s="37"/>
    </row>
    <row r="107" spans="3:3" x14ac:dyDescent="0.3">
      <c r="C107" s="37"/>
    </row>
    <row r="108" spans="3:3" x14ac:dyDescent="0.3">
      <c r="C108" s="37"/>
    </row>
    <row r="109" spans="3:3" x14ac:dyDescent="0.3">
      <c r="C109" s="37"/>
    </row>
    <row r="110" spans="3:3" x14ac:dyDescent="0.3">
      <c r="C110" s="37"/>
    </row>
    <row r="111" spans="3:3" x14ac:dyDescent="0.3">
      <c r="C111" s="37"/>
    </row>
    <row r="112" spans="3:3" x14ac:dyDescent="0.3">
      <c r="C112" s="37"/>
    </row>
    <row r="113" spans="3:3" x14ac:dyDescent="0.3">
      <c r="C113" s="37"/>
    </row>
    <row r="114" spans="3:3" x14ac:dyDescent="0.3">
      <c r="C114" s="37"/>
    </row>
    <row r="115" spans="3:3" x14ac:dyDescent="0.3">
      <c r="C115" s="37"/>
    </row>
    <row r="116" spans="3:3" x14ac:dyDescent="0.3">
      <c r="C116" s="37"/>
    </row>
    <row r="117" spans="3:3" x14ac:dyDescent="0.3">
      <c r="C117" s="37"/>
    </row>
    <row r="118" spans="3:3" x14ac:dyDescent="0.3">
      <c r="C118" s="37"/>
    </row>
    <row r="119" spans="3:3" x14ac:dyDescent="0.3">
      <c r="C119" s="37"/>
    </row>
    <row r="120" spans="3:3" x14ac:dyDescent="0.3">
      <c r="C120" s="37"/>
    </row>
    <row r="121" spans="3:3" x14ac:dyDescent="0.3">
      <c r="C121" s="37"/>
    </row>
    <row r="122" spans="3:3" x14ac:dyDescent="0.3">
      <c r="C122" s="37"/>
    </row>
    <row r="123" spans="3:3" x14ac:dyDescent="0.3">
      <c r="C123" s="37"/>
    </row>
    <row r="124" spans="3:3" x14ac:dyDescent="0.3">
      <c r="C124" s="37"/>
    </row>
    <row r="125" spans="3:3" x14ac:dyDescent="0.3">
      <c r="C125" s="37"/>
    </row>
    <row r="126" spans="3:3" x14ac:dyDescent="0.3">
      <c r="C126" s="37"/>
    </row>
    <row r="127" spans="3:3" x14ac:dyDescent="0.3">
      <c r="C127" s="37"/>
    </row>
    <row r="128" spans="3:3" x14ac:dyDescent="0.3">
      <c r="C128" s="37"/>
    </row>
    <row r="129" spans="3:3" x14ac:dyDescent="0.3">
      <c r="C129" s="37"/>
    </row>
    <row r="130" spans="3:3" x14ac:dyDescent="0.3">
      <c r="C130" s="37"/>
    </row>
    <row r="131" spans="3:3" x14ac:dyDescent="0.3">
      <c r="C131" s="37"/>
    </row>
    <row r="132" spans="3:3" x14ac:dyDescent="0.3">
      <c r="C132" s="37"/>
    </row>
    <row r="133" spans="3:3" x14ac:dyDescent="0.3">
      <c r="C133" s="37"/>
    </row>
    <row r="134" spans="3:3" x14ac:dyDescent="0.3">
      <c r="C134" s="37"/>
    </row>
    <row r="135" spans="3:3" x14ac:dyDescent="0.3">
      <c r="C135" s="37"/>
    </row>
    <row r="136" spans="3:3" x14ac:dyDescent="0.3">
      <c r="C136" s="37"/>
    </row>
    <row r="137" spans="3:3" x14ac:dyDescent="0.3">
      <c r="C137" s="37"/>
    </row>
    <row r="138" spans="3:3" x14ac:dyDescent="0.3">
      <c r="C138" s="37"/>
    </row>
    <row r="139" spans="3:3" x14ac:dyDescent="0.3">
      <c r="C139" s="37"/>
    </row>
    <row r="140" spans="3:3" x14ac:dyDescent="0.3">
      <c r="C140" s="37"/>
    </row>
    <row r="141" spans="3:3" x14ac:dyDescent="0.3">
      <c r="C141" s="37"/>
    </row>
    <row r="142" spans="3:3" x14ac:dyDescent="0.3">
      <c r="C142" s="37"/>
    </row>
    <row r="143" spans="3:3" x14ac:dyDescent="0.3">
      <c r="C143" s="37"/>
    </row>
    <row r="144" spans="3:3" x14ac:dyDescent="0.3">
      <c r="C144" s="37"/>
    </row>
    <row r="145" spans="3:3" x14ac:dyDescent="0.3">
      <c r="C145" s="37"/>
    </row>
    <row r="146" spans="3:3" x14ac:dyDescent="0.3">
      <c r="C146" s="37"/>
    </row>
    <row r="147" spans="3:3" x14ac:dyDescent="0.3">
      <c r="C147" s="37"/>
    </row>
    <row r="148" spans="3:3" x14ac:dyDescent="0.3">
      <c r="C148" s="37"/>
    </row>
    <row r="149" spans="3:3" x14ac:dyDescent="0.3">
      <c r="C149" s="37"/>
    </row>
    <row r="150" spans="3:3" x14ac:dyDescent="0.3">
      <c r="C150" s="37"/>
    </row>
    <row r="151" spans="3:3" x14ac:dyDescent="0.3">
      <c r="C151" s="37"/>
    </row>
    <row r="152" spans="3:3" x14ac:dyDescent="0.3">
      <c r="C152" s="37"/>
    </row>
    <row r="153" spans="3:3" x14ac:dyDescent="0.3">
      <c r="C153" s="37"/>
    </row>
    <row r="154" spans="3:3" x14ac:dyDescent="0.3">
      <c r="C154" s="37"/>
    </row>
    <row r="155" spans="3:3" x14ac:dyDescent="0.3">
      <c r="C155" s="37"/>
    </row>
    <row r="156" spans="3:3" x14ac:dyDescent="0.3">
      <c r="C156" s="37"/>
    </row>
    <row r="157" spans="3:3" x14ac:dyDescent="0.3">
      <c r="C157" s="37"/>
    </row>
    <row r="158" spans="3:3" x14ac:dyDescent="0.3">
      <c r="C158" s="37"/>
    </row>
    <row r="159" spans="3:3" x14ac:dyDescent="0.3">
      <c r="C159" s="37"/>
    </row>
    <row r="160" spans="3:3" x14ac:dyDescent="0.3">
      <c r="C160" s="37"/>
    </row>
    <row r="161" spans="3:3" x14ac:dyDescent="0.3">
      <c r="C161" s="37"/>
    </row>
    <row r="162" spans="3:3" x14ac:dyDescent="0.3">
      <c r="C162" s="37"/>
    </row>
    <row r="163" spans="3:3" x14ac:dyDescent="0.3">
      <c r="C163" s="37"/>
    </row>
    <row r="164" spans="3:3" x14ac:dyDescent="0.3">
      <c r="C164" s="37"/>
    </row>
    <row r="165" spans="3:3" x14ac:dyDescent="0.3">
      <c r="C165" s="37"/>
    </row>
    <row r="166" spans="3:3" x14ac:dyDescent="0.3">
      <c r="C166" s="37"/>
    </row>
  </sheetData>
  <mergeCells count="5">
    <mergeCell ref="D2:E2"/>
    <mergeCell ref="F2:G2"/>
    <mergeCell ref="H2:I2"/>
    <mergeCell ref="J2:K2"/>
    <mergeCell ref="L2:M2"/>
  </mergeCells>
  <pageMargins left="0.7" right="0.7" top="0.75" bottom="0.75" header="0.3" footer="0.3"/>
  <pageSetup paperSize="9" scale="51" fitToHeight="0" orientation="landscape" horizontalDpi="4294967295" verticalDpi="4294967295" r:id="rId1"/>
  <colBreaks count="1" manualBreakCount="1">
    <brk id="15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7DEBA-E267-4D43-AA49-F9557B6D324B}">
  <sheetPr codeName="Feuil6">
    <pageSetUpPr fitToPage="1"/>
  </sheetPr>
  <dimension ref="B1:M170"/>
  <sheetViews>
    <sheetView showGridLines="0" view="pageBreakPreview" zoomScale="90" zoomScaleNormal="80" zoomScaleSheetLayoutView="90" workbookViewId="0">
      <selection activeCell="K55" sqref="K55"/>
    </sheetView>
  </sheetViews>
  <sheetFormatPr baseColWidth="10" defaultRowHeight="14.4" x14ac:dyDescent="0.3"/>
  <cols>
    <col min="1" max="1" width="8.6640625" customWidth="1"/>
    <col min="2" max="2" width="31.44140625" bestFit="1" customWidth="1"/>
    <col min="3" max="5" width="13.44140625" style="187" customWidth="1"/>
    <col min="6" max="6" width="24.6640625" bestFit="1" customWidth="1"/>
    <col min="7" max="7" width="21" bestFit="1" customWidth="1"/>
  </cols>
  <sheetData>
    <row r="1" spans="2:11" ht="19.649999999999999" customHeight="1" x14ac:dyDescent="0.3"/>
    <row r="2" spans="2:11" ht="26.4" customHeight="1" x14ac:dyDescent="0.3"/>
    <row r="5" spans="2:11" ht="15" thickBot="1" x14ac:dyDescent="0.35"/>
    <row r="6" spans="2:11" ht="30" customHeight="1" thickBot="1" x14ac:dyDescent="0.35">
      <c r="B6" s="4"/>
      <c r="C6" s="421" t="s">
        <v>96</v>
      </c>
      <c r="D6" s="422"/>
      <c r="E6" s="423"/>
      <c r="F6" s="424" t="s">
        <v>97</v>
      </c>
      <c r="G6" s="425"/>
    </row>
    <row r="7" spans="2:11" ht="30" customHeight="1" thickBot="1" x14ac:dyDescent="0.35">
      <c r="B7" s="135" t="s">
        <v>3</v>
      </c>
      <c r="C7" s="146">
        <v>45289</v>
      </c>
      <c r="D7" s="148">
        <v>45303</v>
      </c>
      <c r="E7" s="149">
        <v>45317</v>
      </c>
      <c r="F7" s="134" t="s">
        <v>99</v>
      </c>
      <c r="G7" s="147" t="s">
        <v>98</v>
      </c>
      <c r="I7" s="281"/>
      <c r="J7" s="281"/>
    </row>
    <row r="8" spans="2:11" ht="51" customHeight="1" thickBot="1" x14ac:dyDescent="0.35">
      <c r="B8" s="172" t="s">
        <v>90</v>
      </c>
      <c r="C8" s="207">
        <v>101.03</v>
      </c>
      <c r="D8" s="207">
        <v>101.28</v>
      </c>
      <c r="E8" s="207">
        <v>100.54</v>
      </c>
      <c r="F8" s="219">
        <f>IF(OR(D8="", E8=""),"", (E8-D8)/D8)</f>
        <v>-7.3064770932069001E-3</v>
      </c>
      <c r="G8" s="206">
        <f>+IF(OR(C8="", E8=""),"", (E8-C8)/C8)</f>
        <v>-4.850044541225328E-3</v>
      </c>
      <c r="I8" s="265"/>
      <c r="J8" s="265"/>
      <c r="K8" s="266"/>
    </row>
    <row r="9" spans="2:11" ht="30" customHeight="1" x14ac:dyDescent="0.3">
      <c r="B9" s="127" t="s">
        <v>17</v>
      </c>
      <c r="C9" s="192">
        <v>1110</v>
      </c>
      <c r="D9" s="126">
        <v>1040</v>
      </c>
      <c r="E9" s="192">
        <v>1000</v>
      </c>
      <c r="F9" s="158">
        <f>IF(OR(D9="", E9=""),"", (E9-D9)/D9)</f>
        <v>-3.8461538461538464E-2</v>
      </c>
      <c r="G9" s="158">
        <f>+IF(OR(C9="", E9=""),"", (E9-C9)/C9)</f>
        <v>-9.90990990990991E-2</v>
      </c>
      <c r="I9" s="265"/>
      <c r="J9" s="265"/>
      <c r="K9" s="266"/>
    </row>
    <row r="10" spans="2:11" ht="30" customHeight="1" x14ac:dyDescent="0.3">
      <c r="B10" s="127" t="s">
        <v>19</v>
      </c>
      <c r="C10" s="192">
        <v>1840</v>
      </c>
      <c r="D10" s="126">
        <v>1745</v>
      </c>
      <c r="E10" s="192">
        <v>1750</v>
      </c>
      <c r="F10" s="158">
        <f t="shared" ref="F10:F40" si="0">IF(OR(D10="", E10=""),"", (E10-D10)/D10)</f>
        <v>2.8653295128939827E-3</v>
      </c>
      <c r="G10" s="158">
        <f>+IF(OR(C10="", E10=""),"", (E10-C10)/C10)</f>
        <v>-4.8913043478260872E-2</v>
      </c>
      <c r="I10" s="265"/>
      <c r="J10" s="265"/>
      <c r="K10" s="266"/>
    </row>
    <row r="11" spans="2:11" ht="30" customHeight="1" x14ac:dyDescent="0.3">
      <c r="B11" s="128" t="s">
        <v>21</v>
      </c>
      <c r="C11" s="193">
        <v>725</v>
      </c>
      <c r="D11" s="125">
        <v>670</v>
      </c>
      <c r="E11" s="193">
        <v>595</v>
      </c>
      <c r="F11" s="159">
        <f t="shared" si="0"/>
        <v>-0.11194029850746269</v>
      </c>
      <c r="G11" s="159">
        <f t="shared" ref="G11:G60" si="1">+IF(OR(C11="", E11=""),"", (E11-C11)/C11)</f>
        <v>-0.1793103448275862</v>
      </c>
      <c r="I11" s="265"/>
      <c r="J11" s="265"/>
      <c r="K11" s="266"/>
    </row>
    <row r="12" spans="2:11" ht="30" customHeight="1" x14ac:dyDescent="0.3">
      <c r="B12" s="127" t="s">
        <v>23</v>
      </c>
      <c r="C12" s="192">
        <v>7385</v>
      </c>
      <c r="D12" s="126">
        <v>7350</v>
      </c>
      <c r="E12" s="192">
        <v>7295</v>
      </c>
      <c r="F12" s="151">
        <f t="shared" si="0"/>
        <v>-7.4829931972789114E-3</v>
      </c>
      <c r="G12" s="151">
        <f>+IF(OR(C12="", E12=""),"", (E12-C12)/C12)</f>
        <v>-1.2186865267433988E-2</v>
      </c>
      <c r="I12" s="265"/>
      <c r="J12" s="265"/>
      <c r="K12" s="266"/>
    </row>
    <row r="13" spans="2:11" ht="30" customHeight="1" x14ac:dyDescent="0.3">
      <c r="B13" s="127" t="s">
        <v>25</v>
      </c>
      <c r="C13" s="192">
        <v>700</v>
      </c>
      <c r="D13" s="126">
        <v>700</v>
      </c>
      <c r="E13" s="192">
        <v>700</v>
      </c>
      <c r="F13" s="158">
        <f t="shared" si="0"/>
        <v>0</v>
      </c>
      <c r="G13" s="158">
        <f t="shared" si="1"/>
        <v>0</v>
      </c>
      <c r="I13" s="265"/>
      <c r="J13" s="265"/>
      <c r="K13" s="266"/>
    </row>
    <row r="14" spans="2:11" ht="30" customHeight="1" x14ac:dyDescent="0.3">
      <c r="B14" s="128" t="s">
        <v>26</v>
      </c>
      <c r="C14" s="193">
        <v>830</v>
      </c>
      <c r="D14" s="125">
        <v>825</v>
      </c>
      <c r="E14" s="193">
        <v>820</v>
      </c>
      <c r="F14" s="159">
        <f t="shared" si="0"/>
        <v>-6.0606060606060606E-3</v>
      </c>
      <c r="G14" s="159">
        <f t="shared" si="1"/>
        <v>-1.2048192771084338E-2</v>
      </c>
      <c r="I14" s="265"/>
      <c r="J14" s="265"/>
      <c r="K14" s="266"/>
    </row>
    <row r="15" spans="2:11" ht="30" customHeight="1" x14ac:dyDescent="0.3">
      <c r="B15" s="127" t="s">
        <v>27</v>
      </c>
      <c r="C15" s="192">
        <v>87000</v>
      </c>
      <c r="D15" s="126">
        <v>89500</v>
      </c>
      <c r="E15" s="192">
        <v>88940</v>
      </c>
      <c r="F15" s="158">
        <f>IF(OR(D15="", E15=""),"", (E15-D15)/D15)</f>
        <v>-6.2569832402234633E-3</v>
      </c>
      <c r="G15" s="158">
        <f t="shared" si="1"/>
        <v>2.2298850574712644E-2</v>
      </c>
      <c r="I15" s="265"/>
      <c r="J15" s="265"/>
    </row>
    <row r="16" spans="2:11" ht="30" customHeight="1" x14ac:dyDescent="0.3">
      <c r="B16" s="127" t="s">
        <v>28</v>
      </c>
      <c r="C16" s="192">
        <v>10530</v>
      </c>
      <c r="D16" s="126">
        <v>10385</v>
      </c>
      <c r="E16" s="192">
        <v>9805</v>
      </c>
      <c r="F16" s="151">
        <f t="shared" si="0"/>
        <v>-5.5849783341357727E-2</v>
      </c>
      <c r="G16" s="151">
        <f t="shared" si="1"/>
        <v>-6.8850902184235521E-2</v>
      </c>
      <c r="I16" s="265"/>
      <c r="J16" s="265"/>
    </row>
    <row r="17" spans="2:13" ht="30" customHeight="1" x14ac:dyDescent="0.3">
      <c r="B17" s="128" t="s">
        <v>29</v>
      </c>
      <c r="C17" s="193">
        <v>5945</v>
      </c>
      <c r="D17" s="125">
        <v>6000</v>
      </c>
      <c r="E17" s="193">
        <v>6000</v>
      </c>
      <c r="F17" s="159">
        <f t="shared" si="0"/>
        <v>0</v>
      </c>
      <c r="G17" s="159">
        <f t="shared" si="1"/>
        <v>9.2514718250630776E-3</v>
      </c>
      <c r="I17" s="265"/>
      <c r="J17" s="265"/>
    </row>
    <row r="18" spans="2:13" ht="30" customHeight="1" x14ac:dyDescent="0.3">
      <c r="B18" s="127" t="s">
        <v>30</v>
      </c>
      <c r="C18" s="192">
        <v>5000</v>
      </c>
      <c r="D18" s="126">
        <v>5000</v>
      </c>
      <c r="E18" s="192">
        <v>5350</v>
      </c>
      <c r="F18" s="151">
        <f t="shared" si="0"/>
        <v>7.0000000000000007E-2</v>
      </c>
      <c r="G18" s="151">
        <f t="shared" si="1"/>
        <v>7.0000000000000007E-2</v>
      </c>
      <c r="I18" s="265"/>
      <c r="J18" s="265"/>
    </row>
    <row r="19" spans="2:13" ht="30" customHeight="1" thickBot="1" x14ac:dyDescent="0.35">
      <c r="B19" s="132" t="s">
        <v>31</v>
      </c>
      <c r="C19" s="195">
        <v>535</v>
      </c>
      <c r="D19" s="194">
        <v>575</v>
      </c>
      <c r="E19" s="195">
        <v>580</v>
      </c>
      <c r="F19" s="160">
        <f t="shared" si="0"/>
        <v>8.6956521739130436E-3</v>
      </c>
      <c r="G19" s="160">
        <f t="shared" si="1"/>
        <v>8.4112149532710276E-2</v>
      </c>
      <c r="I19" s="265"/>
      <c r="J19" s="265"/>
    </row>
    <row r="20" spans="2:13" ht="57" customHeight="1" thickBot="1" x14ac:dyDescent="0.35">
      <c r="B20" s="174" t="s">
        <v>91</v>
      </c>
      <c r="C20" s="208">
        <v>531.47</v>
      </c>
      <c r="D20" s="208">
        <v>513.54999999999995</v>
      </c>
      <c r="E20" s="209">
        <v>511.79</v>
      </c>
      <c r="F20" s="267">
        <f>IF(OR(D20="", E20=""),"", (E20-D20)/D20)</f>
        <v>-3.4271249148085567E-3</v>
      </c>
      <c r="G20" s="267">
        <f>+IF(OR(C20="", E20=""),"", (E20-C20)/C20)</f>
        <v>-3.7029371366210713E-2</v>
      </c>
      <c r="I20" s="265"/>
      <c r="J20" s="265"/>
    </row>
    <row r="21" spans="2:13" ht="30" customHeight="1" x14ac:dyDescent="0.3">
      <c r="B21" s="129" t="s">
        <v>33</v>
      </c>
      <c r="C21" s="197">
        <v>1700</v>
      </c>
      <c r="D21" s="196">
        <v>1695</v>
      </c>
      <c r="E21" s="197">
        <v>1690</v>
      </c>
      <c r="F21" s="150">
        <f t="shared" si="0"/>
        <v>-2.9498525073746312E-3</v>
      </c>
      <c r="G21" s="150">
        <f t="shared" si="1"/>
        <v>-5.8823529411764705E-3</v>
      </c>
      <c r="I21" s="265"/>
      <c r="J21" s="265"/>
    </row>
    <row r="22" spans="2:13" ht="30" customHeight="1" x14ac:dyDescent="0.3">
      <c r="B22" s="131" t="s">
        <v>34</v>
      </c>
      <c r="C22" s="192">
        <v>2280</v>
      </c>
      <c r="D22" s="126">
        <v>2150</v>
      </c>
      <c r="E22" s="192">
        <v>2280</v>
      </c>
      <c r="F22" s="151">
        <f t="shared" si="0"/>
        <v>6.0465116279069767E-2</v>
      </c>
      <c r="G22" s="151">
        <f t="shared" si="1"/>
        <v>0</v>
      </c>
      <c r="I22" s="265"/>
      <c r="J22" s="265"/>
    </row>
    <row r="23" spans="2:13" ht="30" customHeight="1" x14ac:dyDescent="0.3">
      <c r="B23" s="131" t="s">
        <v>116</v>
      </c>
      <c r="C23" s="124">
        <v>10900</v>
      </c>
      <c r="D23" s="126">
        <v>10800</v>
      </c>
      <c r="E23" s="124">
        <v>10660</v>
      </c>
      <c r="F23" s="151">
        <f>IF(OR(D23="", E23=""),"", (E23-D23)/D23)</f>
        <v>-1.2962962962962963E-2</v>
      </c>
      <c r="G23" s="151">
        <f>+IF(OR(C23="", E23=""),"", (E23-C23)/C23)</f>
        <v>-2.2018348623853212E-2</v>
      </c>
      <c r="I23" s="265"/>
      <c r="J23" s="265"/>
    </row>
    <row r="24" spans="2:13" ht="30" customHeight="1" x14ac:dyDescent="0.3">
      <c r="B24" s="131" t="s">
        <v>35</v>
      </c>
      <c r="C24" s="192">
        <v>4770</v>
      </c>
      <c r="D24" s="126">
        <v>4360</v>
      </c>
      <c r="E24" s="192">
        <v>4380</v>
      </c>
      <c r="F24" s="151">
        <f t="shared" si="0"/>
        <v>4.5871559633027525E-3</v>
      </c>
      <c r="G24" s="151">
        <f t="shared" si="1"/>
        <v>-8.1761006289308172E-2</v>
      </c>
      <c r="I24" s="265"/>
      <c r="J24" s="265"/>
    </row>
    <row r="25" spans="2:13" ht="30" customHeight="1" thickBot="1" x14ac:dyDescent="0.35">
      <c r="B25" s="132" t="s">
        <v>37</v>
      </c>
      <c r="C25" s="195">
        <v>17980</v>
      </c>
      <c r="D25" s="194">
        <v>17000</v>
      </c>
      <c r="E25" s="195">
        <v>17000</v>
      </c>
      <c r="F25" s="152">
        <f t="shared" si="0"/>
        <v>0</v>
      </c>
      <c r="G25" s="152">
        <f t="shared" si="1"/>
        <v>-5.4505005561735265E-2</v>
      </c>
      <c r="I25" s="265"/>
      <c r="J25" s="265"/>
    </row>
    <row r="26" spans="2:13" ht="60" customHeight="1" thickBot="1" x14ac:dyDescent="0.35">
      <c r="B26" s="175" t="s">
        <v>92</v>
      </c>
      <c r="C26" s="210">
        <v>86.42</v>
      </c>
      <c r="D26" s="210">
        <v>85.49</v>
      </c>
      <c r="E26" s="210">
        <v>84.37</v>
      </c>
      <c r="F26" s="268">
        <f>IF(OR(D26="", E26=""),"", (E26-D26)/D26)</f>
        <v>-1.3100947479237226E-2</v>
      </c>
      <c r="G26" s="268">
        <f>+IF(OR(C26="", E26=""),"", (E26-C26)/C26)</f>
        <v>-2.3721360796111979E-2</v>
      </c>
      <c r="I26" s="265"/>
      <c r="J26" s="265"/>
      <c r="L26" s="277"/>
    </row>
    <row r="27" spans="2:13" ht="30" customHeight="1" x14ac:dyDescent="0.3">
      <c r="B27" s="129" t="s">
        <v>39</v>
      </c>
      <c r="C27" s="197">
        <v>7490</v>
      </c>
      <c r="D27" s="196">
        <v>7395</v>
      </c>
      <c r="E27" s="197">
        <v>7480</v>
      </c>
      <c r="F27" s="150">
        <f t="shared" si="0"/>
        <v>1.1494252873563218E-2</v>
      </c>
      <c r="G27" s="150">
        <f>+IF(OR(C27="", E27=""),"", (E27-C27)/C27)</f>
        <v>-1.3351134846461949E-3</v>
      </c>
      <c r="I27" s="265"/>
      <c r="J27" s="265"/>
      <c r="K27" s="273"/>
      <c r="L27" s="273"/>
      <c r="M27" s="266"/>
    </row>
    <row r="28" spans="2:13" ht="30" customHeight="1" x14ac:dyDescent="0.3">
      <c r="B28" s="131" t="s">
        <v>40</v>
      </c>
      <c r="C28" s="192">
        <v>6360</v>
      </c>
      <c r="D28" s="126">
        <v>6450</v>
      </c>
      <c r="E28" s="192">
        <v>6550</v>
      </c>
      <c r="F28" s="151">
        <f t="shared" si="0"/>
        <v>1.5503875968992248E-2</v>
      </c>
      <c r="G28" s="151">
        <f t="shared" si="1"/>
        <v>2.9874213836477988E-2</v>
      </c>
      <c r="I28" s="265"/>
      <c r="J28" s="265"/>
      <c r="K28" s="273"/>
      <c r="L28" s="273"/>
      <c r="M28" s="266"/>
    </row>
    <row r="29" spans="2:13" ht="30" customHeight="1" x14ac:dyDescent="0.3">
      <c r="B29" s="131" t="s">
        <v>41</v>
      </c>
      <c r="C29" s="192">
        <v>6980</v>
      </c>
      <c r="D29" s="126">
        <v>7200</v>
      </c>
      <c r="E29" s="192">
        <v>6900</v>
      </c>
      <c r="F29" s="151">
        <f>IF(OR(D29="", E29=""),"", (E29-D29)/D29)</f>
        <v>-4.1666666666666664E-2</v>
      </c>
      <c r="G29" s="151">
        <f t="shared" si="1"/>
        <v>-1.1461318051575931E-2</v>
      </c>
      <c r="I29" s="265"/>
      <c r="J29" s="265"/>
      <c r="K29" s="273"/>
      <c r="L29" s="273"/>
      <c r="M29" s="266"/>
    </row>
    <row r="30" spans="2:13" ht="30" customHeight="1" x14ac:dyDescent="0.3">
      <c r="B30" s="131" t="s">
        <v>42</v>
      </c>
      <c r="C30" s="192">
        <v>6895</v>
      </c>
      <c r="D30" s="126">
        <v>6850</v>
      </c>
      <c r="E30" s="192">
        <v>6950</v>
      </c>
      <c r="F30" s="151">
        <f t="shared" si="0"/>
        <v>1.4598540145985401E-2</v>
      </c>
      <c r="G30" s="151">
        <f t="shared" si="1"/>
        <v>7.9767947788252358E-3</v>
      </c>
      <c r="I30" s="265"/>
      <c r="J30" s="265"/>
      <c r="K30" s="273"/>
      <c r="L30" s="273"/>
      <c r="M30" s="266"/>
    </row>
    <row r="31" spans="2:13" ht="30" customHeight="1" x14ac:dyDescent="0.3">
      <c r="B31" s="131" t="s">
        <v>43</v>
      </c>
      <c r="C31" s="192">
        <v>1475</v>
      </c>
      <c r="D31" s="126">
        <v>1470</v>
      </c>
      <c r="E31" s="192">
        <v>1375</v>
      </c>
      <c r="F31" s="151">
        <f t="shared" si="0"/>
        <v>-6.4625850340136057E-2</v>
      </c>
      <c r="G31" s="151">
        <f t="shared" si="1"/>
        <v>-6.7796610169491525E-2</v>
      </c>
      <c r="I31" s="265"/>
      <c r="J31" s="265"/>
      <c r="K31" s="273"/>
      <c r="L31" s="273"/>
      <c r="M31" s="266"/>
    </row>
    <row r="32" spans="2:13" ht="30" customHeight="1" x14ac:dyDescent="0.3">
      <c r="B32" s="131" t="s">
        <v>44</v>
      </c>
      <c r="C32" s="192">
        <v>5390</v>
      </c>
      <c r="D32" s="126">
        <v>5320</v>
      </c>
      <c r="E32" s="192">
        <v>5280</v>
      </c>
      <c r="F32" s="151">
        <f t="shared" si="0"/>
        <v>-7.5187969924812026E-3</v>
      </c>
      <c r="G32" s="151">
        <f t="shared" si="1"/>
        <v>-2.0408163265306121E-2</v>
      </c>
      <c r="I32" s="265"/>
      <c r="J32" s="265"/>
      <c r="K32" s="273"/>
      <c r="L32" s="273"/>
      <c r="M32" s="266"/>
    </row>
    <row r="33" spans="2:13" ht="30" customHeight="1" x14ac:dyDescent="0.3">
      <c r="B33" s="131" t="s">
        <v>45</v>
      </c>
      <c r="C33" s="192">
        <v>3200</v>
      </c>
      <c r="D33" s="126">
        <v>3165</v>
      </c>
      <c r="E33" s="192">
        <v>3165</v>
      </c>
      <c r="F33" s="151">
        <f t="shared" si="0"/>
        <v>0</v>
      </c>
      <c r="G33" s="151">
        <f t="shared" si="1"/>
        <v>-1.0937499999999999E-2</v>
      </c>
      <c r="I33" s="282"/>
      <c r="J33" s="282"/>
      <c r="K33" s="273"/>
      <c r="L33" s="273"/>
      <c r="M33" s="266"/>
    </row>
    <row r="34" spans="2:13" ht="30" customHeight="1" x14ac:dyDescent="0.3">
      <c r="B34" s="131" t="s">
        <v>46</v>
      </c>
      <c r="C34" s="192">
        <v>9300</v>
      </c>
      <c r="D34" s="126">
        <v>9450</v>
      </c>
      <c r="E34" s="192">
        <v>8950</v>
      </c>
      <c r="F34" s="151">
        <f t="shared" si="0"/>
        <v>-5.2910052910052907E-2</v>
      </c>
      <c r="G34" s="151">
        <f t="shared" si="1"/>
        <v>-3.7634408602150539E-2</v>
      </c>
      <c r="I34" s="282"/>
      <c r="J34" s="282"/>
      <c r="K34" s="273"/>
      <c r="L34" s="273"/>
      <c r="M34" s="266"/>
    </row>
    <row r="35" spans="2:13" ht="30" customHeight="1" x14ac:dyDescent="0.3">
      <c r="B35" s="131" t="s">
        <v>47</v>
      </c>
      <c r="C35" s="192">
        <v>6800</v>
      </c>
      <c r="D35" s="126">
        <v>6800</v>
      </c>
      <c r="E35" s="192">
        <v>6800</v>
      </c>
      <c r="F35" s="151">
        <f t="shared" si="0"/>
        <v>0</v>
      </c>
      <c r="G35" s="151">
        <f t="shared" si="1"/>
        <v>0</v>
      </c>
      <c r="I35" s="265"/>
      <c r="J35" s="265"/>
      <c r="K35" s="273"/>
      <c r="L35" s="273"/>
      <c r="M35" s="266"/>
    </row>
    <row r="36" spans="2:13" ht="30" customHeight="1" x14ac:dyDescent="0.3">
      <c r="B36" s="131" t="s">
        <v>48</v>
      </c>
      <c r="C36" s="192">
        <v>19</v>
      </c>
      <c r="D36" s="126">
        <v>18</v>
      </c>
      <c r="E36" s="192">
        <v>18</v>
      </c>
      <c r="F36" s="151">
        <f t="shared" si="0"/>
        <v>0</v>
      </c>
      <c r="G36" s="151">
        <f t="shared" si="1"/>
        <v>-5.2631578947368418E-2</v>
      </c>
      <c r="I36" s="265"/>
      <c r="J36" s="265"/>
      <c r="K36" s="265"/>
      <c r="L36" s="265"/>
      <c r="M36" s="266"/>
    </row>
    <row r="37" spans="2:13" ht="30" customHeight="1" x14ac:dyDescent="0.3">
      <c r="B37" s="131" t="s">
        <v>49</v>
      </c>
      <c r="C37" s="192">
        <v>6000</v>
      </c>
      <c r="D37" s="126">
        <v>5750</v>
      </c>
      <c r="E37" s="192">
        <v>5585</v>
      </c>
      <c r="F37" s="151">
        <f t="shared" si="0"/>
        <v>-2.8695652173913042E-2</v>
      </c>
      <c r="G37" s="151">
        <f t="shared" si="1"/>
        <v>-6.9166666666666668E-2</v>
      </c>
      <c r="I37" s="265"/>
      <c r="J37" s="265"/>
      <c r="K37" s="273"/>
      <c r="L37" s="273"/>
      <c r="M37" s="266"/>
    </row>
    <row r="38" spans="2:13" ht="30" customHeight="1" x14ac:dyDescent="0.3">
      <c r="B38" s="131" t="s">
        <v>50</v>
      </c>
      <c r="C38" s="192">
        <v>2640</v>
      </c>
      <c r="D38" s="126">
        <v>2525</v>
      </c>
      <c r="E38" s="192">
        <v>2250</v>
      </c>
      <c r="F38" s="151">
        <f t="shared" si="0"/>
        <v>-0.10891089108910891</v>
      </c>
      <c r="G38" s="151">
        <f t="shared" si="1"/>
        <v>-0.14772727272727273</v>
      </c>
      <c r="I38" s="265"/>
      <c r="J38" s="265"/>
      <c r="K38" s="273"/>
      <c r="L38" s="273"/>
      <c r="M38" s="266"/>
    </row>
    <row r="39" spans="2:13" ht="30" customHeight="1" x14ac:dyDescent="0.3">
      <c r="B39" s="131" t="s">
        <v>51</v>
      </c>
      <c r="C39" s="192">
        <v>1295</v>
      </c>
      <c r="D39" s="126">
        <v>1145</v>
      </c>
      <c r="E39" s="192">
        <v>1145</v>
      </c>
      <c r="F39" s="151">
        <f t="shared" si="0"/>
        <v>0</v>
      </c>
      <c r="G39" s="151">
        <f t="shared" si="1"/>
        <v>-0.11583011583011583</v>
      </c>
      <c r="I39" s="265"/>
      <c r="J39" s="265"/>
      <c r="K39" s="273"/>
      <c r="L39" s="273"/>
      <c r="M39" s="266"/>
    </row>
    <row r="40" spans="2:13" ht="30" customHeight="1" x14ac:dyDescent="0.3">
      <c r="B40" s="131" t="s">
        <v>52</v>
      </c>
      <c r="C40" s="192">
        <v>16050</v>
      </c>
      <c r="D40" s="126">
        <v>16000</v>
      </c>
      <c r="E40" s="192">
        <v>16200</v>
      </c>
      <c r="F40" s="151">
        <f t="shared" si="0"/>
        <v>1.2500000000000001E-2</v>
      </c>
      <c r="G40" s="151">
        <f t="shared" si="1"/>
        <v>9.3457943925233638E-3</v>
      </c>
      <c r="I40" s="265"/>
      <c r="J40" s="265"/>
    </row>
    <row r="41" spans="2:13" ht="30" customHeight="1" thickBot="1" x14ac:dyDescent="0.35">
      <c r="B41" s="131" t="s">
        <v>53</v>
      </c>
      <c r="C41" s="192">
        <v>5350</v>
      </c>
      <c r="D41" s="126">
        <v>5300</v>
      </c>
      <c r="E41" s="192">
        <v>5290</v>
      </c>
      <c r="F41" s="151">
        <f t="shared" ref="F41:F46" si="2">IF(OR(D41="", E41=""),"", (E41-D41)/D41)</f>
        <v>-1.8867924528301887E-3</v>
      </c>
      <c r="G41" s="151">
        <f t="shared" si="1"/>
        <v>-1.1214953271028037E-2</v>
      </c>
      <c r="I41" s="265"/>
      <c r="J41" s="265"/>
    </row>
    <row r="42" spans="2:13" ht="57.9" customHeight="1" thickBot="1" x14ac:dyDescent="0.35">
      <c r="B42" s="176" t="s">
        <v>93</v>
      </c>
      <c r="C42" s="211">
        <v>330.96</v>
      </c>
      <c r="D42" s="211">
        <v>342.9</v>
      </c>
      <c r="E42" s="212">
        <v>341.7</v>
      </c>
      <c r="F42" s="269">
        <f t="shared" si="2"/>
        <v>-3.4995625546806321E-3</v>
      </c>
      <c r="G42" s="269">
        <f>+IF(OR(C42="", E42=""),"", (E42-C42)/C42)</f>
        <v>3.245105148658451E-2</v>
      </c>
      <c r="I42" s="265"/>
      <c r="J42" s="265"/>
    </row>
    <row r="43" spans="2:13" ht="30" customHeight="1" x14ac:dyDescent="0.3">
      <c r="B43" s="131" t="s">
        <v>55</v>
      </c>
      <c r="C43" s="192">
        <v>1350</v>
      </c>
      <c r="D43" s="126">
        <v>1400</v>
      </c>
      <c r="E43" s="192">
        <v>1395</v>
      </c>
      <c r="F43" s="158">
        <f t="shared" si="2"/>
        <v>-3.5714285714285713E-3</v>
      </c>
      <c r="G43" s="158">
        <f t="shared" si="1"/>
        <v>3.3333333333333333E-2</v>
      </c>
      <c r="I43" s="265"/>
      <c r="J43" s="265"/>
    </row>
    <row r="44" spans="2:13" ht="30" customHeight="1" thickBot="1" x14ac:dyDescent="0.35">
      <c r="B44" s="131" t="s">
        <v>56</v>
      </c>
      <c r="C44" s="126"/>
      <c r="D44" s="126"/>
      <c r="E44" s="126"/>
      <c r="F44" s="151" t="str">
        <f t="shared" si="2"/>
        <v/>
      </c>
      <c r="G44" s="151" t="str">
        <f>+IF(OR(C44="", E44=""),"", (E44-C44)/C44)</f>
        <v/>
      </c>
      <c r="I44" s="265"/>
      <c r="J44" s="265"/>
    </row>
    <row r="45" spans="2:13" ht="62.1" customHeight="1" thickBot="1" x14ac:dyDescent="0.35">
      <c r="B45" s="177" t="s">
        <v>94</v>
      </c>
      <c r="C45" s="213">
        <v>161.56</v>
      </c>
      <c r="D45" s="213">
        <v>162.36000000000001</v>
      </c>
      <c r="E45" s="214">
        <v>158.05000000000001</v>
      </c>
      <c r="F45" s="270">
        <f t="shared" si="2"/>
        <v>-2.6545947277654608E-2</v>
      </c>
      <c r="G45" s="270">
        <f>+IF(OR(C45="", E45=""),"", (E45-C45)/C45)</f>
        <v>-2.1725674671948445E-2</v>
      </c>
      <c r="I45" s="265"/>
      <c r="J45" s="265"/>
    </row>
    <row r="46" spans="2:13" ht="30" customHeight="1" x14ac:dyDescent="0.3">
      <c r="B46" s="140" t="s">
        <v>58</v>
      </c>
      <c r="C46" s="199">
        <v>6750</v>
      </c>
      <c r="D46" s="198">
        <v>6885</v>
      </c>
      <c r="E46" s="199">
        <v>6790</v>
      </c>
      <c r="F46" s="153">
        <f t="shared" si="2"/>
        <v>-1.3798111837327523E-2</v>
      </c>
      <c r="G46" s="153">
        <f t="shared" si="1"/>
        <v>5.9259259259259256E-3</v>
      </c>
      <c r="I46" s="265"/>
      <c r="J46" s="265"/>
    </row>
    <row r="47" spans="2:13" ht="30" customHeight="1" x14ac:dyDescent="0.3">
      <c r="B47" s="131" t="s">
        <v>59</v>
      </c>
      <c r="C47" s="192">
        <v>475</v>
      </c>
      <c r="D47" s="126">
        <v>450</v>
      </c>
      <c r="E47" s="192">
        <v>440</v>
      </c>
      <c r="F47" s="151">
        <f t="shared" ref="F47:F60" si="3">IF(OR(D47="", E47=""),"", (E47-D47)/D47)</f>
        <v>-2.2222222222222223E-2</v>
      </c>
      <c r="G47" s="151">
        <f t="shared" si="1"/>
        <v>-7.3684210526315783E-2</v>
      </c>
      <c r="I47" s="265"/>
      <c r="J47" s="265"/>
    </row>
    <row r="48" spans="2:13" ht="30" customHeight="1" x14ac:dyDescent="0.3">
      <c r="B48" s="142" t="s">
        <v>60</v>
      </c>
      <c r="C48" s="201">
        <v>3025</v>
      </c>
      <c r="D48" s="200">
        <v>3260</v>
      </c>
      <c r="E48" s="201">
        <v>3400</v>
      </c>
      <c r="F48" s="154">
        <f t="shared" si="3"/>
        <v>4.2944785276073622E-2</v>
      </c>
      <c r="G48" s="154">
        <f t="shared" si="1"/>
        <v>0.12396694214876033</v>
      </c>
      <c r="I48" s="265"/>
      <c r="J48" s="265"/>
    </row>
    <row r="49" spans="2:10" ht="30" customHeight="1" x14ac:dyDescent="0.3">
      <c r="B49" s="131" t="s">
        <v>61</v>
      </c>
      <c r="C49" s="192">
        <v>3270</v>
      </c>
      <c r="D49" s="126">
        <v>3240</v>
      </c>
      <c r="E49" s="192">
        <v>3080</v>
      </c>
      <c r="F49" s="151">
        <f t="shared" si="3"/>
        <v>-4.9382716049382713E-2</v>
      </c>
      <c r="G49" s="151">
        <f t="shared" si="1"/>
        <v>-5.8103975535168197E-2</v>
      </c>
      <c r="I49" s="265"/>
      <c r="J49" s="265"/>
    </row>
    <row r="50" spans="2:10" ht="30" customHeight="1" thickBot="1" x14ac:dyDescent="0.35">
      <c r="B50" s="144" t="s">
        <v>62</v>
      </c>
      <c r="C50" s="203">
        <v>2350</v>
      </c>
      <c r="D50" s="202">
        <v>2355</v>
      </c>
      <c r="E50" s="203">
        <v>2295</v>
      </c>
      <c r="F50" s="155">
        <f t="shared" si="3"/>
        <v>-2.5477707006369428E-2</v>
      </c>
      <c r="G50" s="155">
        <f t="shared" si="1"/>
        <v>-2.3404255319148935E-2</v>
      </c>
      <c r="I50" s="265"/>
      <c r="J50" s="265"/>
    </row>
    <row r="51" spans="2:10" ht="66" customHeight="1" thickBot="1" x14ac:dyDescent="0.35">
      <c r="B51" s="178" t="s">
        <v>95</v>
      </c>
      <c r="C51" s="215">
        <v>328.21</v>
      </c>
      <c r="D51" s="215">
        <v>306.89999999999998</v>
      </c>
      <c r="E51" s="216">
        <v>312.52999999999997</v>
      </c>
      <c r="F51" s="271">
        <f>IF(OR(D51="", E51=""),"", (E51-D51)/D51)</f>
        <v>1.8344737699576397E-2</v>
      </c>
      <c r="G51" s="271">
        <f>+IF(OR(C51="", E51=""),"", (E51-C51)/C51)</f>
        <v>-4.7774290850370216E-2</v>
      </c>
      <c r="I51" s="265"/>
      <c r="J51" s="265"/>
    </row>
    <row r="52" spans="2:10" ht="30" customHeight="1" x14ac:dyDescent="0.3">
      <c r="B52" s="129" t="s">
        <v>64</v>
      </c>
      <c r="C52" s="197">
        <v>1330</v>
      </c>
      <c r="D52" s="196">
        <v>1300</v>
      </c>
      <c r="E52" s="197">
        <v>1400</v>
      </c>
      <c r="F52" s="156">
        <f t="shared" si="3"/>
        <v>7.6923076923076927E-2</v>
      </c>
      <c r="G52" s="156">
        <f t="shared" si="1"/>
        <v>5.2631578947368418E-2</v>
      </c>
      <c r="I52" s="265"/>
      <c r="J52" s="265"/>
    </row>
    <row r="53" spans="2:10" ht="30" customHeight="1" x14ac:dyDescent="0.3">
      <c r="B53" s="131" t="s">
        <v>65</v>
      </c>
      <c r="C53" s="192">
        <v>1000</v>
      </c>
      <c r="D53" s="126">
        <v>1160</v>
      </c>
      <c r="E53" s="192">
        <v>1395</v>
      </c>
      <c r="F53" s="151">
        <f t="shared" si="3"/>
        <v>0.20258620689655171</v>
      </c>
      <c r="G53" s="151">
        <f t="shared" si="1"/>
        <v>0.39500000000000002</v>
      </c>
      <c r="I53" s="265"/>
      <c r="J53" s="265"/>
    </row>
    <row r="54" spans="2:10" ht="30" customHeight="1" x14ac:dyDescent="0.3">
      <c r="B54" s="131" t="s">
        <v>66</v>
      </c>
      <c r="C54" s="192">
        <v>840</v>
      </c>
      <c r="D54" s="126">
        <v>750</v>
      </c>
      <c r="E54" s="192">
        <v>750</v>
      </c>
      <c r="F54" s="151">
        <f t="shared" si="3"/>
        <v>0</v>
      </c>
      <c r="G54" s="151">
        <f t="shared" si="1"/>
        <v>-0.10714285714285714</v>
      </c>
    </row>
    <row r="55" spans="2:10" ht="30" customHeight="1" x14ac:dyDescent="0.3">
      <c r="B55" s="131" t="s">
        <v>67</v>
      </c>
      <c r="C55" s="192">
        <v>1900</v>
      </c>
      <c r="D55" s="126">
        <v>2135</v>
      </c>
      <c r="E55" s="192">
        <v>1760</v>
      </c>
      <c r="F55" s="151">
        <f t="shared" si="3"/>
        <v>-0.1756440281030445</v>
      </c>
      <c r="G55" s="151">
        <f t="shared" si="1"/>
        <v>-7.3684210526315783E-2</v>
      </c>
    </row>
    <row r="56" spans="2:10" ht="30" customHeight="1" x14ac:dyDescent="0.3">
      <c r="B56" s="131" t="s">
        <v>68</v>
      </c>
      <c r="C56" s="192">
        <v>790</v>
      </c>
      <c r="D56" s="126">
        <v>755</v>
      </c>
      <c r="E56" s="192">
        <v>795</v>
      </c>
      <c r="F56" s="151">
        <f t="shared" si="3"/>
        <v>5.2980132450331126E-2</v>
      </c>
      <c r="G56" s="151">
        <f t="shared" si="1"/>
        <v>6.3291139240506328E-3</v>
      </c>
    </row>
    <row r="57" spans="2:10" ht="30" customHeight="1" x14ac:dyDescent="0.3">
      <c r="B57" s="131" t="s">
        <v>69</v>
      </c>
      <c r="C57" s="192">
        <v>1800</v>
      </c>
      <c r="D57" s="126">
        <v>1645</v>
      </c>
      <c r="E57" s="192">
        <v>1800</v>
      </c>
      <c r="F57" s="151">
        <f t="shared" si="3"/>
        <v>9.4224924012158054E-2</v>
      </c>
      <c r="G57" s="151">
        <f t="shared" si="1"/>
        <v>0</v>
      </c>
    </row>
    <row r="58" spans="2:10" ht="30" customHeight="1" thickBot="1" x14ac:dyDescent="0.35">
      <c r="B58" s="132" t="s">
        <v>70</v>
      </c>
      <c r="C58" s="195">
        <v>2500</v>
      </c>
      <c r="D58" s="194">
        <v>2400</v>
      </c>
      <c r="E58" s="195">
        <v>2290</v>
      </c>
      <c r="F58" s="152">
        <f t="shared" si="3"/>
        <v>-4.583333333333333E-2</v>
      </c>
      <c r="G58" s="152">
        <f>+IF(OR(C58="", E58=""),"", (E58-C58)/C58)</f>
        <v>-8.4000000000000005E-2</v>
      </c>
    </row>
    <row r="59" spans="2:10" ht="68.099999999999994" customHeight="1" thickBot="1" x14ac:dyDescent="0.35">
      <c r="B59" s="179" t="s">
        <v>71</v>
      </c>
      <c r="C59" s="217">
        <v>1110.49</v>
      </c>
      <c r="D59" s="217">
        <v>1098.1600000000001</v>
      </c>
      <c r="E59" s="218">
        <v>1091.99</v>
      </c>
      <c r="F59" s="272">
        <f>IF(OR(D59="", E59=""),"", (E59-D59)/D59)</f>
        <v>-5.6184891090552127E-3</v>
      </c>
      <c r="G59" s="272">
        <f>+IF(OR(C59="", E59=""),"", (E59-C59)/C59)</f>
        <v>-1.6659312555718647E-2</v>
      </c>
    </row>
    <row r="60" spans="2:10" ht="30" customHeight="1" thickBot="1" x14ac:dyDescent="0.35">
      <c r="B60" s="136" t="s">
        <v>72</v>
      </c>
      <c r="C60" s="205">
        <v>900</v>
      </c>
      <c r="D60" s="204">
        <v>890</v>
      </c>
      <c r="E60" s="205">
        <v>885</v>
      </c>
      <c r="F60" s="157">
        <f t="shared" si="3"/>
        <v>-5.6179775280898875E-3</v>
      </c>
      <c r="G60" s="157">
        <f t="shared" si="1"/>
        <v>-1.6666666666666666E-2</v>
      </c>
    </row>
    <row r="61" spans="2:10" ht="15" customHeight="1" x14ac:dyDescent="0.3">
      <c r="B61" s="34"/>
      <c r="C61" s="186"/>
      <c r="D61" s="189"/>
      <c r="E61" s="189"/>
      <c r="F61" s="2"/>
      <c r="G61" s="2"/>
    </row>
    <row r="62" spans="2:10" x14ac:dyDescent="0.3">
      <c r="B62" s="35"/>
      <c r="C62" s="188"/>
      <c r="D62" s="189"/>
      <c r="E62" s="189"/>
      <c r="F62" s="2"/>
      <c r="G62" s="2"/>
    </row>
    <row r="63" spans="2:10" x14ac:dyDescent="0.3">
      <c r="B63" s="2"/>
      <c r="C63" s="189"/>
      <c r="D63" s="189"/>
      <c r="E63" s="189"/>
      <c r="F63" s="2"/>
      <c r="G63" s="2"/>
    </row>
    <row r="64" spans="2:10" x14ac:dyDescent="0.3">
      <c r="B64" s="36"/>
      <c r="C64" s="190"/>
      <c r="D64" s="189"/>
      <c r="E64" s="189"/>
      <c r="F64" s="2"/>
      <c r="G64" s="2"/>
    </row>
    <row r="65" spans="2:7" x14ac:dyDescent="0.3">
      <c r="B65" s="36"/>
      <c r="C65" s="190"/>
      <c r="D65" s="189"/>
      <c r="E65" s="189"/>
      <c r="F65" s="2"/>
      <c r="G65" s="2"/>
    </row>
    <row r="66" spans="2:7" x14ac:dyDescent="0.3">
      <c r="B66" s="36"/>
      <c r="C66" s="190"/>
      <c r="D66" s="189"/>
      <c r="E66" s="189"/>
      <c r="F66" s="2"/>
      <c r="G66" s="2"/>
    </row>
    <row r="67" spans="2:7" x14ac:dyDescent="0.3">
      <c r="B67" s="36"/>
      <c r="C67" s="190"/>
      <c r="D67" s="189"/>
      <c r="E67" s="189"/>
      <c r="F67" s="2"/>
      <c r="G67" s="2"/>
    </row>
    <row r="68" spans="2:7" x14ac:dyDescent="0.3">
      <c r="B68" s="36"/>
      <c r="C68" s="190"/>
      <c r="D68" s="189"/>
      <c r="E68" s="189"/>
      <c r="F68" s="2"/>
      <c r="G68" s="2"/>
    </row>
    <row r="69" spans="2:7" x14ac:dyDescent="0.3">
      <c r="B69" s="36"/>
      <c r="C69" s="190"/>
      <c r="D69" s="189"/>
      <c r="E69" s="189"/>
      <c r="F69" s="2"/>
      <c r="G69" s="2"/>
    </row>
    <row r="70" spans="2:7" x14ac:dyDescent="0.3">
      <c r="B70" s="36"/>
      <c r="C70" s="190"/>
      <c r="D70" s="189"/>
      <c r="E70" s="189"/>
      <c r="F70" s="2"/>
      <c r="G70" s="2"/>
    </row>
    <row r="71" spans="2:7" x14ac:dyDescent="0.3">
      <c r="B71" s="36"/>
      <c r="C71" s="190"/>
      <c r="D71" s="189"/>
      <c r="E71" s="189"/>
      <c r="F71" s="2"/>
      <c r="G71" s="2"/>
    </row>
    <row r="72" spans="2:7" x14ac:dyDescent="0.3">
      <c r="B72" s="36"/>
      <c r="C72" s="190"/>
      <c r="D72" s="189"/>
      <c r="E72" s="189"/>
      <c r="F72" s="2"/>
      <c r="G72" s="2"/>
    </row>
    <row r="73" spans="2:7" x14ac:dyDescent="0.3">
      <c r="B73" s="36"/>
      <c r="C73" s="190"/>
      <c r="D73" s="189"/>
      <c r="E73" s="189"/>
      <c r="F73" s="2"/>
      <c r="G73" s="2"/>
    </row>
    <row r="74" spans="2:7" x14ac:dyDescent="0.3">
      <c r="B74" s="36"/>
      <c r="C74" s="190"/>
      <c r="D74" s="189"/>
      <c r="E74" s="189"/>
      <c r="F74" s="2"/>
      <c r="G74" s="2"/>
    </row>
    <row r="75" spans="2:7" x14ac:dyDescent="0.3">
      <c r="B75" s="36"/>
      <c r="C75" s="190"/>
      <c r="D75" s="189"/>
      <c r="E75" s="189"/>
      <c r="F75" s="2"/>
      <c r="G75" s="2"/>
    </row>
    <row r="76" spans="2:7" x14ac:dyDescent="0.3">
      <c r="B76" s="36"/>
      <c r="C76" s="190"/>
      <c r="D76" s="189"/>
      <c r="E76" s="189"/>
      <c r="F76" s="2"/>
      <c r="G76" s="2"/>
    </row>
    <row r="77" spans="2:7" x14ac:dyDescent="0.3">
      <c r="B77" s="36"/>
      <c r="C77" s="190"/>
      <c r="D77" s="189"/>
      <c r="E77" s="189"/>
      <c r="F77" s="2"/>
      <c r="G77" s="2"/>
    </row>
    <row r="78" spans="2:7" x14ac:dyDescent="0.3">
      <c r="B78" s="36"/>
      <c r="C78" s="190"/>
      <c r="D78" s="189"/>
      <c r="E78" s="189"/>
      <c r="F78" s="2"/>
      <c r="G78" s="2"/>
    </row>
    <row r="79" spans="2:7" x14ac:dyDescent="0.3">
      <c r="B79" s="36"/>
      <c r="C79" s="190"/>
      <c r="D79" s="189"/>
      <c r="E79" s="189"/>
      <c r="F79" s="2"/>
      <c r="G79" s="2"/>
    </row>
    <row r="80" spans="2:7" x14ac:dyDescent="0.3">
      <c r="B80" s="36"/>
      <c r="C80" s="190"/>
      <c r="D80" s="189"/>
      <c r="E80" s="189"/>
      <c r="F80" s="2"/>
      <c r="G80" s="2"/>
    </row>
    <row r="81" spans="2:3" x14ac:dyDescent="0.3">
      <c r="B81" s="37"/>
      <c r="C81" s="191"/>
    </row>
    <row r="82" spans="2:3" x14ac:dyDescent="0.3">
      <c r="B82" s="37"/>
      <c r="C82" s="191"/>
    </row>
    <row r="83" spans="2:3" x14ac:dyDescent="0.3">
      <c r="B83" s="37"/>
      <c r="C83" s="191"/>
    </row>
    <row r="84" spans="2:3" x14ac:dyDescent="0.3">
      <c r="B84" s="37"/>
      <c r="C84" s="191"/>
    </row>
    <row r="85" spans="2:3" x14ac:dyDescent="0.3">
      <c r="B85" s="37"/>
      <c r="C85" s="191"/>
    </row>
    <row r="86" spans="2:3" x14ac:dyDescent="0.3">
      <c r="B86" s="37"/>
      <c r="C86" s="191"/>
    </row>
    <row r="87" spans="2:3" x14ac:dyDescent="0.3">
      <c r="B87" s="37"/>
      <c r="C87" s="191"/>
    </row>
    <row r="88" spans="2:3" x14ac:dyDescent="0.3">
      <c r="B88" s="37"/>
      <c r="C88" s="191"/>
    </row>
    <row r="89" spans="2:3" x14ac:dyDescent="0.3">
      <c r="B89" s="37"/>
      <c r="C89" s="191"/>
    </row>
    <row r="90" spans="2:3" x14ac:dyDescent="0.3">
      <c r="B90" s="37"/>
      <c r="C90" s="191"/>
    </row>
    <row r="91" spans="2:3" x14ac:dyDescent="0.3">
      <c r="B91" s="37"/>
      <c r="C91" s="191"/>
    </row>
    <row r="92" spans="2:3" x14ac:dyDescent="0.3">
      <c r="B92" s="37"/>
      <c r="C92" s="191"/>
    </row>
    <row r="93" spans="2:3" x14ac:dyDescent="0.3">
      <c r="B93" s="37"/>
      <c r="C93" s="191"/>
    </row>
    <row r="94" spans="2:3" x14ac:dyDescent="0.3">
      <c r="B94" s="37"/>
      <c r="C94" s="191"/>
    </row>
    <row r="95" spans="2:3" x14ac:dyDescent="0.3">
      <c r="B95" s="37"/>
      <c r="C95" s="191"/>
    </row>
    <row r="96" spans="2:3" x14ac:dyDescent="0.3">
      <c r="B96" s="37"/>
      <c r="C96" s="191"/>
    </row>
    <row r="97" spans="2:3" x14ac:dyDescent="0.3">
      <c r="B97" s="37"/>
      <c r="C97" s="191"/>
    </row>
    <row r="98" spans="2:3" x14ac:dyDescent="0.3">
      <c r="B98" s="37"/>
      <c r="C98" s="191"/>
    </row>
    <row r="99" spans="2:3" x14ac:dyDescent="0.3">
      <c r="B99" s="37"/>
      <c r="C99" s="191"/>
    </row>
    <row r="100" spans="2:3" x14ac:dyDescent="0.3">
      <c r="B100" s="37"/>
      <c r="C100" s="191"/>
    </row>
    <row r="101" spans="2:3" x14ac:dyDescent="0.3">
      <c r="B101" s="37"/>
      <c r="C101" s="191"/>
    </row>
    <row r="102" spans="2:3" x14ac:dyDescent="0.3">
      <c r="B102" s="37"/>
      <c r="C102" s="191"/>
    </row>
    <row r="103" spans="2:3" x14ac:dyDescent="0.3">
      <c r="B103" s="37"/>
      <c r="C103" s="191"/>
    </row>
    <row r="104" spans="2:3" x14ac:dyDescent="0.3">
      <c r="B104" s="37"/>
      <c r="C104" s="191"/>
    </row>
    <row r="105" spans="2:3" x14ac:dyDescent="0.3">
      <c r="B105" s="37"/>
      <c r="C105" s="191"/>
    </row>
    <row r="106" spans="2:3" x14ac:dyDescent="0.3">
      <c r="B106" s="37"/>
      <c r="C106" s="191"/>
    </row>
    <row r="107" spans="2:3" x14ac:dyDescent="0.3">
      <c r="B107" s="37"/>
      <c r="C107" s="191"/>
    </row>
    <row r="108" spans="2:3" x14ac:dyDescent="0.3">
      <c r="B108" s="37"/>
      <c r="C108" s="191"/>
    </row>
    <row r="109" spans="2:3" x14ac:dyDescent="0.3">
      <c r="B109" s="37"/>
      <c r="C109" s="191"/>
    </row>
    <row r="110" spans="2:3" x14ac:dyDescent="0.3">
      <c r="B110" s="37"/>
      <c r="C110" s="191"/>
    </row>
    <row r="111" spans="2:3" x14ac:dyDescent="0.3">
      <c r="B111" s="37"/>
      <c r="C111" s="191"/>
    </row>
    <row r="112" spans="2:3" x14ac:dyDescent="0.3">
      <c r="B112" s="37"/>
      <c r="C112" s="191"/>
    </row>
    <row r="113" spans="2:3" x14ac:dyDescent="0.3">
      <c r="B113" s="37"/>
      <c r="C113" s="191"/>
    </row>
    <row r="114" spans="2:3" x14ac:dyDescent="0.3">
      <c r="B114" s="37"/>
      <c r="C114" s="191"/>
    </row>
    <row r="115" spans="2:3" x14ac:dyDescent="0.3">
      <c r="B115" s="37"/>
      <c r="C115" s="191"/>
    </row>
    <row r="116" spans="2:3" x14ac:dyDescent="0.3">
      <c r="B116" s="37"/>
      <c r="C116" s="191"/>
    </row>
    <row r="117" spans="2:3" x14ac:dyDescent="0.3">
      <c r="B117" s="37"/>
      <c r="C117" s="191"/>
    </row>
    <row r="118" spans="2:3" x14ac:dyDescent="0.3">
      <c r="B118" s="37"/>
      <c r="C118" s="191"/>
    </row>
    <row r="119" spans="2:3" x14ac:dyDescent="0.3">
      <c r="B119" s="37"/>
      <c r="C119" s="191"/>
    </row>
    <row r="120" spans="2:3" x14ac:dyDescent="0.3">
      <c r="B120" s="37"/>
      <c r="C120" s="191"/>
    </row>
    <row r="121" spans="2:3" x14ac:dyDescent="0.3">
      <c r="B121" s="37"/>
      <c r="C121" s="191"/>
    </row>
    <row r="122" spans="2:3" x14ac:dyDescent="0.3">
      <c r="B122" s="37"/>
      <c r="C122" s="191"/>
    </row>
    <row r="123" spans="2:3" x14ac:dyDescent="0.3">
      <c r="B123" s="37"/>
      <c r="C123" s="191"/>
    </row>
    <row r="124" spans="2:3" x14ac:dyDescent="0.3">
      <c r="B124" s="37"/>
      <c r="C124" s="191"/>
    </row>
    <row r="125" spans="2:3" x14ac:dyDescent="0.3">
      <c r="B125" s="37"/>
      <c r="C125" s="191"/>
    </row>
    <row r="126" spans="2:3" x14ac:dyDescent="0.3">
      <c r="B126" s="37"/>
      <c r="C126" s="191"/>
    </row>
    <row r="127" spans="2:3" x14ac:dyDescent="0.3">
      <c r="B127" s="37"/>
      <c r="C127" s="191"/>
    </row>
    <row r="128" spans="2:3" x14ac:dyDescent="0.3">
      <c r="B128" s="37"/>
      <c r="C128" s="191"/>
    </row>
    <row r="129" spans="2:3" x14ac:dyDescent="0.3">
      <c r="B129" s="37"/>
      <c r="C129" s="191"/>
    </row>
    <row r="130" spans="2:3" x14ac:dyDescent="0.3">
      <c r="B130" s="37"/>
      <c r="C130" s="191"/>
    </row>
    <row r="131" spans="2:3" x14ac:dyDescent="0.3">
      <c r="B131" s="37"/>
      <c r="C131" s="191"/>
    </row>
    <row r="132" spans="2:3" x14ac:dyDescent="0.3">
      <c r="B132" s="37"/>
      <c r="C132" s="191"/>
    </row>
    <row r="133" spans="2:3" x14ac:dyDescent="0.3">
      <c r="B133" s="37"/>
      <c r="C133" s="191"/>
    </row>
    <row r="134" spans="2:3" x14ac:dyDescent="0.3">
      <c r="B134" s="37"/>
      <c r="C134" s="191"/>
    </row>
    <row r="135" spans="2:3" x14ac:dyDescent="0.3">
      <c r="B135" s="37"/>
      <c r="C135" s="191"/>
    </row>
    <row r="136" spans="2:3" x14ac:dyDescent="0.3">
      <c r="B136" s="37"/>
      <c r="C136" s="191"/>
    </row>
    <row r="137" spans="2:3" x14ac:dyDescent="0.3">
      <c r="B137" s="37"/>
      <c r="C137" s="191"/>
    </row>
    <row r="138" spans="2:3" x14ac:dyDescent="0.3">
      <c r="B138" s="37"/>
      <c r="C138" s="191"/>
    </row>
    <row r="139" spans="2:3" x14ac:dyDescent="0.3">
      <c r="B139" s="37"/>
      <c r="C139" s="191"/>
    </row>
    <row r="140" spans="2:3" x14ac:dyDescent="0.3">
      <c r="B140" s="37"/>
      <c r="C140" s="191"/>
    </row>
    <row r="141" spans="2:3" x14ac:dyDescent="0.3">
      <c r="B141" s="37"/>
      <c r="C141" s="191"/>
    </row>
    <row r="142" spans="2:3" x14ac:dyDescent="0.3">
      <c r="B142" s="37"/>
      <c r="C142" s="191"/>
    </row>
    <row r="143" spans="2:3" x14ac:dyDescent="0.3">
      <c r="B143" s="37"/>
      <c r="C143" s="191"/>
    </row>
    <row r="144" spans="2:3" x14ac:dyDescent="0.3">
      <c r="B144" s="37"/>
      <c r="C144" s="191"/>
    </row>
    <row r="145" spans="2:3" x14ac:dyDescent="0.3">
      <c r="B145" s="37"/>
      <c r="C145" s="191"/>
    </row>
    <row r="146" spans="2:3" x14ac:dyDescent="0.3">
      <c r="B146" s="37"/>
      <c r="C146" s="191"/>
    </row>
    <row r="147" spans="2:3" x14ac:dyDescent="0.3">
      <c r="B147" s="37"/>
      <c r="C147" s="191"/>
    </row>
    <row r="148" spans="2:3" x14ac:dyDescent="0.3">
      <c r="B148" s="37"/>
      <c r="C148" s="191"/>
    </row>
    <row r="149" spans="2:3" x14ac:dyDescent="0.3">
      <c r="B149" s="37"/>
      <c r="C149" s="191"/>
    </row>
    <row r="150" spans="2:3" x14ac:dyDescent="0.3">
      <c r="B150" s="37"/>
      <c r="C150" s="191"/>
    </row>
    <row r="151" spans="2:3" x14ac:dyDescent="0.3">
      <c r="B151" s="37"/>
      <c r="C151" s="191"/>
    </row>
    <row r="152" spans="2:3" x14ac:dyDescent="0.3">
      <c r="B152" s="37"/>
      <c r="C152" s="191"/>
    </row>
    <row r="153" spans="2:3" x14ac:dyDescent="0.3">
      <c r="B153" s="37"/>
      <c r="C153" s="191"/>
    </row>
    <row r="154" spans="2:3" x14ac:dyDescent="0.3">
      <c r="B154" s="37"/>
      <c r="C154" s="191"/>
    </row>
    <row r="155" spans="2:3" x14ac:dyDescent="0.3">
      <c r="B155" s="37"/>
      <c r="C155" s="191"/>
    </row>
    <row r="156" spans="2:3" x14ac:dyDescent="0.3">
      <c r="B156" s="37"/>
      <c r="C156" s="191"/>
    </row>
    <row r="157" spans="2:3" x14ac:dyDescent="0.3">
      <c r="B157" s="37"/>
      <c r="C157" s="191"/>
    </row>
    <row r="158" spans="2:3" x14ac:dyDescent="0.3">
      <c r="B158" s="37"/>
      <c r="C158" s="191"/>
    </row>
    <row r="159" spans="2:3" x14ac:dyDescent="0.3">
      <c r="B159" s="37"/>
      <c r="C159" s="191"/>
    </row>
    <row r="160" spans="2:3" x14ac:dyDescent="0.3">
      <c r="B160" s="37"/>
      <c r="C160" s="191"/>
    </row>
    <row r="161" spans="2:3" x14ac:dyDescent="0.3">
      <c r="B161" s="37"/>
      <c r="C161" s="191"/>
    </row>
    <row r="162" spans="2:3" x14ac:dyDescent="0.3">
      <c r="B162" s="37"/>
      <c r="C162" s="191"/>
    </row>
    <row r="163" spans="2:3" x14ac:dyDescent="0.3">
      <c r="B163" s="37"/>
      <c r="C163" s="191"/>
    </row>
    <row r="164" spans="2:3" x14ac:dyDescent="0.3">
      <c r="B164" s="37"/>
      <c r="C164" s="191"/>
    </row>
    <row r="165" spans="2:3" x14ac:dyDescent="0.3">
      <c r="B165" s="37"/>
      <c r="C165" s="191"/>
    </row>
    <row r="166" spans="2:3" x14ac:dyDescent="0.3">
      <c r="B166" s="37"/>
      <c r="C166" s="191"/>
    </row>
    <row r="167" spans="2:3" x14ac:dyDescent="0.3">
      <c r="B167" s="37"/>
      <c r="C167" s="191"/>
    </row>
    <row r="168" spans="2:3" x14ac:dyDescent="0.3">
      <c r="B168" s="37"/>
      <c r="C168" s="191"/>
    </row>
    <row r="169" spans="2:3" x14ac:dyDescent="0.3">
      <c r="B169" s="37"/>
      <c r="C169" s="191"/>
    </row>
    <row r="170" spans="2:3" x14ac:dyDescent="0.3">
      <c r="B170" s="37"/>
      <c r="C170" s="191"/>
    </row>
  </sheetData>
  <sheetProtection formatCells="0"/>
  <mergeCells count="2">
    <mergeCell ref="C6:E6"/>
    <mergeCell ref="F6:G6"/>
  </mergeCells>
  <conditionalFormatting sqref="F8:G8">
    <cfRule type="iconSet" priority="10">
      <iconSet showValue="0">
        <cfvo type="percent" val="0"/>
        <cfvo type="num" val="0"/>
        <cfvo type="num" val="0"/>
      </iconSet>
    </cfRule>
  </conditionalFormatting>
  <conditionalFormatting sqref="F9:G19 F27:G41 F43:G44 F52:G58 F60:G60 F46:G50 F21:G25">
    <cfRule type="iconSet" priority="11">
      <iconSet iconSet="3Arrows">
        <cfvo type="percent" val="0"/>
        <cfvo type="num" val="0"/>
        <cfvo type="num" val="0"/>
      </iconSet>
    </cfRule>
  </conditionalFormatting>
  <conditionalFormatting sqref="F20:G20">
    <cfRule type="iconSet" priority="9">
      <iconSet showValue="0">
        <cfvo type="percent" val="0"/>
        <cfvo type="num" val="0"/>
        <cfvo type="num" val="0"/>
      </iconSet>
    </cfRule>
  </conditionalFormatting>
  <conditionalFormatting sqref="F26:G26">
    <cfRule type="iconSet" priority="8">
      <iconSet showValue="0">
        <cfvo type="percent" val="0"/>
        <cfvo type="num" val="0"/>
        <cfvo type="num" val="0"/>
      </iconSet>
    </cfRule>
  </conditionalFormatting>
  <conditionalFormatting sqref="F42:G42">
    <cfRule type="iconSet" priority="7">
      <iconSet showValue="0">
        <cfvo type="percent" val="0"/>
        <cfvo type="num" val="0"/>
        <cfvo type="num" val="0"/>
      </iconSet>
    </cfRule>
  </conditionalFormatting>
  <conditionalFormatting sqref="F45:G45">
    <cfRule type="iconSet" priority="4">
      <iconSet showValue="0">
        <cfvo type="percent" val="0"/>
        <cfvo type="num" val="0"/>
        <cfvo type="num" val="0"/>
      </iconSet>
    </cfRule>
  </conditionalFormatting>
  <conditionalFormatting sqref="F51:G51">
    <cfRule type="iconSet" priority="6">
      <iconSet showValue="0">
        <cfvo type="percent" val="0"/>
        <cfvo type="num" val="0"/>
        <cfvo type="num" val="0"/>
      </iconSet>
    </cfRule>
  </conditionalFormatting>
  <conditionalFormatting sqref="F59:G59">
    <cfRule type="iconSet" priority="5">
      <iconSet showValue="0">
        <cfvo type="percent" val="0"/>
        <cfvo type="num" val="0"/>
        <cfvo type="num" val="0"/>
      </iconSet>
    </cfRule>
  </conditionalFormatting>
  <pageMargins left="0.7" right="0.7" top="0.75" bottom="0.75" header="0.3" footer="0.3"/>
  <pageSetup paperSize="9" fitToHeight="0" orientation="landscape" horizontalDpi="4294967295" verticalDpi="4294967295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08F57-23DF-4172-A0DF-0407E80DF3BC}">
  <sheetPr>
    <tabColor rgb="FF92D050"/>
  </sheetPr>
  <dimension ref="A1:N50"/>
  <sheetViews>
    <sheetView zoomScale="130" zoomScaleNormal="130" zoomScaleSheetLayoutView="100" workbookViewId="0">
      <pane ySplit="1" topLeftCell="A18" activePane="bottomLeft" state="frozen"/>
      <selection activeCell="B1" sqref="B1"/>
      <selection pane="bottomLeft" activeCell="H25" sqref="H25"/>
    </sheetView>
  </sheetViews>
  <sheetFormatPr baseColWidth="10" defaultColWidth="21.33203125" defaultRowHeight="14.4" x14ac:dyDescent="0.3"/>
  <cols>
    <col min="1" max="1" width="9.88671875" customWidth="1"/>
    <col min="2" max="2" width="24.109375" style="114" customWidth="1"/>
    <col min="3" max="3" width="12.44140625" style="120" customWidth="1"/>
    <col min="4" max="4" width="12.109375" style="120" customWidth="1"/>
    <col min="5" max="5" width="11.44140625" style="120" customWidth="1"/>
    <col min="6" max="6" width="12.88671875" style="114" customWidth="1"/>
    <col min="7" max="7" width="11.44140625" style="114" customWidth="1"/>
    <col min="8" max="8" width="10.6640625" style="117" customWidth="1"/>
    <col min="9" max="10" width="11" style="114" customWidth="1"/>
    <col min="11" max="11" width="15.44140625" style="118" customWidth="1"/>
    <col min="12" max="13" width="13.109375" style="114" customWidth="1"/>
    <col min="14" max="16384" width="21.33203125" style="114"/>
  </cols>
  <sheetData>
    <row r="1" spans="1:7" ht="16.5" customHeight="1" x14ac:dyDescent="0.3"/>
    <row r="5" spans="1:7" ht="15" customHeight="1" x14ac:dyDescent="0.3">
      <c r="A5" s="119"/>
      <c r="C5" s="115"/>
      <c r="E5" s="121"/>
      <c r="G5" s="122"/>
    </row>
    <row r="6" spans="1:7" ht="15" customHeight="1" x14ac:dyDescent="0.3">
      <c r="C6" s="115"/>
      <c r="D6" s="116"/>
      <c r="E6" s="116"/>
      <c r="G6" s="122"/>
    </row>
    <row r="7" spans="1:7" x14ac:dyDescent="0.3">
      <c r="C7" s="123"/>
    </row>
    <row r="18" spans="2:14" x14ac:dyDescent="0.3">
      <c r="K18" s="114"/>
    </row>
    <row r="19" spans="2:14" x14ac:dyDescent="0.3">
      <c r="K19" s="114"/>
    </row>
    <row r="20" spans="2:14" x14ac:dyDescent="0.3">
      <c r="K20" s="114"/>
    </row>
    <row r="21" spans="2:14" ht="15" thickBot="1" x14ac:dyDescent="0.35">
      <c r="K21" s="114"/>
    </row>
    <row r="22" spans="2:14" ht="30" customHeight="1" thickBot="1" x14ac:dyDescent="0.35">
      <c r="B22" s="165"/>
      <c r="C22" s="426" t="s">
        <v>100</v>
      </c>
      <c r="D22" s="426"/>
      <c r="E22" s="426"/>
      <c r="F22" s="427" t="s">
        <v>97</v>
      </c>
      <c r="G22" s="427"/>
      <c r="K22" s="114"/>
    </row>
    <row r="23" spans="2:14" ht="30" customHeight="1" thickBot="1" x14ac:dyDescent="0.35">
      <c r="B23" s="166" t="s">
        <v>89</v>
      </c>
      <c r="C23" s="167">
        <v>45289</v>
      </c>
      <c r="D23" s="168">
        <v>45345</v>
      </c>
      <c r="E23" s="168">
        <v>45359</v>
      </c>
      <c r="F23" s="169" t="s">
        <v>99</v>
      </c>
      <c r="G23" s="169" t="s">
        <v>98</v>
      </c>
      <c r="K23" s="273"/>
      <c r="L23" s="274"/>
      <c r="M23" s="273"/>
      <c r="N23"/>
    </row>
    <row r="24" spans="2:14" ht="30" customHeight="1" thickBot="1" x14ac:dyDescent="0.35">
      <c r="B24" s="166" t="s">
        <v>119</v>
      </c>
      <c r="C24" s="220">
        <v>214.15</v>
      </c>
      <c r="D24" s="220">
        <v>212.47</v>
      </c>
      <c r="E24" s="220">
        <v>212.98</v>
      </c>
      <c r="F24" s="170">
        <f>IF(OR(D24="", E24=""),"", (E24-D24)/D24)</f>
        <v>2.4003388713700331E-3</v>
      </c>
      <c r="G24" s="170">
        <f>+IF(OR(C24="", E24=""),"", (E24-C24)/C24)</f>
        <v>-5.4634601914546619E-3</v>
      </c>
      <c r="K24" s="278"/>
      <c r="L24" s="278"/>
      <c r="M24" s="278"/>
      <c r="N24" s="273"/>
    </row>
    <row r="25" spans="2:14" ht="30" customHeight="1" thickBot="1" x14ac:dyDescent="0.35">
      <c r="B25" s="166" t="s">
        <v>109</v>
      </c>
      <c r="C25" s="275">
        <v>101.03</v>
      </c>
      <c r="D25" s="276">
        <v>102.66</v>
      </c>
      <c r="E25" s="276">
        <v>100.84</v>
      </c>
      <c r="F25" s="170">
        <f>IF(OR(D25="", E25=""),"", (E25-D25)/D25)</f>
        <v>-1.7728423923631338E-2</v>
      </c>
      <c r="G25" s="170">
        <f>+IF(OR(C25="", E25=""),"", (E25-C25)/C25)</f>
        <v>-1.8806295159853284E-3</v>
      </c>
      <c r="K25" s="273"/>
      <c r="L25" s="273"/>
      <c r="M25" s="273"/>
      <c r="N25" s="266"/>
    </row>
    <row r="26" spans="2:14" ht="30" customHeight="1" thickBot="1" x14ac:dyDescent="0.35">
      <c r="B26" s="166" t="s">
        <v>110</v>
      </c>
      <c r="C26" s="275">
        <v>531.47</v>
      </c>
      <c r="D26" s="276">
        <v>524.42999999999995</v>
      </c>
      <c r="E26" s="276">
        <v>528.4</v>
      </c>
      <c r="F26" s="170">
        <f t="shared" ref="F26:F32" si="0">IF(OR(D26="", E26=""),"", (E26-D26)/D26)</f>
        <v>7.570123753408515E-3</v>
      </c>
      <c r="G26" s="170">
        <f t="shared" ref="G26:G32" si="1">+IF(OR(C26="", E26=""),"", (E26-C26)/C26)</f>
        <v>-5.7764314072291005E-3</v>
      </c>
      <c r="K26" s="273"/>
      <c r="L26" s="273"/>
      <c r="M26" s="273"/>
      <c r="N26" s="266"/>
    </row>
    <row r="27" spans="2:14" ht="30" customHeight="1" thickBot="1" x14ac:dyDescent="0.35">
      <c r="B27" s="166" t="s">
        <v>111</v>
      </c>
      <c r="C27" s="275">
        <v>86.42</v>
      </c>
      <c r="D27" s="276">
        <v>86.06</v>
      </c>
      <c r="E27" s="276">
        <v>86.64</v>
      </c>
      <c r="F27" s="170">
        <f t="shared" si="0"/>
        <v>6.739484080873789E-3</v>
      </c>
      <c r="G27" s="170">
        <f t="shared" si="1"/>
        <v>2.5457070122656658E-3</v>
      </c>
      <c r="K27" s="273"/>
      <c r="L27" s="273"/>
      <c r="M27" s="273"/>
      <c r="N27" s="266"/>
    </row>
    <row r="28" spans="2:14" ht="30" customHeight="1" thickBot="1" x14ac:dyDescent="0.35">
      <c r="B28" s="166" t="s">
        <v>112</v>
      </c>
      <c r="C28" s="275">
        <v>330.96</v>
      </c>
      <c r="D28" s="276">
        <v>360.8</v>
      </c>
      <c r="E28" s="276">
        <v>365.57</v>
      </c>
      <c r="F28" s="170">
        <f>IF(OR(D28="", E28=""),"", (E28-D28)/D28)</f>
        <v>1.3220620842572011E-2</v>
      </c>
      <c r="G28" s="170">
        <f>+IF(OR(C28="", E28=""),"", (E28-C28)/C28)</f>
        <v>0.10457457094512937</v>
      </c>
      <c r="K28" s="273"/>
      <c r="L28" s="273"/>
      <c r="M28" s="273"/>
      <c r="N28" s="266"/>
    </row>
    <row r="29" spans="2:14" ht="30" customHeight="1" thickBot="1" x14ac:dyDescent="0.35">
      <c r="B29" s="166" t="s">
        <v>113</v>
      </c>
      <c r="C29" s="275">
        <v>161.56</v>
      </c>
      <c r="D29" s="276">
        <v>160.16</v>
      </c>
      <c r="E29" s="276">
        <v>161.88</v>
      </c>
      <c r="F29" s="170">
        <f t="shared" si="0"/>
        <v>1.0739260739260733E-2</v>
      </c>
      <c r="G29" s="170">
        <f t="shared" si="1"/>
        <v>1.9806882891804478E-3</v>
      </c>
      <c r="K29" s="273"/>
      <c r="L29" s="273"/>
      <c r="M29" s="273"/>
      <c r="N29" s="266"/>
    </row>
    <row r="30" spans="2:14" ht="30" customHeight="1" thickBot="1" x14ac:dyDescent="0.35">
      <c r="B30" s="166" t="s">
        <v>114</v>
      </c>
      <c r="C30" s="275">
        <v>328.21</v>
      </c>
      <c r="D30" s="276">
        <v>317.39</v>
      </c>
      <c r="E30" s="276">
        <v>301.76</v>
      </c>
      <c r="F30" s="170">
        <f t="shared" si="0"/>
        <v>-4.9245407857840498E-2</v>
      </c>
      <c r="G30" s="170">
        <f t="shared" si="1"/>
        <v>-8.0588647512263467E-2</v>
      </c>
      <c r="K30" s="273"/>
      <c r="L30" s="273"/>
      <c r="M30" s="273"/>
      <c r="N30" s="266"/>
    </row>
    <row r="31" spans="2:14" ht="30" customHeight="1" thickBot="1" x14ac:dyDescent="0.35">
      <c r="B31" s="166" t="s">
        <v>115</v>
      </c>
      <c r="C31" s="275">
        <v>1110.49</v>
      </c>
      <c r="D31" s="276">
        <v>962.43</v>
      </c>
      <c r="E31" s="276">
        <v>980.94</v>
      </c>
      <c r="F31" s="170">
        <f t="shared" si="0"/>
        <v>1.9232567563355368E-2</v>
      </c>
      <c r="G31" s="170">
        <f t="shared" si="1"/>
        <v>-0.1166602130591</v>
      </c>
      <c r="K31" s="273"/>
      <c r="L31" s="273"/>
      <c r="M31" s="273"/>
      <c r="N31" s="266"/>
    </row>
    <row r="32" spans="2:14" ht="30" customHeight="1" thickBot="1" x14ac:dyDescent="0.35">
      <c r="B32" s="166" t="s">
        <v>120</v>
      </c>
      <c r="C32" s="220">
        <v>107.85</v>
      </c>
      <c r="D32" s="220">
        <v>106.83</v>
      </c>
      <c r="E32" s="220">
        <v>107.11</v>
      </c>
      <c r="F32" s="170">
        <f t="shared" si="0"/>
        <v>2.620986614246945E-3</v>
      </c>
      <c r="G32" s="170">
        <f t="shared" si="1"/>
        <v>-6.8613815484468701E-3</v>
      </c>
      <c r="K32" s="273"/>
      <c r="L32" s="273"/>
      <c r="M32" s="273"/>
      <c r="N32" s="266"/>
    </row>
    <row r="33" spans="2:14" x14ac:dyDescent="0.3">
      <c r="K33" s="273"/>
      <c r="L33" s="273"/>
      <c r="M33" s="273"/>
      <c r="N33" s="266"/>
    </row>
    <row r="34" spans="2:14" x14ac:dyDescent="0.3">
      <c r="K34" s="273"/>
      <c r="L34" s="273"/>
      <c r="M34" s="273"/>
      <c r="N34" s="266"/>
    </row>
    <row r="36" spans="2:14" x14ac:dyDescent="0.3">
      <c r="K36" s="273"/>
      <c r="L36" s="273"/>
      <c r="M36" s="273"/>
      <c r="N36" s="266"/>
    </row>
    <row r="37" spans="2:14" ht="15" hidden="1" thickBot="1" x14ac:dyDescent="0.35">
      <c r="B37" s="161" t="s">
        <v>101</v>
      </c>
      <c r="C37" s="164" t="s">
        <v>119</v>
      </c>
      <c r="D37" s="162" t="s">
        <v>109</v>
      </c>
      <c r="E37" s="162" t="s">
        <v>110</v>
      </c>
      <c r="F37" s="162" t="s">
        <v>111</v>
      </c>
      <c r="G37" s="162" t="s">
        <v>112</v>
      </c>
      <c r="H37" s="162" t="s">
        <v>113</v>
      </c>
      <c r="I37" s="162" t="s">
        <v>114</v>
      </c>
      <c r="J37" s="162" t="s">
        <v>115</v>
      </c>
      <c r="K37" s="162" t="s">
        <v>120</v>
      </c>
      <c r="L37" s="273" t="s">
        <v>121</v>
      </c>
      <c r="M37" s="273" t="s">
        <v>118</v>
      </c>
      <c r="N37" s="266"/>
    </row>
    <row r="38" spans="2:14" ht="15" hidden="1" thickBot="1" x14ac:dyDescent="0.35">
      <c r="B38" s="163">
        <v>45345</v>
      </c>
      <c r="C38" s="280">
        <v>212.47</v>
      </c>
      <c r="D38" s="280">
        <v>102.66</v>
      </c>
      <c r="E38" s="280">
        <v>524.42999999999995</v>
      </c>
      <c r="F38" s="280">
        <v>86.06</v>
      </c>
      <c r="G38" s="280">
        <v>360.8</v>
      </c>
      <c r="H38" s="280">
        <v>160.16</v>
      </c>
      <c r="I38" s="280">
        <v>317.39</v>
      </c>
      <c r="J38" s="280">
        <v>962.43</v>
      </c>
      <c r="K38" s="280">
        <v>106.83</v>
      </c>
      <c r="L38" s="279">
        <v>100.28</v>
      </c>
      <c r="M38" s="279">
        <v>102.74</v>
      </c>
      <c r="N38" s="279"/>
    </row>
    <row r="39" spans="2:14" ht="15" hidden="1" thickBot="1" x14ac:dyDescent="0.35">
      <c r="B39" s="163">
        <v>45348</v>
      </c>
      <c r="C39" s="280">
        <v>212.58</v>
      </c>
      <c r="D39" s="280">
        <v>101.53</v>
      </c>
      <c r="E39" s="280">
        <v>525.11</v>
      </c>
      <c r="F39" s="280">
        <v>86.21</v>
      </c>
      <c r="G39" s="280">
        <v>366.76</v>
      </c>
      <c r="H39" s="280">
        <v>158.72</v>
      </c>
      <c r="I39" s="280">
        <v>318.48</v>
      </c>
      <c r="J39" s="280">
        <v>999.44</v>
      </c>
      <c r="K39" s="280">
        <v>106.92</v>
      </c>
      <c r="L39" s="279">
        <v>99.91</v>
      </c>
      <c r="M39" s="279">
        <v>102.88</v>
      </c>
      <c r="N39" s="279"/>
    </row>
    <row r="40" spans="2:14" ht="15" hidden="1" thickBot="1" x14ac:dyDescent="0.35">
      <c r="B40" s="163">
        <v>45349</v>
      </c>
      <c r="C40" s="280">
        <v>212.19</v>
      </c>
      <c r="D40" s="280">
        <v>101.45</v>
      </c>
      <c r="E40" s="280">
        <v>525.29999999999995</v>
      </c>
      <c r="F40" s="280">
        <v>85.98</v>
      </c>
      <c r="G40" s="280">
        <v>366.76</v>
      </c>
      <c r="H40" s="280">
        <v>159.26</v>
      </c>
      <c r="I40" s="280">
        <v>312.32</v>
      </c>
      <c r="J40" s="280">
        <v>999.44</v>
      </c>
      <c r="K40" s="280">
        <v>106.73</v>
      </c>
      <c r="L40" s="279">
        <v>99.36</v>
      </c>
      <c r="M40" s="279">
        <v>102.78</v>
      </c>
      <c r="N40" s="279"/>
    </row>
    <row r="41" spans="2:14" ht="15" hidden="1" thickBot="1" x14ac:dyDescent="0.35">
      <c r="B41" s="163">
        <v>45350</v>
      </c>
      <c r="C41" s="280">
        <v>212.58</v>
      </c>
      <c r="D41" s="280">
        <v>101.52</v>
      </c>
      <c r="E41" s="280">
        <v>525.1</v>
      </c>
      <c r="F41" s="280">
        <v>86.21</v>
      </c>
      <c r="G41" s="280">
        <v>387.05</v>
      </c>
      <c r="H41" s="280">
        <v>158.97</v>
      </c>
      <c r="I41" s="280">
        <v>315.10000000000002</v>
      </c>
      <c r="J41" s="280">
        <v>999.44</v>
      </c>
      <c r="K41" s="280">
        <v>106.93</v>
      </c>
      <c r="L41" s="279">
        <v>99.69</v>
      </c>
      <c r="M41" s="279">
        <v>103.01</v>
      </c>
      <c r="N41" s="279"/>
    </row>
    <row r="42" spans="2:14" ht="15" hidden="1" thickBot="1" x14ac:dyDescent="0.35">
      <c r="B42" s="163">
        <v>45351</v>
      </c>
      <c r="C42" s="280">
        <v>213.5</v>
      </c>
      <c r="D42" s="280">
        <v>101.91</v>
      </c>
      <c r="E42" s="280">
        <v>529.70000000000005</v>
      </c>
      <c r="F42" s="280">
        <v>86.2</v>
      </c>
      <c r="G42" s="280">
        <v>387.05</v>
      </c>
      <c r="H42" s="280">
        <v>159.04</v>
      </c>
      <c r="I42" s="280">
        <v>314.73</v>
      </c>
      <c r="J42" s="280">
        <v>999.44</v>
      </c>
      <c r="K42" s="280">
        <v>107.53</v>
      </c>
      <c r="L42" s="279">
        <v>99.66</v>
      </c>
      <c r="M42" s="279">
        <v>103.77</v>
      </c>
      <c r="N42" s="279"/>
    </row>
    <row r="43" spans="2:14" ht="15" hidden="1" thickBot="1" x14ac:dyDescent="0.35">
      <c r="B43" s="163">
        <v>45352</v>
      </c>
      <c r="C43" s="280">
        <v>212.54</v>
      </c>
      <c r="D43" s="280">
        <v>101.62</v>
      </c>
      <c r="E43" s="280">
        <v>530.33000000000004</v>
      </c>
      <c r="F43" s="280">
        <v>85.11</v>
      </c>
      <c r="G43" s="280">
        <v>383.47</v>
      </c>
      <c r="H43" s="280">
        <v>158.35</v>
      </c>
      <c r="I43" s="280">
        <v>314.27</v>
      </c>
      <c r="J43" s="280">
        <v>999.44</v>
      </c>
      <c r="K43" s="280">
        <v>107</v>
      </c>
      <c r="L43" s="279">
        <v>99.07</v>
      </c>
      <c r="M43" s="279">
        <v>103.17</v>
      </c>
      <c r="N43" s="279"/>
    </row>
    <row r="44" spans="2:14" ht="15" hidden="1" thickBot="1" x14ac:dyDescent="0.35">
      <c r="B44" s="163">
        <v>45355</v>
      </c>
      <c r="C44" s="280">
        <v>212.96</v>
      </c>
      <c r="D44" s="280">
        <v>101.27</v>
      </c>
      <c r="E44" s="280">
        <v>530.12</v>
      </c>
      <c r="F44" s="280">
        <v>85.94</v>
      </c>
      <c r="G44" s="280">
        <v>377.5</v>
      </c>
      <c r="H44" s="280">
        <v>157.96</v>
      </c>
      <c r="I44" s="280">
        <v>309.76</v>
      </c>
      <c r="J44" s="280">
        <v>999.44</v>
      </c>
      <c r="K44" s="280">
        <v>107.13</v>
      </c>
      <c r="L44" s="279">
        <v>99.42</v>
      </c>
      <c r="M44" s="279">
        <v>103.41</v>
      </c>
      <c r="N44" s="279"/>
    </row>
    <row r="45" spans="2:14" ht="15" hidden="1" thickBot="1" x14ac:dyDescent="0.35">
      <c r="B45" s="163">
        <v>45356</v>
      </c>
      <c r="C45" s="280">
        <v>212.21</v>
      </c>
      <c r="D45" s="280">
        <v>101.33</v>
      </c>
      <c r="E45" s="280">
        <v>529.03</v>
      </c>
      <c r="F45" s="280">
        <v>85.28</v>
      </c>
      <c r="G45" s="280">
        <v>365.57</v>
      </c>
      <c r="H45" s="280">
        <v>158.38999999999999</v>
      </c>
      <c r="I45" s="280">
        <v>312.41000000000003</v>
      </c>
      <c r="J45" s="280">
        <v>993.28</v>
      </c>
      <c r="K45" s="280">
        <v>106.72</v>
      </c>
      <c r="L45" s="279">
        <v>98.67</v>
      </c>
      <c r="M45" s="279">
        <v>103.07</v>
      </c>
      <c r="N45" s="279"/>
    </row>
    <row r="46" spans="2:14" ht="15" hidden="1" thickBot="1" x14ac:dyDescent="0.35">
      <c r="B46" s="163">
        <v>45357</v>
      </c>
      <c r="C46" s="280">
        <v>210.92</v>
      </c>
      <c r="D46" s="280">
        <v>99.83</v>
      </c>
      <c r="E46" s="280">
        <v>523.77</v>
      </c>
      <c r="F46" s="280">
        <v>85.57</v>
      </c>
      <c r="G46" s="280">
        <v>373.92</v>
      </c>
      <c r="H46" s="280">
        <v>157.66</v>
      </c>
      <c r="I46" s="280">
        <v>303.07</v>
      </c>
      <c r="J46" s="280">
        <v>974.77</v>
      </c>
      <c r="K46" s="280">
        <v>106.15</v>
      </c>
      <c r="L46" s="279">
        <v>98.27</v>
      </c>
      <c r="M46" s="279">
        <v>102.14</v>
      </c>
      <c r="N46" s="279"/>
    </row>
    <row r="47" spans="2:14" ht="15" hidden="1" thickBot="1" x14ac:dyDescent="0.35">
      <c r="B47" s="163">
        <v>45358</v>
      </c>
      <c r="C47" s="280">
        <v>212.17</v>
      </c>
      <c r="D47" s="280">
        <v>101.04</v>
      </c>
      <c r="E47" s="280">
        <v>528.4</v>
      </c>
      <c r="F47" s="280">
        <v>85.96</v>
      </c>
      <c r="G47" s="280">
        <v>363.18</v>
      </c>
      <c r="H47" s="280">
        <v>159.59</v>
      </c>
      <c r="I47" s="280">
        <v>298.12</v>
      </c>
      <c r="J47" s="280">
        <v>987.11</v>
      </c>
      <c r="K47" s="280">
        <v>106.72</v>
      </c>
      <c r="L47" s="279">
        <v>98.7</v>
      </c>
      <c r="M47" s="279">
        <v>102.99</v>
      </c>
    </row>
    <row r="48" spans="2:14" ht="15" hidden="1" thickBot="1" x14ac:dyDescent="0.35">
      <c r="B48" s="163">
        <v>45359</v>
      </c>
      <c r="C48" s="280">
        <v>212.98</v>
      </c>
      <c r="D48" s="280">
        <v>100.84</v>
      </c>
      <c r="E48" s="280">
        <v>528.4</v>
      </c>
      <c r="F48" s="280">
        <v>86.64</v>
      </c>
      <c r="G48" s="280">
        <v>365.57</v>
      </c>
      <c r="H48" s="280">
        <v>161.88</v>
      </c>
      <c r="I48" s="280">
        <v>301.76</v>
      </c>
      <c r="J48" s="280">
        <v>980.94</v>
      </c>
      <c r="K48" s="280">
        <v>107.11</v>
      </c>
      <c r="L48" s="279">
        <v>98.67</v>
      </c>
      <c r="M48" s="279">
        <v>103.73</v>
      </c>
    </row>
    <row r="49" hidden="1" x14ac:dyDescent="0.3"/>
    <row r="50" hidden="1" x14ac:dyDescent="0.3"/>
  </sheetData>
  <mergeCells count="2">
    <mergeCell ref="C22:E22"/>
    <mergeCell ref="F22:G22"/>
  </mergeCells>
  <conditionalFormatting sqref="F24:G32">
    <cfRule type="cellIs" dxfId="8" priority="1" operator="greaterThan">
      <formula>0</formula>
    </cfRule>
    <cfRule type="cellIs" dxfId="7" priority="2" operator="lessThan">
      <formula>0</formula>
    </cfRule>
  </conditionalFormatting>
  <pageMargins left="0.51181102362204722" right="0.51181102362204722" top="0.35433070866141736" bottom="0.35433070866141736" header="0.31496062992125984" footer="0.31496062992125984"/>
  <pageSetup paperSize="9" scale="60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B5668-5C51-473D-BE96-4BC8282D062D}">
  <sheetPr>
    <pageSetUpPr fitToPage="1"/>
  </sheetPr>
  <dimension ref="B1:M170"/>
  <sheetViews>
    <sheetView showGridLines="0" tabSelected="1" view="pageBreakPreview" topLeftCell="A11" zoomScale="120" zoomScaleNormal="80" zoomScaleSheetLayoutView="120" workbookViewId="0">
      <selection activeCell="F36" sqref="F36"/>
    </sheetView>
  </sheetViews>
  <sheetFormatPr baseColWidth="10" defaultRowHeight="14.4" x14ac:dyDescent="0.3"/>
  <cols>
    <col min="1" max="1" width="8.6640625" customWidth="1"/>
    <col min="2" max="2" width="31.44140625" bestFit="1" customWidth="1"/>
    <col min="3" max="5" width="13.44140625" style="187" customWidth="1"/>
    <col min="6" max="6" width="24.6640625" bestFit="1" customWidth="1"/>
    <col min="7" max="7" width="21" bestFit="1" customWidth="1"/>
  </cols>
  <sheetData>
    <row r="1" spans="2:11" ht="19.649999999999999" customHeight="1" x14ac:dyDescent="0.3"/>
    <row r="2" spans="2:11" ht="26.4" customHeight="1" x14ac:dyDescent="0.3"/>
    <row r="5" spans="2:11" ht="15" thickBot="1" x14ac:dyDescent="0.35"/>
    <row r="6" spans="2:11" ht="30" customHeight="1" thickBot="1" x14ac:dyDescent="0.35">
      <c r="B6" s="4"/>
      <c r="C6" s="421" t="s">
        <v>96</v>
      </c>
      <c r="D6" s="422"/>
      <c r="E6" s="423"/>
      <c r="F6" s="424" t="s">
        <v>97</v>
      </c>
      <c r="G6" s="425"/>
    </row>
    <row r="7" spans="2:11" ht="30" customHeight="1" thickBot="1" x14ac:dyDescent="0.35">
      <c r="B7" s="135" t="s">
        <v>3</v>
      </c>
      <c r="C7" s="146">
        <v>45289</v>
      </c>
      <c r="D7" s="149">
        <v>45345</v>
      </c>
      <c r="E7" s="149">
        <v>45359</v>
      </c>
      <c r="F7" s="134" t="s">
        <v>99</v>
      </c>
      <c r="G7" s="147" t="s">
        <v>98</v>
      </c>
      <c r="I7" s="281"/>
      <c r="J7" s="281"/>
    </row>
    <row r="8" spans="2:11" ht="51" customHeight="1" thickBot="1" x14ac:dyDescent="0.35">
      <c r="B8" s="172" t="s">
        <v>90</v>
      </c>
      <c r="C8" s="207">
        <v>101.03</v>
      </c>
      <c r="D8" s="207">
        <v>102.66</v>
      </c>
      <c r="E8" s="207">
        <v>100.84</v>
      </c>
      <c r="F8" s="219">
        <f t="shared" ref="F8:F60" si="0">IF(OR(D8="", E8=""),"", (E8-D8)/D8)</f>
        <v>-1.7728423923631338E-2</v>
      </c>
      <c r="G8" s="206">
        <f t="shared" ref="G8:G60" si="1">+IF(OR(C8="", E8=""),"", (E8-C8)/C8)</f>
        <v>-1.8806295159853284E-3</v>
      </c>
      <c r="I8" s="265"/>
      <c r="J8" s="265"/>
      <c r="K8" s="266"/>
    </row>
    <row r="9" spans="2:11" ht="30" customHeight="1" x14ac:dyDescent="0.3">
      <c r="B9" s="127" t="s">
        <v>17</v>
      </c>
      <c r="C9" s="192">
        <v>1110</v>
      </c>
      <c r="D9" s="192">
        <v>1100</v>
      </c>
      <c r="E9" s="192">
        <v>1010</v>
      </c>
      <c r="F9" s="360">
        <f t="shared" si="0"/>
        <v>-8.1818181818181818E-2</v>
      </c>
      <c r="G9" s="360">
        <f t="shared" si="1"/>
        <v>-9.0090090090090086E-2</v>
      </c>
      <c r="I9" s="265"/>
      <c r="J9" s="265"/>
      <c r="K9" s="266"/>
    </row>
    <row r="10" spans="2:11" ht="30" customHeight="1" x14ac:dyDescent="0.3">
      <c r="B10" s="127" t="s">
        <v>19</v>
      </c>
      <c r="C10" s="192">
        <v>1840</v>
      </c>
      <c r="D10" s="192">
        <v>1990</v>
      </c>
      <c r="E10" s="192">
        <v>1945</v>
      </c>
      <c r="F10" s="401">
        <f t="shared" si="0"/>
        <v>-2.2613065326633167E-2</v>
      </c>
      <c r="G10" s="400">
        <f t="shared" si="1"/>
        <v>5.7065217391304345E-2</v>
      </c>
      <c r="I10" s="265"/>
      <c r="J10" s="265"/>
      <c r="K10" s="266"/>
    </row>
    <row r="11" spans="2:11" ht="30" customHeight="1" x14ac:dyDescent="0.3">
      <c r="B11" s="361" t="s">
        <v>21</v>
      </c>
      <c r="C11" s="362">
        <v>725</v>
      </c>
      <c r="D11" s="362">
        <v>690</v>
      </c>
      <c r="E11" s="362">
        <v>685</v>
      </c>
      <c r="F11" s="363">
        <f t="shared" si="0"/>
        <v>-7.246376811594203E-3</v>
      </c>
      <c r="G11" s="364">
        <f t="shared" si="1"/>
        <v>-5.5172413793103448E-2</v>
      </c>
      <c r="I11" s="265"/>
      <c r="J11" s="265"/>
      <c r="K11" s="266"/>
    </row>
    <row r="12" spans="2:11" ht="30" customHeight="1" x14ac:dyDescent="0.3">
      <c r="B12" s="127" t="s">
        <v>23</v>
      </c>
      <c r="C12" s="192">
        <v>7385</v>
      </c>
      <c r="D12" s="192">
        <v>7100</v>
      </c>
      <c r="E12" s="192">
        <v>6850</v>
      </c>
      <c r="F12" s="360">
        <f t="shared" si="0"/>
        <v>-3.5211267605633804E-2</v>
      </c>
      <c r="G12" s="360">
        <f t="shared" si="1"/>
        <v>-7.244414353419093E-2</v>
      </c>
      <c r="I12" s="265"/>
      <c r="J12" s="265"/>
      <c r="K12" s="266"/>
    </row>
    <row r="13" spans="2:11" ht="30" customHeight="1" x14ac:dyDescent="0.3">
      <c r="B13" s="127" t="s">
        <v>25</v>
      </c>
      <c r="C13" s="192">
        <v>700</v>
      </c>
      <c r="D13" s="192">
        <v>700</v>
      </c>
      <c r="E13" s="192">
        <v>700</v>
      </c>
      <c r="F13" s="401">
        <f t="shared" si="0"/>
        <v>0</v>
      </c>
      <c r="G13" s="401">
        <f t="shared" si="1"/>
        <v>0</v>
      </c>
      <c r="I13" s="265"/>
      <c r="J13" s="265"/>
      <c r="K13" s="266"/>
    </row>
    <row r="14" spans="2:11" ht="30" customHeight="1" x14ac:dyDescent="0.3">
      <c r="B14" s="361" t="s">
        <v>26</v>
      </c>
      <c r="C14" s="362">
        <v>830</v>
      </c>
      <c r="D14" s="362">
        <v>815</v>
      </c>
      <c r="E14" s="362">
        <v>800</v>
      </c>
      <c r="F14" s="363">
        <f t="shared" si="0"/>
        <v>-1.8404907975460124E-2</v>
      </c>
      <c r="G14" s="363">
        <f t="shared" si="1"/>
        <v>-3.614457831325301E-2</v>
      </c>
      <c r="I14" s="265"/>
      <c r="J14" s="265"/>
      <c r="K14" s="266"/>
    </row>
    <row r="15" spans="2:11" ht="30" customHeight="1" x14ac:dyDescent="0.3">
      <c r="B15" s="127" t="s">
        <v>27</v>
      </c>
      <c r="C15" s="192">
        <v>87000</v>
      </c>
      <c r="D15" s="192">
        <v>88500</v>
      </c>
      <c r="E15" s="192">
        <v>88000</v>
      </c>
      <c r="F15" s="401">
        <f t="shared" si="0"/>
        <v>-5.6497175141242938E-3</v>
      </c>
      <c r="G15" s="401">
        <f t="shared" si="1"/>
        <v>1.1494252873563218E-2</v>
      </c>
      <c r="I15" s="265"/>
      <c r="J15" s="265"/>
    </row>
    <row r="16" spans="2:11" ht="30" customHeight="1" x14ac:dyDescent="0.3">
      <c r="B16" s="127" t="s">
        <v>28</v>
      </c>
      <c r="C16" s="192">
        <v>10530</v>
      </c>
      <c r="D16" s="192">
        <v>10300</v>
      </c>
      <c r="E16" s="192">
        <v>10050</v>
      </c>
      <c r="F16" s="401">
        <f t="shared" si="0"/>
        <v>-2.4271844660194174E-2</v>
      </c>
      <c r="G16" s="401">
        <f t="shared" si="1"/>
        <v>-4.5584045584045586E-2</v>
      </c>
      <c r="I16" s="265"/>
      <c r="J16" s="265"/>
    </row>
    <row r="17" spans="2:13" ht="30" customHeight="1" x14ac:dyDescent="0.3">
      <c r="B17" s="361" t="s">
        <v>29</v>
      </c>
      <c r="C17" s="362">
        <v>5945</v>
      </c>
      <c r="D17" s="362">
        <v>6100</v>
      </c>
      <c r="E17" s="362">
        <v>6120</v>
      </c>
      <c r="F17" s="363">
        <f t="shared" si="0"/>
        <v>3.2786885245901639E-3</v>
      </c>
      <c r="G17" s="402">
        <f t="shared" si="1"/>
        <v>2.943650126156434E-2</v>
      </c>
      <c r="I17" s="265"/>
      <c r="J17" s="265"/>
    </row>
    <row r="18" spans="2:13" ht="30" customHeight="1" x14ac:dyDescent="0.3">
      <c r="B18" s="127" t="s">
        <v>30</v>
      </c>
      <c r="C18" s="192">
        <v>5000</v>
      </c>
      <c r="D18" s="192">
        <v>6250</v>
      </c>
      <c r="E18" s="192">
        <v>6000</v>
      </c>
      <c r="F18" s="360">
        <f t="shared" si="0"/>
        <v>-0.04</v>
      </c>
      <c r="G18" s="400">
        <f t="shared" si="1"/>
        <v>0.2</v>
      </c>
      <c r="I18" s="265"/>
      <c r="J18" s="265"/>
    </row>
    <row r="19" spans="2:13" ht="30" customHeight="1" thickBot="1" x14ac:dyDescent="0.35">
      <c r="B19" s="132" t="s">
        <v>31</v>
      </c>
      <c r="C19" s="195">
        <v>535</v>
      </c>
      <c r="D19" s="195">
        <v>530</v>
      </c>
      <c r="E19" s="195">
        <v>550</v>
      </c>
      <c r="F19" s="405">
        <f t="shared" si="0"/>
        <v>3.7735849056603772E-2</v>
      </c>
      <c r="G19" s="403">
        <f t="shared" si="1"/>
        <v>2.8037383177570093E-2</v>
      </c>
      <c r="I19" s="265"/>
      <c r="J19" s="265"/>
    </row>
    <row r="20" spans="2:13" ht="57" customHeight="1" thickBot="1" x14ac:dyDescent="0.35">
      <c r="B20" s="174" t="s">
        <v>91</v>
      </c>
      <c r="C20" s="208">
        <v>531.47</v>
      </c>
      <c r="D20" s="209">
        <v>524.42999999999995</v>
      </c>
      <c r="E20" s="209">
        <v>528.4</v>
      </c>
      <c r="F20" s="267">
        <f t="shared" si="0"/>
        <v>7.570123753408515E-3</v>
      </c>
      <c r="G20" s="267">
        <f t="shared" si="1"/>
        <v>-5.7764314072291005E-3</v>
      </c>
      <c r="I20" s="265"/>
      <c r="J20" s="265"/>
    </row>
    <row r="21" spans="2:13" ht="30" customHeight="1" x14ac:dyDescent="0.3">
      <c r="B21" s="129" t="s">
        <v>33</v>
      </c>
      <c r="C21" s="197">
        <v>1700</v>
      </c>
      <c r="D21" s="197">
        <v>1765</v>
      </c>
      <c r="E21" s="197">
        <v>1780</v>
      </c>
      <c r="F21" s="406">
        <f t="shared" si="0"/>
        <v>8.4985835694051E-3</v>
      </c>
      <c r="G21" s="404">
        <f t="shared" si="1"/>
        <v>4.7058823529411764E-2</v>
      </c>
      <c r="I21" s="265"/>
      <c r="J21" s="265"/>
    </row>
    <row r="22" spans="2:13" ht="30" customHeight="1" x14ac:dyDescent="0.3">
      <c r="B22" s="131" t="s">
        <v>34</v>
      </c>
      <c r="C22" s="192">
        <v>2280</v>
      </c>
      <c r="D22" s="192">
        <v>2090</v>
      </c>
      <c r="E22" s="192">
        <v>2100</v>
      </c>
      <c r="F22" s="401">
        <f t="shared" si="0"/>
        <v>4.7846889952153108E-3</v>
      </c>
      <c r="G22" s="360">
        <f t="shared" si="1"/>
        <v>-7.8947368421052627E-2</v>
      </c>
      <c r="I22" s="265"/>
      <c r="J22" s="265"/>
    </row>
    <row r="23" spans="2:13" ht="30" customHeight="1" x14ac:dyDescent="0.3">
      <c r="B23" s="131" t="s">
        <v>116</v>
      </c>
      <c r="C23" s="124">
        <v>10900</v>
      </c>
      <c r="D23" s="124">
        <v>10730</v>
      </c>
      <c r="E23" s="124">
        <v>10890</v>
      </c>
      <c r="F23" s="400">
        <f>IF(OR(D23="", E23=""),"", (E23-D23)/D23)</f>
        <v>1.4911463187325256E-2</v>
      </c>
      <c r="G23" s="401">
        <f>+IF(OR(C23="", E23=""),"", (E23-C23)/C23)</f>
        <v>-9.1743119266055051E-4</v>
      </c>
      <c r="I23" s="265"/>
      <c r="J23" s="265"/>
    </row>
    <row r="24" spans="2:13" ht="30" customHeight="1" x14ac:dyDescent="0.3">
      <c r="B24" s="131" t="s">
        <v>35</v>
      </c>
      <c r="C24" s="192">
        <v>4770</v>
      </c>
      <c r="D24" s="192">
        <v>4600</v>
      </c>
      <c r="E24" s="192">
        <v>4295</v>
      </c>
      <c r="F24" s="360">
        <f t="shared" si="0"/>
        <v>-6.6304347826086962E-2</v>
      </c>
      <c r="G24" s="360">
        <f t="shared" si="1"/>
        <v>-9.9580712788259959E-2</v>
      </c>
      <c r="I24" s="265"/>
      <c r="J24" s="265"/>
    </row>
    <row r="25" spans="2:13" ht="30" customHeight="1" thickBot="1" x14ac:dyDescent="0.35">
      <c r="B25" s="132" t="s">
        <v>37</v>
      </c>
      <c r="C25" s="195">
        <v>17980</v>
      </c>
      <c r="D25" s="195">
        <v>17850</v>
      </c>
      <c r="E25" s="195">
        <v>17900</v>
      </c>
      <c r="F25" s="403">
        <f t="shared" si="0"/>
        <v>2.8011204481792717E-3</v>
      </c>
      <c r="G25" s="403">
        <f t="shared" si="1"/>
        <v>-4.4493882091212458E-3</v>
      </c>
      <c r="I25" s="265"/>
      <c r="J25" s="265"/>
    </row>
    <row r="26" spans="2:13" ht="60" customHeight="1" thickBot="1" x14ac:dyDescent="0.35">
      <c r="B26" s="175" t="s">
        <v>92</v>
      </c>
      <c r="C26" s="210">
        <v>86.42</v>
      </c>
      <c r="D26" s="210">
        <v>86.06</v>
      </c>
      <c r="E26" s="210">
        <v>86.64</v>
      </c>
      <c r="F26" s="268">
        <f>IF(OR(D26="", E26=""),"", (E26-D26)/D26)</f>
        <v>6.739484080873789E-3</v>
      </c>
      <c r="G26" s="268">
        <f>+IF(OR(C26="", E26=""),"", (E26-C26)/C26)</f>
        <v>2.5457070122656658E-3</v>
      </c>
      <c r="I26" s="265"/>
      <c r="J26" s="265"/>
      <c r="L26" s="277"/>
    </row>
    <row r="27" spans="2:13" ht="30" customHeight="1" x14ac:dyDescent="0.3">
      <c r="B27" s="129" t="s">
        <v>39</v>
      </c>
      <c r="C27" s="197">
        <v>7490</v>
      </c>
      <c r="D27" s="197">
        <v>7430</v>
      </c>
      <c r="E27" s="197">
        <v>7395</v>
      </c>
      <c r="F27" s="406">
        <f t="shared" si="0"/>
        <v>-4.7106325706594886E-3</v>
      </c>
      <c r="G27" s="406">
        <f>+IF(OR(C27="", E27=""),"", (E27-C27)/C27)</f>
        <v>-1.2683578104138851E-2</v>
      </c>
      <c r="I27" s="265"/>
      <c r="J27" s="265"/>
      <c r="K27" s="273"/>
      <c r="L27" s="273"/>
      <c r="M27" s="266"/>
    </row>
    <row r="28" spans="2:13" ht="30" customHeight="1" x14ac:dyDescent="0.3">
      <c r="B28" s="131" t="s">
        <v>40</v>
      </c>
      <c r="C28" s="192">
        <v>6360</v>
      </c>
      <c r="D28" s="192">
        <v>6500</v>
      </c>
      <c r="E28" s="192">
        <v>6355</v>
      </c>
      <c r="F28" s="401">
        <f t="shared" si="0"/>
        <v>-2.2307692307692306E-2</v>
      </c>
      <c r="G28" s="401">
        <f t="shared" si="1"/>
        <v>-7.8616352201257866E-4</v>
      </c>
      <c r="I28" s="265"/>
      <c r="J28" s="265"/>
      <c r="K28" s="273"/>
      <c r="L28" s="273"/>
      <c r="M28" s="266"/>
    </row>
    <row r="29" spans="2:13" ht="30" customHeight="1" x14ac:dyDescent="0.3">
      <c r="B29" s="131" t="s">
        <v>41</v>
      </c>
      <c r="C29" s="192">
        <v>6980</v>
      </c>
      <c r="D29" s="192">
        <v>6650</v>
      </c>
      <c r="E29" s="192">
        <v>7195</v>
      </c>
      <c r="F29" s="400">
        <f>IF(OR(D29="", E29=""),"", (E29-D29)/D29)</f>
        <v>8.1954887218045114E-2</v>
      </c>
      <c r="G29" s="401">
        <f t="shared" si="1"/>
        <v>3.0802292263610316E-2</v>
      </c>
      <c r="I29" s="265"/>
      <c r="J29" s="265"/>
      <c r="K29" s="273"/>
      <c r="L29" s="273"/>
      <c r="M29" s="266"/>
    </row>
    <row r="30" spans="2:13" ht="30" customHeight="1" x14ac:dyDescent="0.3">
      <c r="B30" s="131" t="s">
        <v>42</v>
      </c>
      <c r="C30" s="192">
        <v>6895</v>
      </c>
      <c r="D30" s="192">
        <v>7200</v>
      </c>
      <c r="E30" s="192">
        <v>7250</v>
      </c>
      <c r="F30" s="401">
        <f t="shared" si="0"/>
        <v>6.9444444444444441E-3</v>
      </c>
      <c r="G30" s="401">
        <f t="shared" si="1"/>
        <v>5.1486584481508342E-2</v>
      </c>
      <c r="I30" s="265"/>
      <c r="J30" s="265"/>
      <c r="K30" s="273"/>
      <c r="L30" s="273"/>
      <c r="M30" s="266"/>
    </row>
    <row r="31" spans="2:13" ht="30" customHeight="1" x14ac:dyDescent="0.3">
      <c r="B31" s="131" t="s">
        <v>43</v>
      </c>
      <c r="C31" s="192">
        <v>1475</v>
      </c>
      <c r="D31" s="192">
        <v>1300</v>
      </c>
      <c r="E31" s="192">
        <v>1495</v>
      </c>
      <c r="F31" s="400">
        <f t="shared" si="0"/>
        <v>0.15</v>
      </c>
      <c r="G31" s="401">
        <f t="shared" si="1"/>
        <v>1.3559322033898305E-2</v>
      </c>
      <c r="I31" s="265"/>
      <c r="J31" s="265"/>
      <c r="K31" s="273"/>
      <c r="L31" s="273"/>
      <c r="M31" s="266"/>
    </row>
    <row r="32" spans="2:13" ht="30" customHeight="1" x14ac:dyDescent="0.3">
      <c r="B32" s="131" t="s">
        <v>44</v>
      </c>
      <c r="C32" s="192">
        <v>5390</v>
      </c>
      <c r="D32" s="192">
        <v>5100</v>
      </c>
      <c r="E32" s="192">
        <v>5800</v>
      </c>
      <c r="F32" s="400">
        <f t="shared" si="0"/>
        <v>0.13725490196078433</v>
      </c>
      <c r="G32" s="400">
        <f t="shared" si="1"/>
        <v>7.6066790352504632E-2</v>
      </c>
      <c r="I32" s="265"/>
      <c r="J32" s="265"/>
      <c r="K32" s="273"/>
      <c r="L32" s="273"/>
      <c r="M32" s="266"/>
    </row>
    <row r="33" spans="2:13" ht="30" customHeight="1" x14ac:dyDescent="0.3">
      <c r="B33" s="131" t="s">
        <v>45</v>
      </c>
      <c r="C33" s="192">
        <v>3200</v>
      </c>
      <c r="D33" s="192">
        <v>3000</v>
      </c>
      <c r="E33" s="192">
        <v>3195</v>
      </c>
      <c r="F33" s="401">
        <f t="shared" si="0"/>
        <v>6.5000000000000002E-2</v>
      </c>
      <c r="G33" s="401">
        <f t="shared" si="1"/>
        <v>-1.5625000000000001E-3</v>
      </c>
      <c r="I33" s="282"/>
      <c r="J33" s="282"/>
      <c r="K33" s="273"/>
      <c r="L33" s="273"/>
      <c r="M33" s="266"/>
    </row>
    <row r="34" spans="2:13" ht="30" customHeight="1" x14ac:dyDescent="0.3">
      <c r="B34" s="131" t="s">
        <v>46</v>
      </c>
      <c r="C34" s="192">
        <v>9300</v>
      </c>
      <c r="D34" s="192">
        <v>9500</v>
      </c>
      <c r="E34" s="192">
        <v>8800</v>
      </c>
      <c r="F34" s="360">
        <f t="shared" si="0"/>
        <v>-7.3684210526315783E-2</v>
      </c>
      <c r="G34" s="401">
        <f t="shared" si="1"/>
        <v>-5.3763440860215055E-2</v>
      </c>
      <c r="I34" s="282"/>
      <c r="J34" s="282"/>
      <c r="K34" s="273"/>
      <c r="L34" s="273"/>
      <c r="M34" s="266"/>
    </row>
    <row r="35" spans="2:13" ht="30" customHeight="1" x14ac:dyDescent="0.3">
      <c r="B35" s="131" t="s">
        <v>47</v>
      </c>
      <c r="C35" s="192">
        <v>6800</v>
      </c>
      <c r="D35" s="192">
        <v>6795</v>
      </c>
      <c r="E35" s="192">
        <v>6780</v>
      </c>
      <c r="F35" s="401">
        <f t="shared" si="0"/>
        <v>-2.2075055187637969E-3</v>
      </c>
      <c r="G35" s="401">
        <f t="shared" si="1"/>
        <v>-2.9411764705882353E-3</v>
      </c>
      <c r="I35" s="265"/>
      <c r="J35" s="265"/>
      <c r="K35" s="273"/>
      <c r="L35" s="273"/>
      <c r="M35" s="266"/>
    </row>
    <row r="36" spans="2:13" ht="30" customHeight="1" x14ac:dyDescent="0.3">
      <c r="B36" s="131" t="s">
        <v>48</v>
      </c>
      <c r="C36" s="192">
        <v>19</v>
      </c>
      <c r="D36" s="192">
        <v>17</v>
      </c>
      <c r="E36" s="192">
        <v>18</v>
      </c>
      <c r="F36" s="401">
        <f t="shared" si="0"/>
        <v>5.8823529411764705E-2</v>
      </c>
      <c r="G36" s="401">
        <f t="shared" si="1"/>
        <v>-5.2631578947368418E-2</v>
      </c>
      <c r="I36" s="265"/>
      <c r="J36" s="265"/>
      <c r="K36" s="265"/>
      <c r="L36" s="265"/>
      <c r="M36" s="266"/>
    </row>
    <row r="37" spans="2:13" ht="30" customHeight="1" x14ac:dyDescent="0.3">
      <c r="B37" s="131" t="s">
        <v>49</v>
      </c>
      <c r="C37" s="192">
        <v>6000</v>
      </c>
      <c r="D37" s="192">
        <v>5735</v>
      </c>
      <c r="E37" s="192">
        <v>5600</v>
      </c>
      <c r="F37" s="401">
        <f t="shared" si="0"/>
        <v>-2.3539668700959023E-2</v>
      </c>
      <c r="G37" s="360">
        <f t="shared" si="1"/>
        <v>-6.6666666666666666E-2</v>
      </c>
      <c r="I37" s="265"/>
      <c r="J37" s="265"/>
      <c r="K37" s="273"/>
      <c r="L37" s="273"/>
      <c r="M37" s="266"/>
    </row>
    <row r="38" spans="2:13" ht="30" customHeight="1" x14ac:dyDescent="0.3">
      <c r="B38" s="131" t="s">
        <v>50</v>
      </c>
      <c r="C38" s="192">
        <v>2640</v>
      </c>
      <c r="D38" s="192">
        <v>2290</v>
      </c>
      <c r="E38" s="192">
        <v>2220</v>
      </c>
      <c r="F38" s="360">
        <f t="shared" si="0"/>
        <v>-3.0567685589519649E-2</v>
      </c>
      <c r="G38" s="360">
        <f t="shared" si="1"/>
        <v>-0.15909090909090909</v>
      </c>
      <c r="I38" s="265"/>
      <c r="J38" s="265"/>
      <c r="K38" s="273"/>
      <c r="L38" s="273"/>
      <c r="M38" s="266"/>
    </row>
    <row r="39" spans="2:13" ht="30" customHeight="1" x14ac:dyDescent="0.3">
      <c r="B39" s="131" t="s">
        <v>51</v>
      </c>
      <c r="C39" s="192">
        <v>1295</v>
      </c>
      <c r="D39" s="192">
        <v>1125</v>
      </c>
      <c r="E39" s="192">
        <v>1095</v>
      </c>
      <c r="F39" s="360">
        <f t="shared" si="0"/>
        <v>-2.6666666666666668E-2</v>
      </c>
      <c r="G39" s="360">
        <f t="shared" si="1"/>
        <v>-0.15444015444015444</v>
      </c>
      <c r="I39" s="265"/>
      <c r="J39" s="265"/>
      <c r="K39" s="273"/>
      <c r="L39" s="273"/>
      <c r="M39" s="266"/>
    </row>
    <row r="40" spans="2:13" ht="30" customHeight="1" x14ac:dyDescent="0.3">
      <c r="B40" s="131" t="s">
        <v>52</v>
      </c>
      <c r="C40" s="192">
        <v>16050</v>
      </c>
      <c r="D40" s="192">
        <v>17950</v>
      </c>
      <c r="E40" s="192">
        <v>17500</v>
      </c>
      <c r="F40" s="401">
        <f t="shared" si="0"/>
        <v>-2.5069637883008356E-2</v>
      </c>
      <c r="G40" s="400">
        <f t="shared" si="1"/>
        <v>9.0342679127725853E-2</v>
      </c>
      <c r="I40" s="265"/>
      <c r="J40" s="265"/>
    </row>
    <row r="41" spans="2:13" ht="30" customHeight="1" thickBot="1" x14ac:dyDescent="0.35">
      <c r="B41" s="131" t="s">
        <v>53</v>
      </c>
      <c r="C41" s="192">
        <v>5350</v>
      </c>
      <c r="D41" s="192">
        <v>5400</v>
      </c>
      <c r="E41" s="192">
        <v>5800</v>
      </c>
      <c r="F41" s="400">
        <f t="shared" si="0"/>
        <v>7.407407407407407E-2</v>
      </c>
      <c r="G41" s="400">
        <f t="shared" si="1"/>
        <v>8.4112149532710276E-2</v>
      </c>
      <c r="I41" s="265"/>
      <c r="J41" s="265"/>
    </row>
    <row r="42" spans="2:13" ht="57.9" customHeight="1" thickBot="1" x14ac:dyDescent="0.35">
      <c r="B42" s="176" t="s">
        <v>93</v>
      </c>
      <c r="C42" s="211">
        <v>330.96</v>
      </c>
      <c r="D42" s="212">
        <v>360.8</v>
      </c>
      <c r="E42" s="212">
        <v>365.57</v>
      </c>
      <c r="F42" s="269">
        <f t="shared" si="0"/>
        <v>1.3220620842572011E-2</v>
      </c>
      <c r="G42" s="269">
        <f>+IF(OR(C42="", E42=""),"", (E42-C42)/C42)</f>
        <v>0.10457457094512937</v>
      </c>
      <c r="I42" s="265"/>
      <c r="J42" s="265"/>
    </row>
    <row r="43" spans="2:13" ht="30" customHeight="1" x14ac:dyDescent="0.3">
      <c r="B43" s="131" t="s">
        <v>55</v>
      </c>
      <c r="C43" s="192">
        <v>1350</v>
      </c>
      <c r="D43" s="192">
        <v>1475</v>
      </c>
      <c r="E43" s="192">
        <v>1495</v>
      </c>
      <c r="F43" s="400">
        <f t="shared" si="0"/>
        <v>1.3559322033898305E-2</v>
      </c>
      <c r="G43" s="400">
        <f t="shared" si="1"/>
        <v>0.10740740740740741</v>
      </c>
      <c r="I43" s="265"/>
      <c r="J43" s="265"/>
    </row>
    <row r="44" spans="2:13" ht="30" customHeight="1" thickBot="1" x14ac:dyDescent="0.35">
      <c r="B44" s="131" t="s">
        <v>56</v>
      </c>
      <c r="C44" s="126"/>
      <c r="D44" s="126">
        <v>0</v>
      </c>
      <c r="E44" s="126"/>
      <c r="F44" s="401" t="str">
        <f t="shared" si="0"/>
        <v/>
      </c>
      <c r="G44" s="401" t="str">
        <f>+IF(OR(C44="", E44=""),"", (E44-C44)/C44)</f>
        <v/>
      </c>
      <c r="I44" s="265"/>
      <c r="J44" s="265"/>
    </row>
    <row r="45" spans="2:13" ht="62.1" customHeight="1" thickBot="1" x14ac:dyDescent="0.35">
      <c r="B45" s="177" t="s">
        <v>94</v>
      </c>
      <c r="C45" s="213">
        <v>161.56</v>
      </c>
      <c r="D45" s="214">
        <v>160.16</v>
      </c>
      <c r="E45" s="214">
        <v>161.88</v>
      </c>
      <c r="F45" s="270">
        <f t="shared" si="0"/>
        <v>1.0739260739260733E-2</v>
      </c>
      <c r="G45" s="270">
        <f>+IF(OR(C45="", E45=""),"", (E45-C45)/C45)</f>
        <v>1.9806882891804478E-3</v>
      </c>
      <c r="I45" s="265"/>
      <c r="J45" s="265"/>
    </row>
    <row r="46" spans="2:13" ht="30" customHeight="1" x14ac:dyDescent="0.3">
      <c r="B46" s="366" t="s">
        <v>58</v>
      </c>
      <c r="C46" s="367">
        <v>6750</v>
      </c>
      <c r="D46" s="367">
        <v>6900</v>
      </c>
      <c r="E46" s="367">
        <v>6695</v>
      </c>
      <c r="F46" s="412">
        <f t="shared" si="0"/>
        <v>-2.9710144927536233E-2</v>
      </c>
      <c r="G46" s="412">
        <f t="shared" si="1"/>
        <v>-8.1481481481481474E-3</v>
      </c>
      <c r="I46" s="265"/>
      <c r="J46" s="265"/>
    </row>
    <row r="47" spans="2:13" ht="30" customHeight="1" x14ac:dyDescent="0.3">
      <c r="B47" s="131" t="s">
        <v>59</v>
      </c>
      <c r="C47" s="192">
        <v>475</v>
      </c>
      <c r="D47" s="192">
        <v>475</v>
      </c>
      <c r="E47" s="192">
        <v>440</v>
      </c>
      <c r="F47" s="360">
        <f t="shared" si="0"/>
        <v>-7.3684210526315783E-2</v>
      </c>
      <c r="G47" s="360">
        <f t="shared" si="1"/>
        <v>-7.3684210526315783E-2</v>
      </c>
      <c r="I47" s="265"/>
      <c r="J47" s="265"/>
    </row>
    <row r="48" spans="2:13" ht="30" customHeight="1" x14ac:dyDescent="0.3">
      <c r="B48" s="368" t="s">
        <v>60</v>
      </c>
      <c r="C48" s="362">
        <v>3025</v>
      </c>
      <c r="D48" s="362">
        <v>3600</v>
      </c>
      <c r="E48" s="362">
        <v>3600</v>
      </c>
      <c r="F48" s="363">
        <f t="shared" si="0"/>
        <v>0</v>
      </c>
      <c r="G48" s="402">
        <f t="shared" si="1"/>
        <v>0.19008264462809918</v>
      </c>
      <c r="I48" s="265"/>
      <c r="J48" s="265"/>
    </row>
    <row r="49" spans="2:10" ht="30" customHeight="1" x14ac:dyDescent="0.3">
      <c r="B49" s="131" t="s">
        <v>61</v>
      </c>
      <c r="C49" s="192">
        <v>3270</v>
      </c>
      <c r="D49" s="192">
        <v>3190</v>
      </c>
      <c r="E49" s="192">
        <v>3300</v>
      </c>
      <c r="F49" s="400">
        <f t="shared" si="0"/>
        <v>3.4482758620689655E-2</v>
      </c>
      <c r="G49" s="401">
        <f t="shared" si="1"/>
        <v>9.1743119266055051E-3</v>
      </c>
      <c r="I49" s="265"/>
      <c r="J49" s="265"/>
    </row>
    <row r="50" spans="2:10" ht="30" customHeight="1" thickBot="1" x14ac:dyDescent="0.35">
      <c r="B50" s="369" t="s">
        <v>62</v>
      </c>
      <c r="C50" s="370">
        <v>2350</v>
      </c>
      <c r="D50" s="370">
        <v>2230</v>
      </c>
      <c r="E50" s="370">
        <v>2390</v>
      </c>
      <c r="F50" s="413">
        <f t="shared" si="0"/>
        <v>7.1748878923766815E-2</v>
      </c>
      <c r="G50" s="413">
        <f t="shared" si="1"/>
        <v>1.7021276595744681E-2</v>
      </c>
      <c r="I50" s="265"/>
      <c r="J50" s="265"/>
    </row>
    <row r="51" spans="2:10" ht="66" customHeight="1" thickBot="1" x14ac:dyDescent="0.35">
      <c r="B51" s="178" t="s">
        <v>95</v>
      </c>
      <c r="C51" s="215">
        <v>328.21</v>
      </c>
      <c r="D51" s="216">
        <v>317.39</v>
      </c>
      <c r="E51" s="216">
        <v>301.76</v>
      </c>
      <c r="F51" s="271">
        <f>IF(OR(D51="", E51=""),"", (E51-D51)/D51)</f>
        <v>-4.9245407857840498E-2</v>
      </c>
      <c r="G51" s="271">
        <f>+IF(OR(C51="", E51=""),"", (E51-C51)/C51)</f>
        <v>-8.0588647512263467E-2</v>
      </c>
      <c r="I51" s="265"/>
      <c r="J51" s="265"/>
    </row>
    <row r="52" spans="2:10" ht="30" customHeight="1" x14ac:dyDescent="0.3">
      <c r="B52" s="129" t="s">
        <v>64</v>
      </c>
      <c r="C52" s="197">
        <v>1330</v>
      </c>
      <c r="D52" s="197">
        <v>1260</v>
      </c>
      <c r="E52" s="197">
        <v>1305</v>
      </c>
      <c r="F52" s="414">
        <f t="shared" si="0"/>
        <v>3.5714285714285712E-2</v>
      </c>
      <c r="G52" s="407">
        <f t="shared" si="1"/>
        <v>-1.8796992481203006E-2</v>
      </c>
      <c r="I52" s="265"/>
      <c r="J52" s="265"/>
    </row>
    <row r="53" spans="2:10" ht="30" customHeight="1" x14ac:dyDescent="0.3">
      <c r="B53" s="131" t="s">
        <v>65</v>
      </c>
      <c r="C53" s="192">
        <v>1000</v>
      </c>
      <c r="D53" s="192">
        <v>1120</v>
      </c>
      <c r="E53" s="192">
        <v>1065</v>
      </c>
      <c r="F53" s="360">
        <f t="shared" si="0"/>
        <v>-4.9107142857142856E-2</v>
      </c>
      <c r="G53" s="400">
        <f t="shared" si="1"/>
        <v>6.5000000000000002E-2</v>
      </c>
      <c r="I53" s="265"/>
      <c r="J53" s="265"/>
    </row>
    <row r="54" spans="2:10" ht="30" customHeight="1" x14ac:dyDescent="0.3">
      <c r="B54" s="131" t="s">
        <v>66</v>
      </c>
      <c r="C54" s="192">
        <v>840</v>
      </c>
      <c r="D54" s="192">
        <v>800</v>
      </c>
      <c r="E54" s="192">
        <v>725</v>
      </c>
      <c r="F54" s="360">
        <f t="shared" si="0"/>
        <v>-9.375E-2</v>
      </c>
      <c r="G54" s="360">
        <f t="shared" si="1"/>
        <v>-0.13690476190476192</v>
      </c>
    </row>
    <row r="55" spans="2:10" ht="30" customHeight="1" x14ac:dyDescent="0.3">
      <c r="B55" s="131" t="s">
        <v>67</v>
      </c>
      <c r="C55" s="192">
        <v>1900</v>
      </c>
      <c r="D55" s="192">
        <v>2280</v>
      </c>
      <c r="E55" s="192">
        <v>1955</v>
      </c>
      <c r="F55" s="360">
        <f t="shared" si="0"/>
        <v>-0.14254385964912281</v>
      </c>
      <c r="G55" s="400">
        <f t="shared" si="1"/>
        <v>2.8947368421052631E-2</v>
      </c>
    </row>
    <row r="56" spans="2:10" ht="30" customHeight="1" x14ac:dyDescent="0.3">
      <c r="B56" s="131" t="s">
        <v>68</v>
      </c>
      <c r="C56" s="192">
        <v>790</v>
      </c>
      <c r="D56" s="192">
        <v>730</v>
      </c>
      <c r="E56" s="192">
        <v>765</v>
      </c>
      <c r="F56" s="400">
        <f t="shared" si="0"/>
        <v>4.7945205479452052E-2</v>
      </c>
      <c r="G56" s="401">
        <f t="shared" si="1"/>
        <v>-3.1645569620253167E-2</v>
      </c>
    </row>
    <row r="57" spans="2:10" ht="30" customHeight="1" x14ac:dyDescent="0.3">
      <c r="B57" s="131" t="s">
        <v>69</v>
      </c>
      <c r="C57" s="192">
        <v>1800</v>
      </c>
      <c r="D57" s="192">
        <v>1720</v>
      </c>
      <c r="E57" s="192">
        <v>1665</v>
      </c>
      <c r="F57" s="401">
        <f t="shared" si="0"/>
        <v>-3.1976744186046513E-2</v>
      </c>
      <c r="G57" s="360">
        <f t="shared" si="1"/>
        <v>-7.4999999999999997E-2</v>
      </c>
    </row>
    <row r="58" spans="2:10" ht="30" customHeight="1" thickBot="1" x14ac:dyDescent="0.35">
      <c r="B58" s="132" t="s">
        <v>70</v>
      </c>
      <c r="C58" s="195">
        <v>2500</v>
      </c>
      <c r="D58" s="195">
        <v>2430</v>
      </c>
      <c r="E58" s="195">
        <v>2345</v>
      </c>
      <c r="F58" s="403">
        <f t="shared" si="0"/>
        <v>-3.4979423868312758E-2</v>
      </c>
      <c r="G58" s="365">
        <f>+IF(OR(C58="", E58=""),"", (E58-C58)/C58)</f>
        <v>-6.2E-2</v>
      </c>
    </row>
    <row r="59" spans="2:10" ht="68.099999999999994" customHeight="1" thickBot="1" x14ac:dyDescent="0.35">
      <c r="B59" s="179" t="s">
        <v>71</v>
      </c>
      <c r="C59" s="217">
        <v>1110.49</v>
      </c>
      <c r="D59" s="218">
        <v>962.43</v>
      </c>
      <c r="E59" s="218">
        <v>980.94</v>
      </c>
      <c r="F59" s="272">
        <f>IF(OR(D59="", E59=""),"", (E59-D59)/D59)</f>
        <v>1.9232567563355368E-2</v>
      </c>
      <c r="G59" s="272">
        <f>+IF(OR(C59="", E59=""),"", (E59-C59)/C59)</f>
        <v>-0.1166602130591</v>
      </c>
    </row>
    <row r="60" spans="2:10" ht="30" customHeight="1" thickBot="1" x14ac:dyDescent="0.35">
      <c r="B60" s="136" t="s">
        <v>72</v>
      </c>
      <c r="C60" s="205">
        <v>900</v>
      </c>
      <c r="D60" s="205">
        <v>780</v>
      </c>
      <c r="E60" s="205">
        <v>795</v>
      </c>
      <c r="F60" s="415">
        <f t="shared" si="0"/>
        <v>1.9230769230769232E-2</v>
      </c>
      <c r="G60" s="371">
        <f t="shared" si="1"/>
        <v>-0.11666666666666667</v>
      </c>
    </row>
    <row r="61" spans="2:10" ht="15" customHeight="1" x14ac:dyDescent="0.3">
      <c r="B61" s="34"/>
      <c r="C61" s="186"/>
      <c r="D61" s="189"/>
      <c r="E61" s="189"/>
      <c r="F61" s="2"/>
      <c r="G61" s="2"/>
    </row>
    <row r="62" spans="2:10" x14ac:dyDescent="0.3">
      <c r="B62" s="35"/>
      <c r="C62" s="188"/>
      <c r="D62" s="189"/>
      <c r="E62" s="189"/>
      <c r="F62" s="2"/>
      <c r="G62" s="2"/>
    </row>
    <row r="63" spans="2:10" x14ac:dyDescent="0.3">
      <c r="B63" s="2"/>
      <c r="C63" s="189"/>
      <c r="D63" s="189"/>
      <c r="E63" s="189"/>
      <c r="F63" s="2"/>
      <c r="G63" s="2"/>
    </row>
    <row r="64" spans="2:10" x14ac:dyDescent="0.3">
      <c r="B64" s="36"/>
      <c r="C64" s="190"/>
      <c r="D64" s="189"/>
      <c r="E64" s="189"/>
      <c r="F64" s="2"/>
      <c r="G64" s="2"/>
    </row>
    <row r="65" spans="2:7" x14ac:dyDescent="0.3">
      <c r="B65" s="36"/>
      <c r="C65" s="190"/>
      <c r="D65" s="189"/>
      <c r="E65" s="189"/>
      <c r="F65" s="2"/>
      <c r="G65" s="2"/>
    </row>
    <row r="66" spans="2:7" x14ac:dyDescent="0.3">
      <c r="B66" s="36"/>
      <c r="C66" s="190"/>
      <c r="D66" s="189"/>
      <c r="E66" s="189"/>
      <c r="F66" s="2"/>
      <c r="G66" s="2"/>
    </row>
    <row r="67" spans="2:7" x14ac:dyDescent="0.3">
      <c r="B67" s="36"/>
      <c r="C67" s="190"/>
      <c r="D67" s="189"/>
      <c r="E67" s="189"/>
      <c r="F67" s="2"/>
      <c r="G67" s="2"/>
    </row>
    <row r="68" spans="2:7" x14ac:dyDescent="0.3">
      <c r="B68" s="36"/>
      <c r="C68" s="190"/>
      <c r="D68" s="189"/>
      <c r="E68" s="189"/>
      <c r="F68" s="2"/>
      <c r="G68" s="2"/>
    </row>
    <row r="69" spans="2:7" x14ac:dyDescent="0.3">
      <c r="B69" s="36"/>
      <c r="C69" s="190"/>
      <c r="D69" s="189"/>
      <c r="E69" s="189"/>
      <c r="F69" s="2"/>
      <c r="G69" s="2"/>
    </row>
    <row r="70" spans="2:7" x14ac:dyDescent="0.3">
      <c r="B70" s="36"/>
      <c r="C70" s="190"/>
      <c r="D70" s="189"/>
      <c r="E70" s="189"/>
      <c r="F70" s="2"/>
      <c r="G70" s="2"/>
    </row>
    <row r="71" spans="2:7" x14ac:dyDescent="0.3">
      <c r="B71" s="36"/>
      <c r="C71" s="190"/>
      <c r="D71" s="189"/>
      <c r="E71" s="189"/>
      <c r="F71" s="2"/>
      <c r="G71" s="2"/>
    </row>
    <row r="72" spans="2:7" x14ac:dyDescent="0.3">
      <c r="B72" s="36"/>
      <c r="C72" s="190"/>
      <c r="D72" s="189"/>
      <c r="E72" s="189"/>
      <c r="F72" s="2"/>
      <c r="G72" s="2"/>
    </row>
    <row r="73" spans="2:7" x14ac:dyDescent="0.3">
      <c r="B73" s="36"/>
      <c r="C73" s="190"/>
      <c r="D73" s="189"/>
      <c r="E73" s="189"/>
      <c r="F73" s="2"/>
      <c r="G73" s="2"/>
    </row>
    <row r="74" spans="2:7" x14ac:dyDescent="0.3">
      <c r="B74" s="36"/>
      <c r="C74" s="190"/>
      <c r="D74" s="189"/>
      <c r="E74" s="189"/>
      <c r="F74" s="2"/>
      <c r="G74" s="2"/>
    </row>
    <row r="75" spans="2:7" x14ac:dyDescent="0.3">
      <c r="B75" s="36"/>
      <c r="C75" s="190"/>
      <c r="D75" s="189"/>
      <c r="E75" s="189"/>
      <c r="F75" s="2"/>
      <c r="G75" s="2"/>
    </row>
    <row r="76" spans="2:7" x14ac:dyDescent="0.3">
      <c r="B76" s="36"/>
      <c r="C76" s="190"/>
      <c r="D76" s="189"/>
      <c r="E76" s="189"/>
      <c r="F76" s="2"/>
      <c r="G76" s="2"/>
    </row>
    <row r="77" spans="2:7" x14ac:dyDescent="0.3">
      <c r="B77" s="36"/>
      <c r="C77" s="190"/>
      <c r="D77" s="189"/>
      <c r="E77" s="189"/>
      <c r="F77" s="2"/>
      <c r="G77" s="2"/>
    </row>
    <row r="78" spans="2:7" x14ac:dyDescent="0.3">
      <c r="B78" s="36"/>
      <c r="C78" s="190"/>
      <c r="D78" s="189"/>
      <c r="E78" s="189"/>
      <c r="F78" s="2"/>
      <c r="G78" s="2"/>
    </row>
    <row r="79" spans="2:7" x14ac:dyDescent="0.3">
      <c r="B79" s="36"/>
      <c r="C79" s="190"/>
      <c r="D79" s="189"/>
      <c r="E79" s="189"/>
      <c r="F79" s="2"/>
      <c r="G79" s="2"/>
    </row>
    <row r="80" spans="2:7" x14ac:dyDescent="0.3">
      <c r="B80" s="36"/>
      <c r="C80" s="190"/>
      <c r="D80" s="189"/>
      <c r="E80" s="189"/>
      <c r="F80" s="2"/>
      <c r="G80" s="2"/>
    </row>
    <row r="81" spans="2:3" x14ac:dyDescent="0.3">
      <c r="B81" s="37"/>
      <c r="C81" s="191"/>
    </row>
    <row r="82" spans="2:3" x14ac:dyDescent="0.3">
      <c r="B82" s="37"/>
      <c r="C82" s="191"/>
    </row>
    <row r="83" spans="2:3" x14ac:dyDescent="0.3">
      <c r="B83" s="37"/>
      <c r="C83" s="191"/>
    </row>
    <row r="84" spans="2:3" x14ac:dyDescent="0.3">
      <c r="B84" s="37"/>
      <c r="C84" s="191"/>
    </row>
    <row r="85" spans="2:3" x14ac:dyDescent="0.3">
      <c r="B85" s="37"/>
      <c r="C85" s="191"/>
    </row>
    <row r="86" spans="2:3" x14ac:dyDescent="0.3">
      <c r="B86" s="37"/>
      <c r="C86" s="191"/>
    </row>
    <row r="87" spans="2:3" x14ac:dyDescent="0.3">
      <c r="B87" s="37"/>
      <c r="C87" s="191"/>
    </row>
    <row r="88" spans="2:3" x14ac:dyDescent="0.3">
      <c r="B88" s="37"/>
      <c r="C88" s="191"/>
    </row>
    <row r="89" spans="2:3" x14ac:dyDescent="0.3">
      <c r="B89" s="37"/>
      <c r="C89" s="191"/>
    </row>
    <row r="90" spans="2:3" x14ac:dyDescent="0.3">
      <c r="B90" s="37"/>
      <c r="C90" s="191"/>
    </row>
    <row r="91" spans="2:3" x14ac:dyDescent="0.3">
      <c r="B91" s="37"/>
      <c r="C91" s="191"/>
    </row>
    <row r="92" spans="2:3" x14ac:dyDescent="0.3">
      <c r="B92" s="37"/>
      <c r="C92" s="191"/>
    </row>
    <row r="93" spans="2:3" x14ac:dyDescent="0.3">
      <c r="B93" s="37"/>
      <c r="C93" s="191"/>
    </row>
    <row r="94" spans="2:3" x14ac:dyDescent="0.3">
      <c r="B94" s="37"/>
      <c r="C94" s="191"/>
    </row>
    <row r="95" spans="2:3" x14ac:dyDescent="0.3">
      <c r="B95" s="37"/>
      <c r="C95" s="191"/>
    </row>
    <row r="96" spans="2:3" x14ac:dyDescent="0.3">
      <c r="B96" s="37"/>
      <c r="C96" s="191"/>
    </row>
    <row r="97" spans="2:3" x14ac:dyDescent="0.3">
      <c r="B97" s="37"/>
      <c r="C97" s="191"/>
    </row>
    <row r="98" spans="2:3" x14ac:dyDescent="0.3">
      <c r="B98" s="37"/>
      <c r="C98" s="191"/>
    </row>
    <row r="99" spans="2:3" x14ac:dyDescent="0.3">
      <c r="B99" s="37"/>
      <c r="C99" s="191"/>
    </row>
    <row r="100" spans="2:3" x14ac:dyDescent="0.3">
      <c r="B100" s="37"/>
      <c r="C100" s="191"/>
    </row>
    <row r="101" spans="2:3" x14ac:dyDescent="0.3">
      <c r="B101" s="37"/>
      <c r="C101" s="191"/>
    </row>
    <row r="102" spans="2:3" x14ac:dyDescent="0.3">
      <c r="B102" s="37"/>
      <c r="C102" s="191"/>
    </row>
    <row r="103" spans="2:3" x14ac:dyDescent="0.3">
      <c r="B103" s="37"/>
      <c r="C103" s="191"/>
    </row>
    <row r="104" spans="2:3" x14ac:dyDescent="0.3">
      <c r="B104" s="37"/>
      <c r="C104" s="191"/>
    </row>
    <row r="105" spans="2:3" x14ac:dyDescent="0.3">
      <c r="B105" s="37"/>
      <c r="C105" s="191"/>
    </row>
    <row r="106" spans="2:3" x14ac:dyDescent="0.3">
      <c r="B106" s="37"/>
      <c r="C106" s="191"/>
    </row>
    <row r="107" spans="2:3" x14ac:dyDescent="0.3">
      <c r="B107" s="37"/>
      <c r="C107" s="191"/>
    </row>
    <row r="108" spans="2:3" x14ac:dyDescent="0.3">
      <c r="B108" s="37"/>
      <c r="C108" s="191"/>
    </row>
    <row r="109" spans="2:3" x14ac:dyDescent="0.3">
      <c r="B109" s="37"/>
      <c r="C109" s="191"/>
    </row>
    <row r="110" spans="2:3" x14ac:dyDescent="0.3">
      <c r="B110" s="37"/>
      <c r="C110" s="191"/>
    </row>
    <row r="111" spans="2:3" x14ac:dyDescent="0.3">
      <c r="B111" s="37"/>
      <c r="C111" s="191"/>
    </row>
    <row r="112" spans="2:3" x14ac:dyDescent="0.3">
      <c r="B112" s="37"/>
      <c r="C112" s="191"/>
    </row>
    <row r="113" spans="2:3" x14ac:dyDescent="0.3">
      <c r="B113" s="37"/>
      <c r="C113" s="191"/>
    </row>
    <row r="114" spans="2:3" x14ac:dyDescent="0.3">
      <c r="B114" s="37"/>
      <c r="C114" s="191"/>
    </row>
    <row r="115" spans="2:3" x14ac:dyDescent="0.3">
      <c r="B115" s="37"/>
      <c r="C115" s="191"/>
    </row>
    <row r="116" spans="2:3" x14ac:dyDescent="0.3">
      <c r="B116" s="37"/>
      <c r="C116" s="191"/>
    </row>
    <row r="117" spans="2:3" x14ac:dyDescent="0.3">
      <c r="B117" s="37"/>
      <c r="C117" s="191"/>
    </row>
    <row r="118" spans="2:3" x14ac:dyDescent="0.3">
      <c r="B118" s="37"/>
      <c r="C118" s="191"/>
    </row>
    <row r="119" spans="2:3" x14ac:dyDescent="0.3">
      <c r="B119" s="37"/>
      <c r="C119" s="191"/>
    </row>
    <row r="120" spans="2:3" x14ac:dyDescent="0.3">
      <c r="B120" s="37"/>
      <c r="C120" s="191"/>
    </row>
    <row r="121" spans="2:3" x14ac:dyDescent="0.3">
      <c r="B121" s="37"/>
      <c r="C121" s="191"/>
    </row>
    <row r="122" spans="2:3" x14ac:dyDescent="0.3">
      <c r="B122" s="37"/>
      <c r="C122" s="191"/>
    </row>
    <row r="123" spans="2:3" x14ac:dyDescent="0.3">
      <c r="B123" s="37"/>
      <c r="C123" s="191"/>
    </row>
    <row r="124" spans="2:3" x14ac:dyDescent="0.3">
      <c r="B124" s="37"/>
      <c r="C124" s="191"/>
    </row>
    <row r="125" spans="2:3" x14ac:dyDescent="0.3">
      <c r="B125" s="37"/>
      <c r="C125" s="191"/>
    </row>
    <row r="126" spans="2:3" x14ac:dyDescent="0.3">
      <c r="B126" s="37"/>
      <c r="C126" s="191"/>
    </row>
    <row r="127" spans="2:3" x14ac:dyDescent="0.3">
      <c r="B127" s="37"/>
      <c r="C127" s="191"/>
    </row>
    <row r="128" spans="2:3" x14ac:dyDescent="0.3">
      <c r="B128" s="37"/>
      <c r="C128" s="191"/>
    </row>
    <row r="129" spans="2:3" x14ac:dyDescent="0.3">
      <c r="B129" s="37"/>
      <c r="C129" s="191"/>
    </row>
    <row r="130" spans="2:3" x14ac:dyDescent="0.3">
      <c r="B130" s="37"/>
      <c r="C130" s="191"/>
    </row>
    <row r="131" spans="2:3" x14ac:dyDescent="0.3">
      <c r="B131" s="37"/>
      <c r="C131" s="191"/>
    </row>
    <row r="132" spans="2:3" x14ac:dyDescent="0.3">
      <c r="B132" s="37"/>
      <c r="C132" s="191"/>
    </row>
    <row r="133" spans="2:3" x14ac:dyDescent="0.3">
      <c r="B133" s="37"/>
      <c r="C133" s="191"/>
    </row>
    <row r="134" spans="2:3" x14ac:dyDescent="0.3">
      <c r="B134" s="37"/>
      <c r="C134" s="191"/>
    </row>
    <row r="135" spans="2:3" x14ac:dyDescent="0.3">
      <c r="B135" s="37"/>
      <c r="C135" s="191"/>
    </row>
    <row r="136" spans="2:3" x14ac:dyDescent="0.3">
      <c r="B136" s="37"/>
      <c r="C136" s="191"/>
    </row>
    <row r="137" spans="2:3" x14ac:dyDescent="0.3">
      <c r="B137" s="37"/>
      <c r="C137" s="191"/>
    </row>
    <row r="138" spans="2:3" x14ac:dyDescent="0.3">
      <c r="B138" s="37"/>
      <c r="C138" s="191"/>
    </row>
    <row r="139" spans="2:3" x14ac:dyDescent="0.3">
      <c r="B139" s="37"/>
      <c r="C139" s="191"/>
    </row>
    <row r="140" spans="2:3" x14ac:dyDescent="0.3">
      <c r="B140" s="37"/>
      <c r="C140" s="191"/>
    </row>
    <row r="141" spans="2:3" x14ac:dyDescent="0.3">
      <c r="B141" s="37"/>
      <c r="C141" s="191"/>
    </row>
    <row r="142" spans="2:3" x14ac:dyDescent="0.3">
      <c r="B142" s="37"/>
      <c r="C142" s="191"/>
    </row>
    <row r="143" spans="2:3" x14ac:dyDescent="0.3">
      <c r="B143" s="37"/>
      <c r="C143" s="191"/>
    </row>
    <row r="144" spans="2:3" x14ac:dyDescent="0.3">
      <c r="B144" s="37"/>
      <c r="C144" s="191"/>
    </row>
    <row r="145" spans="2:3" x14ac:dyDescent="0.3">
      <c r="B145" s="37"/>
      <c r="C145" s="191"/>
    </row>
    <row r="146" spans="2:3" x14ac:dyDescent="0.3">
      <c r="B146" s="37"/>
      <c r="C146" s="191"/>
    </row>
    <row r="147" spans="2:3" x14ac:dyDescent="0.3">
      <c r="B147" s="37"/>
      <c r="C147" s="191"/>
    </row>
    <row r="148" spans="2:3" x14ac:dyDescent="0.3">
      <c r="B148" s="37"/>
      <c r="C148" s="191"/>
    </row>
    <row r="149" spans="2:3" x14ac:dyDescent="0.3">
      <c r="B149" s="37"/>
      <c r="C149" s="191"/>
    </row>
    <row r="150" spans="2:3" x14ac:dyDescent="0.3">
      <c r="B150" s="37"/>
      <c r="C150" s="191"/>
    </row>
    <row r="151" spans="2:3" x14ac:dyDescent="0.3">
      <c r="B151" s="37"/>
      <c r="C151" s="191"/>
    </row>
    <row r="152" spans="2:3" x14ac:dyDescent="0.3">
      <c r="B152" s="37"/>
      <c r="C152" s="191"/>
    </row>
    <row r="153" spans="2:3" x14ac:dyDescent="0.3">
      <c r="B153" s="37"/>
      <c r="C153" s="191"/>
    </row>
    <row r="154" spans="2:3" x14ac:dyDescent="0.3">
      <c r="B154" s="37"/>
      <c r="C154" s="191"/>
    </row>
    <row r="155" spans="2:3" x14ac:dyDescent="0.3">
      <c r="B155" s="37"/>
      <c r="C155" s="191"/>
    </row>
    <row r="156" spans="2:3" x14ac:dyDescent="0.3">
      <c r="B156" s="37"/>
      <c r="C156" s="191"/>
    </row>
    <row r="157" spans="2:3" x14ac:dyDescent="0.3">
      <c r="B157" s="37"/>
      <c r="C157" s="191"/>
    </row>
    <row r="158" spans="2:3" x14ac:dyDescent="0.3">
      <c r="B158" s="37"/>
      <c r="C158" s="191"/>
    </row>
    <row r="159" spans="2:3" x14ac:dyDescent="0.3">
      <c r="B159" s="37"/>
      <c r="C159" s="191"/>
    </row>
    <row r="160" spans="2:3" x14ac:dyDescent="0.3">
      <c r="B160" s="37"/>
      <c r="C160" s="191"/>
    </row>
    <row r="161" spans="2:3" x14ac:dyDescent="0.3">
      <c r="B161" s="37"/>
      <c r="C161" s="191"/>
    </row>
    <row r="162" spans="2:3" x14ac:dyDescent="0.3">
      <c r="B162" s="37"/>
      <c r="C162" s="191"/>
    </row>
    <row r="163" spans="2:3" x14ac:dyDescent="0.3">
      <c r="B163" s="37"/>
      <c r="C163" s="191"/>
    </row>
    <row r="164" spans="2:3" x14ac:dyDescent="0.3">
      <c r="B164" s="37"/>
      <c r="C164" s="191"/>
    </row>
    <row r="165" spans="2:3" x14ac:dyDescent="0.3">
      <c r="B165" s="37"/>
      <c r="C165" s="191"/>
    </row>
    <row r="166" spans="2:3" x14ac:dyDescent="0.3">
      <c r="B166" s="37"/>
      <c r="C166" s="191"/>
    </row>
    <row r="167" spans="2:3" x14ac:dyDescent="0.3">
      <c r="B167" s="37"/>
      <c r="C167" s="191"/>
    </row>
    <row r="168" spans="2:3" x14ac:dyDescent="0.3">
      <c r="B168" s="37"/>
      <c r="C168" s="191"/>
    </row>
    <row r="169" spans="2:3" x14ac:dyDescent="0.3">
      <c r="B169" s="37"/>
      <c r="C169" s="191"/>
    </row>
    <row r="170" spans="2:3" x14ac:dyDescent="0.3">
      <c r="B170" s="37"/>
      <c r="C170" s="191"/>
    </row>
  </sheetData>
  <sheetProtection formatCells="0"/>
  <mergeCells count="2">
    <mergeCell ref="C6:E6"/>
    <mergeCell ref="F6:G6"/>
  </mergeCells>
  <conditionalFormatting sqref="F8:G8">
    <cfRule type="iconSet" priority="7">
      <iconSet>
        <cfvo type="percent" val="0"/>
        <cfvo type="num" val="0"/>
        <cfvo type="num" val="0"/>
      </iconSet>
    </cfRule>
  </conditionalFormatting>
  <conditionalFormatting sqref="F9:G19 F27:G41 F43:G44 F52:G58 F60:G60 F46:G50 F21:G25">
    <cfRule type="iconSet" priority="8">
      <iconSet iconSet="3Arrows">
        <cfvo type="percent" val="0"/>
        <cfvo type="num" val="0"/>
        <cfvo type="num" val="0"/>
      </iconSet>
    </cfRule>
  </conditionalFormatting>
  <conditionalFormatting sqref="F20:G20">
    <cfRule type="iconSet" priority="6">
      <iconSet>
        <cfvo type="percent" val="0"/>
        <cfvo type="num" val="0"/>
        <cfvo type="num" val="0"/>
      </iconSet>
    </cfRule>
  </conditionalFormatting>
  <conditionalFormatting sqref="F26:G26">
    <cfRule type="iconSet" priority="5">
      <iconSet>
        <cfvo type="percent" val="0"/>
        <cfvo type="num" val="0"/>
        <cfvo type="num" val="0"/>
      </iconSet>
    </cfRule>
  </conditionalFormatting>
  <conditionalFormatting sqref="F42:G42">
    <cfRule type="iconSet" priority="4">
      <iconSet>
        <cfvo type="percent" val="0"/>
        <cfvo type="num" val="0"/>
        <cfvo type="num" val="0"/>
      </iconSet>
    </cfRule>
  </conditionalFormatting>
  <conditionalFormatting sqref="F45:G45">
    <cfRule type="iconSet" priority="1">
      <iconSet>
        <cfvo type="percent" val="0"/>
        <cfvo type="num" val="0"/>
        <cfvo type="num" val="0"/>
      </iconSet>
    </cfRule>
  </conditionalFormatting>
  <conditionalFormatting sqref="F51:G51">
    <cfRule type="iconSet" priority="3">
      <iconSet>
        <cfvo type="percent" val="0"/>
        <cfvo type="num" val="0"/>
        <cfvo type="num" val="0"/>
      </iconSet>
    </cfRule>
  </conditionalFormatting>
  <conditionalFormatting sqref="F59:G59">
    <cfRule type="iconSet" priority="2">
      <iconSet>
        <cfvo type="percent" val="0"/>
        <cfvo type="num" val="0"/>
        <cfvo type="num" val="0"/>
      </iconSet>
    </cfRule>
  </conditionalFormatting>
  <pageMargins left="0.7" right="0.7" top="0.75" bottom="0.75" header="0.3" footer="0.3"/>
  <pageSetup paperSize="9" fitToHeight="0" orientation="landscape" horizontalDpi="4294967295" verticalDpi="4294967295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EC4DF-540A-41B9-BC11-40ADB04253C0}">
  <sheetPr>
    <pageSetUpPr fitToPage="1"/>
  </sheetPr>
  <dimension ref="A5:M171"/>
  <sheetViews>
    <sheetView showGridLines="0" view="pageBreakPreview" topLeftCell="A31" zoomScale="80" zoomScaleNormal="80" zoomScaleSheetLayoutView="80" workbookViewId="0">
      <selection activeCell="V11" sqref="V11"/>
    </sheetView>
  </sheetViews>
  <sheetFormatPr baseColWidth="10" defaultRowHeight="14.4" x14ac:dyDescent="0.3"/>
  <cols>
    <col min="1" max="1" width="40" customWidth="1"/>
    <col min="2" max="2" width="33.33203125" customWidth="1"/>
    <col min="3" max="3" width="32.5546875" customWidth="1"/>
    <col min="4" max="6" width="15.33203125" customWidth="1"/>
    <col min="7" max="7" width="29.6640625" bestFit="1" customWidth="1"/>
  </cols>
  <sheetData>
    <row r="5" spans="1:4" ht="15" thickBot="1" x14ac:dyDescent="0.35"/>
    <row r="6" spans="1:4" ht="30" customHeight="1" thickBot="1" x14ac:dyDescent="0.35">
      <c r="A6" s="4"/>
      <c r="B6" s="171" t="s">
        <v>100</v>
      </c>
      <c r="C6" s="221"/>
    </row>
    <row r="7" spans="1:4" ht="15" thickBot="1" x14ac:dyDescent="0.35">
      <c r="A7" s="135" t="s">
        <v>3</v>
      </c>
      <c r="B7" s="146" t="s">
        <v>150</v>
      </c>
      <c r="C7" s="222"/>
      <c r="D7" s="16"/>
    </row>
    <row r="8" spans="1:4" ht="15" customHeight="1" thickBot="1" x14ac:dyDescent="0.35">
      <c r="A8" s="172" t="s">
        <v>90</v>
      </c>
      <c r="B8" s="173">
        <f>+SUM(B9:B19)</f>
        <v>54611</v>
      </c>
      <c r="C8" s="223"/>
    </row>
    <row r="9" spans="1:4" ht="15" customHeight="1" x14ac:dyDescent="0.3">
      <c r="A9" s="127" t="s">
        <v>17</v>
      </c>
      <c r="B9" s="126">
        <v>2060</v>
      </c>
      <c r="C9" s="224"/>
      <c r="D9" s="1"/>
    </row>
    <row r="10" spans="1:4" ht="15" customHeight="1" x14ac:dyDescent="0.3">
      <c r="A10" s="127" t="s">
        <v>19</v>
      </c>
      <c r="B10" s="126">
        <v>8985</v>
      </c>
      <c r="C10" s="224"/>
      <c r="D10" s="1"/>
    </row>
    <row r="11" spans="1:4" ht="15" customHeight="1" x14ac:dyDescent="0.3">
      <c r="A11" s="128" t="s">
        <v>21</v>
      </c>
      <c r="B11" s="125">
        <v>6289</v>
      </c>
      <c r="C11" s="225"/>
      <c r="D11" s="1"/>
    </row>
    <row r="12" spans="1:4" ht="15" customHeight="1" x14ac:dyDescent="0.3">
      <c r="A12" s="127" t="s">
        <v>23</v>
      </c>
      <c r="B12" s="126">
        <v>1275</v>
      </c>
      <c r="C12" s="224"/>
      <c r="D12" s="1"/>
    </row>
    <row r="13" spans="1:4" ht="15" customHeight="1" x14ac:dyDescent="0.3">
      <c r="A13" s="127" t="s">
        <v>25</v>
      </c>
      <c r="B13" s="126">
        <v>0</v>
      </c>
      <c r="C13" s="224"/>
      <c r="D13" s="1"/>
    </row>
    <row r="14" spans="1:4" ht="15" customHeight="1" x14ac:dyDescent="0.3">
      <c r="A14" s="128" t="s">
        <v>26</v>
      </c>
      <c r="B14" s="125">
        <v>1206</v>
      </c>
      <c r="C14" s="225"/>
      <c r="D14" s="1"/>
    </row>
    <row r="15" spans="1:4" ht="15" customHeight="1" x14ac:dyDescent="0.3">
      <c r="A15" s="127" t="s">
        <v>27</v>
      </c>
      <c r="B15" s="126">
        <v>42</v>
      </c>
      <c r="C15" s="224"/>
      <c r="D15" s="1"/>
    </row>
    <row r="16" spans="1:4" ht="15" customHeight="1" x14ac:dyDescent="0.3">
      <c r="A16" s="127" t="s">
        <v>28</v>
      </c>
      <c r="B16" s="126">
        <v>4948</v>
      </c>
      <c r="C16" s="224"/>
      <c r="D16" s="1"/>
    </row>
    <row r="17" spans="1:8" ht="15" customHeight="1" x14ac:dyDescent="0.3">
      <c r="A17" s="128" t="s">
        <v>29</v>
      </c>
      <c r="B17" s="125">
        <v>3176</v>
      </c>
      <c r="C17" s="225"/>
      <c r="D17" s="1"/>
    </row>
    <row r="18" spans="1:8" ht="15" customHeight="1" x14ac:dyDescent="0.3">
      <c r="A18" s="127" t="s">
        <v>30</v>
      </c>
      <c r="B18" s="126">
        <v>27</v>
      </c>
      <c r="C18" s="224"/>
      <c r="D18" s="1"/>
    </row>
    <row r="19" spans="1:8" ht="15" customHeight="1" thickBot="1" x14ac:dyDescent="0.35">
      <c r="A19" s="132" t="s">
        <v>31</v>
      </c>
      <c r="B19" s="133">
        <v>26603</v>
      </c>
      <c r="C19" s="226"/>
      <c r="D19" s="1"/>
    </row>
    <row r="20" spans="1:8" ht="15" customHeight="1" thickBot="1" x14ac:dyDescent="0.35">
      <c r="A20" s="174" t="s">
        <v>91</v>
      </c>
      <c r="B20" s="180">
        <f>+SUM(B21:B25)</f>
        <v>127263</v>
      </c>
      <c r="C20" s="227"/>
    </row>
    <row r="21" spans="1:8" ht="15" customHeight="1" x14ac:dyDescent="0.3">
      <c r="A21" s="129" t="s">
        <v>33</v>
      </c>
      <c r="B21" s="130">
        <v>26811</v>
      </c>
      <c r="C21" s="226"/>
    </row>
    <row r="22" spans="1:8" ht="15" customHeight="1" x14ac:dyDescent="0.3">
      <c r="A22" s="131" t="s">
        <v>34</v>
      </c>
      <c r="B22" s="124">
        <v>25162</v>
      </c>
      <c r="C22" s="226"/>
    </row>
    <row r="23" spans="1:8" ht="15" customHeight="1" x14ac:dyDescent="0.3">
      <c r="A23" s="131" t="s">
        <v>117</v>
      </c>
      <c r="B23" s="124">
        <v>12257</v>
      </c>
      <c r="C23" s="226"/>
    </row>
    <row r="24" spans="1:8" ht="15" customHeight="1" x14ac:dyDescent="0.3">
      <c r="A24" s="131" t="s">
        <v>35</v>
      </c>
      <c r="B24" s="124">
        <v>3086</v>
      </c>
      <c r="C24" s="226"/>
      <c r="H24" t="s">
        <v>36</v>
      </c>
    </row>
    <row r="25" spans="1:8" ht="15" customHeight="1" thickBot="1" x14ac:dyDescent="0.35">
      <c r="A25" s="132" t="s">
        <v>37</v>
      </c>
      <c r="B25" s="133">
        <v>59947</v>
      </c>
      <c r="C25" s="226"/>
    </row>
    <row r="26" spans="1:8" ht="15" customHeight="1" thickBot="1" x14ac:dyDescent="0.35">
      <c r="A26" s="175" t="s">
        <v>92</v>
      </c>
      <c r="B26" s="181">
        <f>+SUM(B27:B41)-B36</f>
        <v>325432</v>
      </c>
      <c r="C26" s="228"/>
    </row>
    <row r="27" spans="1:8" ht="15" customHeight="1" x14ac:dyDescent="0.3">
      <c r="A27" s="129" t="s">
        <v>39</v>
      </c>
      <c r="B27" s="130">
        <v>6377</v>
      </c>
      <c r="C27" s="226"/>
    </row>
    <row r="28" spans="1:8" ht="15" customHeight="1" x14ac:dyDescent="0.3">
      <c r="A28" s="131" t="s">
        <v>40</v>
      </c>
      <c r="B28" s="124">
        <v>23562</v>
      </c>
      <c r="C28" s="226"/>
    </row>
    <row r="29" spans="1:8" ht="15" customHeight="1" x14ac:dyDescent="0.3">
      <c r="A29" s="131" t="s">
        <v>41</v>
      </c>
      <c r="B29" s="124">
        <v>5070</v>
      </c>
      <c r="C29" s="226"/>
    </row>
    <row r="30" spans="1:8" ht="15" customHeight="1" x14ac:dyDescent="0.3">
      <c r="A30" s="131" t="s">
        <v>42</v>
      </c>
      <c r="B30" s="124">
        <v>20836</v>
      </c>
      <c r="C30" s="226"/>
    </row>
    <row r="31" spans="1:8" ht="15" customHeight="1" x14ac:dyDescent="0.3">
      <c r="A31" s="131" t="s">
        <v>43</v>
      </c>
      <c r="B31" s="124">
        <v>17821</v>
      </c>
      <c r="C31" s="226"/>
    </row>
    <row r="32" spans="1:8" ht="15" customHeight="1" x14ac:dyDescent="0.3">
      <c r="A32" s="131" t="s">
        <v>44</v>
      </c>
      <c r="B32" s="124">
        <v>37884</v>
      </c>
      <c r="C32" s="226"/>
    </row>
    <row r="33" spans="1:7" ht="15" customHeight="1" x14ac:dyDescent="0.3">
      <c r="A33" s="131" t="s">
        <v>45</v>
      </c>
      <c r="B33" s="124">
        <v>71531</v>
      </c>
      <c r="C33" s="226"/>
    </row>
    <row r="34" spans="1:7" ht="15" customHeight="1" x14ac:dyDescent="0.3">
      <c r="A34" s="131" t="s">
        <v>46</v>
      </c>
      <c r="B34" s="124">
        <v>3493</v>
      </c>
      <c r="C34" s="226"/>
    </row>
    <row r="35" spans="1:7" ht="15" customHeight="1" x14ac:dyDescent="0.3">
      <c r="A35" s="131" t="s">
        <v>47</v>
      </c>
      <c r="B35" s="124">
        <v>27181</v>
      </c>
      <c r="C35" s="226"/>
    </row>
    <row r="36" spans="1:7" ht="15" customHeight="1" x14ac:dyDescent="0.3">
      <c r="A36" s="131" t="s">
        <v>48</v>
      </c>
      <c r="B36" s="124">
        <v>2169632</v>
      </c>
      <c r="C36" s="292">
        <f>+B36/G37</f>
        <v>0.8695696783729796</v>
      </c>
      <c r="D36" s="81"/>
    </row>
    <row r="37" spans="1:7" ht="15" customHeight="1" x14ac:dyDescent="0.3">
      <c r="A37" s="131" t="s">
        <v>49</v>
      </c>
      <c r="B37" s="124">
        <v>24258</v>
      </c>
      <c r="C37" s="226"/>
      <c r="G37" s="39">
        <f>+B36+B26</f>
        <v>2495064</v>
      </c>
    </row>
    <row r="38" spans="1:7" ht="15" customHeight="1" x14ac:dyDescent="0.3">
      <c r="A38" s="131" t="s">
        <v>50</v>
      </c>
      <c r="B38" s="124">
        <v>32792</v>
      </c>
      <c r="C38" s="226"/>
    </row>
    <row r="39" spans="1:7" ht="15" customHeight="1" x14ac:dyDescent="0.3">
      <c r="A39" s="131" t="s">
        <v>51</v>
      </c>
      <c r="B39" s="124">
        <v>225</v>
      </c>
      <c r="C39" s="226"/>
    </row>
    <row r="40" spans="1:7" ht="15" customHeight="1" x14ac:dyDescent="0.3">
      <c r="A40" s="131" t="s">
        <v>52</v>
      </c>
      <c r="B40" s="124">
        <v>16508</v>
      </c>
      <c r="C40" s="226"/>
    </row>
    <row r="41" spans="1:7" ht="15" customHeight="1" thickBot="1" x14ac:dyDescent="0.35">
      <c r="A41" s="131" t="s">
        <v>53</v>
      </c>
      <c r="B41" s="124">
        <v>37894</v>
      </c>
      <c r="C41" s="226"/>
    </row>
    <row r="42" spans="1:7" ht="15" customHeight="1" thickBot="1" x14ac:dyDescent="0.35">
      <c r="A42" s="176" t="s">
        <v>93</v>
      </c>
      <c r="B42" s="182">
        <f>+SUM(B43:B44)</f>
        <v>48781</v>
      </c>
      <c r="C42" s="229"/>
    </row>
    <row r="43" spans="1:7" ht="31.35" customHeight="1" x14ac:dyDescent="0.3">
      <c r="A43" s="138" t="s">
        <v>55</v>
      </c>
      <c r="B43" s="139">
        <v>48781</v>
      </c>
      <c r="C43" s="230"/>
    </row>
    <row r="44" spans="1:7" ht="15" customHeight="1" thickBot="1" x14ac:dyDescent="0.35">
      <c r="A44" s="131" t="s">
        <v>56</v>
      </c>
      <c r="B44" s="124">
        <v>0</v>
      </c>
      <c r="C44" s="226"/>
    </row>
    <row r="45" spans="1:7" ht="15" customHeight="1" thickBot="1" x14ac:dyDescent="0.35">
      <c r="A45" s="177" t="s">
        <v>94</v>
      </c>
      <c r="B45" s="183">
        <f>+SUM(B46:B50)</f>
        <v>80737</v>
      </c>
      <c r="C45" s="231"/>
    </row>
    <row r="46" spans="1:7" ht="15" customHeight="1" x14ac:dyDescent="0.3">
      <c r="A46" s="140" t="s">
        <v>58</v>
      </c>
      <c r="B46" s="141">
        <v>27461</v>
      </c>
      <c r="C46" s="232"/>
    </row>
    <row r="47" spans="1:7" ht="15" customHeight="1" x14ac:dyDescent="0.3">
      <c r="A47" s="131" t="s">
        <v>59</v>
      </c>
      <c r="B47" s="124">
        <v>8825</v>
      </c>
      <c r="C47" s="226"/>
    </row>
    <row r="48" spans="1:7" ht="15" customHeight="1" x14ac:dyDescent="0.3">
      <c r="A48" s="142" t="s">
        <v>60</v>
      </c>
      <c r="B48" s="143">
        <v>57</v>
      </c>
      <c r="C48" s="232"/>
    </row>
    <row r="49" spans="1:3" ht="15" customHeight="1" x14ac:dyDescent="0.3">
      <c r="A49" s="131" t="s">
        <v>61</v>
      </c>
      <c r="B49" s="124">
        <v>24682</v>
      </c>
      <c r="C49" s="226"/>
    </row>
    <row r="50" spans="1:3" ht="15" customHeight="1" thickBot="1" x14ac:dyDescent="0.35">
      <c r="A50" s="144" t="s">
        <v>62</v>
      </c>
      <c r="B50" s="145">
        <v>19712</v>
      </c>
      <c r="C50" s="232"/>
    </row>
    <row r="51" spans="1:3" ht="15" customHeight="1" thickBot="1" x14ac:dyDescent="0.35">
      <c r="A51" s="178" t="s">
        <v>95</v>
      </c>
      <c r="B51" s="184">
        <f>+SUM(B52:B58)</f>
        <v>87714</v>
      </c>
      <c r="C51" s="233"/>
    </row>
    <row r="52" spans="1:3" ht="15" customHeight="1" x14ac:dyDescent="0.3">
      <c r="A52" s="129" t="s">
        <v>64</v>
      </c>
      <c r="B52" s="130">
        <v>3404</v>
      </c>
      <c r="C52" s="226"/>
    </row>
    <row r="53" spans="1:3" ht="15" customHeight="1" x14ac:dyDescent="0.3">
      <c r="A53" s="131" t="s">
        <v>65</v>
      </c>
      <c r="B53" s="124">
        <v>2179</v>
      </c>
      <c r="C53" s="226"/>
    </row>
    <row r="54" spans="1:3" ht="15" customHeight="1" x14ac:dyDescent="0.3">
      <c r="A54" s="131" t="s">
        <v>66</v>
      </c>
      <c r="B54" s="124">
        <v>6926</v>
      </c>
      <c r="C54" s="226"/>
    </row>
    <row r="55" spans="1:3" ht="15" customHeight="1" x14ac:dyDescent="0.3">
      <c r="A55" s="131" t="s">
        <v>67</v>
      </c>
      <c r="B55" s="124">
        <v>1868</v>
      </c>
      <c r="C55" s="226"/>
    </row>
    <row r="56" spans="1:3" ht="15" customHeight="1" x14ac:dyDescent="0.3">
      <c r="A56" s="131" t="s">
        <v>68</v>
      </c>
      <c r="B56" s="124">
        <v>4577</v>
      </c>
      <c r="C56" s="226"/>
    </row>
    <row r="57" spans="1:3" ht="15" customHeight="1" x14ac:dyDescent="0.3">
      <c r="A57" s="131" t="s">
        <v>69</v>
      </c>
      <c r="B57" s="124">
        <v>57728</v>
      </c>
      <c r="C57" s="226"/>
    </row>
    <row r="58" spans="1:3" ht="15" customHeight="1" thickBot="1" x14ac:dyDescent="0.35">
      <c r="A58" s="132" t="s">
        <v>70</v>
      </c>
      <c r="B58" s="133">
        <v>11032</v>
      </c>
      <c r="C58" s="226"/>
    </row>
    <row r="59" spans="1:3" ht="15" customHeight="1" thickBot="1" x14ac:dyDescent="0.35">
      <c r="A59" s="179" t="s">
        <v>71</v>
      </c>
      <c r="B59" s="185">
        <f>+SUM(B60)</f>
        <v>847</v>
      </c>
      <c r="C59" s="234"/>
    </row>
    <row r="60" spans="1:3" ht="15" customHeight="1" thickBot="1" x14ac:dyDescent="0.35">
      <c r="A60" s="136" t="s">
        <v>72</v>
      </c>
      <c r="B60" s="137">
        <v>847</v>
      </c>
      <c r="C60" s="226"/>
    </row>
    <row r="61" spans="1:3" ht="15" customHeight="1" x14ac:dyDescent="0.3">
      <c r="A61" s="34"/>
      <c r="B61" s="34"/>
      <c r="C61" s="34"/>
    </row>
    <row r="62" spans="1:3" ht="15" thickBot="1" x14ac:dyDescent="0.35">
      <c r="A62" s="35"/>
      <c r="B62" s="35"/>
      <c r="C62" s="35"/>
    </row>
    <row r="63" spans="1:3" ht="15" thickBot="1" x14ac:dyDescent="0.35">
      <c r="A63" s="4"/>
      <c r="B63" s="235" t="s">
        <v>102</v>
      </c>
      <c r="C63" s="235" t="s">
        <v>103</v>
      </c>
    </row>
    <row r="64" spans="1:3" ht="28.35" customHeight="1" thickBot="1" x14ac:dyDescent="0.35">
      <c r="A64" s="135" t="s">
        <v>3</v>
      </c>
      <c r="B64" s="428" t="s">
        <v>140</v>
      </c>
      <c r="C64" s="429"/>
    </row>
    <row r="65" spans="1:7" ht="15" thickBot="1" x14ac:dyDescent="0.35">
      <c r="A65" s="172" t="s">
        <v>90</v>
      </c>
      <c r="B65" s="236">
        <f>+SUM(B66:B76)</f>
        <v>0</v>
      </c>
      <c r="C65" s="236">
        <f>+SUM(C66:C76)</f>
        <v>0</v>
      </c>
    </row>
    <row r="66" spans="1:7" x14ac:dyDescent="0.3">
      <c r="A66" s="127" t="s">
        <v>17</v>
      </c>
      <c r="B66" s="237"/>
      <c r="C66" s="237"/>
    </row>
    <row r="67" spans="1:7" x14ac:dyDescent="0.3">
      <c r="A67" s="127" t="s">
        <v>19</v>
      </c>
      <c r="B67" s="237"/>
      <c r="C67" s="237"/>
    </row>
    <row r="68" spans="1:7" x14ac:dyDescent="0.3">
      <c r="A68" s="128" t="s">
        <v>21</v>
      </c>
      <c r="B68" s="237"/>
      <c r="C68" s="237"/>
    </row>
    <row r="69" spans="1:7" x14ac:dyDescent="0.3">
      <c r="A69" s="127" t="s">
        <v>23</v>
      </c>
      <c r="B69" s="237"/>
      <c r="C69" s="237"/>
    </row>
    <row r="70" spans="1:7" x14ac:dyDescent="0.3">
      <c r="A70" s="127" t="s">
        <v>25</v>
      </c>
      <c r="B70" s="237"/>
      <c r="C70" s="237"/>
    </row>
    <row r="71" spans="1:7" x14ac:dyDescent="0.3">
      <c r="A71" s="128" t="s">
        <v>26</v>
      </c>
      <c r="B71" s="237"/>
      <c r="C71" s="237"/>
    </row>
    <row r="72" spans="1:7" x14ac:dyDescent="0.3">
      <c r="A72" s="127" t="s">
        <v>27</v>
      </c>
      <c r="B72" s="237"/>
      <c r="C72" s="237"/>
    </row>
    <row r="73" spans="1:7" x14ac:dyDescent="0.3">
      <c r="A73" s="127" t="s">
        <v>28</v>
      </c>
      <c r="B73" s="237"/>
      <c r="C73" s="237"/>
    </row>
    <row r="74" spans="1:7" x14ac:dyDescent="0.3">
      <c r="A74" s="128" t="s">
        <v>29</v>
      </c>
      <c r="B74" s="237"/>
      <c r="C74" s="237"/>
    </row>
    <row r="75" spans="1:7" x14ac:dyDescent="0.3">
      <c r="A75" s="127" t="s">
        <v>30</v>
      </c>
      <c r="B75" s="237"/>
      <c r="C75" s="237"/>
    </row>
    <row r="76" spans="1:7" ht="15" thickBot="1" x14ac:dyDescent="0.35">
      <c r="A76" s="132" t="s">
        <v>31</v>
      </c>
      <c r="B76" s="237"/>
      <c r="C76" s="237"/>
    </row>
    <row r="77" spans="1:7" ht="15" thickBot="1" x14ac:dyDescent="0.35">
      <c r="A77" s="174" t="s">
        <v>91</v>
      </c>
      <c r="B77" s="238">
        <f>+SUM(B78:B82)</f>
        <v>0</v>
      </c>
      <c r="C77" s="238">
        <f>+SUM(C78:C82)</f>
        <v>-160</v>
      </c>
    </row>
    <row r="78" spans="1:7" x14ac:dyDescent="0.3">
      <c r="A78" s="129" t="s">
        <v>33</v>
      </c>
      <c r="B78" s="237"/>
      <c r="C78" s="239"/>
    </row>
    <row r="79" spans="1:7" x14ac:dyDescent="0.3">
      <c r="A79" s="131" t="s">
        <v>34</v>
      </c>
      <c r="B79" s="237"/>
      <c r="C79" s="240">
        <v>-126</v>
      </c>
      <c r="G79" s="293"/>
    </row>
    <row r="80" spans="1:7" x14ac:dyDescent="0.3">
      <c r="A80" s="131" t="s">
        <v>117</v>
      </c>
      <c r="B80" s="237"/>
      <c r="C80" s="240"/>
      <c r="G80" s="293"/>
    </row>
    <row r="81" spans="1:7" ht="15" thickBot="1" x14ac:dyDescent="0.35">
      <c r="A81" s="131" t="s">
        <v>35</v>
      </c>
      <c r="B81" s="237"/>
      <c r="C81" s="240"/>
      <c r="G81" s="293"/>
    </row>
    <row r="82" spans="1:7" ht="15" thickBot="1" x14ac:dyDescent="0.35">
      <c r="A82" s="132" t="s">
        <v>37</v>
      </c>
      <c r="B82" s="239"/>
      <c r="C82" s="241">
        <v>-34</v>
      </c>
      <c r="G82" s="293"/>
    </row>
    <row r="83" spans="1:7" ht="15" thickBot="1" x14ac:dyDescent="0.35">
      <c r="A83" s="175" t="s">
        <v>92</v>
      </c>
      <c r="B83" s="242">
        <f>+SUM(B84:B98)</f>
        <v>0</v>
      </c>
      <c r="C83" s="242">
        <f>+SUM(C84:C98)</f>
        <v>-921</v>
      </c>
      <c r="G83" s="293"/>
    </row>
    <row r="84" spans="1:7" x14ac:dyDescent="0.3">
      <c r="A84" s="129" t="s">
        <v>39</v>
      </c>
      <c r="B84" s="239"/>
      <c r="C84" s="239"/>
      <c r="G84" s="293"/>
    </row>
    <row r="85" spans="1:7" x14ac:dyDescent="0.3">
      <c r="A85" s="131" t="s">
        <v>40</v>
      </c>
      <c r="B85" s="240"/>
      <c r="C85" s="240">
        <v>-145</v>
      </c>
      <c r="G85" s="293"/>
    </row>
    <row r="86" spans="1:7" x14ac:dyDescent="0.3">
      <c r="A86" s="131" t="s">
        <v>41</v>
      </c>
      <c r="B86" s="240"/>
      <c r="C86" s="240">
        <v>-259</v>
      </c>
      <c r="G86" s="293"/>
    </row>
    <row r="87" spans="1:7" x14ac:dyDescent="0.3">
      <c r="A87" s="131" t="s">
        <v>42</v>
      </c>
      <c r="B87" s="240"/>
      <c r="C87" s="240">
        <v>-115</v>
      </c>
      <c r="G87" s="293"/>
    </row>
    <row r="88" spans="1:7" x14ac:dyDescent="0.3">
      <c r="A88" s="131" t="s">
        <v>43</v>
      </c>
      <c r="B88" s="240"/>
      <c r="C88" s="240">
        <v>-52</v>
      </c>
      <c r="G88" s="293"/>
    </row>
    <row r="89" spans="1:7" x14ac:dyDescent="0.3">
      <c r="A89" s="131" t="s">
        <v>44</v>
      </c>
      <c r="B89" s="240"/>
      <c r="C89" s="240">
        <v>-137</v>
      </c>
      <c r="G89" s="293"/>
    </row>
    <row r="90" spans="1:7" x14ac:dyDescent="0.3">
      <c r="A90" s="131" t="s">
        <v>45</v>
      </c>
      <c r="B90" s="240"/>
      <c r="C90" s="240"/>
      <c r="G90" s="293"/>
    </row>
    <row r="91" spans="1:7" x14ac:dyDescent="0.3">
      <c r="A91" s="131" t="s">
        <v>46</v>
      </c>
      <c r="B91" s="240"/>
      <c r="C91" s="240"/>
      <c r="G91" s="293"/>
    </row>
    <row r="92" spans="1:7" x14ac:dyDescent="0.3">
      <c r="A92" s="131" t="s">
        <v>47</v>
      </c>
      <c r="B92" s="240"/>
      <c r="C92" s="240"/>
      <c r="G92" s="293"/>
    </row>
    <row r="93" spans="1:7" x14ac:dyDescent="0.3">
      <c r="A93" s="131" t="s">
        <v>48</v>
      </c>
      <c r="B93" s="240"/>
      <c r="C93" s="240"/>
      <c r="G93" s="293"/>
    </row>
    <row r="94" spans="1:7" x14ac:dyDescent="0.3">
      <c r="A94" s="131" t="s">
        <v>49</v>
      </c>
      <c r="B94" s="240"/>
      <c r="C94" s="240"/>
    </row>
    <row r="95" spans="1:7" x14ac:dyDescent="0.3">
      <c r="A95" s="131" t="s">
        <v>50</v>
      </c>
      <c r="B95" s="240"/>
      <c r="C95" s="240"/>
    </row>
    <row r="96" spans="1:7" x14ac:dyDescent="0.3">
      <c r="A96" s="131" t="s">
        <v>51</v>
      </c>
      <c r="B96" s="240"/>
      <c r="C96" s="240"/>
    </row>
    <row r="97" spans="1:13" x14ac:dyDescent="0.3">
      <c r="A97" s="131" t="s">
        <v>52</v>
      </c>
      <c r="B97" s="240"/>
      <c r="C97" s="240">
        <v>-25</v>
      </c>
    </row>
    <row r="98" spans="1:13" ht="15" thickBot="1" x14ac:dyDescent="0.35">
      <c r="A98" s="131" t="s">
        <v>53</v>
      </c>
      <c r="B98" s="240"/>
      <c r="C98" s="240">
        <v>-188</v>
      </c>
    </row>
    <row r="99" spans="1:13" ht="15" thickBot="1" x14ac:dyDescent="0.35">
      <c r="A99" s="176" t="s">
        <v>93</v>
      </c>
      <c r="B99" s="243">
        <f>+SUM(B100:B101)</f>
        <v>0</v>
      </c>
      <c r="C99" s="243">
        <f>+SUM(C100:C101)</f>
        <v>0</v>
      </c>
      <c r="M99" s="38" t="s">
        <v>73</v>
      </c>
    </row>
    <row r="100" spans="1:13" x14ac:dyDescent="0.3">
      <c r="A100" s="138" t="s">
        <v>55</v>
      </c>
      <c r="B100" s="244"/>
      <c r="C100" s="240"/>
    </row>
    <row r="101" spans="1:13" ht="15" thickBot="1" x14ac:dyDescent="0.35">
      <c r="A101" s="131" t="s">
        <v>56</v>
      </c>
      <c r="B101" s="240"/>
      <c r="C101" s="240"/>
    </row>
    <row r="102" spans="1:13" ht="15" thickBot="1" x14ac:dyDescent="0.35">
      <c r="A102" s="177" t="s">
        <v>94</v>
      </c>
      <c r="B102" s="245">
        <f>+SUM(B103:B107)</f>
        <v>0</v>
      </c>
      <c r="C102" s="245">
        <f>+SUM(C103:C107)</f>
        <v>0</v>
      </c>
    </row>
    <row r="103" spans="1:13" x14ac:dyDescent="0.3">
      <c r="A103" s="140" t="s">
        <v>58</v>
      </c>
      <c r="B103" s="246"/>
      <c r="C103" s="240"/>
    </row>
    <row r="104" spans="1:13" x14ac:dyDescent="0.3">
      <c r="A104" s="131" t="s">
        <v>59</v>
      </c>
      <c r="B104" s="240"/>
      <c r="C104" s="240"/>
    </row>
    <row r="105" spans="1:13" x14ac:dyDescent="0.3">
      <c r="A105" s="142" t="s">
        <v>60</v>
      </c>
      <c r="B105" s="247"/>
      <c r="C105" s="240"/>
    </row>
    <row r="106" spans="1:13" x14ac:dyDescent="0.3">
      <c r="A106" s="131" t="s">
        <v>61</v>
      </c>
      <c r="B106" s="240"/>
      <c r="C106" s="240"/>
    </row>
    <row r="107" spans="1:13" ht="15" thickBot="1" x14ac:dyDescent="0.35">
      <c r="A107" s="144" t="s">
        <v>62</v>
      </c>
      <c r="B107" s="248"/>
      <c r="C107" s="240"/>
    </row>
    <row r="108" spans="1:13" ht="15" thickBot="1" x14ac:dyDescent="0.35">
      <c r="A108" s="178" t="s">
        <v>95</v>
      </c>
      <c r="B108" s="249">
        <f>+SUM(B109:B115)</f>
        <v>0</v>
      </c>
      <c r="C108" s="249">
        <f>+SUM(C109:C115)</f>
        <v>0</v>
      </c>
    </row>
    <row r="109" spans="1:13" x14ac:dyDescent="0.3">
      <c r="A109" s="129" t="s">
        <v>64</v>
      </c>
      <c r="B109" s="239"/>
      <c r="C109" s="240"/>
    </row>
    <row r="110" spans="1:13" x14ac:dyDescent="0.3">
      <c r="A110" s="131" t="s">
        <v>65</v>
      </c>
      <c r="B110" s="240"/>
      <c r="C110" s="240"/>
    </row>
    <row r="111" spans="1:13" x14ac:dyDescent="0.3">
      <c r="A111" s="131" t="s">
        <v>66</v>
      </c>
      <c r="B111" s="240"/>
      <c r="C111" s="240"/>
    </row>
    <row r="112" spans="1:13" x14ac:dyDescent="0.3">
      <c r="A112" s="131" t="s">
        <v>67</v>
      </c>
      <c r="B112" s="240"/>
      <c r="C112" s="240"/>
    </row>
    <row r="113" spans="1:3" x14ac:dyDescent="0.3">
      <c r="A113" s="131" t="s">
        <v>68</v>
      </c>
      <c r="B113" s="240"/>
      <c r="C113" s="240"/>
    </row>
    <row r="114" spans="1:3" x14ac:dyDescent="0.3">
      <c r="A114" s="131" t="s">
        <v>69</v>
      </c>
      <c r="B114" s="240"/>
      <c r="C114" s="240"/>
    </row>
    <row r="115" spans="1:3" ht="15" thickBot="1" x14ac:dyDescent="0.35">
      <c r="A115" s="132" t="s">
        <v>70</v>
      </c>
      <c r="B115" s="241"/>
      <c r="C115" s="240"/>
    </row>
    <row r="116" spans="1:3" ht="15" thickBot="1" x14ac:dyDescent="0.35">
      <c r="A116" s="179" t="s">
        <v>71</v>
      </c>
      <c r="B116" s="250">
        <f>+SUM(B117)</f>
        <v>0</v>
      </c>
      <c r="C116" s="250">
        <f>+SUM(C117)</f>
        <v>0</v>
      </c>
    </row>
    <row r="117" spans="1:3" ht="15" thickBot="1" x14ac:dyDescent="0.35">
      <c r="A117" s="136" t="s">
        <v>72</v>
      </c>
      <c r="B117" s="251"/>
      <c r="C117" s="251"/>
    </row>
    <row r="118" spans="1:3" x14ac:dyDescent="0.3">
      <c r="A118" s="37"/>
      <c r="B118" s="37"/>
      <c r="C118" s="37"/>
    </row>
    <row r="119" spans="1:3" x14ac:dyDescent="0.3">
      <c r="A119" s="37"/>
      <c r="B119" s="37"/>
      <c r="C119" s="37"/>
    </row>
    <row r="120" spans="1:3" x14ac:dyDescent="0.3">
      <c r="A120" s="37"/>
      <c r="B120" s="37"/>
      <c r="C120" s="37"/>
    </row>
    <row r="121" spans="1:3" x14ac:dyDescent="0.3">
      <c r="A121" s="37"/>
      <c r="B121" s="37"/>
      <c r="C121" s="37"/>
    </row>
    <row r="122" spans="1:3" x14ac:dyDescent="0.3">
      <c r="A122" s="37"/>
      <c r="B122" s="37"/>
      <c r="C122" s="37"/>
    </row>
    <row r="123" spans="1:3" x14ac:dyDescent="0.3">
      <c r="A123" s="37"/>
      <c r="B123" s="37"/>
      <c r="C123" s="37"/>
    </row>
    <row r="124" spans="1:3" x14ac:dyDescent="0.3">
      <c r="A124" s="37"/>
      <c r="B124" s="37"/>
      <c r="C124" s="37"/>
    </row>
    <row r="125" spans="1:3" x14ac:dyDescent="0.3">
      <c r="A125" s="37"/>
      <c r="B125" s="37"/>
      <c r="C125" s="37"/>
    </row>
    <row r="126" spans="1:3" x14ac:dyDescent="0.3">
      <c r="A126" s="37"/>
      <c r="B126" s="37"/>
      <c r="C126" s="37"/>
    </row>
    <row r="127" spans="1:3" x14ac:dyDescent="0.3">
      <c r="A127" s="37"/>
      <c r="B127" s="37"/>
      <c r="C127" s="37"/>
    </row>
    <row r="128" spans="1:3" x14ac:dyDescent="0.3">
      <c r="A128" s="37"/>
      <c r="B128" s="37"/>
      <c r="C128" s="37"/>
    </row>
    <row r="129" spans="1:3" x14ac:dyDescent="0.3">
      <c r="A129" s="37"/>
      <c r="B129" s="37"/>
      <c r="C129" s="37"/>
    </row>
    <row r="130" spans="1:3" x14ac:dyDescent="0.3">
      <c r="A130" s="37"/>
      <c r="B130" s="37"/>
      <c r="C130" s="37"/>
    </row>
    <row r="131" spans="1:3" x14ac:dyDescent="0.3">
      <c r="A131" s="37"/>
      <c r="B131" s="37"/>
      <c r="C131" s="37"/>
    </row>
    <row r="132" spans="1:3" x14ac:dyDescent="0.3">
      <c r="A132" s="37"/>
      <c r="B132" s="37"/>
      <c r="C132" s="37"/>
    </row>
    <row r="133" spans="1:3" x14ac:dyDescent="0.3">
      <c r="A133" s="37"/>
      <c r="B133" s="37"/>
      <c r="C133" s="37"/>
    </row>
    <row r="134" spans="1:3" x14ac:dyDescent="0.3">
      <c r="A134" s="37"/>
      <c r="B134" s="37"/>
      <c r="C134" s="37"/>
    </row>
    <row r="135" spans="1:3" x14ac:dyDescent="0.3">
      <c r="A135" s="37"/>
      <c r="B135" s="37"/>
      <c r="C135" s="37"/>
    </row>
    <row r="136" spans="1:3" x14ac:dyDescent="0.3">
      <c r="A136" s="37"/>
      <c r="B136" s="37"/>
      <c r="C136" s="37"/>
    </row>
    <row r="137" spans="1:3" x14ac:dyDescent="0.3">
      <c r="A137" s="37"/>
      <c r="B137" s="37"/>
      <c r="C137" s="37"/>
    </row>
    <row r="138" spans="1:3" x14ac:dyDescent="0.3">
      <c r="A138" s="37"/>
      <c r="B138" s="37"/>
      <c r="C138" s="37"/>
    </row>
    <row r="139" spans="1:3" x14ac:dyDescent="0.3">
      <c r="A139" s="37"/>
      <c r="B139" s="37"/>
      <c r="C139" s="37"/>
    </row>
    <row r="140" spans="1:3" x14ac:dyDescent="0.3">
      <c r="A140" s="37"/>
      <c r="B140" s="37"/>
      <c r="C140" s="37"/>
    </row>
    <row r="141" spans="1:3" x14ac:dyDescent="0.3">
      <c r="A141" s="37"/>
      <c r="B141" s="37"/>
      <c r="C141" s="37"/>
    </row>
    <row r="142" spans="1:3" x14ac:dyDescent="0.3">
      <c r="A142" s="37"/>
      <c r="B142" s="37"/>
      <c r="C142" s="37"/>
    </row>
    <row r="143" spans="1:3" x14ac:dyDescent="0.3">
      <c r="A143" s="37"/>
      <c r="B143" s="37"/>
      <c r="C143" s="37"/>
    </row>
    <row r="144" spans="1:3" x14ac:dyDescent="0.3">
      <c r="A144" s="37"/>
      <c r="B144" s="37"/>
      <c r="C144" s="37"/>
    </row>
    <row r="145" spans="1:3" x14ac:dyDescent="0.3">
      <c r="A145" s="37"/>
      <c r="B145" s="37"/>
      <c r="C145" s="37"/>
    </row>
    <row r="146" spans="1:3" x14ac:dyDescent="0.3">
      <c r="A146" s="37"/>
      <c r="B146" s="37"/>
      <c r="C146" s="37"/>
    </row>
    <row r="147" spans="1:3" x14ac:dyDescent="0.3">
      <c r="A147" s="37"/>
      <c r="B147" s="37"/>
      <c r="C147" s="37"/>
    </row>
    <row r="148" spans="1:3" x14ac:dyDescent="0.3">
      <c r="A148" s="37"/>
      <c r="B148" s="37"/>
      <c r="C148" s="37"/>
    </row>
    <row r="149" spans="1:3" x14ac:dyDescent="0.3">
      <c r="A149" s="37"/>
      <c r="B149" s="37"/>
      <c r="C149" s="37"/>
    </row>
    <row r="150" spans="1:3" x14ac:dyDescent="0.3">
      <c r="A150" s="37"/>
      <c r="B150" s="37"/>
      <c r="C150" s="37"/>
    </row>
    <row r="151" spans="1:3" x14ac:dyDescent="0.3">
      <c r="A151" s="37"/>
      <c r="B151" s="37"/>
      <c r="C151" s="37"/>
    </row>
    <row r="152" spans="1:3" x14ac:dyDescent="0.3">
      <c r="A152" s="37"/>
      <c r="B152" s="37"/>
      <c r="C152" s="37"/>
    </row>
    <row r="153" spans="1:3" x14ac:dyDescent="0.3">
      <c r="A153" s="37"/>
      <c r="B153" s="37"/>
      <c r="C153" s="37"/>
    </row>
    <row r="154" spans="1:3" x14ac:dyDescent="0.3">
      <c r="A154" s="37"/>
      <c r="B154" s="37"/>
      <c r="C154" s="37"/>
    </row>
    <row r="155" spans="1:3" x14ac:dyDescent="0.3">
      <c r="A155" s="37"/>
      <c r="B155" s="37"/>
      <c r="C155" s="37"/>
    </row>
    <row r="156" spans="1:3" x14ac:dyDescent="0.3">
      <c r="A156" s="37"/>
      <c r="B156" s="37"/>
      <c r="C156" s="37"/>
    </row>
    <row r="157" spans="1:3" x14ac:dyDescent="0.3">
      <c r="A157" s="37"/>
      <c r="B157" s="37"/>
      <c r="C157" s="37"/>
    </row>
    <row r="158" spans="1:3" x14ac:dyDescent="0.3">
      <c r="A158" s="37"/>
      <c r="B158" s="37"/>
      <c r="C158" s="37"/>
    </row>
    <row r="159" spans="1:3" x14ac:dyDescent="0.3">
      <c r="A159" s="37"/>
      <c r="B159" s="37"/>
      <c r="C159" s="37"/>
    </row>
    <row r="160" spans="1:3" x14ac:dyDescent="0.3">
      <c r="A160" s="37"/>
      <c r="B160" s="37"/>
      <c r="C160" s="37"/>
    </row>
    <row r="161" spans="1:3" x14ac:dyDescent="0.3">
      <c r="A161" s="37"/>
      <c r="B161" s="37"/>
      <c r="C161" s="37"/>
    </row>
    <row r="162" spans="1:3" x14ac:dyDescent="0.3">
      <c r="A162" s="37"/>
      <c r="B162" s="37"/>
      <c r="C162" s="37"/>
    </row>
    <row r="163" spans="1:3" x14ac:dyDescent="0.3">
      <c r="A163" s="37"/>
      <c r="B163" s="37"/>
      <c r="C163" s="37"/>
    </row>
    <row r="164" spans="1:3" x14ac:dyDescent="0.3">
      <c r="A164" s="37"/>
      <c r="B164" s="37"/>
      <c r="C164" s="37"/>
    </row>
    <row r="165" spans="1:3" x14ac:dyDescent="0.3">
      <c r="A165" s="37"/>
      <c r="B165" s="37"/>
      <c r="C165" s="37"/>
    </row>
    <row r="166" spans="1:3" x14ac:dyDescent="0.3">
      <c r="A166" s="37"/>
      <c r="B166" s="37"/>
      <c r="C166" s="37"/>
    </row>
    <row r="167" spans="1:3" x14ac:dyDescent="0.3">
      <c r="A167" s="37"/>
      <c r="B167" s="37"/>
      <c r="C167" s="37"/>
    </row>
    <row r="168" spans="1:3" x14ac:dyDescent="0.3">
      <c r="A168" s="37"/>
      <c r="B168" s="37"/>
      <c r="C168" s="37"/>
    </row>
    <row r="169" spans="1:3" x14ac:dyDescent="0.3">
      <c r="A169" s="37"/>
      <c r="B169" s="37"/>
      <c r="C169" s="37"/>
    </row>
    <row r="170" spans="1:3" x14ac:dyDescent="0.3">
      <c r="A170" s="37"/>
      <c r="B170" s="37"/>
      <c r="C170" s="37"/>
    </row>
    <row r="171" spans="1:3" x14ac:dyDescent="0.3">
      <c r="A171" s="37"/>
      <c r="B171" s="37"/>
      <c r="C171" s="37"/>
    </row>
  </sheetData>
  <mergeCells count="1">
    <mergeCell ref="B64:C64"/>
  </mergeCells>
  <pageMargins left="0.7" right="0.7" top="0.75" bottom="0.75" header="0.3" footer="0.3"/>
  <pageSetup paperSize="9" scale="64" fitToHeight="0" orientation="landscape" horizontalDpi="4294967295" verticalDpi="4294967295" r:id="rId1"/>
  <colBreaks count="1" manualBreakCount="1">
    <brk id="5" max="1048575" man="1"/>
  </col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1C018-EEB9-4551-9610-A2F352D958E5}">
  <sheetPr>
    <pageSetUpPr fitToPage="1"/>
  </sheetPr>
  <dimension ref="B1:O170"/>
  <sheetViews>
    <sheetView showGridLines="0" zoomScale="110" zoomScaleNormal="110" zoomScaleSheetLayoutView="80" workbookViewId="0">
      <selection activeCell="K50" sqref="K50"/>
    </sheetView>
  </sheetViews>
  <sheetFormatPr baseColWidth="10" defaultRowHeight="14.4" x14ac:dyDescent="0.3"/>
  <cols>
    <col min="1" max="1" width="8.6640625" customWidth="1"/>
    <col min="2" max="2" width="31.44140625" bestFit="1" customWidth="1"/>
    <col min="3" max="3" width="24.44140625" style="298" customWidth="1"/>
    <col min="4" max="4" width="19.33203125" style="298" customWidth="1"/>
    <col min="5" max="5" width="19.33203125" style="312" hidden="1" customWidth="1"/>
    <col min="6" max="6" width="19.33203125" style="336" hidden="1" customWidth="1"/>
    <col min="7" max="8" width="13.44140625" style="187" customWidth="1"/>
    <col min="9" max="9" width="24.6640625" bestFit="1" customWidth="1"/>
  </cols>
  <sheetData>
    <row r="1" spans="2:13" ht="19.649999999999999" customHeight="1" x14ac:dyDescent="0.3"/>
    <row r="2" spans="2:13" ht="26.4" customHeight="1" x14ac:dyDescent="0.3"/>
    <row r="5" spans="2:13" ht="15" thickBot="1" x14ac:dyDescent="0.35"/>
    <row r="6" spans="2:13" ht="30" customHeight="1" thickBot="1" x14ac:dyDescent="0.35">
      <c r="B6" s="4"/>
      <c r="C6" s="430" t="s">
        <v>2</v>
      </c>
      <c r="D6" s="430" t="s">
        <v>15</v>
      </c>
      <c r="E6" s="434" t="s">
        <v>132</v>
      </c>
      <c r="F6" s="435"/>
      <c r="G6" s="294"/>
      <c r="H6" s="294"/>
      <c r="I6" s="432" t="s">
        <v>131</v>
      </c>
    </row>
    <row r="7" spans="2:13" ht="30" customHeight="1" thickBot="1" x14ac:dyDescent="0.35">
      <c r="B7" s="135" t="s">
        <v>3</v>
      </c>
      <c r="C7" s="431"/>
      <c r="D7" s="431"/>
      <c r="E7" s="313" t="s">
        <v>133</v>
      </c>
      <c r="F7" s="337" t="s">
        <v>134</v>
      </c>
      <c r="G7" s="149">
        <v>45345</v>
      </c>
      <c r="H7" s="149">
        <v>45359</v>
      </c>
      <c r="I7" s="433"/>
      <c r="K7" s="281"/>
      <c r="L7" s="281"/>
    </row>
    <row r="8" spans="2:13" ht="51" customHeight="1" thickBot="1" x14ac:dyDescent="0.35">
      <c r="B8" s="172" t="s">
        <v>90</v>
      </c>
      <c r="C8" s="207" t="s">
        <v>20</v>
      </c>
      <c r="D8" s="207"/>
      <c r="E8" s="314"/>
      <c r="F8" s="338"/>
      <c r="G8" s="207">
        <v>1100</v>
      </c>
      <c r="H8" s="207">
        <v>1100</v>
      </c>
      <c r="I8" s="219"/>
      <c r="K8" s="265"/>
      <c r="L8" s="265"/>
      <c r="M8" s="266"/>
    </row>
    <row r="9" spans="2:13" ht="30" customHeight="1" x14ac:dyDescent="0.3">
      <c r="B9" s="127" t="s">
        <v>17</v>
      </c>
      <c r="C9" s="295" t="s">
        <v>20</v>
      </c>
      <c r="D9" s="295"/>
      <c r="E9" s="315"/>
      <c r="F9" s="339"/>
      <c r="G9" s="192">
        <v>1100</v>
      </c>
      <c r="H9" s="192">
        <v>1010</v>
      </c>
      <c r="I9" s="158">
        <f>IF(OR(G9="", H9=""),"", (H9-G9)/G9)</f>
        <v>-8.1818181818181818E-2</v>
      </c>
      <c r="K9" s="265"/>
      <c r="L9" s="265"/>
      <c r="M9" s="266"/>
    </row>
    <row r="10" spans="2:13" ht="30" customHeight="1" x14ac:dyDescent="0.3">
      <c r="B10" s="127" t="s">
        <v>19</v>
      </c>
      <c r="C10" s="295" t="s">
        <v>130</v>
      </c>
      <c r="D10" s="295"/>
      <c r="E10" s="315"/>
      <c r="F10" s="339"/>
      <c r="G10" s="192">
        <v>1990</v>
      </c>
      <c r="H10" s="192">
        <v>1945</v>
      </c>
      <c r="I10" s="158">
        <f t="shared" ref="I10:I60" si="0">IF(OR(G10="", H10=""),"", (H10-G10)/G10)</f>
        <v>-2.2613065326633167E-2</v>
      </c>
      <c r="K10" s="265"/>
      <c r="L10" s="265"/>
      <c r="M10" s="266"/>
    </row>
    <row r="11" spans="2:13" ht="30" customHeight="1" x14ac:dyDescent="0.3">
      <c r="B11" s="128" t="s">
        <v>21</v>
      </c>
      <c r="C11" s="296" t="s">
        <v>20</v>
      </c>
      <c r="D11" s="296"/>
      <c r="E11" s="316"/>
      <c r="F11" s="340"/>
      <c r="G11" s="193">
        <v>690</v>
      </c>
      <c r="H11" s="193">
        <v>685</v>
      </c>
      <c r="I11" s="158">
        <f t="shared" si="0"/>
        <v>-7.246376811594203E-3</v>
      </c>
      <c r="K11" s="265"/>
      <c r="L11" s="265"/>
      <c r="M11" s="266"/>
    </row>
    <row r="12" spans="2:13" ht="30" customHeight="1" x14ac:dyDescent="0.3">
      <c r="B12" s="127" t="s">
        <v>23</v>
      </c>
      <c r="C12" s="295" t="s">
        <v>20</v>
      </c>
      <c r="D12" s="295"/>
      <c r="E12" s="315"/>
      <c r="F12" s="339"/>
      <c r="G12" s="192">
        <v>7100</v>
      </c>
      <c r="H12" s="192">
        <v>6850</v>
      </c>
      <c r="I12" s="151">
        <f t="shared" si="0"/>
        <v>-3.5211267605633804E-2</v>
      </c>
      <c r="K12" s="265"/>
      <c r="L12" s="265"/>
      <c r="M12" s="266"/>
    </row>
    <row r="13" spans="2:13" ht="30" customHeight="1" x14ac:dyDescent="0.3">
      <c r="B13" s="127" t="s">
        <v>25</v>
      </c>
      <c r="C13" s="295" t="s">
        <v>20</v>
      </c>
      <c r="D13" s="295"/>
      <c r="E13" s="315"/>
      <c r="F13" s="339"/>
      <c r="G13" s="192">
        <v>700</v>
      </c>
      <c r="H13" s="192">
        <v>700</v>
      </c>
      <c r="I13" s="158">
        <f t="shared" si="0"/>
        <v>0</v>
      </c>
      <c r="K13" s="265"/>
      <c r="L13" s="265"/>
      <c r="M13" s="266"/>
    </row>
    <row r="14" spans="2:13" ht="30" customHeight="1" x14ac:dyDescent="0.3">
      <c r="B14" s="128" t="s">
        <v>26</v>
      </c>
      <c r="C14" s="296" t="s">
        <v>20</v>
      </c>
      <c r="D14" s="296"/>
      <c r="E14" s="316"/>
      <c r="F14" s="340"/>
      <c r="G14" s="193">
        <v>815</v>
      </c>
      <c r="H14" s="193">
        <v>800</v>
      </c>
      <c r="I14" s="159">
        <f t="shared" si="0"/>
        <v>-1.8404907975460124E-2</v>
      </c>
      <c r="K14" s="265"/>
      <c r="L14" s="265"/>
      <c r="M14" s="266"/>
    </row>
    <row r="15" spans="2:13" ht="30" customHeight="1" x14ac:dyDescent="0.3">
      <c r="B15" s="127" t="s">
        <v>27</v>
      </c>
      <c r="C15" s="295" t="s">
        <v>20</v>
      </c>
      <c r="D15" s="295"/>
      <c r="E15" s="315"/>
      <c r="F15" s="339"/>
      <c r="G15" s="192">
        <v>88500</v>
      </c>
      <c r="H15" s="192">
        <v>88000</v>
      </c>
      <c r="I15" s="158">
        <f>IF(OR(G15="", H15=""),"", (H15-G15)/G15)</f>
        <v>-5.6497175141242938E-3</v>
      </c>
      <c r="K15" s="265"/>
      <c r="L15" s="265"/>
    </row>
    <row r="16" spans="2:13" ht="30" customHeight="1" x14ac:dyDescent="0.3">
      <c r="B16" s="127" t="s">
        <v>28</v>
      </c>
      <c r="C16" s="295" t="s">
        <v>129</v>
      </c>
      <c r="D16" s="295">
        <v>10500</v>
      </c>
      <c r="E16" s="315"/>
      <c r="F16" s="339"/>
      <c r="G16" s="192">
        <v>10300</v>
      </c>
      <c r="H16" s="192">
        <v>10050</v>
      </c>
      <c r="I16" s="151">
        <f t="shared" si="0"/>
        <v>-2.4271844660194174E-2</v>
      </c>
      <c r="K16" s="265"/>
      <c r="L16" s="265"/>
    </row>
    <row r="17" spans="2:15" ht="30" customHeight="1" x14ac:dyDescent="0.3">
      <c r="B17" s="128" t="s">
        <v>29</v>
      </c>
      <c r="C17" s="296" t="s">
        <v>20</v>
      </c>
      <c r="D17" s="296"/>
      <c r="E17" s="316"/>
      <c r="F17" s="340"/>
      <c r="G17" s="193">
        <v>6100</v>
      </c>
      <c r="H17" s="193">
        <v>6120</v>
      </c>
      <c r="I17" s="159">
        <f t="shared" si="0"/>
        <v>3.2786885245901639E-3</v>
      </c>
      <c r="K17" s="265"/>
      <c r="L17" s="265"/>
    </row>
    <row r="18" spans="2:15" ht="30" customHeight="1" x14ac:dyDescent="0.3">
      <c r="B18" s="127" t="s">
        <v>30</v>
      </c>
      <c r="C18" s="295" t="s">
        <v>20</v>
      </c>
      <c r="D18" s="295"/>
      <c r="E18" s="315"/>
      <c r="F18" s="339"/>
      <c r="G18" s="192">
        <v>6250</v>
      </c>
      <c r="H18" s="192">
        <v>6000</v>
      </c>
      <c r="I18" s="158">
        <f t="shared" si="0"/>
        <v>-0.04</v>
      </c>
      <c r="K18" s="265"/>
      <c r="L18" s="265"/>
    </row>
    <row r="19" spans="2:15" ht="30" customHeight="1" thickBot="1" x14ac:dyDescent="0.35">
      <c r="B19" s="132" t="s">
        <v>31</v>
      </c>
      <c r="C19" s="297" t="s">
        <v>20</v>
      </c>
      <c r="D19" s="297"/>
      <c r="E19" s="317"/>
      <c r="F19" s="341"/>
      <c r="G19" s="195">
        <v>530</v>
      </c>
      <c r="H19" s="195">
        <v>550</v>
      </c>
      <c r="I19" s="160">
        <f t="shared" si="0"/>
        <v>3.7735849056603772E-2</v>
      </c>
      <c r="K19" s="265"/>
      <c r="L19" s="265"/>
    </row>
    <row r="20" spans="2:15" ht="57" customHeight="1" thickBot="1" x14ac:dyDescent="0.35">
      <c r="B20" s="174" t="s">
        <v>91</v>
      </c>
      <c r="C20" s="208"/>
      <c r="D20" s="208"/>
      <c r="E20" s="318"/>
      <c r="F20" s="342"/>
      <c r="G20" s="209">
        <v>524.42999999999995</v>
      </c>
      <c r="H20" s="209">
        <v>524.42999999999995</v>
      </c>
      <c r="I20" s="267"/>
      <c r="K20" s="265"/>
      <c r="L20" s="265"/>
    </row>
    <row r="21" spans="2:15" ht="30" customHeight="1" x14ac:dyDescent="0.3">
      <c r="B21" s="129" t="s">
        <v>33</v>
      </c>
      <c r="C21" s="299" t="s">
        <v>20</v>
      </c>
      <c r="D21" s="299"/>
      <c r="E21" s="319"/>
      <c r="F21" s="343"/>
      <c r="G21" s="197">
        <v>1765</v>
      </c>
      <c r="H21" s="108">
        <v>1780</v>
      </c>
      <c r="I21" s="150">
        <f t="shared" si="0"/>
        <v>8.4985835694051E-3</v>
      </c>
      <c r="K21" s="265"/>
      <c r="L21" s="265"/>
    </row>
    <row r="22" spans="2:15" ht="30" customHeight="1" x14ac:dyDescent="0.3">
      <c r="B22" s="131" t="s">
        <v>34</v>
      </c>
      <c r="C22" s="295" t="s">
        <v>130</v>
      </c>
      <c r="D22" s="295"/>
      <c r="E22" s="315"/>
      <c r="F22" s="339"/>
      <c r="G22" s="192">
        <v>2090</v>
      </c>
      <c r="H22" s="108">
        <v>2100</v>
      </c>
      <c r="I22" s="151">
        <f t="shared" si="0"/>
        <v>4.7846889952153108E-3</v>
      </c>
      <c r="K22" s="265"/>
      <c r="L22" s="265"/>
    </row>
    <row r="23" spans="2:15" ht="30" customHeight="1" x14ac:dyDescent="0.3">
      <c r="B23" s="131" t="s">
        <v>116</v>
      </c>
      <c r="C23" s="300" t="s">
        <v>20</v>
      </c>
      <c r="D23" s="300"/>
      <c r="E23" s="320"/>
      <c r="F23" s="344"/>
      <c r="G23" s="124">
        <v>10730</v>
      </c>
      <c r="H23" s="108">
        <v>10890</v>
      </c>
      <c r="I23" s="151">
        <f>IF(OR(G23="", H23=""),"", (H23-G23)/G23)</f>
        <v>1.4911463187325256E-2</v>
      </c>
      <c r="K23" s="265"/>
      <c r="L23" s="265"/>
    </row>
    <row r="24" spans="2:15" ht="30" customHeight="1" x14ac:dyDescent="0.3">
      <c r="B24" s="131" t="s">
        <v>35</v>
      </c>
      <c r="C24" s="295" t="s">
        <v>20</v>
      </c>
      <c r="D24" s="295">
        <v>4800</v>
      </c>
      <c r="E24" s="315"/>
      <c r="F24" s="339"/>
      <c r="G24" s="192">
        <v>4600</v>
      </c>
      <c r="H24" s="108">
        <v>4295</v>
      </c>
      <c r="I24" s="151">
        <f t="shared" si="0"/>
        <v>-6.6304347826086962E-2</v>
      </c>
      <c r="K24" s="265"/>
      <c r="L24" s="265"/>
    </row>
    <row r="25" spans="2:15" ht="30" customHeight="1" thickBot="1" x14ac:dyDescent="0.35">
      <c r="B25" s="132" t="s">
        <v>37</v>
      </c>
      <c r="C25" s="297" t="s">
        <v>20</v>
      </c>
      <c r="D25" s="297">
        <v>18500</v>
      </c>
      <c r="E25" s="317"/>
      <c r="F25" s="341"/>
      <c r="G25" s="195">
        <v>17850</v>
      </c>
      <c r="H25" s="108">
        <v>17900</v>
      </c>
      <c r="I25" s="152">
        <f t="shared" si="0"/>
        <v>2.8011204481792717E-3</v>
      </c>
      <c r="K25" s="265"/>
      <c r="L25" s="265"/>
    </row>
    <row r="26" spans="2:15" ht="60" customHeight="1" thickBot="1" x14ac:dyDescent="0.35">
      <c r="B26" s="175" t="s">
        <v>92</v>
      </c>
      <c r="C26" s="210"/>
      <c r="D26" s="210"/>
      <c r="E26" s="321"/>
      <c r="F26" s="345"/>
      <c r="G26" s="210">
        <v>86.06</v>
      </c>
      <c r="H26" s="210">
        <v>86.06</v>
      </c>
      <c r="I26" s="268"/>
      <c r="K26" s="265"/>
      <c r="L26" s="265"/>
      <c r="N26" s="277"/>
    </row>
    <row r="27" spans="2:15" ht="30" customHeight="1" x14ac:dyDescent="0.3">
      <c r="B27" s="129" t="s">
        <v>39</v>
      </c>
      <c r="C27" s="299" t="s">
        <v>20</v>
      </c>
      <c r="D27" s="299"/>
      <c r="E27" s="319"/>
      <c r="F27" s="343"/>
      <c r="G27" s="197">
        <v>7430</v>
      </c>
      <c r="H27" s="104">
        <v>7395</v>
      </c>
      <c r="I27" s="150">
        <f t="shared" si="0"/>
        <v>-4.7106325706594886E-3</v>
      </c>
      <c r="K27" s="265"/>
      <c r="L27" s="265"/>
      <c r="M27" s="273"/>
      <c r="N27" s="273"/>
      <c r="O27" s="266"/>
    </row>
    <row r="28" spans="2:15" ht="30" customHeight="1" x14ac:dyDescent="0.3">
      <c r="B28" s="131" t="s">
        <v>40</v>
      </c>
      <c r="C28" s="295" t="s">
        <v>20</v>
      </c>
      <c r="D28" s="295"/>
      <c r="E28" s="315"/>
      <c r="F28" s="339"/>
      <c r="G28" s="192">
        <v>6500</v>
      </c>
      <c r="H28" s="108">
        <v>6355</v>
      </c>
      <c r="I28" s="151">
        <f t="shared" si="0"/>
        <v>-2.2307692307692306E-2</v>
      </c>
      <c r="K28" s="265"/>
      <c r="L28" s="265"/>
      <c r="M28" s="273"/>
      <c r="N28" s="273"/>
      <c r="O28" s="266"/>
    </row>
    <row r="29" spans="2:15" ht="30" customHeight="1" x14ac:dyDescent="0.3">
      <c r="B29" s="131" t="s">
        <v>41</v>
      </c>
      <c r="C29" s="295" t="s">
        <v>18</v>
      </c>
      <c r="D29" s="295">
        <v>7300</v>
      </c>
      <c r="E29" s="315"/>
      <c r="F29" s="339"/>
      <c r="G29" s="192">
        <v>6650</v>
      </c>
      <c r="H29" s="108">
        <v>7195</v>
      </c>
      <c r="I29" s="151">
        <f>IF(OR(G29="", H29=""),"", (H29-G29)/G29)</f>
        <v>8.1954887218045114E-2</v>
      </c>
      <c r="K29" s="265"/>
      <c r="L29" s="265"/>
      <c r="M29" s="273"/>
      <c r="N29" s="273"/>
      <c r="O29" s="266"/>
    </row>
    <row r="30" spans="2:15" ht="30" customHeight="1" x14ac:dyDescent="0.3">
      <c r="B30" s="131" t="s">
        <v>42</v>
      </c>
      <c r="C30" s="295" t="s">
        <v>130</v>
      </c>
      <c r="D30" s="295"/>
      <c r="E30" s="315"/>
      <c r="F30" s="339"/>
      <c r="G30" s="192">
        <v>7200</v>
      </c>
      <c r="H30" s="108">
        <v>7250</v>
      </c>
      <c r="I30" s="151">
        <f t="shared" si="0"/>
        <v>6.9444444444444441E-3</v>
      </c>
      <c r="K30" s="265"/>
      <c r="L30" s="265"/>
      <c r="M30" s="273"/>
      <c r="N30" s="273"/>
      <c r="O30" s="266"/>
    </row>
    <row r="31" spans="2:15" ht="30" customHeight="1" x14ac:dyDescent="0.3">
      <c r="B31" s="131" t="s">
        <v>43</v>
      </c>
      <c r="C31" s="295" t="s">
        <v>18</v>
      </c>
      <c r="D31" s="295">
        <v>1500</v>
      </c>
      <c r="E31" s="315"/>
      <c r="F31" s="339"/>
      <c r="G31" s="192">
        <v>1300</v>
      </c>
      <c r="H31" s="108">
        <v>1495</v>
      </c>
      <c r="I31" s="151">
        <f t="shared" si="0"/>
        <v>0.15</v>
      </c>
      <c r="K31" s="265"/>
      <c r="L31" s="265"/>
      <c r="M31" s="273"/>
      <c r="N31" s="273"/>
      <c r="O31" s="266"/>
    </row>
    <row r="32" spans="2:15" ht="30" customHeight="1" x14ac:dyDescent="0.3">
      <c r="B32" s="131" t="s">
        <v>44</v>
      </c>
      <c r="C32" s="295" t="s">
        <v>130</v>
      </c>
      <c r="D32" s="295"/>
      <c r="E32" s="315"/>
      <c r="F32" s="339"/>
      <c r="G32" s="192">
        <v>5100</v>
      </c>
      <c r="H32" s="108">
        <v>5800</v>
      </c>
      <c r="I32" s="311">
        <f t="shared" si="0"/>
        <v>0.13725490196078433</v>
      </c>
      <c r="K32" s="265"/>
      <c r="L32" s="265"/>
      <c r="M32" s="273"/>
      <c r="N32" s="273"/>
      <c r="O32" s="266"/>
    </row>
    <row r="33" spans="2:15" ht="30" customHeight="1" x14ac:dyDescent="0.3">
      <c r="B33" s="131" t="s">
        <v>45</v>
      </c>
      <c r="C33" s="295" t="s">
        <v>18</v>
      </c>
      <c r="D33" s="295">
        <v>3300</v>
      </c>
      <c r="E33" s="315"/>
      <c r="F33" s="339"/>
      <c r="G33" s="192">
        <v>3000</v>
      </c>
      <c r="H33" s="108">
        <v>3195</v>
      </c>
      <c r="I33" s="151">
        <f t="shared" si="0"/>
        <v>6.5000000000000002E-2</v>
      </c>
      <c r="K33" s="282"/>
      <c r="L33" s="282"/>
      <c r="M33" s="273"/>
      <c r="N33" s="273"/>
      <c r="O33" s="266"/>
    </row>
    <row r="34" spans="2:15" ht="30" customHeight="1" x14ac:dyDescent="0.3">
      <c r="B34" s="131" t="s">
        <v>46</v>
      </c>
      <c r="C34" s="295" t="s">
        <v>130</v>
      </c>
      <c r="D34" s="295">
        <v>9900</v>
      </c>
      <c r="E34" s="315"/>
      <c r="F34" s="339"/>
      <c r="G34" s="192">
        <v>9500</v>
      </c>
      <c r="H34" s="108">
        <v>8800</v>
      </c>
      <c r="I34" s="151">
        <f t="shared" si="0"/>
        <v>-7.3684210526315783E-2</v>
      </c>
      <c r="K34" s="282"/>
      <c r="L34" s="282"/>
      <c r="M34" s="273"/>
      <c r="N34" s="273"/>
      <c r="O34" s="266"/>
    </row>
    <row r="35" spans="2:15" ht="30" customHeight="1" x14ac:dyDescent="0.3">
      <c r="B35" s="131" t="s">
        <v>47</v>
      </c>
      <c r="C35" s="295" t="s">
        <v>18</v>
      </c>
      <c r="D35" s="295">
        <v>7500</v>
      </c>
      <c r="E35" s="315"/>
      <c r="F35" s="339"/>
      <c r="G35" s="192">
        <v>6795</v>
      </c>
      <c r="H35" s="108">
        <v>6780</v>
      </c>
      <c r="I35" s="151">
        <f t="shared" si="0"/>
        <v>-2.2075055187637969E-3</v>
      </c>
      <c r="K35" s="265"/>
      <c r="L35" s="265"/>
      <c r="M35" s="273"/>
      <c r="N35" s="273"/>
      <c r="O35" s="266"/>
    </row>
    <row r="36" spans="2:15" ht="30" customHeight="1" x14ac:dyDescent="0.3">
      <c r="B36" s="131" t="s">
        <v>48</v>
      </c>
      <c r="C36" s="295" t="s">
        <v>149</v>
      </c>
      <c r="D36" s="295"/>
      <c r="E36" s="315"/>
      <c r="F36" s="339"/>
      <c r="G36" s="192">
        <v>17</v>
      </c>
      <c r="H36" s="108">
        <v>18</v>
      </c>
      <c r="I36" s="311">
        <f t="shared" si="0"/>
        <v>5.8823529411764705E-2</v>
      </c>
      <c r="K36" s="265"/>
      <c r="L36" s="265"/>
      <c r="M36" s="265"/>
      <c r="N36" s="265"/>
      <c r="O36" s="266"/>
    </row>
    <row r="37" spans="2:15" ht="30" customHeight="1" x14ac:dyDescent="0.3">
      <c r="B37" s="131" t="s">
        <v>49</v>
      </c>
      <c r="C37" s="295" t="s">
        <v>130</v>
      </c>
      <c r="D37" s="295">
        <v>6200</v>
      </c>
      <c r="E37" s="315"/>
      <c r="F37" s="339"/>
      <c r="G37" s="192">
        <v>5735</v>
      </c>
      <c r="H37" s="108">
        <v>5600</v>
      </c>
      <c r="I37" s="151">
        <f t="shared" si="0"/>
        <v>-2.3539668700959023E-2</v>
      </c>
      <c r="K37" s="265"/>
      <c r="L37" s="265"/>
      <c r="M37" s="273"/>
      <c r="N37" s="273"/>
      <c r="O37" s="266"/>
    </row>
    <row r="38" spans="2:15" ht="30" customHeight="1" x14ac:dyDescent="0.3">
      <c r="B38" s="131" t="s">
        <v>50</v>
      </c>
      <c r="C38" s="295" t="s">
        <v>20</v>
      </c>
      <c r="D38" s="295"/>
      <c r="E38" s="315"/>
      <c r="F38" s="339"/>
      <c r="G38" s="192">
        <v>2290</v>
      </c>
      <c r="H38" s="108">
        <v>2220</v>
      </c>
      <c r="I38" s="151">
        <f t="shared" si="0"/>
        <v>-3.0567685589519649E-2</v>
      </c>
      <c r="K38" s="265"/>
      <c r="L38" s="265"/>
      <c r="M38" s="273"/>
      <c r="N38" s="273"/>
      <c r="O38" s="266"/>
    </row>
    <row r="39" spans="2:15" ht="30" customHeight="1" x14ac:dyDescent="0.3">
      <c r="B39" s="131" t="s">
        <v>51</v>
      </c>
      <c r="C39" s="295" t="s">
        <v>20</v>
      </c>
      <c r="D39" s="295"/>
      <c r="E39" s="315"/>
      <c r="F39" s="339"/>
      <c r="G39" s="192">
        <v>1125</v>
      </c>
      <c r="H39" s="108">
        <v>1095</v>
      </c>
      <c r="I39" s="151">
        <f t="shared" si="0"/>
        <v>-2.6666666666666668E-2</v>
      </c>
      <c r="K39" s="265"/>
      <c r="L39" s="265"/>
      <c r="M39" s="273"/>
      <c r="N39" s="273"/>
      <c r="O39" s="266"/>
    </row>
    <row r="40" spans="2:15" ht="30" customHeight="1" x14ac:dyDescent="0.3">
      <c r="B40" s="131" t="s">
        <v>52</v>
      </c>
      <c r="C40" s="295" t="s">
        <v>18</v>
      </c>
      <c r="D40" s="295">
        <v>18500</v>
      </c>
      <c r="E40" s="315"/>
      <c r="F40" s="339"/>
      <c r="G40" s="192">
        <v>17950</v>
      </c>
      <c r="H40" s="108">
        <v>17500</v>
      </c>
      <c r="I40" s="151">
        <f t="shared" si="0"/>
        <v>-2.5069637883008356E-2</v>
      </c>
      <c r="K40" s="265"/>
      <c r="L40" s="265"/>
    </row>
    <row r="41" spans="2:15" ht="30" customHeight="1" thickBot="1" x14ac:dyDescent="0.35">
      <c r="B41" s="131" t="s">
        <v>53</v>
      </c>
      <c r="C41" s="295" t="s">
        <v>129</v>
      </c>
      <c r="D41" s="295"/>
      <c r="E41" s="315"/>
      <c r="F41" s="339"/>
      <c r="G41" s="192">
        <v>5400</v>
      </c>
      <c r="H41" s="108">
        <v>5800</v>
      </c>
      <c r="I41" s="151">
        <f t="shared" si="0"/>
        <v>7.407407407407407E-2</v>
      </c>
      <c r="K41" s="265"/>
      <c r="L41" s="265"/>
    </row>
    <row r="42" spans="2:15" ht="57.9" customHeight="1" thickBot="1" x14ac:dyDescent="0.35">
      <c r="B42" s="176" t="s">
        <v>93</v>
      </c>
      <c r="C42" s="211"/>
      <c r="D42" s="211"/>
      <c r="E42" s="322"/>
      <c r="F42" s="346"/>
      <c r="G42" s="212">
        <v>360.8</v>
      </c>
      <c r="H42" s="212">
        <v>360.8</v>
      </c>
      <c r="I42" s="269"/>
      <c r="K42" s="265"/>
      <c r="L42" s="265"/>
    </row>
    <row r="43" spans="2:15" ht="30" customHeight="1" x14ac:dyDescent="0.3">
      <c r="B43" s="131" t="s">
        <v>55</v>
      </c>
      <c r="C43" s="295" t="s">
        <v>20</v>
      </c>
      <c r="D43" s="295"/>
      <c r="E43" s="315"/>
      <c r="F43" s="339"/>
      <c r="G43" s="192">
        <v>1475</v>
      </c>
      <c r="H43" s="108">
        <v>1495</v>
      </c>
      <c r="I43" s="158">
        <f t="shared" si="0"/>
        <v>1.3559322033898305E-2</v>
      </c>
      <c r="K43" s="265"/>
      <c r="L43" s="265"/>
    </row>
    <row r="44" spans="2:15" ht="30" customHeight="1" thickBot="1" x14ac:dyDescent="0.35">
      <c r="B44" s="131" t="s">
        <v>56</v>
      </c>
      <c r="C44" s="301"/>
      <c r="D44" s="301"/>
      <c r="E44" s="323"/>
      <c r="F44" s="347"/>
      <c r="G44" s="126">
        <v>0</v>
      </c>
      <c r="H44" s="108"/>
      <c r="I44" s="151" t="str">
        <f t="shared" si="0"/>
        <v/>
      </c>
      <c r="K44" s="265"/>
      <c r="L44" s="265"/>
    </row>
    <row r="45" spans="2:15" ht="62.1" customHeight="1" thickBot="1" x14ac:dyDescent="0.35">
      <c r="B45" s="177" t="s">
        <v>94</v>
      </c>
      <c r="C45" s="213"/>
      <c r="D45" s="213"/>
      <c r="E45" s="324"/>
      <c r="F45" s="348"/>
      <c r="G45" s="214">
        <v>160.16</v>
      </c>
      <c r="H45" s="214">
        <v>160.16</v>
      </c>
      <c r="I45" s="270"/>
      <c r="K45" s="265"/>
      <c r="L45" s="265"/>
    </row>
    <row r="46" spans="2:15" ht="30" customHeight="1" x14ac:dyDescent="0.3">
      <c r="B46" s="140" t="s">
        <v>58</v>
      </c>
      <c r="C46" s="302" t="s">
        <v>130</v>
      </c>
      <c r="D46" s="302"/>
      <c r="E46" s="325"/>
      <c r="F46" s="349"/>
      <c r="G46" s="199">
        <v>6900</v>
      </c>
      <c r="H46" s="108">
        <v>6695</v>
      </c>
      <c r="I46" s="153">
        <f t="shared" si="0"/>
        <v>-2.9710144927536233E-2</v>
      </c>
      <c r="K46" s="265"/>
      <c r="L46" s="265"/>
    </row>
    <row r="47" spans="2:15" ht="30" customHeight="1" x14ac:dyDescent="0.3">
      <c r="B47" s="131" t="s">
        <v>59</v>
      </c>
      <c r="C47" s="295" t="s">
        <v>20</v>
      </c>
      <c r="D47" s="295"/>
      <c r="E47" s="315"/>
      <c r="F47" s="339"/>
      <c r="G47" s="192">
        <v>475</v>
      </c>
      <c r="H47" s="108">
        <v>440</v>
      </c>
      <c r="I47" s="158">
        <f t="shared" si="0"/>
        <v>-7.3684210526315783E-2</v>
      </c>
      <c r="K47" s="265"/>
      <c r="L47" s="265"/>
    </row>
    <row r="48" spans="2:15" ht="30" customHeight="1" x14ac:dyDescent="0.3">
      <c r="B48" s="142" t="s">
        <v>60</v>
      </c>
      <c r="C48" s="303" t="s">
        <v>20</v>
      </c>
      <c r="D48" s="303"/>
      <c r="E48" s="326"/>
      <c r="F48" s="350"/>
      <c r="G48" s="201">
        <v>3600</v>
      </c>
      <c r="H48" s="108">
        <v>3600</v>
      </c>
      <c r="I48" s="154">
        <f t="shared" si="0"/>
        <v>0</v>
      </c>
      <c r="K48" s="265"/>
      <c r="L48" s="265"/>
    </row>
    <row r="49" spans="2:12" ht="30" customHeight="1" x14ac:dyDescent="0.3">
      <c r="B49" s="131" t="s">
        <v>61</v>
      </c>
      <c r="C49" s="295" t="s">
        <v>130</v>
      </c>
      <c r="D49" s="295"/>
      <c r="E49" s="315"/>
      <c r="F49" s="339"/>
      <c r="G49" s="192">
        <v>3190</v>
      </c>
      <c r="H49" s="108">
        <v>3300</v>
      </c>
      <c r="I49" s="151">
        <f t="shared" si="0"/>
        <v>3.4482758620689655E-2</v>
      </c>
      <c r="K49" s="265"/>
      <c r="L49" s="265"/>
    </row>
    <row r="50" spans="2:12" ht="30" customHeight="1" thickBot="1" x14ac:dyDescent="0.35">
      <c r="B50" s="144" t="s">
        <v>62</v>
      </c>
      <c r="C50" s="304" t="s">
        <v>20</v>
      </c>
      <c r="D50" s="304"/>
      <c r="E50" s="327"/>
      <c r="F50" s="351"/>
      <c r="G50" s="203">
        <v>2230</v>
      </c>
      <c r="H50" s="108">
        <v>2390</v>
      </c>
      <c r="I50" s="411">
        <f t="shared" si="0"/>
        <v>7.1748878923766815E-2</v>
      </c>
      <c r="K50" s="265"/>
      <c r="L50" s="265"/>
    </row>
    <row r="51" spans="2:12" ht="66" customHeight="1" thickBot="1" x14ac:dyDescent="0.35">
      <c r="B51" s="178" t="s">
        <v>95</v>
      </c>
      <c r="C51" s="215"/>
      <c r="D51" s="215"/>
      <c r="E51" s="328"/>
      <c r="F51" s="352"/>
      <c r="G51" s="216">
        <v>317.39</v>
      </c>
      <c r="H51" s="216">
        <v>317.39</v>
      </c>
      <c r="I51" s="271"/>
      <c r="K51" s="265"/>
      <c r="L51" s="265"/>
    </row>
    <row r="52" spans="2:12" ht="30" customHeight="1" x14ac:dyDescent="0.3">
      <c r="B52" s="129" t="s">
        <v>64</v>
      </c>
      <c r="C52" s="299" t="s">
        <v>20</v>
      </c>
      <c r="D52" s="299"/>
      <c r="E52" s="319"/>
      <c r="F52" s="343"/>
      <c r="G52" s="197">
        <v>1260</v>
      </c>
      <c r="H52" s="108">
        <v>1305</v>
      </c>
      <c r="I52" s="156">
        <f t="shared" si="0"/>
        <v>3.5714285714285712E-2</v>
      </c>
      <c r="K52" s="265"/>
      <c r="L52" s="265"/>
    </row>
    <row r="53" spans="2:12" ht="30" customHeight="1" x14ac:dyDescent="0.3">
      <c r="B53" s="131" t="s">
        <v>65</v>
      </c>
      <c r="C53" s="295" t="s">
        <v>129</v>
      </c>
      <c r="D53" s="295"/>
      <c r="E53" s="315"/>
      <c r="F53" s="339"/>
      <c r="G53" s="192">
        <v>1120</v>
      </c>
      <c r="H53" s="108">
        <v>1065</v>
      </c>
      <c r="I53" s="151">
        <f t="shared" si="0"/>
        <v>-4.9107142857142856E-2</v>
      </c>
      <c r="K53" s="265"/>
      <c r="L53" s="265"/>
    </row>
    <row r="54" spans="2:12" ht="30" customHeight="1" x14ac:dyDescent="0.3">
      <c r="B54" s="131" t="s">
        <v>66</v>
      </c>
      <c r="C54" s="295" t="s">
        <v>20</v>
      </c>
      <c r="D54" s="295"/>
      <c r="E54" s="315"/>
      <c r="F54" s="339"/>
      <c r="G54" s="192">
        <v>800</v>
      </c>
      <c r="H54" s="108">
        <v>725</v>
      </c>
      <c r="I54" s="151">
        <f t="shared" si="0"/>
        <v>-9.375E-2</v>
      </c>
    </row>
    <row r="55" spans="2:12" ht="30" customHeight="1" x14ac:dyDescent="0.3">
      <c r="B55" s="131" t="s">
        <v>67</v>
      </c>
      <c r="C55" s="295" t="s">
        <v>130</v>
      </c>
      <c r="D55" s="295"/>
      <c r="E55" s="315"/>
      <c r="F55" s="339"/>
      <c r="G55" s="192">
        <v>2280</v>
      </c>
      <c r="H55" s="108">
        <v>1955</v>
      </c>
      <c r="I55" s="151">
        <f t="shared" si="0"/>
        <v>-0.14254385964912281</v>
      </c>
    </row>
    <row r="56" spans="2:12" ht="30" customHeight="1" x14ac:dyDescent="0.3">
      <c r="B56" s="131" t="s">
        <v>68</v>
      </c>
      <c r="C56" s="295" t="s">
        <v>20</v>
      </c>
      <c r="D56" s="295"/>
      <c r="E56" s="315"/>
      <c r="F56" s="339"/>
      <c r="G56" s="192">
        <v>730</v>
      </c>
      <c r="H56" s="108">
        <v>765</v>
      </c>
      <c r="I56" s="151">
        <f t="shared" si="0"/>
        <v>4.7945205479452052E-2</v>
      </c>
    </row>
    <row r="57" spans="2:12" ht="30" customHeight="1" x14ac:dyDescent="0.3">
      <c r="B57" s="131" t="s">
        <v>69</v>
      </c>
      <c r="C57" s="295" t="s">
        <v>130</v>
      </c>
      <c r="D57" s="295"/>
      <c r="E57" s="315"/>
      <c r="F57" s="339"/>
      <c r="G57" s="192">
        <v>1720</v>
      </c>
      <c r="H57" s="108">
        <v>1665</v>
      </c>
      <c r="I57" s="151">
        <f t="shared" si="0"/>
        <v>-3.1976744186046513E-2</v>
      </c>
    </row>
    <row r="58" spans="2:12" ht="30" customHeight="1" thickBot="1" x14ac:dyDescent="0.35">
      <c r="B58" s="132" t="s">
        <v>70</v>
      </c>
      <c r="C58" s="297" t="s">
        <v>130</v>
      </c>
      <c r="D58" s="297"/>
      <c r="E58" s="317"/>
      <c r="F58" s="341"/>
      <c r="G58" s="195">
        <v>2430</v>
      </c>
      <c r="H58" s="108">
        <v>2345</v>
      </c>
      <c r="I58" s="152">
        <f t="shared" si="0"/>
        <v>-3.4979423868312758E-2</v>
      </c>
    </row>
    <row r="59" spans="2:12" ht="68.099999999999994" customHeight="1" thickBot="1" x14ac:dyDescent="0.35">
      <c r="B59" s="179" t="s">
        <v>71</v>
      </c>
      <c r="C59" s="217"/>
      <c r="D59" s="217"/>
      <c r="E59" s="329"/>
      <c r="F59" s="353"/>
      <c r="G59" s="218">
        <v>962.43</v>
      </c>
      <c r="H59" s="218">
        <v>962.43</v>
      </c>
      <c r="I59" s="272"/>
    </row>
    <row r="60" spans="2:12" ht="30" customHeight="1" thickBot="1" x14ac:dyDescent="0.35">
      <c r="B60" s="136" t="s">
        <v>72</v>
      </c>
      <c r="C60" s="305" t="s">
        <v>20</v>
      </c>
      <c r="D60" s="305"/>
      <c r="E60" s="330"/>
      <c r="F60" s="354"/>
      <c r="G60" s="205">
        <v>780</v>
      </c>
      <c r="H60" s="108">
        <v>795</v>
      </c>
      <c r="I60" s="157">
        <f t="shared" si="0"/>
        <v>1.9230769230769232E-2</v>
      </c>
    </row>
    <row r="61" spans="2:12" ht="15" customHeight="1" x14ac:dyDescent="0.3">
      <c r="B61" s="34"/>
      <c r="C61" s="306"/>
      <c r="D61" s="306"/>
      <c r="E61" s="331"/>
      <c r="F61" s="355"/>
      <c r="G61" s="189"/>
      <c r="H61" s="189"/>
      <c r="I61" s="2"/>
    </row>
    <row r="62" spans="2:12" x14ac:dyDescent="0.3">
      <c r="B62" s="35"/>
      <c r="C62" s="307"/>
      <c r="D62" s="307"/>
      <c r="E62" s="332"/>
      <c r="F62" s="356"/>
      <c r="G62" s="189"/>
      <c r="H62" s="189"/>
      <c r="I62" s="2"/>
    </row>
    <row r="63" spans="2:12" x14ac:dyDescent="0.3">
      <c r="B63" s="2"/>
      <c r="C63" s="308"/>
      <c r="D63" s="308"/>
      <c r="E63" s="333"/>
      <c r="F63" s="357"/>
      <c r="G63" s="189"/>
      <c r="H63" s="189"/>
      <c r="I63" s="2"/>
    </row>
    <row r="64" spans="2:12" x14ac:dyDescent="0.3">
      <c r="B64" s="36"/>
      <c r="C64" s="309"/>
      <c r="D64" s="309"/>
      <c r="E64" s="334"/>
      <c r="F64" s="358"/>
      <c r="G64" s="189"/>
      <c r="H64" s="189"/>
      <c r="I64" s="2"/>
    </row>
    <row r="65" spans="2:9" x14ac:dyDescent="0.3">
      <c r="B65" s="36"/>
      <c r="C65" s="309"/>
      <c r="D65" s="309"/>
      <c r="E65" s="334"/>
      <c r="F65" s="358"/>
      <c r="G65" s="189"/>
      <c r="H65" s="189"/>
      <c r="I65" s="2"/>
    </row>
    <row r="66" spans="2:9" x14ac:dyDescent="0.3">
      <c r="B66" s="36"/>
      <c r="C66" s="309"/>
      <c r="D66" s="309"/>
      <c r="E66" s="334"/>
      <c r="F66" s="358"/>
      <c r="G66" s="189"/>
      <c r="H66" s="189"/>
      <c r="I66" s="2"/>
    </row>
    <row r="67" spans="2:9" x14ac:dyDescent="0.3">
      <c r="B67" s="36"/>
      <c r="C67" s="309"/>
      <c r="D67" s="309"/>
      <c r="E67" s="334"/>
      <c r="F67" s="358"/>
      <c r="G67" s="189"/>
      <c r="H67" s="189"/>
      <c r="I67" s="2"/>
    </row>
    <row r="68" spans="2:9" x14ac:dyDescent="0.3">
      <c r="B68" s="36"/>
      <c r="C68" s="309"/>
      <c r="D68" s="309"/>
      <c r="E68" s="334"/>
      <c r="F68" s="358"/>
      <c r="G68" s="189"/>
      <c r="H68" s="189"/>
      <c r="I68" s="2"/>
    </row>
    <row r="69" spans="2:9" x14ac:dyDescent="0.3">
      <c r="B69" s="36"/>
      <c r="C69" s="309"/>
      <c r="D69" s="309"/>
      <c r="E69" s="334"/>
      <c r="F69" s="358"/>
      <c r="G69" s="189"/>
      <c r="H69" s="189"/>
      <c r="I69" s="2"/>
    </row>
    <row r="70" spans="2:9" x14ac:dyDescent="0.3">
      <c r="B70" s="36"/>
      <c r="C70" s="309"/>
      <c r="D70" s="309"/>
      <c r="E70" s="334"/>
      <c r="F70" s="358"/>
      <c r="G70" s="189"/>
      <c r="H70" s="189"/>
      <c r="I70" s="2"/>
    </row>
    <row r="71" spans="2:9" x14ac:dyDescent="0.3">
      <c r="B71" s="36"/>
      <c r="C71" s="309"/>
      <c r="D71" s="309"/>
      <c r="E71" s="334"/>
      <c r="F71" s="358"/>
      <c r="G71" s="189"/>
      <c r="H71" s="189"/>
      <c r="I71" s="2"/>
    </row>
    <row r="72" spans="2:9" x14ac:dyDescent="0.3">
      <c r="B72" s="36"/>
      <c r="C72" s="309"/>
      <c r="D72" s="309"/>
      <c r="E72" s="334"/>
      <c r="F72" s="358"/>
      <c r="G72" s="189"/>
      <c r="H72" s="189"/>
      <c r="I72" s="2"/>
    </row>
    <row r="73" spans="2:9" x14ac:dyDescent="0.3">
      <c r="B73" s="36"/>
      <c r="C73" s="309"/>
      <c r="D73" s="309"/>
      <c r="E73" s="334"/>
      <c r="F73" s="358"/>
      <c r="G73" s="189"/>
      <c r="H73" s="189"/>
      <c r="I73" s="2"/>
    </row>
    <row r="74" spans="2:9" x14ac:dyDescent="0.3">
      <c r="B74" s="36"/>
      <c r="C74" s="309"/>
      <c r="D74" s="309"/>
      <c r="E74" s="334"/>
      <c r="F74" s="358"/>
      <c r="G74" s="189"/>
      <c r="H74" s="189"/>
      <c r="I74" s="2"/>
    </row>
    <row r="75" spans="2:9" x14ac:dyDescent="0.3">
      <c r="B75" s="36"/>
      <c r="C75" s="309"/>
      <c r="D75" s="309"/>
      <c r="E75" s="334"/>
      <c r="F75" s="358"/>
      <c r="G75" s="189"/>
      <c r="H75" s="189"/>
      <c r="I75" s="2"/>
    </row>
    <row r="76" spans="2:9" x14ac:dyDescent="0.3">
      <c r="B76" s="36"/>
      <c r="C76" s="309"/>
      <c r="D76" s="309"/>
      <c r="E76" s="334"/>
      <c r="F76" s="358"/>
      <c r="G76" s="189"/>
      <c r="H76" s="189"/>
      <c r="I76" s="2"/>
    </row>
    <row r="77" spans="2:9" x14ac:dyDescent="0.3">
      <c r="B77" s="36"/>
      <c r="C77" s="309"/>
      <c r="D77" s="309"/>
      <c r="E77" s="334"/>
      <c r="F77" s="358"/>
      <c r="G77" s="189"/>
      <c r="H77" s="189"/>
      <c r="I77" s="2"/>
    </row>
    <row r="78" spans="2:9" x14ac:dyDescent="0.3">
      <c r="B78" s="36"/>
      <c r="C78" s="309"/>
      <c r="D78" s="309"/>
      <c r="E78" s="334"/>
      <c r="F78" s="358"/>
      <c r="G78" s="189"/>
      <c r="H78" s="189"/>
      <c r="I78" s="2"/>
    </row>
    <row r="79" spans="2:9" x14ac:dyDescent="0.3">
      <c r="B79" s="36"/>
      <c r="C79" s="309"/>
      <c r="D79" s="309"/>
      <c r="E79" s="334"/>
      <c r="F79" s="358"/>
      <c r="G79" s="189"/>
      <c r="H79" s="189"/>
      <c r="I79" s="2"/>
    </row>
    <row r="80" spans="2:9" x14ac:dyDescent="0.3">
      <c r="B80" s="36"/>
      <c r="C80" s="309"/>
      <c r="D80" s="309"/>
      <c r="E80" s="334"/>
      <c r="F80" s="358"/>
      <c r="G80" s="189"/>
      <c r="H80" s="189"/>
      <c r="I80" s="2"/>
    </row>
    <row r="81" spans="2:6" x14ac:dyDescent="0.3">
      <c r="B81" s="37"/>
      <c r="C81" s="310"/>
      <c r="D81" s="310"/>
      <c r="E81" s="335"/>
      <c r="F81" s="359"/>
    </row>
    <row r="82" spans="2:6" x14ac:dyDescent="0.3">
      <c r="B82" s="37"/>
      <c r="C82" s="310"/>
      <c r="D82" s="310"/>
      <c r="E82" s="335"/>
      <c r="F82" s="359"/>
    </row>
    <row r="83" spans="2:6" x14ac:dyDescent="0.3">
      <c r="B83" s="37"/>
      <c r="C83" s="310"/>
      <c r="D83" s="310"/>
      <c r="E83" s="335"/>
      <c r="F83" s="359"/>
    </row>
    <row r="84" spans="2:6" x14ac:dyDescent="0.3">
      <c r="B84" s="37"/>
      <c r="C84" s="310"/>
      <c r="D84" s="310"/>
      <c r="E84" s="335"/>
      <c r="F84" s="359"/>
    </row>
    <row r="85" spans="2:6" x14ac:dyDescent="0.3">
      <c r="B85" s="37"/>
      <c r="C85" s="310"/>
      <c r="D85" s="310"/>
      <c r="E85" s="335"/>
      <c r="F85" s="359"/>
    </row>
    <row r="86" spans="2:6" x14ac:dyDescent="0.3">
      <c r="B86" s="37"/>
      <c r="C86" s="310"/>
      <c r="D86" s="310"/>
      <c r="E86" s="335"/>
      <c r="F86" s="359"/>
    </row>
    <row r="87" spans="2:6" x14ac:dyDescent="0.3">
      <c r="B87" s="37"/>
      <c r="C87" s="310"/>
      <c r="D87" s="310"/>
      <c r="E87" s="335"/>
      <c r="F87" s="359"/>
    </row>
    <row r="88" spans="2:6" x14ac:dyDescent="0.3">
      <c r="B88" s="37"/>
      <c r="C88" s="310"/>
      <c r="D88" s="310"/>
      <c r="E88" s="335"/>
      <c r="F88" s="359"/>
    </row>
    <row r="89" spans="2:6" x14ac:dyDescent="0.3">
      <c r="B89" s="37"/>
      <c r="C89" s="310"/>
      <c r="D89" s="310"/>
      <c r="E89" s="335"/>
      <c r="F89" s="359"/>
    </row>
    <row r="90" spans="2:6" x14ac:dyDescent="0.3">
      <c r="B90" s="37"/>
      <c r="C90" s="310"/>
      <c r="D90" s="310"/>
      <c r="E90" s="335"/>
      <c r="F90" s="359"/>
    </row>
    <row r="91" spans="2:6" x14ac:dyDescent="0.3">
      <c r="B91" s="37"/>
      <c r="C91" s="310"/>
      <c r="D91" s="310"/>
      <c r="E91" s="335"/>
      <c r="F91" s="359"/>
    </row>
    <row r="92" spans="2:6" x14ac:dyDescent="0.3">
      <c r="B92" s="37"/>
      <c r="C92" s="310"/>
      <c r="D92" s="310"/>
      <c r="E92" s="335"/>
      <c r="F92" s="359"/>
    </row>
    <row r="93" spans="2:6" x14ac:dyDescent="0.3">
      <c r="B93" s="37"/>
      <c r="C93" s="310"/>
      <c r="D93" s="310"/>
      <c r="E93" s="335"/>
      <c r="F93" s="359"/>
    </row>
    <row r="94" spans="2:6" x14ac:dyDescent="0.3">
      <c r="B94" s="37"/>
      <c r="C94" s="310"/>
      <c r="D94" s="310"/>
      <c r="E94" s="335"/>
      <c r="F94" s="359"/>
    </row>
    <row r="95" spans="2:6" x14ac:dyDescent="0.3">
      <c r="B95" s="37"/>
      <c r="C95" s="310"/>
      <c r="D95" s="310"/>
      <c r="E95" s="335"/>
      <c r="F95" s="359"/>
    </row>
    <row r="96" spans="2:6" x14ac:dyDescent="0.3">
      <c r="B96" s="37"/>
      <c r="C96" s="310"/>
      <c r="D96" s="310"/>
      <c r="E96" s="335"/>
      <c r="F96" s="359"/>
    </row>
    <row r="97" spans="2:6" x14ac:dyDescent="0.3">
      <c r="B97" s="37"/>
      <c r="C97" s="310"/>
      <c r="D97" s="310"/>
      <c r="E97" s="335"/>
      <c r="F97" s="359"/>
    </row>
    <row r="98" spans="2:6" x14ac:dyDescent="0.3">
      <c r="B98" s="37"/>
      <c r="C98" s="310"/>
      <c r="D98" s="310"/>
      <c r="E98" s="335"/>
      <c r="F98" s="359"/>
    </row>
    <row r="99" spans="2:6" x14ac:dyDescent="0.3">
      <c r="B99" s="37"/>
      <c r="C99" s="310"/>
      <c r="D99" s="310"/>
      <c r="E99" s="335"/>
      <c r="F99" s="359"/>
    </row>
    <row r="100" spans="2:6" x14ac:dyDescent="0.3">
      <c r="B100" s="37"/>
      <c r="C100" s="310"/>
      <c r="D100" s="310"/>
      <c r="E100" s="335"/>
      <c r="F100" s="359"/>
    </row>
    <row r="101" spans="2:6" x14ac:dyDescent="0.3">
      <c r="B101" s="37"/>
      <c r="C101" s="310"/>
      <c r="D101" s="310"/>
      <c r="E101" s="335"/>
      <c r="F101" s="359"/>
    </row>
    <row r="102" spans="2:6" x14ac:dyDescent="0.3">
      <c r="B102" s="37"/>
      <c r="C102" s="310"/>
      <c r="D102" s="310"/>
      <c r="E102" s="335"/>
      <c r="F102" s="359"/>
    </row>
    <row r="103" spans="2:6" x14ac:dyDescent="0.3">
      <c r="B103" s="37"/>
      <c r="C103" s="310"/>
      <c r="D103" s="310"/>
      <c r="E103" s="335"/>
      <c r="F103" s="359"/>
    </row>
    <row r="104" spans="2:6" x14ac:dyDescent="0.3">
      <c r="B104" s="37"/>
      <c r="C104" s="310"/>
      <c r="D104" s="310"/>
      <c r="E104" s="335"/>
      <c r="F104" s="359"/>
    </row>
    <row r="105" spans="2:6" x14ac:dyDescent="0.3">
      <c r="B105" s="37"/>
      <c r="C105" s="310"/>
      <c r="D105" s="310"/>
      <c r="E105" s="335"/>
      <c r="F105" s="359"/>
    </row>
    <row r="106" spans="2:6" x14ac:dyDescent="0.3">
      <c r="B106" s="37"/>
      <c r="C106" s="310"/>
      <c r="D106" s="310"/>
      <c r="E106" s="335"/>
      <c r="F106" s="359"/>
    </row>
    <row r="107" spans="2:6" x14ac:dyDescent="0.3">
      <c r="B107" s="37"/>
      <c r="C107" s="310"/>
      <c r="D107" s="310"/>
      <c r="E107" s="335"/>
      <c r="F107" s="359"/>
    </row>
    <row r="108" spans="2:6" x14ac:dyDescent="0.3">
      <c r="B108" s="37"/>
      <c r="C108" s="310"/>
      <c r="D108" s="310"/>
      <c r="E108" s="335"/>
      <c r="F108" s="359"/>
    </row>
    <row r="109" spans="2:6" x14ac:dyDescent="0.3">
      <c r="B109" s="37"/>
      <c r="C109" s="310"/>
      <c r="D109" s="310"/>
      <c r="E109" s="335"/>
      <c r="F109" s="359"/>
    </row>
    <row r="110" spans="2:6" x14ac:dyDescent="0.3">
      <c r="B110" s="37"/>
      <c r="C110" s="310"/>
      <c r="D110" s="310"/>
      <c r="E110" s="335"/>
      <c r="F110" s="359"/>
    </row>
    <row r="111" spans="2:6" x14ac:dyDescent="0.3">
      <c r="B111" s="37"/>
      <c r="C111" s="310"/>
      <c r="D111" s="310"/>
      <c r="E111" s="335"/>
      <c r="F111" s="359"/>
    </row>
    <row r="112" spans="2:6" x14ac:dyDescent="0.3">
      <c r="B112" s="37"/>
      <c r="C112" s="310"/>
      <c r="D112" s="310"/>
      <c r="E112" s="335"/>
      <c r="F112" s="359"/>
    </row>
    <row r="113" spans="2:6" x14ac:dyDescent="0.3">
      <c r="B113" s="37"/>
      <c r="C113" s="310"/>
      <c r="D113" s="310"/>
      <c r="E113" s="335"/>
      <c r="F113" s="359"/>
    </row>
    <row r="114" spans="2:6" x14ac:dyDescent="0.3">
      <c r="B114" s="37"/>
      <c r="C114" s="310"/>
      <c r="D114" s="310"/>
      <c r="E114" s="335"/>
      <c r="F114" s="359"/>
    </row>
    <row r="115" spans="2:6" x14ac:dyDescent="0.3">
      <c r="B115" s="37"/>
      <c r="C115" s="310"/>
      <c r="D115" s="310"/>
      <c r="E115" s="335"/>
      <c r="F115" s="359"/>
    </row>
    <row r="116" spans="2:6" x14ac:dyDescent="0.3">
      <c r="B116" s="37"/>
      <c r="C116" s="310"/>
      <c r="D116" s="310"/>
      <c r="E116" s="335"/>
      <c r="F116" s="359"/>
    </row>
    <row r="117" spans="2:6" x14ac:dyDescent="0.3">
      <c r="B117" s="37"/>
      <c r="C117" s="310"/>
      <c r="D117" s="310"/>
      <c r="E117" s="335"/>
      <c r="F117" s="359"/>
    </row>
    <row r="118" spans="2:6" x14ac:dyDescent="0.3">
      <c r="B118" s="37"/>
      <c r="C118" s="310"/>
      <c r="D118" s="310"/>
      <c r="E118" s="335"/>
      <c r="F118" s="359"/>
    </row>
    <row r="119" spans="2:6" x14ac:dyDescent="0.3">
      <c r="B119" s="37"/>
      <c r="C119" s="310"/>
      <c r="D119" s="310"/>
      <c r="E119" s="335"/>
      <c r="F119" s="359"/>
    </row>
    <row r="120" spans="2:6" x14ac:dyDescent="0.3">
      <c r="B120" s="37"/>
      <c r="C120" s="310"/>
      <c r="D120" s="310"/>
      <c r="E120" s="335"/>
      <c r="F120" s="359"/>
    </row>
    <row r="121" spans="2:6" x14ac:dyDescent="0.3">
      <c r="B121" s="37"/>
      <c r="C121" s="310"/>
      <c r="D121" s="310"/>
      <c r="E121" s="335"/>
      <c r="F121" s="359"/>
    </row>
    <row r="122" spans="2:6" x14ac:dyDescent="0.3">
      <c r="B122" s="37"/>
      <c r="C122" s="310"/>
      <c r="D122" s="310"/>
      <c r="E122" s="335"/>
      <c r="F122" s="359"/>
    </row>
    <row r="123" spans="2:6" x14ac:dyDescent="0.3">
      <c r="B123" s="37"/>
      <c r="C123" s="310"/>
      <c r="D123" s="310"/>
      <c r="E123" s="335"/>
      <c r="F123" s="359"/>
    </row>
    <row r="124" spans="2:6" x14ac:dyDescent="0.3">
      <c r="B124" s="37"/>
      <c r="C124" s="310"/>
      <c r="D124" s="310"/>
      <c r="E124" s="335"/>
      <c r="F124" s="359"/>
    </row>
    <row r="125" spans="2:6" x14ac:dyDescent="0.3">
      <c r="B125" s="37"/>
      <c r="C125" s="310"/>
      <c r="D125" s="310"/>
      <c r="E125" s="335"/>
      <c r="F125" s="359"/>
    </row>
    <row r="126" spans="2:6" x14ac:dyDescent="0.3">
      <c r="B126" s="37"/>
      <c r="C126" s="310"/>
      <c r="D126" s="310"/>
      <c r="E126" s="335"/>
      <c r="F126" s="359"/>
    </row>
    <row r="127" spans="2:6" x14ac:dyDescent="0.3">
      <c r="B127" s="37"/>
      <c r="C127" s="310"/>
      <c r="D127" s="310"/>
      <c r="E127" s="335"/>
      <c r="F127" s="359"/>
    </row>
    <row r="128" spans="2:6" x14ac:dyDescent="0.3">
      <c r="B128" s="37"/>
      <c r="C128" s="310"/>
      <c r="D128" s="310"/>
      <c r="E128" s="335"/>
      <c r="F128" s="359"/>
    </row>
    <row r="129" spans="2:6" x14ac:dyDescent="0.3">
      <c r="B129" s="37"/>
      <c r="C129" s="310"/>
      <c r="D129" s="310"/>
      <c r="E129" s="335"/>
      <c r="F129" s="359"/>
    </row>
    <row r="130" spans="2:6" x14ac:dyDescent="0.3">
      <c r="B130" s="37"/>
      <c r="C130" s="310"/>
      <c r="D130" s="310"/>
      <c r="E130" s="335"/>
      <c r="F130" s="359"/>
    </row>
    <row r="131" spans="2:6" x14ac:dyDescent="0.3">
      <c r="B131" s="37"/>
      <c r="C131" s="310"/>
      <c r="D131" s="310"/>
      <c r="E131" s="335"/>
      <c r="F131" s="359"/>
    </row>
    <row r="132" spans="2:6" x14ac:dyDescent="0.3">
      <c r="B132" s="37"/>
      <c r="C132" s="310"/>
      <c r="D132" s="310"/>
      <c r="E132" s="335"/>
      <c r="F132" s="359"/>
    </row>
    <row r="133" spans="2:6" x14ac:dyDescent="0.3">
      <c r="B133" s="37"/>
      <c r="C133" s="310"/>
      <c r="D133" s="310"/>
      <c r="E133" s="335"/>
      <c r="F133" s="359"/>
    </row>
    <row r="134" spans="2:6" x14ac:dyDescent="0.3">
      <c r="B134" s="37"/>
      <c r="C134" s="310"/>
      <c r="D134" s="310"/>
      <c r="E134" s="335"/>
      <c r="F134" s="359"/>
    </row>
    <row r="135" spans="2:6" x14ac:dyDescent="0.3">
      <c r="B135" s="37"/>
      <c r="C135" s="310"/>
      <c r="D135" s="310"/>
      <c r="E135" s="335"/>
      <c r="F135" s="359"/>
    </row>
    <row r="136" spans="2:6" x14ac:dyDescent="0.3">
      <c r="B136" s="37"/>
      <c r="C136" s="310"/>
      <c r="D136" s="310"/>
      <c r="E136" s="335"/>
      <c r="F136" s="359"/>
    </row>
    <row r="137" spans="2:6" x14ac:dyDescent="0.3">
      <c r="B137" s="37"/>
      <c r="C137" s="310"/>
      <c r="D137" s="310"/>
      <c r="E137" s="335"/>
      <c r="F137" s="359"/>
    </row>
    <row r="138" spans="2:6" x14ac:dyDescent="0.3">
      <c r="B138" s="37"/>
      <c r="C138" s="310"/>
      <c r="D138" s="310"/>
      <c r="E138" s="335"/>
      <c r="F138" s="359"/>
    </row>
    <row r="139" spans="2:6" x14ac:dyDescent="0.3">
      <c r="B139" s="37"/>
      <c r="C139" s="310"/>
      <c r="D139" s="310"/>
      <c r="E139" s="335"/>
      <c r="F139" s="359"/>
    </row>
    <row r="140" spans="2:6" x14ac:dyDescent="0.3">
      <c r="B140" s="37"/>
      <c r="C140" s="310"/>
      <c r="D140" s="310"/>
      <c r="E140" s="335"/>
      <c r="F140" s="359"/>
    </row>
    <row r="141" spans="2:6" x14ac:dyDescent="0.3">
      <c r="B141" s="37"/>
      <c r="C141" s="310"/>
      <c r="D141" s="310"/>
      <c r="E141" s="335"/>
      <c r="F141" s="359"/>
    </row>
    <row r="142" spans="2:6" x14ac:dyDescent="0.3">
      <c r="B142" s="37"/>
      <c r="C142" s="310"/>
      <c r="D142" s="310"/>
      <c r="E142" s="335"/>
      <c r="F142" s="359"/>
    </row>
    <row r="143" spans="2:6" x14ac:dyDescent="0.3">
      <c r="B143" s="37"/>
      <c r="C143" s="310"/>
      <c r="D143" s="310"/>
      <c r="E143" s="335"/>
      <c r="F143" s="359"/>
    </row>
    <row r="144" spans="2:6" x14ac:dyDescent="0.3">
      <c r="B144" s="37"/>
      <c r="C144" s="310"/>
      <c r="D144" s="310"/>
      <c r="E144" s="335"/>
      <c r="F144" s="359"/>
    </row>
    <row r="145" spans="2:6" x14ac:dyDescent="0.3">
      <c r="B145" s="37"/>
      <c r="C145" s="310"/>
      <c r="D145" s="310"/>
      <c r="E145" s="335"/>
      <c r="F145" s="359"/>
    </row>
    <row r="146" spans="2:6" x14ac:dyDescent="0.3">
      <c r="B146" s="37"/>
      <c r="C146" s="310"/>
      <c r="D146" s="310"/>
      <c r="E146" s="335"/>
      <c r="F146" s="359"/>
    </row>
    <row r="147" spans="2:6" x14ac:dyDescent="0.3">
      <c r="B147" s="37"/>
      <c r="C147" s="310"/>
      <c r="D147" s="310"/>
      <c r="E147" s="335"/>
      <c r="F147" s="359"/>
    </row>
    <row r="148" spans="2:6" x14ac:dyDescent="0.3">
      <c r="B148" s="37"/>
      <c r="C148" s="310"/>
      <c r="D148" s="310"/>
      <c r="E148" s="335"/>
      <c r="F148" s="359"/>
    </row>
    <row r="149" spans="2:6" x14ac:dyDescent="0.3">
      <c r="B149" s="37"/>
      <c r="C149" s="310"/>
      <c r="D149" s="310"/>
      <c r="E149" s="335"/>
      <c r="F149" s="359"/>
    </row>
    <row r="150" spans="2:6" x14ac:dyDescent="0.3">
      <c r="B150" s="37"/>
      <c r="C150" s="310"/>
      <c r="D150" s="310"/>
      <c r="E150" s="335"/>
      <c r="F150" s="359"/>
    </row>
    <row r="151" spans="2:6" x14ac:dyDescent="0.3">
      <c r="B151" s="37"/>
      <c r="C151" s="310"/>
      <c r="D151" s="310"/>
      <c r="E151" s="335"/>
      <c r="F151" s="359"/>
    </row>
    <row r="152" spans="2:6" x14ac:dyDescent="0.3">
      <c r="B152" s="37"/>
      <c r="C152" s="310"/>
      <c r="D152" s="310"/>
      <c r="E152" s="335"/>
      <c r="F152" s="359"/>
    </row>
    <row r="153" spans="2:6" x14ac:dyDescent="0.3">
      <c r="B153" s="37"/>
      <c r="C153" s="310"/>
      <c r="D153" s="310"/>
      <c r="E153" s="335"/>
      <c r="F153" s="359"/>
    </row>
    <row r="154" spans="2:6" x14ac:dyDescent="0.3">
      <c r="B154" s="37"/>
      <c r="C154" s="310"/>
      <c r="D154" s="310"/>
      <c r="E154" s="335"/>
      <c r="F154" s="359"/>
    </row>
    <row r="155" spans="2:6" x14ac:dyDescent="0.3">
      <c r="B155" s="37"/>
      <c r="C155" s="310"/>
      <c r="D155" s="310"/>
      <c r="E155" s="335"/>
      <c r="F155" s="359"/>
    </row>
    <row r="156" spans="2:6" x14ac:dyDescent="0.3">
      <c r="B156" s="37"/>
      <c r="C156" s="310"/>
      <c r="D156" s="310"/>
      <c r="E156" s="335"/>
      <c r="F156" s="359"/>
    </row>
    <row r="157" spans="2:6" x14ac:dyDescent="0.3">
      <c r="B157" s="37"/>
      <c r="C157" s="310"/>
      <c r="D157" s="310"/>
      <c r="E157" s="335"/>
      <c r="F157" s="359"/>
    </row>
    <row r="158" spans="2:6" x14ac:dyDescent="0.3">
      <c r="B158" s="37"/>
      <c r="C158" s="310"/>
      <c r="D158" s="310"/>
      <c r="E158" s="335"/>
      <c r="F158" s="359"/>
    </row>
    <row r="159" spans="2:6" x14ac:dyDescent="0.3">
      <c r="B159" s="37"/>
      <c r="C159" s="310"/>
      <c r="D159" s="310"/>
      <c r="E159" s="335"/>
      <c r="F159" s="359"/>
    </row>
    <row r="160" spans="2:6" x14ac:dyDescent="0.3">
      <c r="B160" s="37"/>
      <c r="C160" s="310"/>
      <c r="D160" s="310"/>
      <c r="E160" s="335"/>
      <c r="F160" s="359"/>
    </row>
    <row r="161" spans="2:6" x14ac:dyDescent="0.3">
      <c r="B161" s="37"/>
      <c r="C161" s="310"/>
      <c r="D161" s="310"/>
      <c r="E161" s="335"/>
      <c r="F161" s="359"/>
    </row>
    <row r="162" spans="2:6" x14ac:dyDescent="0.3">
      <c r="B162" s="37"/>
      <c r="C162" s="310"/>
      <c r="D162" s="310"/>
      <c r="E162" s="335"/>
      <c r="F162" s="359"/>
    </row>
    <row r="163" spans="2:6" x14ac:dyDescent="0.3">
      <c r="B163" s="37"/>
      <c r="C163" s="310"/>
      <c r="D163" s="310"/>
      <c r="E163" s="335"/>
      <c r="F163" s="359"/>
    </row>
    <row r="164" spans="2:6" x14ac:dyDescent="0.3">
      <c r="B164" s="37"/>
      <c r="C164" s="310"/>
      <c r="D164" s="310"/>
      <c r="E164" s="335"/>
      <c r="F164" s="359"/>
    </row>
    <row r="165" spans="2:6" x14ac:dyDescent="0.3">
      <c r="B165" s="37"/>
      <c r="C165" s="310"/>
      <c r="D165" s="310"/>
      <c r="E165" s="335"/>
      <c r="F165" s="359"/>
    </row>
    <row r="166" spans="2:6" x14ac:dyDescent="0.3">
      <c r="B166" s="37"/>
      <c r="C166" s="310"/>
      <c r="D166" s="310"/>
      <c r="E166" s="335"/>
      <c r="F166" s="359"/>
    </row>
    <row r="167" spans="2:6" x14ac:dyDescent="0.3">
      <c r="B167" s="37"/>
      <c r="C167" s="310"/>
      <c r="D167" s="310"/>
      <c r="E167" s="335"/>
      <c r="F167" s="359"/>
    </row>
    <row r="168" spans="2:6" x14ac:dyDescent="0.3">
      <c r="B168" s="37"/>
      <c r="C168" s="310"/>
      <c r="D168" s="310"/>
      <c r="E168" s="335"/>
      <c r="F168" s="359"/>
    </row>
    <row r="169" spans="2:6" x14ac:dyDescent="0.3">
      <c r="B169" s="37"/>
      <c r="C169" s="310"/>
      <c r="D169" s="310"/>
      <c r="E169" s="335"/>
      <c r="F169" s="359"/>
    </row>
    <row r="170" spans="2:6" x14ac:dyDescent="0.3">
      <c r="B170" s="37"/>
      <c r="C170" s="310"/>
      <c r="D170" s="310"/>
      <c r="E170" s="335"/>
      <c r="F170" s="359"/>
    </row>
  </sheetData>
  <sheetProtection formatCells="0"/>
  <autoFilter ref="B8:I170" xr:uid="{41A1C018-EEB9-4551-9610-A2F352D958E5}"/>
  <mergeCells count="4">
    <mergeCell ref="C6:C7"/>
    <mergeCell ref="D6:D7"/>
    <mergeCell ref="I6:I7"/>
    <mergeCell ref="E6:F6"/>
  </mergeCells>
  <conditionalFormatting sqref="I8">
    <cfRule type="iconSet" priority="155">
      <iconSet showValue="0">
        <cfvo type="percent" val="0"/>
        <cfvo type="num" val="0"/>
        <cfvo type="num" val="0"/>
      </iconSet>
    </cfRule>
  </conditionalFormatting>
  <conditionalFormatting sqref="I9:I19 I27:I41 I43:I44 I52:I58 I60 I46:I50 I21:I25">
    <cfRule type="iconSet" priority="156">
      <iconSet iconSet="3Arrows">
        <cfvo type="percent" val="0"/>
        <cfvo type="num" val="0"/>
        <cfvo type="num" val="0"/>
      </iconSet>
    </cfRule>
  </conditionalFormatting>
  <conditionalFormatting sqref="I20">
    <cfRule type="iconSet" priority="163">
      <iconSet showValue="0">
        <cfvo type="percent" val="0"/>
        <cfvo type="num" val="0"/>
        <cfvo type="num" val="0"/>
      </iconSet>
    </cfRule>
  </conditionalFormatting>
  <conditionalFormatting sqref="I26">
    <cfRule type="iconSet" priority="164">
      <iconSet showValue="0">
        <cfvo type="percent" val="0"/>
        <cfvo type="num" val="0"/>
        <cfvo type="num" val="0"/>
      </iconSet>
    </cfRule>
  </conditionalFormatting>
  <conditionalFormatting sqref="I42">
    <cfRule type="iconSet" priority="165">
      <iconSet showValue="0">
        <cfvo type="percent" val="0"/>
        <cfvo type="num" val="0"/>
        <cfvo type="num" val="0"/>
      </iconSet>
    </cfRule>
  </conditionalFormatting>
  <conditionalFormatting sqref="I45">
    <cfRule type="iconSet" priority="166">
      <iconSet showValue="0">
        <cfvo type="percent" val="0"/>
        <cfvo type="num" val="0"/>
        <cfvo type="num" val="0"/>
      </iconSet>
    </cfRule>
  </conditionalFormatting>
  <conditionalFormatting sqref="I51">
    <cfRule type="iconSet" priority="167">
      <iconSet showValue="0">
        <cfvo type="percent" val="0"/>
        <cfvo type="num" val="0"/>
        <cfvo type="num" val="0"/>
      </iconSet>
    </cfRule>
  </conditionalFormatting>
  <conditionalFormatting sqref="I59">
    <cfRule type="iconSet" priority="168">
      <iconSet showValue="0">
        <cfvo type="percent" val="0"/>
        <cfvo type="num" val="0"/>
        <cfvo type="num" val="0"/>
      </iconSet>
    </cfRule>
  </conditionalFormatting>
  <pageMargins left="0.7" right="0.7" top="0.75" bottom="0.75" header="0.3" footer="0.3"/>
  <pageSetup paperSize="9" scale="89" fitToHeight="0" orientation="landscape" horizontalDpi="4294967295" verticalDpi="4294967295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103D1-4C4B-428E-8718-C7025090132F}">
  <sheetPr codeName="Feuil2">
    <pageSetUpPr fitToPage="1"/>
  </sheetPr>
  <dimension ref="C1:AJ173"/>
  <sheetViews>
    <sheetView view="pageBreakPreview" topLeftCell="B5" zoomScale="110" zoomScaleNormal="90" zoomScaleSheetLayoutView="110" workbookViewId="0">
      <pane ySplit="5" topLeftCell="A19" activePane="bottomLeft" state="frozen"/>
      <selection activeCell="C5" sqref="C5"/>
      <selection pane="bottomLeft" activeCell="U15" sqref="U15"/>
    </sheetView>
  </sheetViews>
  <sheetFormatPr baseColWidth="10" defaultRowHeight="14.4" x14ac:dyDescent="0.3"/>
  <cols>
    <col min="2" max="2" width="8.6640625" customWidth="1"/>
    <col min="3" max="3" width="22.109375" customWidth="1"/>
    <col min="4" max="4" width="12.6640625" customWidth="1"/>
    <col min="5" max="5" width="6.44140625" customWidth="1"/>
    <col min="6" max="6" width="8" customWidth="1"/>
    <col min="7" max="7" width="8.109375" customWidth="1"/>
    <col min="8" max="8" width="11.109375" customWidth="1"/>
    <col min="9" max="9" width="10.6640625" bestFit="1" customWidth="1"/>
    <col min="10" max="12" width="10.109375" customWidth="1"/>
    <col min="13" max="13" width="16.33203125" customWidth="1"/>
    <col min="14" max="14" width="19" customWidth="1"/>
    <col min="15" max="15" width="10" customWidth="1"/>
    <col min="16" max="16" width="11" hidden="1" customWidth="1"/>
    <col min="17" max="17" width="11.44140625" hidden="1" customWidth="1"/>
    <col min="18" max="18" width="11.109375" hidden="1" customWidth="1"/>
    <col min="19" max="19" width="14.109375" hidden="1" customWidth="1"/>
    <col min="20" max="20" width="12.109375" customWidth="1"/>
    <col min="21" max="22" width="25.109375" customWidth="1"/>
    <col min="23" max="23" width="16.109375" style="372" customWidth="1"/>
    <col min="25" max="25" width="8.109375" customWidth="1"/>
    <col min="26" max="26" width="15.33203125" customWidth="1"/>
    <col min="27" max="27" width="11.44140625" customWidth="1"/>
  </cols>
  <sheetData>
    <row r="1" spans="3:24" x14ac:dyDescent="0.3">
      <c r="L1" s="1"/>
      <c r="M1" s="1"/>
      <c r="N1" s="1"/>
    </row>
    <row r="2" spans="3:24" x14ac:dyDescent="0.3">
      <c r="L2" s="1"/>
      <c r="M2" s="1"/>
      <c r="N2" s="1"/>
    </row>
    <row r="3" spans="3:24" x14ac:dyDescent="0.3">
      <c r="L3" s="1"/>
      <c r="M3" s="1"/>
      <c r="N3" s="1"/>
    </row>
    <row r="4" spans="3:24" x14ac:dyDescent="0.3">
      <c r="L4" s="1"/>
      <c r="M4" s="1"/>
      <c r="N4" s="1"/>
    </row>
    <row r="5" spans="3:24" x14ac:dyDescent="0.3">
      <c r="L5" s="1"/>
      <c r="M5" s="1"/>
      <c r="N5" s="1"/>
    </row>
    <row r="6" spans="3:24" x14ac:dyDescent="0.3">
      <c r="C6" s="2"/>
      <c r="D6" s="2"/>
      <c r="E6" s="416" t="s">
        <v>0</v>
      </c>
      <c r="F6" s="417"/>
      <c r="G6" s="417"/>
      <c r="H6" s="417"/>
      <c r="I6" s="418"/>
      <c r="J6" s="419" t="s">
        <v>1</v>
      </c>
      <c r="K6" s="419"/>
      <c r="L6" s="419"/>
      <c r="M6" s="419"/>
      <c r="N6" s="419"/>
      <c r="O6" s="419"/>
      <c r="P6" s="419"/>
      <c r="Q6" s="419"/>
      <c r="R6" s="419"/>
      <c r="S6" s="419"/>
      <c r="T6" s="420"/>
      <c r="U6" s="436" t="s">
        <v>2</v>
      </c>
      <c r="V6" s="437"/>
      <c r="W6" s="437"/>
    </row>
    <row r="7" spans="3:24" x14ac:dyDescent="0.3">
      <c r="C7" s="2"/>
      <c r="D7" s="2"/>
      <c r="E7" s="76"/>
      <c r="F7" s="76"/>
      <c r="G7" s="76"/>
      <c r="H7" s="76"/>
      <c r="I7" s="77"/>
      <c r="J7" s="78"/>
      <c r="K7" s="78"/>
      <c r="L7" s="78"/>
      <c r="M7" s="78"/>
      <c r="N7" s="78"/>
      <c r="O7" s="78"/>
      <c r="P7" s="78"/>
      <c r="Q7" s="78"/>
      <c r="R7" s="78"/>
      <c r="S7" s="78"/>
      <c r="T7" s="79"/>
      <c r="U7" s="80"/>
      <c r="V7" s="80"/>
      <c r="W7" s="373"/>
    </row>
    <row r="8" spans="3:24" ht="14.4" customHeight="1" x14ac:dyDescent="0.3">
      <c r="C8" s="4"/>
      <c r="D8" s="4"/>
      <c r="E8" s="5"/>
      <c r="F8" s="5"/>
      <c r="G8" s="5"/>
      <c r="H8" s="5"/>
      <c r="I8" s="6"/>
      <c r="J8" s="5"/>
      <c r="K8" s="5"/>
      <c r="L8" s="75">
        <v>0.1</v>
      </c>
      <c r="M8" s="75"/>
      <c r="N8" s="75"/>
      <c r="O8" s="5"/>
      <c r="P8" s="5"/>
      <c r="Q8" s="5"/>
      <c r="R8" s="5"/>
      <c r="S8" s="5"/>
      <c r="T8" s="6"/>
      <c r="U8" s="7"/>
      <c r="V8" s="7"/>
    </row>
    <row r="9" spans="3:24" ht="30" customHeight="1" x14ac:dyDescent="0.3">
      <c r="C9" s="91" t="s">
        <v>3</v>
      </c>
      <c r="D9" s="111" t="s">
        <v>141</v>
      </c>
      <c r="E9" s="92" t="s">
        <v>4</v>
      </c>
      <c r="F9" s="93" t="s">
        <v>5</v>
      </c>
      <c r="G9" s="93" t="s">
        <v>6</v>
      </c>
      <c r="H9" s="93" t="s">
        <v>7</v>
      </c>
      <c r="I9" s="94" t="s">
        <v>8</v>
      </c>
      <c r="J9" s="95" t="s">
        <v>10</v>
      </c>
      <c r="K9" s="95" t="s">
        <v>10</v>
      </c>
      <c r="L9" s="96" t="s">
        <v>11</v>
      </c>
      <c r="M9" s="96" t="s">
        <v>83</v>
      </c>
      <c r="N9" s="96" t="s">
        <v>78</v>
      </c>
      <c r="O9" s="95" t="s">
        <v>13</v>
      </c>
      <c r="P9" s="97" t="s">
        <v>84</v>
      </c>
      <c r="Q9" s="97" t="s">
        <v>85</v>
      </c>
      <c r="R9" s="97" t="s">
        <v>86</v>
      </c>
      <c r="S9" s="97" t="s">
        <v>87</v>
      </c>
      <c r="T9" s="98" t="s">
        <v>14</v>
      </c>
      <c r="U9" s="3" t="s">
        <v>2</v>
      </c>
      <c r="V9" s="3"/>
      <c r="W9" s="374" t="s">
        <v>15</v>
      </c>
      <c r="X9" s="16"/>
    </row>
    <row r="10" spans="3:24" ht="30" customHeight="1" x14ac:dyDescent="0.3">
      <c r="C10" s="438" t="s">
        <v>16</v>
      </c>
      <c r="D10" s="439"/>
      <c r="E10" s="439"/>
      <c r="F10" s="439"/>
      <c r="G10" s="439"/>
      <c r="H10" s="439"/>
      <c r="I10" s="440"/>
      <c r="J10" s="100">
        <f>+'DONNEES COMITE (2)'!U5</f>
        <v>44.387958807430778</v>
      </c>
      <c r="K10" s="101">
        <f>+J10</f>
        <v>44.387958807430778</v>
      </c>
      <c r="L10" s="102">
        <f>+AVERAGE(L11:L21)</f>
        <v>9.4929302211926664E-2</v>
      </c>
      <c r="M10" s="102">
        <f>+AVERAGE(M11:M21)</f>
        <v>7.800970781881103E-2</v>
      </c>
      <c r="N10" s="102"/>
      <c r="O10" s="99"/>
      <c r="P10" s="99"/>
      <c r="Q10" s="99"/>
      <c r="R10" s="99"/>
      <c r="S10" s="99"/>
      <c r="T10" s="99"/>
      <c r="U10" s="99"/>
      <c r="V10" s="99"/>
      <c r="W10" s="375"/>
    </row>
    <row r="11" spans="3:24" ht="30" customHeight="1" x14ac:dyDescent="0.3">
      <c r="C11" s="103" t="s">
        <v>17</v>
      </c>
      <c r="D11" s="104">
        <v>1010</v>
      </c>
      <c r="E11" s="26">
        <v>1</v>
      </c>
      <c r="F11" s="26">
        <v>1</v>
      </c>
      <c r="G11" s="26">
        <v>1</v>
      </c>
      <c r="H11" s="26">
        <v>0</v>
      </c>
      <c r="I11" s="26" t="s">
        <v>18</v>
      </c>
      <c r="J11" s="26">
        <f>+'DONNEES COMITE (2)'!U6</f>
        <v>5.5611062035791514</v>
      </c>
      <c r="K11" s="101">
        <f>+J11</f>
        <v>5.5611062035791514</v>
      </c>
      <c r="L11" s="105">
        <f>IF('DONNEES COMITE (2)'!W6="","",'DONNEES COMITE (2)'!W6)</f>
        <v>6.8316831683168322E-2</v>
      </c>
      <c r="M11" s="105">
        <f>+'DONNEES COMITE (2)'!X6</f>
        <v>6.7980809025276298E-2</v>
      </c>
      <c r="N11" s="105">
        <f>+'DONNEES COMITE (2)'!R6</f>
        <v>2.7809965237543453E-2</v>
      </c>
      <c r="O11" s="22">
        <f>+'DONNEES COMITE (2)'!Z6</f>
        <v>1135</v>
      </c>
      <c r="P11" s="22" t="str">
        <f>+IF(J11&lt;$J$10,"Acheter", "Vendre")</f>
        <v>Acheter</v>
      </c>
      <c r="Q11" s="22" t="str">
        <f>IF(L11="","",IF(L11&gt;=$L$8,"Acheter",IF(AND(L11&lt;$L$8,L11&gt;$L$10),"Acheter","Vendre")))</f>
        <v>Vendre</v>
      </c>
      <c r="R11" s="22" t="str">
        <f>+IF(M11="","",IF(M11&gt;=$M$10,"Acheter","Vendre"))</f>
        <v>Vendre</v>
      </c>
      <c r="S11" s="22" t="str">
        <f>+IF(D11&lt;O11,"Acheter","Vendre")</f>
        <v>Acheter</v>
      </c>
      <c r="T11" s="22">
        <v>1</v>
      </c>
      <c r="U11" s="106" t="str">
        <f t="shared" ref="U11:U21" si="0">+IF(OR(AND(I11="Acheter",T11=2),AND(I11="Conserver",T11=2),AND(I11="Acheter",T11=1)),"Acheter",IF(OR(AND(I11="Conserver",T11=1),AND(I11="Alléger",T11=1),AND(I11="Vendre",T11=1)),"Vendre",IF(OR(AND(I11="Alléger",T11=2),AND(I11="Vendre",T11=2)),"Prendre ses bénéfices")))</f>
        <v>Acheter</v>
      </c>
      <c r="V11" s="409" t="s">
        <v>142</v>
      </c>
      <c r="W11" s="378">
        <v>1100</v>
      </c>
      <c r="X11" s="1"/>
    </row>
    <row r="12" spans="3:24" ht="30" customHeight="1" x14ac:dyDescent="0.3">
      <c r="C12" s="103" t="s">
        <v>19</v>
      </c>
      <c r="D12" s="104">
        <v>1945</v>
      </c>
      <c r="E12" s="26">
        <v>1</v>
      </c>
      <c r="F12" s="26">
        <v>0</v>
      </c>
      <c r="G12" s="26">
        <v>0</v>
      </c>
      <c r="H12" s="26">
        <v>0</v>
      </c>
      <c r="I12" s="26" t="s">
        <v>88</v>
      </c>
      <c r="J12" s="26">
        <f>+'DONNEES COMITE (2)'!U7</f>
        <v>178.72842138868802</v>
      </c>
      <c r="K12" s="101">
        <f>+J12</f>
        <v>178.72842138868802</v>
      </c>
      <c r="L12" s="105">
        <f>IF('DONNEES COMITE (2)'!W7="","",'DONNEES COMITE (2)'!W7)</f>
        <v>0.12082262210796915</v>
      </c>
      <c r="M12" s="105">
        <f>+'DONNEES COMITE (2)'!X7</f>
        <v>0.15087654548809742</v>
      </c>
      <c r="N12" s="105">
        <f>+'DONNEES COMITE (2)'!R7</f>
        <v>19.008810572687224</v>
      </c>
      <c r="O12" s="22">
        <f>+'DONNEES COMITE (2)'!Z7</f>
        <v>1905</v>
      </c>
      <c r="P12" s="22" t="str">
        <f t="shared" ref="P12:P21" si="1">+IF(J12&lt;$J$10,"Acheter", "Vendre")</f>
        <v>Vendre</v>
      </c>
      <c r="Q12" s="22" t="str">
        <f t="shared" ref="Q12:Q21" si="2">IF(L12="","",IF(L12&gt;=$L$8,"Acheter",IF(AND(L12&lt;$L$8,L12&gt;$L$10),"Acheter","Vendre")))</f>
        <v>Acheter</v>
      </c>
      <c r="R12" s="22" t="str">
        <f t="shared" ref="R12:R21" si="3">+IF(M12="","",IF(M12&gt;=$M$10,"Acheter","Vendre"))</f>
        <v>Acheter</v>
      </c>
      <c r="S12" s="22" t="str">
        <f t="shared" ref="S12:S21" si="4">+IF(D12&lt;O12,"Acheter","Vendre")</f>
        <v>Vendre</v>
      </c>
      <c r="T12" s="22">
        <v>2</v>
      </c>
      <c r="U12" s="106" t="str">
        <f t="shared" si="0"/>
        <v>Prendre ses bénéfices</v>
      </c>
      <c r="V12" s="106"/>
      <c r="W12" s="377"/>
      <c r="X12" s="1"/>
    </row>
    <row r="13" spans="3:24" ht="30" customHeight="1" x14ac:dyDescent="0.3">
      <c r="C13" s="103" t="s">
        <v>21</v>
      </c>
      <c r="D13" s="104">
        <v>685</v>
      </c>
      <c r="E13" s="26">
        <v>1</v>
      </c>
      <c r="F13" s="26">
        <v>-1</v>
      </c>
      <c r="G13" s="26">
        <v>0</v>
      </c>
      <c r="H13" s="26">
        <v>0</v>
      </c>
      <c r="I13" s="26" t="s">
        <v>88</v>
      </c>
      <c r="J13" s="26">
        <f>+'DONNEES COMITE (2)'!U8</f>
        <v>7.2131963657050306</v>
      </c>
      <c r="K13" s="101">
        <f>+J13</f>
        <v>7.2131963657050306</v>
      </c>
      <c r="L13" s="105">
        <f>IF('DONNEES COMITE (2)'!W8="","",'DONNEES COMITE (2)'!W8)</f>
        <v>5.1459854014598537E-2</v>
      </c>
      <c r="M13" s="105">
        <f>+'DONNEES COMITE (2)'!X8</f>
        <v>0.15275835818528075</v>
      </c>
      <c r="N13" s="105">
        <f>+'DONNEES COMITE (2)'!R8</f>
        <v>-0.12567593824981974</v>
      </c>
      <c r="O13" s="22">
        <f>+'DONNEES COMITE (2)'!Z8</f>
        <v>710</v>
      </c>
      <c r="P13" s="22" t="str">
        <f t="shared" si="1"/>
        <v>Acheter</v>
      </c>
      <c r="Q13" s="22" t="str">
        <f t="shared" si="2"/>
        <v>Vendre</v>
      </c>
      <c r="R13" s="22" t="str">
        <f t="shared" si="3"/>
        <v>Acheter</v>
      </c>
      <c r="S13" s="22" t="str">
        <f t="shared" si="4"/>
        <v>Acheter</v>
      </c>
      <c r="T13" s="22">
        <v>1</v>
      </c>
      <c r="U13" s="106" t="str">
        <f t="shared" si="0"/>
        <v>Vendre</v>
      </c>
      <c r="V13" s="106"/>
      <c r="W13" s="377"/>
      <c r="X13" s="1"/>
    </row>
    <row r="14" spans="3:24" ht="30" customHeight="1" x14ac:dyDescent="0.3">
      <c r="C14" s="103" t="s">
        <v>23</v>
      </c>
      <c r="D14" s="104">
        <v>6850</v>
      </c>
      <c r="E14" s="26">
        <v>-1</v>
      </c>
      <c r="F14" s="26">
        <v>-1</v>
      </c>
      <c r="G14" s="26">
        <v>0</v>
      </c>
      <c r="H14" s="26">
        <v>0</v>
      </c>
      <c r="I14" s="26" t="s">
        <v>20</v>
      </c>
      <c r="J14" s="26">
        <f>+'DONNEES COMITE (2)'!U9</f>
        <v>9.0925506509400336</v>
      </c>
      <c r="K14" s="101">
        <f t="shared" ref="K14:K62" si="5">+J14</f>
        <v>9.0925506509400336</v>
      </c>
      <c r="L14" s="105">
        <f>IF('DONNEES COMITE (2)'!W9="","",'DONNEES COMITE (2)'!W9)</f>
        <v>0.10629197080291972</v>
      </c>
      <c r="M14" s="105">
        <f>+'DONNEES COMITE (2)'!X9</f>
        <v>7.5340293280791906E-2</v>
      </c>
      <c r="N14" s="105">
        <f>+'DONNEES COMITE (2)'!R9</f>
        <v>-0.15078370837124658</v>
      </c>
      <c r="O14" s="22">
        <f>+'DONNEES COMITE (2)'!Z9</f>
        <v>8195</v>
      </c>
      <c r="P14" s="22" t="str">
        <f t="shared" si="1"/>
        <v>Acheter</v>
      </c>
      <c r="Q14" s="22" t="str">
        <f t="shared" si="2"/>
        <v>Acheter</v>
      </c>
      <c r="R14" s="22" t="str">
        <f t="shared" si="3"/>
        <v>Vendre</v>
      </c>
      <c r="S14" s="22" t="str">
        <f t="shared" si="4"/>
        <v>Acheter</v>
      </c>
      <c r="T14" s="22">
        <v>1</v>
      </c>
      <c r="U14" s="106" t="str">
        <f t="shared" si="0"/>
        <v>Vendre</v>
      </c>
      <c r="V14" s="106"/>
      <c r="W14" s="377"/>
      <c r="X14" s="1"/>
    </row>
    <row r="15" spans="3:24" ht="30" customHeight="1" x14ac:dyDescent="0.3">
      <c r="C15" s="103" t="s">
        <v>25</v>
      </c>
      <c r="D15" s="104">
        <v>700</v>
      </c>
      <c r="E15" s="26">
        <v>0</v>
      </c>
      <c r="F15" s="26">
        <v>0</v>
      </c>
      <c r="G15" s="26">
        <v>0</v>
      </c>
      <c r="H15" s="26">
        <v>0</v>
      </c>
      <c r="I15" s="26" t="s">
        <v>22</v>
      </c>
      <c r="J15" s="26">
        <f>+'DONNEES COMITE (2)'!U10</f>
        <v>0</v>
      </c>
      <c r="K15" s="101">
        <f t="shared" si="5"/>
        <v>0</v>
      </c>
      <c r="L15" s="105" t="str">
        <f>IF('DONNEES COMITE (2)'!W10="","",'DONNEES COMITE (2)'!W10)</f>
        <v/>
      </c>
      <c r="M15" s="105" t="str">
        <f>+'DONNEES COMITE (2)'!X10</f>
        <v/>
      </c>
      <c r="N15" s="105" t="str">
        <f>+'DONNEES COMITE (2)'!R10</f>
        <v/>
      </c>
      <c r="O15" s="22">
        <f>+'DONNEES COMITE (2)'!Z10</f>
        <v>765</v>
      </c>
      <c r="P15" s="22" t="str">
        <f t="shared" si="1"/>
        <v>Acheter</v>
      </c>
      <c r="Q15" s="22" t="str">
        <f t="shared" si="2"/>
        <v/>
      </c>
      <c r="R15" s="22" t="str">
        <f t="shared" si="3"/>
        <v/>
      </c>
      <c r="S15" s="22" t="str">
        <f t="shared" si="4"/>
        <v>Acheter</v>
      </c>
      <c r="T15" s="22">
        <v>1</v>
      </c>
      <c r="U15" s="106" t="s">
        <v>135</v>
      </c>
      <c r="V15" s="106"/>
      <c r="W15" s="377"/>
      <c r="X15" s="1"/>
    </row>
    <row r="16" spans="3:24" ht="30" customHeight="1" x14ac:dyDescent="0.3">
      <c r="C16" s="103" t="s">
        <v>26</v>
      </c>
      <c r="D16" s="104">
        <v>800</v>
      </c>
      <c r="E16" s="26">
        <v>-1</v>
      </c>
      <c r="F16" s="26">
        <v>-1</v>
      </c>
      <c r="G16" s="26">
        <v>0</v>
      </c>
      <c r="H16" s="26">
        <v>1</v>
      </c>
      <c r="I16" s="26" t="s">
        <v>88</v>
      </c>
      <c r="J16" s="26">
        <f>+'DONNEES COMITE (2)'!U11</f>
        <v>17.348842855868821</v>
      </c>
      <c r="K16" s="101">
        <f t="shared" si="5"/>
        <v>17.348842855868821</v>
      </c>
      <c r="L16" s="105">
        <f>IF('DONNEES COMITE (2)'!W11="","",'DONNEES COMITE (2)'!W11)</f>
        <v>7.8750000000000001E-2</v>
      </c>
      <c r="M16" s="105" t="str">
        <f>+'DONNEES COMITE (2)'!X11</f>
        <v/>
      </c>
      <c r="N16" s="105" t="str">
        <f>+'DONNEES COMITE (2)'!R11</f>
        <v/>
      </c>
      <c r="O16" s="22">
        <f>+'DONNEES COMITE (2)'!Z11</f>
        <v>805</v>
      </c>
      <c r="P16" s="22" t="str">
        <f t="shared" si="1"/>
        <v>Acheter</v>
      </c>
      <c r="Q16" s="22" t="str">
        <f t="shared" si="2"/>
        <v>Vendre</v>
      </c>
      <c r="R16" s="22" t="str">
        <f t="shared" si="3"/>
        <v/>
      </c>
      <c r="S16" s="22" t="str">
        <f t="shared" si="4"/>
        <v>Acheter</v>
      </c>
      <c r="T16" s="22">
        <v>1</v>
      </c>
      <c r="U16" s="106" t="str">
        <f t="shared" si="0"/>
        <v>Vendre</v>
      </c>
      <c r="V16" s="106"/>
      <c r="W16" s="377"/>
      <c r="X16" s="1"/>
    </row>
    <row r="17" spans="3:28" ht="30" customHeight="1" x14ac:dyDescent="0.3">
      <c r="C17" s="103" t="s">
        <v>27</v>
      </c>
      <c r="D17" s="104">
        <v>88000</v>
      </c>
      <c r="E17" s="26">
        <v>-1</v>
      </c>
      <c r="F17" s="26">
        <v>-1</v>
      </c>
      <c r="G17" s="26">
        <v>0</v>
      </c>
      <c r="H17" s="26">
        <v>0</v>
      </c>
      <c r="I17" s="26" t="s">
        <v>88</v>
      </c>
      <c r="J17" s="26">
        <f>+'DONNEES COMITE (2)'!U12</f>
        <v>119.0266162695152</v>
      </c>
      <c r="K17" s="101">
        <f t="shared" si="5"/>
        <v>119.0266162695152</v>
      </c>
      <c r="L17" s="105">
        <f>IF('DONNEES COMITE (2)'!W12="","",'DONNEES COMITE (2)'!W12)</f>
        <v>4.6022727272727271E-2</v>
      </c>
      <c r="M17" s="105" t="str">
        <f>+'DONNEES COMITE (2)'!X12</f>
        <v/>
      </c>
      <c r="N17" s="105" t="str">
        <f>+'DONNEES COMITE (2)'!R12</f>
        <v/>
      </c>
      <c r="O17" s="22">
        <f>+'DONNEES COMITE (2)'!Z12</f>
        <v>86500</v>
      </c>
      <c r="P17" s="22" t="str">
        <f t="shared" si="1"/>
        <v>Vendre</v>
      </c>
      <c r="Q17" s="22" t="str">
        <f t="shared" si="2"/>
        <v>Vendre</v>
      </c>
      <c r="R17" s="22" t="str">
        <f t="shared" si="3"/>
        <v/>
      </c>
      <c r="S17" s="22" t="str">
        <f t="shared" si="4"/>
        <v>Vendre</v>
      </c>
      <c r="T17" s="22">
        <v>1</v>
      </c>
      <c r="U17" s="106" t="str">
        <f t="shared" si="0"/>
        <v>Vendre</v>
      </c>
      <c r="V17" s="106"/>
      <c r="W17" s="377"/>
      <c r="X17" s="1"/>
    </row>
    <row r="18" spans="3:28" ht="30" customHeight="1" x14ac:dyDescent="0.3">
      <c r="C18" s="103" t="s">
        <v>28</v>
      </c>
      <c r="D18" s="104">
        <v>10050</v>
      </c>
      <c r="E18" s="26">
        <v>-1</v>
      </c>
      <c r="F18" s="26">
        <v>-1</v>
      </c>
      <c r="G18" s="26">
        <v>-1</v>
      </c>
      <c r="H18" s="26">
        <v>0</v>
      </c>
      <c r="I18" s="26" t="s">
        <v>20</v>
      </c>
      <c r="J18" s="26">
        <f>+'DONNEES COMITE (2)'!U13</f>
        <v>8.3156522662137782</v>
      </c>
      <c r="K18" s="101">
        <f t="shared" si="5"/>
        <v>8.3156522662137782</v>
      </c>
      <c r="L18" s="105">
        <f>IF('DONNEES COMITE (2)'!W13="","",'DONNEES COMITE (2)'!W13)</f>
        <v>7.1641791044776124E-2</v>
      </c>
      <c r="M18" s="105">
        <f>+'DONNEES COMITE (2)'!X13</f>
        <v>6.7765000380353796E-2</v>
      </c>
      <c r="N18" s="105">
        <f>+'DONNEES COMITE (2)'!R13</f>
        <v>0.8817209841165331</v>
      </c>
      <c r="O18" s="22">
        <f>+'DONNEES COMITE (2)'!Z13</f>
        <v>10045</v>
      </c>
      <c r="P18" s="22" t="str">
        <f t="shared" si="1"/>
        <v>Acheter</v>
      </c>
      <c r="Q18" s="22" t="str">
        <f t="shared" si="2"/>
        <v>Vendre</v>
      </c>
      <c r="R18" s="22" t="str">
        <f t="shared" si="3"/>
        <v>Vendre</v>
      </c>
      <c r="S18" s="22" t="str">
        <f t="shared" si="4"/>
        <v>Vendre</v>
      </c>
      <c r="T18" s="22">
        <v>2</v>
      </c>
      <c r="U18" s="106" t="str">
        <f t="shared" si="0"/>
        <v>Prendre ses bénéfices</v>
      </c>
      <c r="V18" s="408"/>
      <c r="W18" s="378"/>
      <c r="X18" s="1"/>
      <c r="Z18" s="39"/>
    </row>
    <row r="19" spans="3:28" ht="30" customHeight="1" x14ac:dyDescent="0.3">
      <c r="C19" s="103" t="s">
        <v>29</v>
      </c>
      <c r="D19" s="104">
        <v>6120</v>
      </c>
      <c r="E19" s="26">
        <v>0</v>
      </c>
      <c r="F19" s="26">
        <v>0</v>
      </c>
      <c r="G19" s="26">
        <v>0</v>
      </c>
      <c r="H19" s="26">
        <v>0</v>
      </c>
      <c r="I19" s="26" t="s">
        <v>22</v>
      </c>
      <c r="J19" s="26">
        <f>+'DONNEES COMITE (2)'!U14</f>
        <v>9.8172844589362072</v>
      </c>
      <c r="K19" s="101">
        <f t="shared" si="5"/>
        <v>9.8172844589362072</v>
      </c>
      <c r="L19" s="105">
        <f>IF('DONNEES COMITE (2)'!W14="","",'DONNEES COMITE (2)'!W14)</f>
        <v>9.0032679738562091E-2</v>
      </c>
      <c r="M19" s="105">
        <f>+'DONNEES COMITE (2)'!X14</f>
        <v>6.8439149684832459E-2</v>
      </c>
      <c r="N19" s="105">
        <f>+'DONNEES COMITE (2)'!R14</f>
        <v>-0.18961905065840479</v>
      </c>
      <c r="O19" s="22">
        <f>+'DONNEES COMITE (2)'!Z14</f>
        <v>6400</v>
      </c>
      <c r="P19" s="22" t="str">
        <f t="shared" si="1"/>
        <v>Acheter</v>
      </c>
      <c r="Q19" s="22" t="str">
        <f t="shared" si="2"/>
        <v>Vendre</v>
      </c>
      <c r="R19" s="22" t="str">
        <f t="shared" si="3"/>
        <v>Vendre</v>
      </c>
      <c r="S19" s="22" t="str">
        <f t="shared" si="4"/>
        <v>Acheter</v>
      </c>
      <c r="T19" s="22">
        <v>1</v>
      </c>
      <c r="U19" s="106" t="str">
        <f t="shared" si="0"/>
        <v>Vendre</v>
      </c>
      <c r="V19" s="106"/>
      <c r="W19" s="377"/>
      <c r="X19" s="1"/>
    </row>
    <row r="20" spans="3:28" ht="30" customHeight="1" x14ac:dyDescent="0.3">
      <c r="C20" s="103" t="s">
        <v>30</v>
      </c>
      <c r="D20" s="104">
        <v>6000</v>
      </c>
      <c r="E20" s="26">
        <v>1</v>
      </c>
      <c r="F20" s="26">
        <v>1</v>
      </c>
      <c r="G20" s="26">
        <v>1</v>
      </c>
      <c r="H20" s="26">
        <v>0</v>
      </c>
      <c r="I20" s="26" t="s">
        <v>18</v>
      </c>
      <c r="J20" s="26" t="str">
        <f>+'DONNEES COMITE (2)'!U15</f>
        <v/>
      </c>
      <c r="K20" s="101" t="str">
        <f t="shared" si="5"/>
        <v/>
      </c>
      <c r="L20" s="105">
        <f>IF('DONNEES COMITE (2)'!W15="","",'DONNEES COMITE (2)'!W15)</f>
        <v>0.20549999999999999</v>
      </c>
      <c r="M20" s="105" t="str">
        <f>+'DONNEES COMITE (2)'!X15</f>
        <v/>
      </c>
      <c r="N20" s="105" t="str">
        <f>+'DONNEES COMITE (2)'!R15</f>
        <v/>
      </c>
      <c r="O20" s="22">
        <f>+'DONNEES COMITE (2)'!Z15</f>
        <v>6360</v>
      </c>
      <c r="P20" s="22" t="str">
        <f t="shared" si="1"/>
        <v>Vendre</v>
      </c>
      <c r="Q20" s="22" t="str">
        <f t="shared" si="2"/>
        <v>Acheter</v>
      </c>
      <c r="R20" s="22" t="str">
        <f t="shared" si="3"/>
        <v/>
      </c>
      <c r="S20" s="22" t="str">
        <f t="shared" si="4"/>
        <v>Acheter</v>
      </c>
      <c r="T20" s="22">
        <v>1</v>
      </c>
      <c r="U20" s="376" t="s">
        <v>22</v>
      </c>
      <c r="V20" s="409"/>
      <c r="W20" s="377"/>
      <c r="X20" s="1"/>
    </row>
    <row r="21" spans="3:28" ht="30" customHeight="1" x14ac:dyDescent="0.3">
      <c r="C21" s="107" t="s">
        <v>31</v>
      </c>
      <c r="D21" s="108">
        <v>550</v>
      </c>
      <c r="E21" s="26">
        <v>0</v>
      </c>
      <c r="F21" s="26">
        <v>0</v>
      </c>
      <c r="G21" s="26">
        <v>0</v>
      </c>
      <c r="H21" s="26">
        <v>0</v>
      </c>
      <c r="I21" s="26" t="s">
        <v>22</v>
      </c>
      <c r="J21" s="26" t="str">
        <f>+'DONNEES COMITE (2)'!U16</f>
        <v/>
      </c>
      <c r="K21" s="101" t="str">
        <f t="shared" si="5"/>
        <v/>
      </c>
      <c r="L21" s="105">
        <f>IF('DONNEES COMITE (2)'!W16="","",'DONNEES COMITE (2)'!W16)</f>
        <v>0.11045454545454546</v>
      </c>
      <c r="M21" s="105">
        <f>+'DONNEES COMITE (2)'!X16</f>
        <v>-3.7092201312955278E-2</v>
      </c>
      <c r="N21" s="105">
        <f>+'DONNEES COMITE (2)'!R16</f>
        <v>-3.974923745993038</v>
      </c>
      <c r="O21" s="22">
        <f>+'DONNEES COMITE (2)'!Z16</f>
        <v>715</v>
      </c>
      <c r="P21" s="22" t="str">
        <f t="shared" si="1"/>
        <v>Vendre</v>
      </c>
      <c r="Q21" s="22" t="str">
        <f t="shared" si="2"/>
        <v>Acheter</v>
      </c>
      <c r="R21" s="22" t="str">
        <f t="shared" si="3"/>
        <v>Vendre</v>
      </c>
      <c r="S21" s="22" t="str">
        <f t="shared" si="4"/>
        <v>Acheter</v>
      </c>
      <c r="T21" s="22">
        <v>1</v>
      </c>
      <c r="U21" s="106" t="str">
        <f t="shared" si="0"/>
        <v>Vendre</v>
      </c>
      <c r="V21" s="106"/>
      <c r="W21" s="377"/>
      <c r="X21" s="1"/>
    </row>
    <row r="22" spans="3:28" ht="30" customHeight="1" x14ac:dyDescent="0.3">
      <c r="C22" s="438" t="s">
        <v>32</v>
      </c>
      <c r="D22" s="439"/>
      <c r="E22" s="439"/>
      <c r="F22" s="439"/>
      <c r="G22" s="439"/>
      <c r="H22" s="439"/>
      <c r="I22" s="440"/>
      <c r="J22" s="291">
        <f>+'DONNEES COMITE (2)'!U17</f>
        <v>8.1131503312031477</v>
      </c>
      <c r="K22" s="101">
        <f>+J22</f>
        <v>8.1131503312031477</v>
      </c>
      <c r="L22" s="102">
        <f>+AVERAGE(L23:L27)</f>
        <v>0.1046207341741503</v>
      </c>
      <c r="M22" s="102">
        <f>+AVERAGE(M23:M27)</f>
        <v>0.13227088675901502</v>
      </c>
      <c r="N22" s="102"/>
      <c r="O22" s="109"/>
      <c r="P22" s="109"/>
      <c r="Q22" s="109"/>
      <c r="R22" s="109"/>
      <c r="S22" s="109"/>
      <c r="T22" s="109"/>
      <c r="U22" s="109"/>
      <c r="V22" s="109"/>
      <c r="W22" s="375"/>
    </row>
    <row r="23" spans="3:28" ht="30" customHeight="1" x14ac:dyDescent="0.3">
      <c r="C23" s="107" t="s">
        <v>33</v>
      </c>
      <c r="D23" s="108">
        <v>1780</v>
      </c>
      <c r="E23" s="26">
        <v>-1</v>
      </c>
      <c r="F23" s="26">
        <v>-1</v>
      </c>
      <c r="G23" s="26">
        <v>-1</v>
      </c>
      <c r="H23" s="26">
        <v>0</v>
      </c>
      <c r="I23" s="26" t="s">
        <v>20</v>
      </c>
      <c r="J23" s="26">
        <f>+'DONNEES COMITE (2)'!U18</f>
        <v>10.151746613708116</v>
      </c>
      <c r="K23" s="101">
        <f t="shared" si="5"/>
        <v>10.151746613708116</v>
      </c>
      <c r="L23" s="105">
        <f>IF('DONNEES COMITE (2)'!W18="","",'DONNEES COMITE (2)'!W18)</f>
        <v>8.8483146067415724E-2</v>
      </c>
      <c r="M23" s="105" t="str">
        <f>+'DONNEES COMITE (2)'!X18</f>
        <v/>
      </c>
      <c r="N23" s="105" t="str">
        <f>+'DONNEES COMITE (2)'!R18</f>
        <v/>
      </c>
      <c r="O23" s="22">
        <f>+'DONNEES COMITE (2)'!Z18</f>
        <v>2040</v>
      </c>
      <c r="P23" s="22" t="str">
        <f>+IF(J23&lt;$J$22,"Acheter", "Vendre")</f>
        <v>Vendre</v>
      </c>
      <c r="Q23" s="22" t="str">
        <f>IF(L23="","",IF(L23&gt;=$L$8,"Acheter",IF(AND(L23&lt;$L$8,L23&gt;$L$22),"Acheter","Vendre")))</f>
        <v>Vendre</v>
      </c>
      <c r="R23" s="22" t="str">
        <f>+IF(M23="","",IF(M23&gt;=$M$22,"Acheter","Vendre"))</f>
        <v/>
      </c>
      <c r="S23" s="22" t="str">
        <f>+IF(D23&lt;O23,"Acheter","Vendre")</f>
        <v>Acheter</v>
      </c>
      <c r="T23" s="22">
        <v>1</v>
      </c>
      <c r="U23" s="106" t="str">
        <f t="shared" ref="U23:U26" si="6">+IF(OR(AND(I23="Acheter",T23=2),AND(I23="Conserver",T23=2),AND(I23="Acheter",T23=1)),"Acheter",IF(OR(AND(I23="Conserver",T23=1),AND(I23="Alléger",T23=1),AND(I23="Vendre",T23=1)),"Vendre",IF(OR(AND(I23="Alléger",T23=2),AND(I23="Vendre",T23=2)),"Prendre ses bénéfices")))</f>
        <v>Vendre</v>
      </c>
      <c r="V23" s="106"/>
      <c r="W23" s="379"/>
    </row>
    <row r="24" spans="3:28" ht="30" customHeight="1" x14ac:dyDescent="0.3">
      <c r="C24" s="107" t="s">
        <v>34</v>
      </c>
      <c r="D24" s="108">
        <v>2100</v>
      </c>
      <c r="E24" s="26">
        <v>-1</v>
      </c>
      <c r="F24" s="26">
        <v>1</v>
      </c>
      <c r="G24" s="26">
        <v>0</v>
      </c>
      <c r="H24" s="26">
        <v>0</v>
      </c>
      <c r="I24" s="26" t="s">
        <v>18</v>
      </c>
      <c r="J24" s="26">
        <f>+'DONNEES COMITE (2)'!U19</f>
        <v>6.3828824620502784</v>
      </c>
      <c r="K24" s="101">
        <f t="shared" si="5"/>
        <v>6.3828824620502784</v>
      </c>
      <c r="L24" s="105">
        <f>IF('DONNEES COMITE (2)'!W19="","",'DONNEES COMITE (2)'!W19)</f>
        <v>0.13708571428571428</v>
      </c>
      <c r="M24" s="105">
        <f>+'DONNEES COMITE (2)'!X19</f>
        <v>0.15504076490481802</v>
      </c>
      <c r="N24" s="105">
        <f>+'DONNEES COMITE (2)'!R19</f>
        <v>-3.9698552100640876E-2</v>
      </c>
      <c r="O24" s="22">
        <f>+'DONNEES COMITE (2)'!Z19</f>
        <v>2660</v>
      </c>
      <c r="P24" s="22" t="str">
        <f>+IF(J24&lt;$J$22,"Acheter", "Vendre")</f>
        <v>Acheter</v>
      </c>
      <c r="Q24" s="22" t="str">
        <f t="shared" ref="Q24:Q27" si="7">IF(L24="","",IF(L24&gt;=$L$8,"Acheter",IF(AND(L24&lt;$L$8,L24&gt;$L$22),"Acheter","Vendre")))</f>
        <v>Acheter</v>
      </c>
      <c r="R24" s="22" t="str">
        <f t="shared" ref="R24:R27" si="8">+IF(M24="","",IF(M24&gt;=$M$22,"Acheter","Vendre"))</f>
        <v>Acheter</v>
      </c>
      <c r="S24" s="22" t="str">
        <f>+IF(D24&lt;O24,"Acheter","Vendre")</f>
        <v>Acheter</v>
      </c>
      <c r="T24" s="22">
        <v>2</v>
      </c>
      <c r="U24" s="106" t="str">
        <f t="shared" si="6"/>
        <v>Acheter</v>
      </c>
      <c r="V24" s="409">
        <v>2050</v>
      </c>
      <c r="W24" s="379"/>
    </row>
    <row r="25" spans="3:28" ht="30" customHeight="1" x14ac:dyDescent="0.3">
      <c r="C25" s="107" t="s">
        <v>117</v>
      </c>
      <c r="D25" s="108">
        <v>10890</v>
      </c>
      <c r="E25" s="26">
        <v>0</v>
      </c>
      <c r="F25" s="26">
        <v>0</v>
      </c>
      <c r="G25" s="26">
        <v>0</v>
      </c>
      <c r="H25" s="26">
        <v>0</v>
      </c>
      <c r="I25" s="26" t="s">
        <v>22</v>
      </c>
      <c r="J25" s="26">
        <f>+'DONNEES COMITE (2)'!U20</f>
        <v>10.591586581665592</v>
      </c>
      <c r="K25" s="101">
        <f>+J25</f>
        <v>10.591586581665592</v>
      </c>
      <c r="L25" s="105">
        <f>IF('DONNEES COMITE (2)'!W21="","",'DONNEES COMITE (2)'!W21)</f>
        <v>0.10477299185098952</v>
      </c>
      <c r="M25" s="105">
        <f>+'DONNEES COMITE (2)'!X20</f>
        <v>0.15238563698967045</v>
      </c>
      <c r="N25" s="105">
        <f>+'DONNEES COMITE (2)'!R20</f>
        <v>9.2191419356940415E-3</v>
      </c>
      <c r="O25" s="22">
        <f>+'DONNEES COMITE (2)'!Z20</f>
        <v>10800</v>
      </c>
      <c r="P25" s="22" t="str">
        <f>+IF(J25&lt;$J$22,"Acheter", "Vendre")</f>
        <v>Vendre</v>
      </c>
      <c r="Q25" s="22" t="str">
        <f t="shared" si="7"/>
        <v>Acheter</v>
      </c>
      <c r="R25" s="22" t="str">
        <f t="shared" si="8"/>
        <v>Acheter</v>
      </c>
      <c r="S25" s="22" t="str">
        <f>+IF(D25&lt;O25,"Acheter","Vendre")</f>
        <v>Vendre</v>
      </c>
      <c r="T25" s="22">
        <v>1</v>
      </c>
      <c r="U25" s="106" t="str">
        <f t="shared" si="6"/>
        <v>Vendre</v>
      </c>
      <c r="V25" s="408"/>
      <c r="W25" s="380"/>
    </row>
    <row r="26" spans="3:28" ht="30" customHeight="1" x14ac:dyDescent="0.3">
      <c r="C26" s="107" t="s">
        <v>35</v>
      </c>
      <c r="D26" s="108">
        <v>4295</v>
      </c>
      <c r="E26" s="26">
        <v>0</v>
      </c>
      <c r="F26" s="26">
        <v>1</v>
      </c>
      <c r="G26" s="26">
        <v>0</v>
      </c>
      <c r="H26" s="26">
        <v>0</v>
      </c>
      <c r="I26" s="26" t="s">
        <v>18</v>
      </c>
      <c r="J26" s="26">
        <f>+'DONNEES COMITE (2)'!U21</f>
        <v>8.0438795659239162</v>
      </c>
      <c r="K26" s="101">
        <f t="shared" si="5"/>
        <v>8.0438795659239162</v>
      </c>
      <c r="L26" s="105">
        <f>IF('DONNEES COMITE (2)'!W21="","",'DONNEES COMITE (2)'!W21)</f>
        <v>0.10477299185098952</v>
      </c>
      <c r="M26" s="105">
        <f>+'DONNEES COMITE (2)'!X21</f>
        <v>1.6962769702240445E-2</v>
      </c>
      <c r="N26" s="105">
        <f>+'DONNEES COMITE (2)'!R21</f>
        <v>-0.44013121924548931</v>
      </c>
      <c r="O26" s="22">
        <f>+'DONNEES COMITE (2)'!Z21</f>
        <v>5000</v>
      </c>
      <c r="P26" s="22" t="str">
        <f>+IF(J26&lt;$J$22,"Acheter", "Vendre")</f>
        <v>Acheter</v>
      </c>
      <c r="Q26" s="22" t="str">
        <f t="shared" si="7"/>
        <v>Acheter</v>
      </c>
      <c r="R26" s="22" t="str">
        <f t="shared" si="8"/>
        <v>Vendre</v>
      </c>
      <c r="S26" s="22" t="str">
        <f>+IF(D26&lt;O26,"Acheter","Vendre")</f>
        <v>Acheter</v>
      </c>
      <c r="T26" s="22">
        <v>1</v>
      </c>
      <c r="U26" s="106" t="str">
        <f t="shared" si="6"/>
        <v>Acheter</v>
      </c>
      <c r="V26" s="410" t="s">
        <v>148</v>
      </c>
      <c r="W26" s="378">
        <v>4800</v>
      </c>
      <c r="Z26" s="39"/>
      <c r="AB26" t="s">
        <v>36</v>
      </c>
    </row>
    <row r="27" spans="3:28" ht="30" customHeight="1" x14ac:dyDescent="0.3">
      <c r="C27" s="107" t="s">
        <v>37</v>
      </c>
      <c r="D27" s="108">
        <v>17900</v>
      </c>
      <c r="E27" s="26">
        <v>0</v>
      </c>
      <c r="F27" s="26">
        <v>-1</v>
      </c>
      <c r="G27" s="26">
        <v>-1</v>
      </c>
      <c r="H27" s="26">
        <v>0</v>
      </c>
      <c r="I27" s="26" t="s">
        <v>88</v>
      </c>
      <c r="J27" s="26">
        <f>+'DONNEES COMITE (2)'!U22</f>
        <v>5.3956564326678382</v>
      </c>
      <c r="K27" s="101">
        <f t="shared" si="5"/>
        <v>5.3956564326678382</v>
      </c>
      <c r="L27" s="105">
        <f>IF('DONNEES COMITE (2)'!W22="","",'DONNEES COMITE (2)'!W22)</f>
        <v>8.7988826815642462E-2</v>
      </c>
      <c r="M27" s="105">
        <f>+'DONNEES COMITE (2)'!X22</f>
        <v>0.20469437543933119</v>
      </c>
      <c r="N27" s="105">
        <f>+'DONNEES COMITE (2)'!R22</f>
        <v>0.18943727053694356</v>
      </c>
      <c r="O27" s="22">
        <f>+'DONNEES COMITE (2)'!Z22</f>
        <v>17450</v>
      </c>
      <c r="P27" s="22" t="str">
        <f>+IF(J27&lt;$J$22,"Acheter", "Vendre")</f>
        <v>Acheter</v>
      </c>
      <c r="Q27" s="22" t="str">
        <f t="shared" si="7"/>
        <v>Vendre</v>
      </c>
      <c r="R27" s="22" t="str">
        <f t="shared" si="8"/>
        <v>Acheter</v>
      </c>
      <c r="S27" s="22" t="str">
        <f>+IF(D27&lt;O27,"Acheter","Vendre")</f>
        <v>Vendre</v>
      </c>
      <c r="T27" s="22">
        <f t="shared" ref="T27:T46" ca="1" si="9">RANDBETWEEN(1,2)</f>
        <v>2</v>
      </c>
      <c r="U27" s="106" t="str">
        <f ca="1">+IF(OR(AND(I27="Acheter",T27=2),AND(I27="Conserver",T27=2),AND(I27="Acheter",T27=1)),"Acheter",IF(OR(AND(I27="Conserver",T27=1),AND(I27="Alléger",T27=1),AND(I27="Vendre",T27=1)),"Vendre",IF(OR(AND(I27="Alléger",T27=2),AND(I27="Vendre",T27=2)),"Prendre ses bénéfices")))</f>
        <v>Prendre ses bénéfices</v>
      </c>
      <c r="V27" s="408"/>
      <c r="W27" s="378"/>
      <c r="Z27" s="39"/>
    </row>
    <row r="28" spans="3:28" ht="30" customHeight="1" x14ac:dyDescent="0.3">
      <c r="C28" s="438" t="s">
        <v>38</v>
      </c>
      <c r="D28" s="439"/>
      <c r="E28" s="439"/>
      <c r="F28" s="439"/>
      <c r="G28" s="439"/>
      <c r="H28" s="439"/>
      <c r="I28" s="440"/>
      <c r="J28" s="291">
        <f>+'DONNEES COMITE (2)'!U23</f>
        <v>6.5041249042900819</v>
      </c>
      <c r="K28" s="101">
        <f t="shared" si="5"/>
        <v>6.5041249042900819</v>
      </c>
      <c r="L28" s="102">
        <f>+AVERAGE(L29:L43)</f>
        <v>7.5418248944269087E-2</v>
      </c>
      <c r="M28" s="102">
        <f>+AVERAGE(M29:M43)</f>
        <v>0.32299807916468776</v>
      </c>
      <c r="N28" s="102"/>
      <c r="O28" s="109"/>
      <c r="P28" s="109"/>
      <c r="Q28" s="109"/>
      <c r="R28" s="109"/>
      <c r="S28" s="109"/>
      <c r="T28" s="109"/>
      <c r="U28" s="109"/>
      <c r="V28" s="109"/>
      <c r="W28" s="375"/>
    </row>
    <row r="29" spans="3:28" ht="30" customHeight="1" x14ac:dyDescent="0.3">
      <c r="C29" s="103" t="s">
        <v>39</v>
      </c>
      <c r="D29" s="104">
        <v>7395</v>
      </c>
      <c r="E29" s="26">
        <v>0</v>
      </c>
      <c r="F29" s="26">
        <v>1</v>
      </c>
      <c r="G29" s="26">
        <v>0</v>
      </c>
      <c r="H29" s="26">
        <v>0</v>
      </c>
      <c r="I29" s="26" t="s">
        <v>88</v>
      </c>
      <c r="J29" s="26">
        <f>+'DONNEES COMITE (2)'!U24</f>
        <v>9.946737523202323</v>
      </c>
      <c r="K29" s="101">
        <f t="shared" si="5"/>
        <v>9.946737523202323</v>
      </c>
      <c r="L29" s="105">
        <f>IF('DONNEES COMITE (2)'!W24="","",'DONNEES COMITE (2)'!W24)</f>
        <v>5.427991886409736E-2</v>
      </c>
      <c r="M29" s="105">
        <f>+'DONNEES COMITE (2)'!X24</f>
        <v>0.29641189481445074</v>
      </c>
      <c r="N29" s="105">
        <f>+'DONNEES COMITE (2)'!R24</f>
        <v>0.23804146992404024</v>
      </c>
      <c r="O29" s="22">
        <f>+'DONNEES COMITE (2)'!Z24</f>
        <v>6895</v>
      </c>
      <c r="P29" s="22" t="str">
        <f t="shared" ref="P29:P43" si="10">+IF(J29&lt;$J$28,"Acheter", "Vendre")</f>
        <v>Vendre</v>
      </c>
      <c r="Q29" s="22" t="str">
        <f>IF(L29="","",IF(L29&gt;=$L$8,"Acheter",IF(AND(L29&lt;$L$8,L29&gt;$L$28),"Acheter","Vendre")))</f>
        <v>Vendre</v>
      </c>
      <c r="R29" s="22" t="str">
        <f>+IF(M29="","",IF(M29&gt;=$M$28,"Acheter","Vendre"))</f>
        <v>Vendre</v>
      </c>
      <c r="S29" s="22" t="str">
        <f t="shared" ref="S29:S43" si="11">+IF(D29&lt;O29,"Acheter","Vendre")</f>
        <v>Vendre</v>
      </c>
      <c r="T29" s="22">
        <v>1</v>
      </c>
      <c r="U29" s="106" t="str">
        <f t="shared" ref="U29:U42" si="12">+IF(OR(AND(I29="Acheter",T29=2),AND(I29="Conserver",T29=2),AND(I29="Acheter",T29=1)),"Acheter",IF(OR(AND(I29="Conserver",T29=1),AND(I29="Alléger",T29=1),AND(I29="Vendre",T29=1)),"Vendre",IF(OR(AND(I29="Alléger",T29=2),AND(I29="Vendre",T29=2)),"Prendre ses bénéfices")))</f>
        <v>Vendre</v>
      </c>
      <c r="V29" s="106"/>
      <c r="W29" s="381"/>
    </row>
    <row r="30" spans="3:28" ht="30" customHeight="1" x14ac:dyDescent="0.3">
      <c r="C30" s="107" t="s">
        <v>40</v>
      </c>
      <c r="D30" s="108">
        <v>6355</v>
      </c>
      <c r="E30" s="26">
        <v>0</v>
      </c>
      <c r="F30" s="26">
        <v>1</v>
      </c>
      <c r="G30" s="26">
        <v>1</v>
      </c>
      <c r="H30" s="26">
        <v>0</v>
      </c>
      <c r="I30" s="26" t="s">
        <v>22</v>
      </c>
      <c r="J30" s="26">
        <f>+'DONNEES COMITE (2)'!U25</f>
        <v>6.7325724604431363</v>
      </c>
      <c r="K30" s="101">
        <f t="shared" si="5"/>
        <v>6.7325724604431363</v>
      </c>
      <c r="L30" s="105">
        <f>IF('DONNEES COMITE (2)'!W25="","",'DONNEES COMITE (2)'!W25)</f>
        <v>9.8662470495672699E-2</v>
      </c>
      <c r="M30" s="105">
        <f>+'DONNEES COMITE (2)'!X25</f>
        <v>0.47931277284889451</v>
      </c>
      <c r="N30" s="105">
        <f>+'DONNEES COMITE (2)'!R25</f>
        <v>-9.9482227005643145E-3</v>
      </c>
      <c r="O30" s="22">
        <f>+'DONNEES COMITE (2)'!Z25</f>
        <v>6430</v>
      </c>
      <c r="P30" s="22" t="str">
        <f t="shared" si="10"/>
        <v>Vendre</v>
      </c>
      <c r="Q30" s="22" t="str">
        <f t="shared" ref="Q30:Q43" si="13">IF(L30="","",IF(L30&gt;=$L$8,"Acheter",IF(AND(L30&lt;$L$8,L30&gt;$L$28),"Acheter","Vendre")))</f>
        <v>Acheter</v>
      </c>
      <c r="R30" s="22" t="str">
        <f t="shared" ref="R30:R43" si="14">+IF(M30="","",IF(M30&gt;=$M$28,"Acheter","Vendre"))</f>
        <v>Acheter</v>
      </c>
      <c r="S30" s="22" t="str">
        <f t="shared" si="11"/>
        <v>Acheter</v>
      </c>
      <c r="T30" s="22">
        <v>2</v>
      </c>
      <c r="U30" s="106" t="str">
        <f t="shared" si="12"/>
        <v>Acheter</v>
      </c>
      <c r="V30" s="409" t="s">
        <v>143</v>
      </c>
      <c r="W30" s="378">
        <v>6900</v>
      </c>
    </row>
    <row r="31" spans="3:28" ht="30" customHeight="1" x14ac:dyDescent="0.3">
      <c r="C31" s="107" t="s">
        <v>41</v>
      </c>
      <c r="D31" s="108">
        <v>7195</v>
      </c>
      <c r="E31" s="26">
        <v>-1</v>
      </c>
      <c r="F31" s="26">
        <v>-1</v>
      </c>
      <c r="G31" s="26">
        <v>-1</v>
      </c>
      <c r="H31" s="26">
        <v>0</v>
      </c>
      <c r="I31" s="26" t="s">
        <v>88</v>
      </c>
      <c r="J31" s="26">
        <f>+'DONNEES COMITE (2)'!U26</f>
        <v>5.4465208549077078</v>
      </c>
      <c r="K31" s="101">
        <f t="shared" si="5"/>
        <v>5.4465208549077078</v>
      </c>
      <c r="L31" s="105">
        <f>IF('DONNEES COMITE (2)'!W26="","",'DONNEES COMITE (2)'!W26)</f>
        <v>9.7567755385684504E-2</v>
      </c>
      <c r="M31" s="105">
        <f>+'DONNEES COMITE (2)'!X26</f>
        <v>0.49630536389939905</v>
      </c>
      <c r="N31" s="105">
        <f>+'DONNEES COMITE (2)'!R26</f>
        <v>0.14074117504409106</v>
      </c>
      <c r="O31" s="22">
        <f>+'DONNEES COMITE (2)'!Z26</f>
        <v>6830</v>
      </c>
      <c r="P31" s="22" t="str">
        <f t="shared" si="10"/>
        <v>Acheter</v>
      </c>
      <c r="Q31" s="22" t="str">
        <f t="shared" si="13"/>
        <v>Acheter</v>
      </c>
      <c r="R31" s="22" t="str">
        <f t="shared" si="14"/>
        <v>Acheter</v>
      </c>
      <c r="S31" s="22" t="str">
        <f t="shared" si="11"/>
        <v>Vendre</v>
      </c>
      <c r="T31" s="22">
        <v>2</v>
      </c>
      <c r="U31" s="106" t="str">
        <f t="shared" si="12"/>
        <v>Prendre ses bénéfices</v>
      </c>
      <c r="V31" s="408"/>
      <c r="W31" s="378"/>
      <c r="Z31" s="39"/>
    </row>
    <row r="32" spans="3:28" ht="30" customHeight="1" x14ac:dyDescent="0.3">
      <c r="C32" s="107" t="s">
        <v>42</v>
      </c>
      <c r="D32" s="108">
        <v>7250</v>
      </c>
      <c r="E32" s="26">
        <v>1</v>
      </c>
      <c r="F32" s="26">
        <v>1</v>
      </c>
      <c r="G32" s="26">
        <v>0</v>
      </c>
      <c r="H32" s="26">
        <v>0</v>
      </c>
      <c r="I32" s="26" t="s">
        <v>18</v>
      </c>
      <c r="J32" s="26">
        <f>+'DONNEES COMITE (2)'!U27</f>
        <v>7.2250734964372914</v>
      </c>
      <c r="K32" s="101">
        <f t="shared" si="5"/>
        <v>7.2250734964372914</v>
      </c>
      <c r="L32" s="105">
        <f>IF('DONNEES COMITE (2)'!W27="","",'DONNEES COMITE (2)'!W27)</f>
        <v>7.4482758620689649E-2</v>
      </c>
      <c r="M32" s="105">
        <f>+'DONNEES COMITE (2)'!X27</f>
        <v>0.54470360628654657</v>
      </c>
      <c r="N32" s="105">
        <f>+'DONNEES COMITE (2)'!R27</f>
        <v>0.65574203779569185</v>
      </c>
      <c r="O32" s="22">
        <f>+'DONNEES COMITE (2)'!Z27</f>
        <v>6950</v>
      </c>
      <c r="P32" s="22" t="str">
        <f t="shared" si="10"/>
        <v>Vendre</v>
      </c>
      <c r="Q32" s="22" t="str">
        <f t="shared" si="13"/>
        <v>Vendre</v>
      </c>
      <c r="R32" s="22" t="str">
        <f t="shared" si="14"/>
        <v>Acheter</v>
      </c>
      <c r="S32" s="22" t="str">
        <f t="shared" si="11"/>
        <v>Vendre</v>
      </c>
      <c r="T32" s="22">
        <v>2</v>
      </c>
      <c r="U32" s="106" t="str">
        <f t="shared" si="12"/>
        <v>Acheter</v>
      </c>
      <c r="V32" s="410">
        <v>6950</v>
      </c>
      <c r="W32" s="378">
        <v>7645</v>
      </c>
      <c r="Z32" s="39"/>
    </row>
    <row r="33" spans="3:26" ht="30" customHeight="1" x14ac:dyDescent="0.3">
      <c r="C33" s="107" t="s">
        <v>43</v>
      </c>
      <c r="D33" s="108">
        <v>1495</v>
      </c>
      <c r="E33" s="26">
        <v>0</v>
      </c>
      <c r="F33" s="26">
        <v>-1</v>
      </c>
      <c r="G33" s="26">
        <v>-1</v>
      </c>
      <c r="H33" s="26">
        <v>0</v>
      </c>
      <c r="I33" s="26" t="s">
        <v>88</v>
      </c>
      <c r="J33" s="26">
        <f>+'DONNEES COMITE (2)'!U28</f>
        <v>9.387507172230853</v>
      </c>
      <c r="K33" s="101">
        <f t="shared" si="5"/>
        <v>9.387507172230853</v>
      </c>
      <c r="L33" s="105">
        <f>IF('DONNEES COMITE (2)'!W28="","",'DONNEES COMITE (2)'!W28)</f>
        <v>0.18127090301003346</v>
      </c>
      <c r="M33" s="105">
        <f>+'DONNEES COMITE (2)'!X28</f>
        <v>0.14053548024714474</v>
      </c>
      <c r="N33" s="105">
        <f>+'DONNEES COMITE (2)'!R28</f>
        <v>0.29503105590062112</v>
      </c>
      <c r="O33" s="22">
        <f>+'DONNEES COMITE (2)'!Z28</f>
        <v>1465</v>
      </c>
      <c r="P33" s="22" t="str">
        <f t="shared" si="10"/>
        <v>Vendre</v>
      </c>
      <c r="Q33" s="22" t="str">
        <f t="shared" si="13"/>
        <v>Acheter</v>
      </c>
      <c r="R33" s="22" t="str">
        <f t="shared" si="14"/>
        <v>Vendre</v>
      </c>
      <c r="S33" s="22" t="str">
        <f t="shared" si="11"/>
        <v>Vendre</v>
      </c>
      <c r="T33" s="22">
        <v>2</v>
      </c>
      <c r="U33" s="106" t="str">
        <f t="shared" si="12"/>
        <v>Prendre ses bénéfices</v>
      </c>
      <c r="V33" s="408"/>
      <c r="W33" s="378"/>
      <c r="Z33" s="39"/>
    </row>
    <row r="34" spans="3:26" ht="30" customHeight="1" x14ac:dyDescent="0.3">
      <c r="C34" s="107" t="s">
        <v>44</v>
      </c>
      <c r="D34" s="108">
        <v>5800</v>
      </c>
      <c r="E34" s="26">
        <v>-1</v>
      </c>
      <c r="F34" s="26">
        <v>-1</v>
      </c>
      <c r="G34" s="26">
        <v>-1</v>
      </c>
      <c r="H34" s="26">
        <v>0</v>
      </c>
      <c r="I34" s="26" t="s">
        <v>88</v>
      </c>
      <c r="J34" s="26">
        <f>+'DONNEES COMITE (2)'!U29</f>
        <v>7.4825861167263588</v>
      </c>
      <c r="K34" s="101">
        <f t="shared" si="5"/>
        <v>7.4825861167263588</v>
      </c>
      <c r="L34" s="105">
        <f>IF('DONNEES COMITE (2)'!W29="","",'DONNEES COMITE (2)'!W29)</f>
        <v>0.10582758620689654</v>
      </c>
      <c r="M34" s="105">
        <f>+'DONNEES COMITE (2)'!X29</f>
        <v>0.41155586961421547</v>
      </c>
      <c r="N34" s="105">
        <f>+'DONNEES COMITE (2)'!R29</f>
        <v>-5.6600301792625292E-3</v>
      </c>
      <c r="O34" s="22">
        <f>+'DONNEES COMITE (2)'!Z29</f>
        <v>5505</v>
      </c>
      <c r="P34" s="22" t="str">
        <f t="shared" si="10"/>
        <v>Vendre</v>
      </c>
      <c r="Q34" s="22" t="str">
        <f t="shared" si="13"/>
        <v>Acheter</v>
      </c>
      <c r="R34" s="22" t="str">
        <f t="shared" si="14"/>
        <v>Acheter</v>
      </c>
      <c r="S34" s="22" t="str">
        <f t="shared" si="11"/>
        <v>Vendre</v>
      </c>
      <c r="T34" s="22">
        <v>2</v>
      </c>
      <c r="U34" s="106" t="str">
        <f t="shared" si="12"/>
        <v>Prendre ses bénéfices</v>
      </c>
      <c r="V34" s="106"/>
      <c r="W34" s="379"/>
    </row>
    <row r="35" spans="3:26" ht="30" customHeight="1" x14ac:dyDescent="0.3">
      <c r="C35" s="107" t="s">
        <v>45</v>
      </c>
      <c r="D35" s="108">
        <v>3195</v>
      </c>
      <c r="E35" s="26">
        <v>-1</v>
      </c>
      <c r="F35" s="26">
        <v>-1</v>
      </c>
      <c r="G35" s="26">
        <v>0</v>
      </c>
      <c r="H35" s="26">
        <v>0</v>
      </c>
      <c r="I35" s="26" t="s">
        <v>88</v>
      </c>
      <c r="J35" s="26">
        <f>+'DONNEES COMITE (2)'!U30</f>
        <v>4.9213786021436361</v>
      </c>
      <c r="K35" s="101">
        <f t="shared" si="5"/>
        <v>4.9213786021436361</v>
      </c>
      <c r="L35" s="105">
        <f>IF('DONNEES COMITE (2)'!W30="","",'DONNEES COMITE (2)'!W30)</f>
        <v>5.8685446009389672E-2</v>
      </c>
      <c r="M35" s="105">
        <f>+'DONNEES COMITE (2)'!X30</f>
        <v>0.38487726213940154</v>
      </c>
      <c r="N35" s="105">
        <f>+'DONNEES COMITE (2)'!R30</f>
        <v>0.17989563306783851</v>
      </c>
      <c r="O35" s="22">
        <f>+'DONNEES COMITE (2)'!Z30</f>
        <v>3260</v>
      </c>
      <c r="P35" s="22" t="str">
        <f t="shared" si="10"/>
        <v>Acheter</v>
      </c>
      <c r="Q35" s="22" t="str">
        <f t="shared" si="13"/>
        <v>Vendre</v>
      </c>
      <c r="R35" s="22" t="str">
        <f t="shared" si="14"/>
        <v>Acheter</v>
      </c>
      <c r="S35" s="22" t="str">
        <f t="shared" si="11"/>
        <v>Acheter</v>
      </c>
      <c r="T35" s="22">
        <v>2</v>
      </c>
      <c r="U35" s="106" t="str">
        <f t="shared" si="12"/>
        <v>Prendre ses bénéfices</v>
      </c>
      <c r="V35" s="408"/>
      <c r="W35" s="378"/>
      <c r="Z35" s="39"/>
    </row>
    <row r="36" spans="3:26" ht="30" customHeight="1" x14ac:dyDescent="0.3">
      <c r="C36" s="107" t="s">
        <v>46</v>
      </c>
      <c r="D36" s="108">
        <v>8800</v>
      </c>
      <c r="E36" s="26">
        <v>1</v>
      </c>
      <c r="F36" s="26">
        <v>1</v>
      </c>
      <c r="G36" s="26">
        <v>0</v>
      </c>
      <c r="H36" s="26">
        <v>0</v>
      </c>
      <c r="I36" s="26" t="s">
        <v>18</v>
      </c>
      <c r="J36" s="26">
        <f>+'DONNEES COMITE (2)'!U31</f>
        <v>4.9860122525585187</v>
      </c>
      <c r="K36" s="101">
        <f t="shared" si="5"/>
        <v>4.9860122525585187</v>
      </c>
      <c r="L36" s="105">
        <f>IF('DONNEES COMITE (2)'!W31="","",'DONNEES COMITE (2)'!W31)</f>
        <v>5.9659090909090912E-2</v>
      </c>
      <c r="M36" s="105">
        <f>+'DONNEES COMITE (2)'!X31</f>
        <v>0.53301948476526739</v>
      </c>
      <c r="N36" s="105">
        <f>+'DONNEES COMITE (2)'!R31</f>
        <v>0.13285158421345192</v>
      </c>
      <c r="O36" s="22">
        <f>+'DONNEES COMITE (2)'!Z31</f>
        <v>8400</v>
      </c>
      <c r="P36" s="22" t="str">
        <f t="shared" si="10"/>
        <v>Acheter</v>
      </c>
      <c r="Q36" s="22" t="str">
        <f t="shared" si="13"/>
        <v>Vendre</v>
      </c>
      <c r="R36" s="22" t="str">
        <f t="shared" si="14"/>
        <v>Acheter</v>
      </c>
      <c r="S36" s="22" t="str">
        <f t="shared" si="11"/>
        <v>Vendre</v>
      </c>
      <c r="T36" s="22">
        <v>2</v>
      </c>
      <c r="U36" s="106" t="str">
        <f t="shared" si="12"/>
        <v>Acheter</v>
      </c>
      <c r="V36" s="410" t="s">
        <v>144</v>
      </c>
      <c r="W36" s="378">
        <v>9900</v>
      </c>
      <c r="Z36" s="39"/>
    </row>
    <row r="37" spans="3:26" ht="30" customHeight="1" x14ac:dyDescent="0.3">
      <c r="C37" s="107" t="s">
        <v>47</v>
      </c>
      <c r="D37" s="108">
        <v>6780</v>
      </c>
      <c r="E37" s="26">
        <v>-1</v>
      </c>
      <c r="F37" s="26">
        <v>0</v>
      </c>
      <c r="G37" s="26">
        <v>0</v>
      </c>
      <c r="H37" s="26">
        <v>0</v>
      </c>
      <c r="I37" s="26" t="s">
        <v>88</v>
      </c>
      <c r="J37" s="26">
        <f>+'DONNEES COMITE (2)'!U32</f>
        <v>8.3690539486075597</v>
      </c>
      <c r="K37" s="101">
        <f t="shared" si="5"/>
        <v>8.3690539486075597</v>
      </c>
      <c r="L37" s="105">
        <f>IF('DONNEES COMITE (2)'!W32="","",'DONNEES COMITE (2)'!W32)</f>
        <v>8.0973451327433624E-2</v>
      </c>
      <c r="M37" s="105">
        <f>+'DONNEES COMITE (2)'!X32</f>
        <v>0.45532208492755444</v>
      </c>
      <c r="N37" s="105">
        <f>+'DONNEES COMITE (2)'!R32</f>
        <v>0.27865849362361728</v>
      </c>
      <c r="O37" s="22">
        <f>+'DONNEES COMITE (2)'!Z32</f>
        <v>6920</v>
      </c>
      <c r="P37" s="22" t="str">
        <f t="shared" si="10"/>
        <v>Vendre</v>
      </c>
      <c r="Q37" s="22" t="str">
        <f t="shared" si="13"/>
        <v>Acheter</v>
      </c>
      <c r="R37" s="22" t="str">
        <f t="shared" si="14"/>
        <v>Acheter</v>
      </c>
      <c r="S37" s="22" t="str">
        <f t="shared" si="11"/>
        <v>Acheter</v>
      </c>
      <c r="T37" s="22">
        <v>2</v>
      </c>
      <c r="U37" s="106" t="str">
        <f t="shared" si="12"/>
        <v>Prendre ses bénéfices</v>
      </c>
      <c r="V37" s="408"/>
      <c r="W37" s="378"/>
      <c r="Z37" s="39"/>
    </row>
    <row r="38" spans="3:26" ht="30" customHeight="1" x14ac:dyDescent="0.3">
      <c r="C38" s="107" t="s">
        <v>48</v>
      </c>
      <c r="D38" s="108">
        <v>18</v>
      </c>
      <c r="E38" s="26">
        <v>0</v>
      </c>
      <c r="F38" s="26">
        <v>0</v>
      </c>
      <c r="G38" s="26">
        <v>0</v>
      </c>
      <c r="H38" s="26">
        <v>0</v>
      </c>
      <c r="I38" s="26" t="s">
        <v>22</v>
      </c>
      <c r="J38" s="26">
        <f>+'DONNEES COMITE (2)'!U33</f>
        <v>1.4230116764852461</v>
      </c>
      <c r="K38" s="101">
        <f t="shared" si="5"/>
        <v>1.4230116764852461</v>
      </c>
      <c r="L38" s="105">
        <f>IF('DONNEES COMITE (2)'!W33="","",'DONNEES COMITE (2)'!W33)</f>
        <v>3.3333333333333333E-2</v>
      </c>
      <c r="M38" s="105">
        <f>+'DONNEES COMITE (2)'!X33</f>
        <v>0.20677821191130913</v>
      </c>
      <c r="N38" s="105">
        <f>+'DONNEES COMITE (2)'!R33</f>
        <v>0.10403405659062398</v>
      </c>
      <c r="O38" s="22">
        <f>+'DONNEES COMITE (2)'!Z33</f>
        <v>19</v>
      </c>
      <c r="P38" s="22" t="str">
        <f t="shared" si="10"/>
        <v>Acheter</v>
      </c>
      <c r="Q38" s="22" t="str">
        <f t="shared" si="13"/>
        <v>Vendre</v>
      </c>
      <c r="R38" s="22" t="str">
        <f t="shared" si="14"/>
        <v>Vendre</v>
      </c>
      <c r="S38" s="22" t="str">
        <f t="shared" si="11"/>
        <v>Acheter</v>
      </c>
      <c r="T38" s="22">
        <v>1</v>
      </c>
      <c r="U38" s="106" t="str">
        <f t="shared" si="12"/>
        <v>Vendre</v>
      </c>
      <c r="V38" s="106"/>
      <c r="W38" s="379"/>
    </row>
    <row r="39" spans="3:26" ht="30" customHeight="1" x14ac:dyDescent="0.3">
      <c r="C39" s="107" t="s">
        <v>49</v>
      </c>
      <c r="D39" s="108">
        <v>5600</v>
      </c>
      <c r="E39" s="26">
        <v>1</v>
      </c>
      <c r="F39" s="26">
        <v>1</v>
      </c>
      <c r="G39" s="26">
        <v>1</v>
      </c>
      <c r="H39" s="26">
        <v>1</v>
      </c>
      <c r="I39" s="26" t="s">
        <v>18</v>
      </c>
      <c r="J39" s="26">
        <f>+'DONNEES COMITE (2)'!U34</f>
        <v>4.2774875918720277</v>
      </c>
      <c r="K39" s="101">
        <f t="shared" si="5"/>
        <v>4.2774875918720277</v>
      </c>
      <c r="L39" s="105">
        <f>IF('DONNEES COMITE (2)'!W34="","",'DONNEES COMITE (2)'!W34)</f>
        <v>6.4928571428571433E-2</v>
      </c>
      <c r="M39" s="105">
        <f>+'DONNEES COMITE (2)'!X34</f>
        <v>0.32274862340129834</v>
      </c>
      <c r="N39" s="105">
        <f>+'DONNEES COMITE (2)'!R34</f>
        <v>0.21496688741721853</v>
      </c>
      <c r="O39" s="22">
        <f>+'DONNEES COMITE (2)'!Z34</f>
        <v>6045</v>
      </c>
      <c r="P39" s="22" t="str">
        <f t="shared" si="10"/>
        <v>Acheter</v>
      </c>
      <c r="Q39" s="22" t="str">
        <f t="shared" si="13"/>
        <v>Vendre</v>
      </c>
      <c r="R39" s="22" t="str">
        <f t="shared" si="14"/>
        <v>Vendre</v>
      </c>
      <c r="S39" s="22" t="str">
        <f t="shared" si="11"/>
        <v>Acheter</v>
      </c>
      <c r="T39" s="22">
        <v>2</v>
      </c>
      <c r="U39" s="106" t="str">
        <f t="shared" si="12"/>
        <v>Acheter</v>
      </c>
      <c r="V39" s="410" t="s">
        <v>145</v>
      </c>
      <c r="W39" s="378">
        <v>6200</v>
      </c>
      <c r="Z39" s="39"/>
    </row>
    <row r="40" spans="3:26" ht="30" customHeight="1" x14ac:dyDescent="0.3">
      <c r="C40" s="107" t="s">
        <v>50</v>
      </c>
      <c r="D40" s="108">
        <v>2220</v>
      </c>
      <c r="E40" s="26">
        <v>-1</v>
      </c>
      <c r="F40" s="26">
        <v>1</v>
      </c>
      <c r="G40" s="26">
        <v>0</v>
      </c>
      <c r="H40" s="26">
        <v>0</v>
      </c>
      <c r="I40" s="26" t="s">
        <v>22</v>
      </c>
      <c r="J40" s="26">
        <f>+'DONNEES COMITE (2)'!U35</f>
        <v>8.0265310078649943</v>
      </c>
      <c r="K40" s="101">
        <f t="shared" si="5"/>
        <v>8.0265310078649943</v>
      </c>
      <c r="L40" s="105">
        <f>IF('DONNEES COMITE (2)'!W35="","",'DONNEES COMITE (2)'!W35)</f>
        <v>2.6810810810810812E-2</v>
      </c>
      <c r="M40" s="105">
        <f>+'DONNEES COMITE (2)'!X35</f>
        <v>-0.15953268849784408</v>
      </c>
      <c r="N40" s="105">
        <f>+'DONNEES COMITE (2)'!R35</f>
        <v>-2.8548201341372534</v>
      </c>
      <c r="O40" s="22">
        <f>+'DONNEES COMITE (2)'!Z35</f>
        <v>2690</v>
      </c>
      <c r="P40" s="22" t="str">
        <f t="shared" si="10"/>
        <v>Vendre</v>
      </c>
      <c r="Q40" s="22" t="str">
        <f t="shared" si="13"/>
        <v>Vendre</v>
      </c>
      <c r="R40" s="22" t="str">
        <f t="shared" si="14"/>
        <v>Vendre</v>
      </c>
      <c r="S40" s="22" t="str">
        <f t="shared" si="11"/>
        <v>Acheter</v>
      </c>
      <c r="T40" s="22">
        <v>1</v>
      </c>
      <c r="U40" s="106" t="str">
        <f t="shared" si="12"/>
        <v>Vendre</v>
      </c>
      <c r="V40" s="106"/>
      <c r="W40" s="379"/>
    </row>
    <row r="41" spans="3:26" ht="30" customHeight="1" x14ac:dyDescent="0.3">
      <c r="C41" s="107" t="s">
        <v>51</v>
      </c>
      <c r="D41" s="108">
        <v>1095</v>
      </c>
      <c r="E41" s="26">
        <v>-1</v>
      </c>
      <c r="F41" s="26">
        <v>0</v>
      </c>
      <c r="G41" s="26">
        <v>1</v>
      </c>
      <c r="H41" s="26">
        <v>0</v>
      </c>
      <c r="I41" s="26" t="s">
        <v>20</v>
      </c>
      <c r="J41" s="26" t="str">
        <f>+'DONNEES COMITE (2)'!U36</f>
        <v/>
      </c>
      <c r="K41" s="101" t="str">
        <f t="shared" si="5"/>
        <v/>
      </c>
      <c r="L41" s="105">
        <f>IF('DONNEES COMITE (2)'!W36="","",'DONNEES COMITE (2)'!W36)</f>
        <v>2.1041095890410959E-2</v>
      </c>
      <c r="M41" s="105">
        <f>+'DONNEES COMITE (2)'!X36</f>
        <v>-0.14480198019801979</v>
      </c>
      <c r="N41" s="105">
        <f>+'DONNEES COMITE (2)'!R36</f>
        <v>1.3092105263157894</v>
      </c>
      <c r="O41" s="22">
        <f>+'DONNEES COMITE (2)'!Z36</f>
        <v>1090</v>
      </c>
      <c r="P41" s="22" t="str">
        <f t="shared" si="10"/>
        <v>Vendre</v>
      </c>
      <c r="Q41" s="22" t="str">
        <f t="shared" si="13"/>
        <v>Vendre</v>
      </c>
      <c r="R41" s="22" t="str">
        <f t="shared" si="14"/>
        <v>Vendre</v>
      </c>
      <c r="S41" s="22" t="str">
        <f t="shared" si="11"/>
        <v>Vendre</v>
      </c>
      <c r="T41" s="22">
        <v>1</v>
      </c>
      <c r="U41" s="106" t="str">
        <f t="shared" si="12"/>
        <v>Vendre</v>
      </c>
      <c r="V41" s="106"/>
      <c r="W41" s="381"/>
    </row>
    <row r="42" spans="3:26" ht="30" customHeight="1" x14ac:dyDescent="0.3">
      <c r="C42" s="107" t="s">
        <v>52</v>
      </c>
      <c r="D42" s="108">
        <v>17500</v>
      </c>
      <c r="E42" s="26">
        <v>1</v>
      </c>
      <c r="F42" s="26">
        <v>1</v>
      </c>
      <c r="G42" s="26">
        <v>0</v>
      </c>
      <c r="H42" s="26">
        <v>0</v>
      </c>
      <c r="I42" s="26" t="s">
        <v>22</v>
      </c>
      <c r="J42" s="26">
        <f>+'DONNEES COMITE (2)'!U37</f>
        <v>5.5995518358531315</v>
      </c>
      <c r="K42" s="101">
        <f t="shared" si="5"/>
        <v>5.5995518358531315</v>
      </c>
      <c r="L42" s="105">
        <f>IF('DONNEES COMITE (2)'!W37="","",'DONNEES COMITE (2)'!W37)</f>
        <v>8.8405714285714282E-2</v>
      </c>
      <c r="M42" s="105">
        <f>+'DONNEES COMITE (2)'!X37</f>
        <v>0.38387435547168025</v>
      </c>
      <c r="N42" s="105">
        <f>+'DONNEES COMITE (2)'!R37</f>
        <v>0.30030000000000001</v>
      </c>
      <c r="O42" s="22">
        <f>+'DONNEES COMITE (2)'!Z37</f>
        <v>16135</v>
      </c>
      <c r="P42" s="22" t="str">
        <f t="shared" si="10"/>
        <v>Acheter</v>
      </c>
      <c r="Q42" s="22" t="str">
        <f t="shared" si="13"/>
        <v>Acheter</v>
      </c>
      <c r="R42" s="22" t="str">
        <f t="shared" si="14"/>
        <v>Acheter</v>
      </c>
      <c r="S42" s="22" t="str">
        <f t="shared" si="11"/>
        <v>Vendre</v>
      </c>
      <c r="T42" s="22">
        <v>2</v>
      </c>
      <c r="U42" s="106" t="str">
        <f t="shared" si="12"/>
        <v>Acheter</v>
      </c>
      <c r="V42" s="410" t="s">
        <v>146</v>
      </c>
      <c r="W42" s="378">
        <v>18500</v>
      </c>
    </row>
    <row r="43" spans="3:26" ht="30" customHeight="1" x14ac:dyDescent="0.3">
      <c r="C43" s="107" t="s">
        <v>53</v>
      </c>
      <c r="D43" s="108">
        <v>5800</v>
      </c>
      <c r="E43" s="26">
        <v>1</v>
      </c>
      <c r="F43" s="26">
        <v>-1</v>
      </c>
      <c r="G43" s="26">
        <v>1</v>
      </c>
      <c r="H43" s="26">
        <v>0</v>
      </c>
      <c r="I43" s="26" t="s">
        <v>22</v>
      </c>
      <c r="J43" s="26">
        <f>+'DONNEES COMITE (2)'!U38</f>
        <v>7.233724120728362</v>
      </c>
      <c r="K43" s="101">
        <f t="shared" si="5"/>
        <v>7.233724120728362</v>
      </c>
      <c r="L43" s="105">
        <f>IF('DONNEES COMITE (2)'!W38="","",'DONNEES COMITE (2)'!W38)</f>
        <v>8.5344827586206901E-2</v>
      </c>
      <c r="M43" s="105">
        <f>+'DONNEES COMITE (2)'!X38</f>
        <v>0.49386084583901774</v>
      </c>
      <c r="N43" s="105">
        <f>+'DONNEES COMITE (2)'!R38</f>
        <v>0.16398713826366559</v>
      </c>
      <c r="O43" s="22">
        <f>+'DONNEES COMITE (2)'!Z38</f>
        <v>5315</v>
      </c>
      <c r="P43" s="22" t="str">
        <f t="shared" si="10"/>
        <v>Vendre</v>
      </c>
      <c r="Q43" s="22" t="str">
        <f t="shared" si="13"/>
        <v>Acheter</v>
      </c>
      <c r="R43" s="22" t="str">
        <f t="shared" si="14"/>
        <v>Acheter</v>
      </c>
      <c r="S43" s="22" t="str">
        <f t="shared" si="11"/>
        <v>Vendre</v>
      </c>
      <c r="T43" s="22">
        <v>2</v>
      </c>
      <c r="U43" s="376" t="s">
        <v>22</v>
      </c>
      <c r="V43" s="409"/>
      <c r="W43" s="381"/>
      <c r="Z43" s="39"/>
    </row>
    <row r="44" spans="3:26" ht="30" customHeight="1" x14ac:dyDescent="0.3">
      <c r="C44" s="438" t="s">
        <v>54</v>
      </c>
      <c r="D44" s="439"/>
      <c r="E44" s="439"/>
      <c r="F44" s="439"/>
      <c r="G44" s="439"/>
      <c r="H44" s="439"/>
      <c r="I44" s="440"/>
      <c r="J44" s="291">
        <f>+'DONNEES COMITE (2)'!U39</f>
        <v>8.1023226105518962</v>
      </c>
      <c r="K44" s="101">
        <f t="shared" si="5"/>
        <v>8.1023226105518962</v>
      </c>
      <c r="L44" s="102">
        <f>+AVERAGE(L45:L46)</f>
        <v>8.0769230769230774E-2</v>
      </c>
      <c r="M44" s="102">
        <f>+AVERAGE(M45:M46)</f>
        <v>0.28979355005831597</v>
      </c>
      <c r="N44" s="102"/>
      <c r="O44" s="109"/>
      <c r="P44" s="109"/>
      <c r="Q44" s="109"/>
      <c r="R44" s="109"/>
      <c r="S44" s="109"/>
      <c r="T44" s="109"/>
      <c r="U44" s="109"/>
      <c r="V44" s="109"/>
      <c r="W44" s="375"/>
    </row>
    <row r="45" spans="3:26" ht="30" customHeight="1" x14ac:dyDescent="0.3">
      <c r="C45" s="107" t="s">
        <v>55</v>
      </c>
      <c r="D45" s="108">
        <v>1495</v>
      </c>
      <c r="E45" s="26">
        <v>-1</v>
      </c>
      <c r="F45" s="26">
        <v>-1</v>
      </c>
      <c r="G45" s="26">
        <v>0</v>
      </c>
      <c r="H45" s="26">
        <v>0</v>
      </c>
      <c r="I45" s="26" t="s">
        <v>88</v>
      </c>
      <c r="J45" s="26">
        <f>+'DONNEES COMITE (2)'!U40</f>
        <v>8.1023226105518962</v>
      </c>
      <c r="K45" s="101">
        <f t="shared" si="5"/>
        <v>8.1023226105518962</v>
      </c>
      <c r="L45" s="105">
        <f>IF('DONNEES COMITE (2)'!W40="","",+'DONNEES COMITE (2)'!W40)</f>
        <v>6.1538461538461542E-2</v>
      </c>
      <c r="M45" s="105">
        <f>+'DONNEES COMITE (2)'!X40</f>
        <v>0.28979355005831597</v>
      </c>
      <c r="N45" s="105">
        <f>+'DONNEES COMITE (2)'!R40</f>
        <v>0.82459988510831983</v>
      </c>
      <c r="O45" s="22">
        <f>+'DONNEES COMITE (2)'!Z40</f>
        <v>1500</v>
      </c>
      <c r="P45" s="22" t="str">
        <f>+IF(J45&lt;$J$44,"Acheter", "Vendre")</f>
        <v>Vendre</v>
      </c>
      <c r="Q45" s="22" t="str">
        <f>IF(L45="","",IF(L45&gt;=$L$8,"Acheter",IF(AND(L45&lt;$L$8,L45&gt;$L$44),"Acheter","Vendre")))</f>
        <v>Vendre</v>
      </c>
      <c r="R45" s="22" t="str">
        <f>+IF(M45="","",IF(M45&gt;=$M$44,"Acheter","Vendre"))</f>
        <v>Acheter</v>
      </c>
      <c r="S45" s="22" t="str">
        <f>+IF(D45&lt;O45,"Acheter","Vendre")</f>
        <v>Acheter</v>
      </c>
      <c r="T45" s="22">
        <v>1</v>
      </c>
      <c r="U45" s="106" t="str">
        <f>+IF(OR(AND(I45="Acheter",T45=2),AND(I45="Conserver",T45=2),AND(I45="Acheter",T45=1)),"Acheter",IF(OR(AND(I45="Conserver",T45=1),AND(I45="Alléger",T45=1),AND(I45="Vendre",T45=1)),"Vendre",IF(OR(AND(I45="Alléger",T45=2),AND(I45="Vendre",T45=2)),"Prendre ses bénéfices")))</f>
        <v>Vendre</v>
      </c>
      <c r="V45" s="106"/>
      <c r="W45" s="381"/>
    </row>
    <row r="46" spans="3:26" ht="30" customHeight="1" x14ac:dyDescent="0.3">
      <c r="C46" s="107" t="s">
        <v>56</v>
      </c>
      <c r="D46" s="108">
        <v>2395</v>
      </c>
      <c r="E46" s="26">
        <v>0</v>
      </c>
      <c r="F46" s="26">
        <v>0</v>
      </c>
      <c r="G46" s="26">
        <v>0</v>
      </c>
      <c r="H46" s="26">
        <v>0</v>
      </c>
      <c r="I46" s="26" t="s">
        <v>22</v>
      </c>
      <c r="J46" s="26" t="str">
        <f>+'DONNEES COMITE (2)'!U41</f>
        <v/>
      </c>
      <c r="K46" s="101" t="str">
        <f t="shared" si="5"/>
        <v/>
      </c>
      <c r="L46" s="105">
        <f>IF('DONNEES COMITE (2)'!W41="","",+'DONNEES COMITE (2)'!W41)</f>
        <v>0.1</v>
      </c>
      <c r="M46" s="105" t="str">
        <f>+'DONNEES COMITE (2)'!X41</f>
        <v/>
      </c>
      <c r="N46" s="105">
        <f>+'DONNEES COMITE (2)'!R41</f>
        <v>0</v>
      </c>
      <c r="O46" s="22">
        <f>+'DONNEES COMITE (2)'!Z41</f>
        <v>0</v>
      </c>
      <c r="P46" s="22" t="str">
        <f>+IF(J46&lt;$J$44,"Acheter", "Vendre")</f>
        <v>Vendre</v>
      </c>
      <c r="Q46" s="22" t="str">
        <f>IF(L46="","",IF(L46&gt;=$L$8,"Acheter",IF(AND(L46&lt;$L$8,L46&gt;$L$44),"Acheter","Vendre")))</f>
        <v>Acheter</v>
      </c>
      <c r="R46" s="22" t="str">
        <f>+IF(M46="","",IF(M46&gt;=$M$44,"Acheter","Vendre"))</f>
        <v/>
      </c>
      <c r="S46" s="22" t="str">
        <f>+IF(D46&lt;O46,"Acheter","Vendre")</f>
        <v>Vendre</v>
      </c>
      <c r="T46" s="22">
        <f t="shared" ca="1" si="9"/>
        <v>2</v>
      </c>
      <c r="U46" s="106"/>
      <c r="V46" s="106"/>
      <c r="W46" s="381"/>
    </row>
    <row r="47" spans="3:26" ht="30" customHeight="1" x14ac:dyDescent="0.3">
      <c r="C47" s="438" t="s">
        <v>57</v>
      </c>
      <c r="D47" s="439"/>
      <c r="E47" s="439"/>
      <c r="F47" s="439"/>
      <c r="G47" s="439"/>
      <c r="H47" s="439"/>
      <c r="I47" s="440"/>
      <c r="J47" s="291">
        <f>+'DONNEES COMITE (2)'!U42</f>
        <v>3.564714978276216</v>
      </c>
      <c r="K47" s="101">
        <f t="shared" si="5"/>
        <v>3.564714978276216</v>
      </c>
      <c r="L47" s="102">
        <f>+AVERAGE(L48:L52)</f>
        <v>0.21972081592877787</v>
      </c>
      <c r="M47" s="102">
        <f>+AVERAGE(M48:M52)</f>
        <v>-5.674624141671223E-3</v>
      </c>
      <c r="N47" s="102"/>
      <c r="O47" s="110"/>
      <c r="P47" s="110"/>
      <c r="Q47" s="110"/>
      <c r="R47" s="110"/>
      <c r="S47" s="110"/>
      <c r="T47" s="109"/>
      <c r="U47" s="109"/>
      <c r="V47" s="109"/>
      <c r="W47" s="375"/>
    </row>
    <row r="48" spans="3:26" ht="30" customHeight="1" x14ac:dyDescent="0.3">
      <c r="C48" s="107" t="s">
        <v>58</v>
      </c>
      <c r="D48" s="108">
        <v>6695</v>
      </c>
      <c r="E48" s="26">
        <v>-1</v>
      </c>
      <c r="F48" s="26">
        <v>-1</v>
      </c>
      <c r="G48" s="26">
        <v>0</v>
      </c>
      <c r="H48" s="26">
        <v>0</v>
      </c>
      <c r="I48" s="26" t="s">
        <v>88</v>
      </c>
      <c r="J48" s="26">
        <f>+'DONNEES COMITE (2)'!U43</f>
        <v>2.4824237487740501</v>
      </c>
      <c r="K48" s="101">
        <f t="shared" si="5"/>
        <v>2.4824237487740501</v>
      </c>
      <c r="L48" s="105">
        <f>IF(+'DONNEES COMITE (2)'!W43="","",+'DONNEES COMITE (2)'!W43)</f>
        <v>0.18127408513816282</v>
      </c>
      <c r="M48" s="105">
        <f>+'DONNEES COMITE (2)'!X43</f>
        <v>0.12878146459435966</v>
      </c>
      <c r="N48" s="105">
        <f>+'DONNEES COMITE (2)'!R43</f>
        <v>-0.46274890819567938</v>
      </c>
      <c r="O48" s="22">
        <f>+'DONNEES COMITE (2)'!Z43</f>
        <v>9602</v>
      </c>
      <c r="P48" s="22" t="str">
        <f>+IF(J48&lt;$J$47,"Acheter", "Vendre")</f>
        <v>Acheter</v>
      </c>
      <c r="Q48" s="22" t="str">
        <f>IF(L48="","",IF(L48&gt;=$L$8,"Acheter",IF(AND(L48&lt;$L$8,L48&gt;$L$47),"Acheter","Vendre")))</f>
        <v>Acheter</v>
      </c>
      <c r="R48" s="22" t="str">
        <f>+IF(M48="","",IF(M48&gt;=$M$47,"Acheter","Vendre"))</f>
        <v>Acheter</v>
      </c>
      <c r="S48" s="22" t="str">
        <f>+IF(D48&lt;O48,"Acheter","Vendre")</f>
        <v>Acheter</v>
      </c>
      <c r="T48" s="22">
        <v>2</v>
      </c>
      <c r="U48" s="106" t="str">
        <f>+IF(OR(AND(I48="Acheter",T48=2),AND(I48="Conserver",T48=2),AND(I48="Acheter",T48=1)),"Acheter",IF(OR(AND(I48="Conserver",T48=1),AND(I48="Alléger",T48=1),AND(I48="Vendre",T48=1)),"Vendre",IF(OR(AND(I48="Alléger",T48=2),AND(I48="Vendre",T48=2)),"Prendre ses bénéfices")))</f>
        <v>Prendre ses bénéfices</v>
      </c>
      <c r="V48" s="106"/>
      <c r="W48" s="381"/>
    </row>
    <row r="49" spans="3:26" ht="30" customHeight="1" x14ac:dyDescent="0.3">
      <c r="C49" s="107" t="s">
        <v>59</v>
      </c>
      <c r="D49" s="108">
        <v>440</v>
      </c>
      <c r="E49" s="26">
        <v>-1</v>
      </c>
      <c r="F49" s="26">
        <v>-1</v>
      </c>
      <c r="G49" s="26">
        <v>0</v>
      </c>
      <c r="H49" s="26">
        <v>0</v>
      </c>
      <c r="I49" s="26" t="s">
        <v>88</v>
      </c>
      <c r="J49" s="26" t="str">
        <f>+'DONNEES COMITE (2)'!U44</f>
        <v/>
      </c>
      <c r="K49" s="101" t="str">
        <f t="shared" si="5"/>
        <v/>
      </c>
      <c r="L49" s="105">
        <f>IF(+'DONNEES COMITE (2)'!W44="","",+'DONNEES COMITE (2)'!W44)</f>
        <v>9.2045454545454541E-2</v>
      </c>
      <c r="M49" s="105">
        <f>+'DONNEES COMITE (2)'!X44</f>
        <v>-0.26024780111115864</v>
      </c>
      <c r="N49" s="105">
        <f>+'DONNEES COMITE (2)'!R44</f>
        <v>0.7108324185472592</v>
      </c>
      <c r="O49" s="22">
        <f>+'DONNEES COMITE (2)'!Z44</f>
        <v>578</v>
      </c>
      <c r="P49" s="22" t="str">
        <f>+IF(J49&lt;$J$47,"Acheter", "Vendre")</f>
        <v>Vendre</v>
      </c>
      <c r="Q49" s="22" t="str">
        <f t="shared" ref="Q49:Q52" si="15">IF(L49="","",IF(L49&gt;=$L$8,"Acheter",IF(AND(L49&lt;$L$8,L49&gt;$L$47),"Acheter","Vendre")))</f>
        <v>Vendre</v>
      </c>
      <c r="R49" s="22" t="str">
        <f t="shared" ref="R49:R52" si="16">+IF(M49="","",IF(M49&gt;=$M$47,"Acheter","Vendre"))</f>
        <v>Vendre</v>
      </c>
      <c r="S49" s="22" t="str">
        <f>+IF(D49&lt;O49,"Acheter","Vendre")</f>
        <v>Acheter</v>
      </c>
      <c r="T49" s="22">
        <v>1</v>
      </c>
      <c r="U49" s="106" t="str">
        <f t="shared" ref="U49:U52" si="17">+IF(OR(AND(I49="Acheter",T49=2),AND(I49="Conserver",T49=2),AND(I49="Acheter",T49=1)),"Acheter",IF(OR(AND(I49="Conserver",T49=1),AND(I49="Alléger",T49=1),AND(I49="Vendre",T49=1)),"Vendre",IF(OR(AND(I49="Alléger",T49=2),AND(I49="Vendre",T49=2)),"Prendre ses bénéfices")))</f>
        <v>Vendre</v>
      </c>
      <c r="V49" s="106"/>
      <c r="W49" s="381"/>
    </row>
    <row r="50" spans="3:26" ht="30" customHeight="1" x14ac:dyDescent="0.3">
      <c r="C50" s="107" t="s">
        <v>60</v>
      </c>
      <c r="D50" s="108">
        <v>3600</v>
      </c>
      <c r="E50" s="26">
        <v>1</v>
      </c>
      <c r="F50" s="26">
        <v>-1</v>
      </c>
      <c r="G50" s="26">
        <v>1</v>
      </c>
      <c r="H50" s="26">
        <v>0</v>
      </c>
      <c r="I50" s="26" t="s">
        <v>88</v>
      </c>
      <c r="J50" s="26" t="str">
        <f>+'DONNEES COMITE (2)'!U45</f>
        <v/>
      </c>
      <c r="K50" s="101" t="str">
        <f t="shared" si="5"/>
        <v/>
      </c>
      <c r="L50" s="105">
        <f>IF(+'DONNEES COMITE (2)'!W45="","",+'DONNEES COMITE (2)'!W45)</f>
        <v>0.5330555555555555</v>
      </c>
      <c r="M50" s="105" t="str">
        <f>+'DONNEES COMITE (2)'!X45</f>
        <v/>
      </c>
      <c r="N50" s="105" t="str">
        <f>+'DONNEES COMITE (2)'!R45</f>
        <v/>
      </c>
      <c r="O50" s="22">
        <f>+'DONNEES COMITE (2)'!Z45</f>
        <v>4682</v>
      </c>
      <c r="P50" s="22" t="str">
        <f>+IF(J50&lt;$J$47,"Acheter", "Vendre")</f>
        <v>Vendre</v>
      </c>
      <c r="Q50" s="22" t="str">
        <f t="shared" si="15"/>
        <v>Acheter</v>
      </c>
      <c r="R50" s="22" t="str">
        <f t="shared" si="16"/>
        <v/>
      </c>
      <c r="S50" s="22" t="str">
        <f>+IF(D50&lt;O50,"Acheter","Vendre")</f>
        <v>Acheter</v>
      </c>
      <c r="T50" s="22">
        <v>1</v>
      </c>
      <c r="U50" s="106" t="str">
        <f t="shared" si="17"/>
        <v>Vendre</v>
      </c>
      <c r="V50" s="106"/>
      <c r="W50" s="381"/>
    </row>
    <row r="51" spans="3:26" ht="30" customHeight="1" x14ac:dyDescent="0.3">
      <c r="C51" s="107" t="s">
        <v>61</v>
      </c>
      <c r="D51" s="108">
        <v>3300</v>
      </c>
      <c r="E51" s="26">
        <v>0</v>
      </c>
      <c r="F51" s="26">
        <v>-1</v>
      </c>
      <c r="G51" s="26">
        <v>0</v>
      </c>
      <c r="H51" s="26">
        <v>0</v>
      </c>
      <c r="I51" s="26" t="s">
        <v>88</v>
      </c>
      <c r="J51" s="26">
        <f>+'DONNEES COMITE (2)'!U46</f>
        <v>4.5541525215992378</v>
      </c>
      <c r="K51" s="101">
        <f t="shared" si="5"/>
        <v>4.5541525215992378</v>
      </c>
      <c r="L51" s="105">
        <f>IF(+'DONNEES COMITE (2)'!W46="","",+'DONNEES COMITE (2)'!W46)</f>
        <v>0.1690909090909091</v>
      </c>
      <c r="M51" s="105">
        <f>+'DONNEES COMITE (2)'!X46</f>
        <v>8.0840714046723439E-2</v>
      </c>
      <c r="N51" s="105">
        <f>+'DONNEES COMITE (2)'!R46</f>
        <v>-0.63082132050794149</v>
      </c>
      <c r="O51" s="22">
        <f>+'DONNEES COMITE (2)'!Z46</f>
        <v>4279</v>
      </c>
      <c r="P51" s="22" t="str">
        <f>+IF(J51&lt;$J$47,"Acheter", "Vendre")</f>
        <v>Vendre</v>
      </c>
      <c r="Q51" s="22" t="str">
        <f t="shared" si="15"/>
        <v>Acheter</v>
      </c>
      <c r="R51" s="22" t="str">
        <f t="shared" si="16"/>
        <v>Acheter</v>
      </c>
      <c r="S51" s="22" t="str">
        <f>+IF(D51&lt;O51,"Acheter","Vendre")</f>
        <v>Acheter</v>
      </c>
      <c r="T51" s="22">
        <v>1</v>
      </c>
      <c r="U51" s="106" t="str">
        <f t="shared" si="17"/>
        <v>Vendre</v>
      </c>
      <c r="V51" s="106"/>
      <c r="W51" s="381"/>
    </row>
    <row r="52" spans="3:26" ht="30" customHeight="1" x14ac:dyDescent="0.3">
      <c r="C52" s="107" t="s">
        <v>62</v>
      </c>
      <c r="D52" s="108">
        <v>2390</v>
      </c>
      <c r="E52" s="26">
        <v>1</v>
      </c>
      <c r="F52" s="26">
        <v>0</v>
      </c>
      <c r="G52" s="26">
        <v>-1</v>
      </c>
      <c r="H52" s="26">
        <v>0</v>
      </c>
      <c r="I52" s="26" t="s">
        <v>88</v>
      </c>
      <c r="J52" s="26">
        <f>+'DONNEES COMITE (2)'!U47</f>
        <v>3.65756866445536</v>
      </c>
      <c r="K52" s="101">
        <f t="shared" si="5"/>
        <v>3.65756866445536</v>
      </c>
      <c r="L52" s="105">
        <f>IF(+'DONNEES COMITE (2)'!W47="","",+'DONNEES COMITE (2)'!W47)</f>
        <v>0.12313807531380754</v>
      </c>
      <c r="M52" s="105">
        <f>+'DONNEES COMITE (2)'!X47</f>
        <v>2.7927125903390651E-2</v>
      </c>
      <c r="N52" s="105">
        <f>+'DONNEES COMITE (2)'!R47</f>
        <v>-0.72790602376724489</v>
      </c>
      <c r="O52" s="22">
        <f>+'DONNEES COMITE (2)'!Z47</f>
        <v>3610</v>
      </c>
      <c r="P52" s="22" t="str">
        <f>+IF(J52&lt;$J$47,"Acheter", "Vendre")</f>
        <v>Vendre</v>
      </c>
      <c r="Q52" s="22" t="str">
        <f t="shared" si="15"/>
        <v>Acheter</v>
      </c>
      <c r="R52" s="22" t="str">
        <f t="shared" si="16"/>
        <v>Acheter</v>
      </c>
      <c r="S52" s="22" t="str">
        <f>+IF(D52&lt;O52,"Acheter","Vendre")</f>
        <v>Acheter</v>
      </c>
      <c r="T52" s="22">
        <v>1</v>
      </c>
      <c r="U52" s="106" t="str">
        <f t="shared" si="17"/>
        <v>Vendre</v>
      </c>
      <c r="V52" s="106"/>
      <c r="W52" s="381"/>
    </row>
    <row r="53" spans="3:26" ht="30" customHeight="1" x14ac:dyDescent="0.3">
      <c r="C53" s="438" t="s">
        <v>63</v>
      </c>
      <c r="D53" s="439"/>
      <c r="E53" s="439"/>
      <c r="F53" s="439"/>
      <c r="G53" s="439"/>
      <c r="H53" s="439"/>
      <c r="I53" s="440"/>
      <c r="J53" s="291">
        <f>+'DONNEES COMITE (2)'!U48</f>
        <v>10.682269253074864</v>
      </c>
      <c r="K53" s="101">
        <f>+J53</f>
        <v>10.682269253074864</v>
      </c>
      <c r="L53" s="102">
        <f>+AVERAGE(L54:L60)</f>
        <v>9.1616424038216113E-2</v>
      </c>
      <c r="M53" s="102">
        <f>+AVERAGE(M54:M60)</f>
        <v>4.9170880838002626E-2</v>
      </c>
      <c r="N53" s="102"/>
      <c r="O53" s="109"/>
      <c r="P53" s="109"/>
      <c r="Q53" s="109"/>
      <c r="R53" s="109"/>
      <c r="S53" s="109"/>
      <c r="T53" s="109"/>
      <c r="U53" s="109"/>
      <c r="V53" s="109"/>
      <c r="W53" s="375"/>
    </row>
    <row r="54" spans="3:26" ht="30" customHeight="1" x14ac:dyDescent="0.3">
      <c r="C54" s="107" t="s">
        <v>64</v>
      </c>
      <c r="D54" s="108">
        <v>1305</v>
      </c>
      <c r="E54" s="26">
        <v>-1</v>
      </c>
      <c r="F54" s="26">
        <v>1</v>
      </c>
      <c r="G54" s="26">
        <v>0</v>
      </c>
      <c r="H54" s="26">
        <v>0</v>
      </c>
      <c r="I54" s="26" t="s">
        <v>88</v>
      </c>
      <c r="J54" s="26">
        <f>+'DONNEES COMITE (2)'!U49</f>
        <v>11.224955226726429</v>
      </c>
      <c r="K54" s="101">
        <f t="shared" si="5"/>
        <v>11.224955226726429</v>
      </c>
      <c r="L54" s="105">
        <f>IF('DONNEES COMITE (2)'!W49="","",'DONNEES COMITE (2)'!W49)</f>
        <v>7.0498084291187743E-2</v>
      </c>
      <c r="M54" s="105">
        <f>+'DONNEES COMITE (2)'!X49</f>
        <v>0.1403311819883955</v>
      </c>
      <c r="N54" s="105">
        <f>+'DONNEES COMITE (2)'!R49</f>
        <v>-6.0405480061843458E-2</v>
      </c>
      <c r="O54" s="22">
        <f>+'DONNEES COMITE (2)'!Z49</f>
        <v>1275</v>
      </c>
      <c r="P54" s="22" t="str">
        <f t="shared" ref="P54:P60" si="18">+IF(J54&lt;$J$53,"Acheter", "Vendre")</f>
        <v>Vendre</v>
      </c>
      <c r="Q54" s="22" t="str">
        <f>IF(L54="","",IF(L54&gt;=$L$8,"Acheter",IF(AND(L54&lt;$L$8,L54&gt;$L$53),"Acheter","Vendre")))</f>
        <v>Vendre</v>
      </c>
      <c r="R54" s="22" t="str">
        <f>+IF(M54="","",IF(M54&gt;=$M$53,"Acheter","Vendre"))</f>
        <v>Acheter</v>
      </c>
      <c r="S54" s="22" t="str">
        <f t="shared" ref="S54:S60" si="19">+IF(D54&lt;O54,"Acheter","Vendre")</f>
        <v>Vendre</v>
      </c>
      <c r="T54" s="22">
        <v>1</v>
      </c>
      <c r="U54" s="106" t="str">
        <f t="shared" ref="U54:U60" si="20">+IF(OR(AND(I54="Acheter",T54=2),AND(I54="Conserver",T54=2),AND(I54="Acheter",T54=1)),"Acheter",IF(OR(AND(I54="Conserver",T54=1),AND(I54="Alléger",T54=1),AND(I54="Vendre",T54=1)),"Vendre",IF(OR(AND(I54="Alléger",T54=2),AND(I54="Vendre",T54=2)),"Prendre ses bénéfices")))</f>
        <v>Vendre</v>
      </c>
      <c r="V54" s="106"/>
      <c r="W54" s="381"/>
    </row>
    <row r="55" spans="3:26" ht="30" customHeight="1" x14ac:dyDescent="0.3">
      <c r="C55" s="107" t="s">
        <v>65</v>
      </c>
      <c r="D55" s="108">
        <v>1065</v>
      </c>
      <c r="E55" s="26">
        <v>-1</v>
      </c>
      <c r="F55" s="26">
        <v>1</v>
      </c>
      <c r="G55" s="26">
        <v>1</v>
      </c>
      <c r="H55" s="26">
        <v>0</v>
      </c>
      <c r="I55" s="26" t="s">
        <v>18</v>
      </c>
      <c r="J55" s="26">
        <f>+'DONNEES COMITE (2)'!U50</f>
        <v>3.8997014925373139</v>
      </c>
      <c r="K55" s="101">
        <f t="shared" si="5"/>
        <v>3.8997014925373139</v>
      </c>
      <c r="L55" s="105">
        <f>IF('DONNEES COMITE (2)'!W50="","",'DONNEES COMITE (2)'!W50)</f>
        <v>0.14084507042253522</v>
      </c>
      <c r="M55" s="105">
        <f>+'DONNEES COMITE (2)'!X50</f>
        <v>1.0277754810316423E-2</v>
      </c>
      <c r="N55" s="105">
        <f>+'DONNEES COMITE (2)'!R50</f>
        <v>-0.8040009697551751</v>
      </c>
      <c r="O55" s="22">
        <f>+'DONNEES COMITE (2)'!Z50</f>
        <v>1777</v>
      </c>
      <c r="P55" s="22" t="str">
        <f t="shared" si="18"/>
        <v>Acheter</v>
      </c>
      <c r="Q55" s="22" t="str">
        <f t="shared" ref="Q55:Q60" si="21">IF(L55="","",IF(L55&gt;=$L$8,"Acheter",IF(AND(L55&lt;$L$8,L55&gt;$L$53),"Acheter","Vendre")))</f>
        <v>Acheter</v>
      </c>
      <c r="R55" s="22" t="str">
        <f t="shared" ref="R55:R60" si="22">+IF(M55="","",IF(M55&gt;=$M$53,"Acheter","Vendre"))</f>
        <v>Vendre</v>
      </c>
      <c r="S55" s="22" t="str">
        <f t="shared" si="19"/>
        <v>Acheter</v>
      </c>
      <c r="T55" s="22">
        <v>1</v>
      </c>
      <c r="U55" s="106" t="str">
        <f t="shared" si="20"/>
        <v>Acheter</v>
      </c>
      <c r="V55" s="409" t="s">
        <v>147</v>
      </c>
      <c r="W55" s="378">
        <v>1175</v>
      </c>
    </row>
    <row r="56" spans="3:26" ht="30" customHeight="1" x14ac:dyDescent="0.3">
      <c r="C56" s="107" t="s">
        <v>66</v>
      </c>
      <c r="D56" s="108">
        <v>725</v>
      </c>
      <c r="E56" s="26">
        <v>-1</v>
      </c>
      <c r="F56" s="26">
        <v>1</v>
      </c>
      <c r="G56" s="26">
        <v>0</v>
      </c>
      <c r="H56" s="26">
        <v>0</v>
      </c>
      <c r="I56" s="26" t="s">
        <v>18</v>
      </c>
      <c r="J56" s="26">
        <f>+'DONNEES COMITE (2)'!U51</f>
        <v>23.763100594757258</v>
      </c>
      <c r="K56" s="101">
        <f t="shared" si="5"/>
        <v>23.763100594757258</v>
      </c>
      <c r="L56" s="105">
        <f>IF('DONNEES COMITE (2)'!W51="","",'DONNEES COMITE (2)'!W51)</f>
        <v>3.7862068965517241E-2</v>
      </c>
      <c r="M56" s="105" t="str">
        <f>+'DONNEES COMITE (2)'!X51</f>
        <v/>
      </c>
      <c r="N56" s="105" t="str">
        <f>+'DONNEES COMITE (2)'!R51</f>
        <v/>
      </c>
      <c r="O56" s="22">
        <f>+'DONNEES COMITE (2)'!Z51</f>
        <v>842</v>
      </c>
      <c r="P56" s="22" t="str">
        <f t="shared" si="18"/>
        <v>Vendre</v>
      </c>
      <c r="Q56" s="22" t="str">
        <f t="shared" si="21"/>
        <v>Vendre</v>
      </c>
      <c r="R56" s="22" t="str">
        <f t="shared" si="22"/>
        <v/>
      </c>
      <c r="S56" s="22" t="str">
        <f t="shared" si="19"/>
        <v>Acheter</v>
      </c>
      <c r="T56" s="22">
        <v>1</v>
      </c>
      <c r="U56" s="376" t="s">
        <v>22</v>
      </c>
      <c r="V56" s="409"/>
      <c r="W56" s="381"/>
    </row>
    <row r="57" spans="3:26" ht="30" customHeight="1" x14ac:dyDescent="0.3">
      <c r="C57" s="107" t="s">
        <v>67</v>
      </c>
      <c r="D57" s="108">
        <v>1955</v>
      </c>
      <c r="E57" s="26">
        <v>1</v>
      </c>
      <c r="F57" s="26">
        <v>1</v>
      </c>
      <c r="G57" s="26">
        <v>1</v>
      </c>
      <c r="H57" s="26">
        <v>0</v>
      </c>
      <c r="I57" s="26" t="s">
        <v>18</v>
      </c>
      <c r="J57" s="26">
        <f>+'DONNEES COMITE (2)'!U52</f>
        <v>5.4933709454355562</v>
      </c>
      <c r="K57" s="101">
        <f t="shared" si="5"/>
        <v>5.4933709454355562</v>
      </c>
      <c r="L57" s="105">
        <f>IF('DONNEES COMITE (2)'!W52="","",'DONNEES COMITE (2)'!W52)</f>
        <v>0.11462915601023017</v>
      </c>
      <c r="M57" s="105" t="str">
        <f>+'DONNEES COMITE (2)'!X52</f>
        <v/>
      </c>
      <c r="N57" s="105" t="str">
        <f>+'DONNEES COMITE (2)'!R52</f>
        <v/>
      </c>
      <c r="O57" s="22">
        <f>+'DONNEES COMITE (2)'!Z52</f>
        <v>2659</v>
      </c>
      <c r="P57" s="22" t="str">
        <f t="shared" si="18"/>
        <v>Acheter</v>
      </c>
      <c r="Q57" s="22" t="str">
        <f t="shared" si="21"/>
        <v>Acheter</v>
      </c>
      <c r="R57" s="22" t="str">
        <f t="shared" si="22"/>
        <v/>
      </c>
      <c r="S57" s="22" t="str">
        <f t="shared" si="19"/>
        <v>Acheter</v>
      </c>
      <c r="T57" s="22">
        <v>2</v>
      </c>
      <c r="U57" s="376" t="s">
        <v>22</v>
      </c>
      <c r="V57" s="410"/>
      <c r="W57" s="378"/>
      <c r="Z57" s="39"/>
    </row>
    <row r="58" spans="3:26" ht="30" customHeight="1" x14ac:dyDescent="0.3">
      <c r="C58" s="107" t="s">
        <v>68</v>
      </c>
      <c r="D58" s="108">
        <v>765</v>
      </c>
      <c r="E58" s="26">
        <v>1</v>
      </c>
      <c r="F58" s="26">
        <v>-1</v>
      </c>
      <c r="G58" s="26">
        <v>0</v>
      </c>
      <c r="H58" s="26">
        <v>0</v>
      </c>
      <c r="I58" s="26" t="s">
        <v>88</v>
      </c>
      <c r="J58" s="26">
        <f>+'DONNEES COMITE (2)'!U53</f>
        <v>12.843242251331514</v>
      </c>
      <c r="K58" s="101">
        <f t="shared" si="5"/>
        <v>12.843242251331514</v>
      </c>
      <c r="L58" s="105">
        <f>IF('DONNEES COMITE (2)'!W53="","",'DONNEES COMITE (2)'!W53)</f>
        <v>6.9281045751633991E-2</v>
      </c>
      <c r="M58" s="105" t="str">
        <f>+'DONNEES COMITE (2)'!X53</f>
        <v/>
      </c>
      <c r="N58" s="105" t="str">
        <f>+'DONNEES COMITE (2)'!R53</f>
        <v/>
      </c>
      <c r="O58" s="22">
        <f>+'DONNEES COMITE (2)'!Z53</f>
        <v>800</v>
      </c>
      <c r="P58" s="22" t="str">
        <f t="shared" si="18"/>
        <v>Vendre</v>
      </c>
      <c r="Q58" s="22" t="str">
        <f t="shared" si="21"/>
        <v>Vendre</v>
      </c>
      <c r="R58" s="22" t="str">
        <f t="shared" si="22"/>
        <v/>
      </c>
      <c r="S58" s="22" t="str">
        <f t="shared" si="19"/>
        <v>Acheter</v>
      </c>
      <c r="T58" s="22">
        <v>1</v>
      </c>
      <c r="U58" s="106" t="str">
        <f t="shared" si="20"/>
        <v>Vendre</v>
      </c>
      <c r="V58" s="106"/>
      <c r="W58" s="381"/>
    </row>
    <row r="59" spans="3:26" ht="30" customHeight="1" x14ac:dyDescent="0.3">
      <c r="C59" s="107" t="s">
        <v>69</v>
      </c>
      <c r="D59" s="108">
        <v>1665</v>
      </c>
      <c r="E59" s="26">
        <v>-1</v>
      </c>
      <c r="F59" s="26">
        <v>-1</v>
      </c>
      <c r="G59" s="26">
        <v>0</v>
      </c>
      <c r="H59" s="26">
        <v>0</v>
      </c>
      <c r="I59" s="26" t="s">
        <v>88</v>
      </c>
      <c r="J59" s="26">
        <f>+'DONNEES COMITE (2)'!U54</f>
        <v>8.5374268262887867</v>
      </c>
      <c r="K59" s="101">
        <f t="shared" si="5"/>
        <v>8.5374268262887867</v>
      </c>
      <c r="L59" s="105">
        <f>IF('DONNEES COMITE (2)'!W54="","",'DONNEES COMITE (2)'!W54)</f>
        <v>0.10542342342342342</v>
      </c>
      <c r="M59" s="105">
        <f>+'DONNEES COMITE (2)'!X54</f>
        <v>1.9499538156618285E-2</v>
      </c>
      <c r="N59" s="105">
        <f>+'DONNEES COMITE (2)'!R54</f>
        <v>-8.1648267570226252E-2</v>
      </c>
      <c r="O59" s="22">
        <f>+'DONNEES COMITE (2)'!Z54</f>
        <v>2100</v>
      </c>
      <c r="P59" s="22" t="str">
        <f t="shared" si="18"/>
        <v>Acheter</v>
      </c>
      <c r="Q59" s="22" t="str">
        <f t="shared" si="21"/>
        <v>Acheter</v>
      </c>
      <c r="R59" s="22" t="str">
        <f t="shared" si="22"/>
        <v>Vendre</v>
      </c>
      <c r="S59" s="22" t="str">
        <f t="shared" si="19"/>
        <v>Acheter</v>
      </c>
      <c r="T59" s="22">
        <v>2</v>
      </c>
      <c r="U59" s="106" t="str">
        <f t="shared" si="20"/>
        <v>Prendre ses bénéfices</v>
      </c>
      <c r="V59" s="408"/>
      <c r="W59" s="378"/>
    </row>
    <row r="60" spans="3:26" ht="30" customHeight="1" x14ac:dyDescent="0.3">
      <c r="C60" s="107" t="s">
        <v>70</v>
      </c>
      <c r="D60" s="108">
        <v>2345</v>
      </c>
      <c r="E60" s="26">
        <v>1</v>
      </c>
      <c r="F60" s="26">
        <v>1</v>
      </c>
      <c r="G60" s="26">
        <v>0</v>
      </c>
      <c r="H60" s="26">
        <v>0</v>
      </c>
      <c r="I60" s="26" t="s">
        <v>88</v>
      </c>
      <c r="J60" s="26">
        <f>+'DONNEES COMITE (2)'!U55</f>
        <v>9.0140874344471733</v>
      </c>
      <c r="K60" s="101">
        <f t="shared" si="5"/>
        <v>9.0140874344471733</v>
      </c>
      <c r="L60" s="105">
        <f>IF('DONNEES COMITE (2)'!W55="","",'DONNEES COMITE (2)'!W55)</f>
        <v>0.10277611940298507</v>
      </c>
      <c r="M60" s="105">
        <f>+'DONNEES COMITE (2)'!X55</f>
        <v>2.6575048396680276E-2</v>
      </c>
      <c r="N60" s="105">
        <f>+'DONNEES COMITE (2)'!R55</f>
        <v>-0.26158352565240545</v>
      </c>
      <c r="O60" s="22">
        <f>+'DONNEES COMITE (2)'!Z55</f>
        <v>2612</v>
      </c>
      <c r="P60" s="22" t="str">
        <f t="shared" si="18"/>
        <v>Acheter</v>
      </c>
      <c r="Q60" s="22" t="str">
        <f t="shared" si="21"/>
        <v>Acheter</v>
      </c>
      <c r="R60" s="22" t="str">
        <f t="shared" si="22"/>
        <v>Vendre</v>
      </c>
      <c r="S60" s="22" t="str">
        <f t="shared" si="19"/>
        <v>Acheter</v>
      </c>
      <c r="T60" s="22">
        <v>2</v>
      </c>
      <c r="U60" s="106" t="str">
        <f t="shared" si="20"/>
        <v>Prendre ses bénéfices</v>
      </c>
      <c r="V60" s="106"/>
      <c r="W60" s="379"/>
    </row>
    <row r="61" spans="3:26" ht="30" customHeight="1" x14ac:dyDescent="0.3">
      <c r="C61" s="438" t="s">
        <v>71</v>
      </c>
      <c r="D61" s="439"/>
      <c r="E61" s="439"/>
      <c r="F61" s="439"/>
      <c r="G61" s="439"/>
      <c r="H61" s="439"/>
      <c r="I61" s="440"/>
      <c r="J61" s="291">
        <f>+'DONNEES COMITE (2)'!U56</f>
        <v>151.46291676117033</v>
      </c>
      <c r="K61" s="101">
        <f t="shared" si="5"/>
        <v>151.46291676117033</v>
      </c>
      <c r="L61" s="102"/>
      <c r="M61" s="102">
        <f>+AVERAGE(M62)</f>
        <v>-0.22545765869150686</v>
      </c>
      <c r="N61" s="102"/>
      <c r="O61" s="109"/>
      <c r="P61" s="109"/>
      <c r="Q61" s="109"/>
      <c r="R61" s="109"/>
      <c r="S61" s="109"/>
      <c r="T61" s="109"/>
      <c r="U61" s="109"/>
      <c r="V61" s="109"/>
      <c r="W61" s="375"/>
    </row>
    <row r="62" spans="3:26" ht="30" customHeight="1" x14ac:dyDescent="0.3">
      <c r="C62" s="107" t="s">
        <v>72</v>
      </c>
      <c r="D62" s="108">
        <v>795</v>
      </c>
      <c r="E62" s="26">
        <v>-1</v>
      </c>
      <c r="F62" s="26">
        <v>-1</v>
      </c>
      <c r="G62" s="26">
        <v>0</v>
      </c>
      <c r="H62" s="26">
        <v>0</v>
      </c>
      <c r="I62" s="26" t="s">
        <v>20</v>
      </c>
      <c r="J62" s="26">
        <f>+'DONNEES COMITE (2)'!U57</f>
        <v>151.46291676117033</v>
      </c>
      <c r="K62" s="101">
        <f t="shared" si="5"/>
        <v>151.46291676117033</v>
      </c>
      <c r="L62" s="105">
        <f>IF('DONNEES COMITE (2)'!W57="","",'DONNEES COMITE (2)'!W57)</f>
        <v>8.3207547169811324E-2</v>
      </c>
      <c r="M62" s="105">
        <f>+'DONNEES COMITE (2)'!X57</f>
        <v>-0.22545765869150686</v>
      </c>
      <c r="N62" s="105">
        <f>+'DONNEES COMITE (2)'!R57</f>
        <v>-5.5725095494086956</v>
      </c>
      <c r="O62" s="22">
        <f>+'DONNEES COMITE (2)'!Z57</f>
        <v>1005</v>
      </c>
      <c r="P62" s="22" t="str">
        <f>+IF(J62&lt;$J$61,"Acheter", "Vendre")</f>
        <v>Vendre</v>
      </c>
      <c r="Q62" s="22" t="str">
        <f>IF(L62="","",IF(L62&gt;=$L$8,"Acheter",IF(AND(L62&lt;$L$8,L62&gt;$L$61),"Acheter","Vendre")))</f>
        <v>Acheter</v>
      </c>
      <c r="R62" s="22" t="str">
        <f>+IF(M62="","",IF(M62&gt;=$M$61,"Acheter","Vendre"))</f>
        <v>Acheter</v>
      </c>
      <c r="S62" s="22" t="str">
        <f>+IF(D62&lt;O62,"Acheter","Vendre")</f>
        <v>Acheter</v>
      </c>
      <c r="T62" s="22">
        <v>1</v>
      </c>
      <c r="U62" s="106" t="str">
        <f>+IF(OR(AND(I62="Acheter",T62=2),AND(I62="Conserver",T62=2),AND(I62="Acheter",T62=1)),"Acheter",IF(OR(AND(I62="Conserver",T62=1),AND(I62="Alléger",T62=1),AND(I62="Vendre",T62=1)),"Vendre",IF(OR(AND(I62="Alléger",T62=2),AND(I62="Vendre",T62=2)),"Prendre ses bénéfices")))</f>
        <v>Vendre</v>
      </c>
      <c r="V62" s="106"/>
      <c r="W62" s="381"/>
    </row>
    <row r="63" spans="3:26" ht="15" customHeight="1" x14ac:dyDescent="0.3">
      <c r="C63" s="34"/>
      <c r="D63" s="34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</row>
    <row r="64" spans="3:26" x14ac:dyDescent="0.3">
      <c r="C64" s="35"/>
      <c r="D64" s="35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</row>
    <row r="65" spans="3:22" x14ac:dyDescent="0.3"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</row>
    <row r="66" spans="3:22" x14ac:dyDescent="0.3">
      <c r="C66" s="36"/>
      <c r="D66" s="36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</row>
    <row r="67" spans="3:22" x14ac:dyDescent="0.3">
      <c r="C67" s="36"/>
      <c r="D67" s="36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</row>
    <row r="68" spans="3:22" x14ac:dyDescent="0.3">
      <c r="C68" s="36"/>
      <c r="D68" s="36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</row>
    <row r="69" spans="3:22" x14ac:dyDescent="0.3">
      <c r="C69" s="36"/>
      <c r="D69" s="36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</row>
    <row r="70" spans="3:22" x14ac:dyDescent="0.3">
      <c r="C70" s="36"/>
      <c r="D70" s="36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</row>
    <row r="71" spans="3:22" x14ac:dyDescent="0.3">
      <c r="C71" s="36"/>
      <c r="D71" s="36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</row>
    <row r="72" spans="3:22" x14ac:dyDescent="0.3">
      <c r="C72" s="36"/>
      <c r="D72" s="36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</row>
    <row r="73" spans="3:22" x14ac:dyDescent="0.3">
      <c r="C73" s="36"/>
      <c r="D73" s="36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</row>
    <row r="74" spans="3:22" x14ac:dyDescent="0.3">
      <c r="C74" s="36"/>
      <c r="D74" s="36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</row>
    <row r="75" spans="3:22" x14ac:dyDescent="0.3">
      <c r="C75" s="36"/>
      <c r="D75" s="36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</row>
    <row r="76" spans="3:22" x14ac:dyDescent="0.3">
      <c r="C76" s="36"/>
      <c r="D76" s="36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</row>
    <row r="77" spans="3:22" x14ac:dyDescent="0.3">
      <c r="C77" s="36"/>
      <c r="D77" s="36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</row>
    <row r="78" spans="3:22" x14ac:dyDescent="0.3">
      <c r="C78" s="36"/>
      <c r="D78" s="36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</row>
    <row r="79" spans="3:22" x14ac:dyDescent="0.3">
      <c r="C79" s="36"/>
      <c r="D79" s="36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</row>
    <row r="80" spans="3:22" x14ac:dyDescent="0.3">
      <c r="C80" s="36"/>
      <c r="D80" s="36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</row>
    <row r="81" spans="3:22" x14ac:dyDescent="0.3">
      <c r="C81" s="36"/>
      <c r="D81" s="36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</row>
    <row r="82" spans="3:22" x14ac:dyDescent="0.3">
      <c r="C82" s="36"/>
      <c r="D82" s="36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</row>
    <row r="83" spans="3:22" x14ac:dyDescent="0.3">
      <c r="C83" s="37"/>
      <c r="D83" s="37"/>
    </row>
    <row r="84" spans="3:22" x14ac:dyDescent="0.3">
      <c r="C84" s="37"/>
      <c r="D84" s="37"/>
    </row>
    <row r="85" spans="3:22" x14ac:dyDescent="0.3">
      <c r="C85" s="37"/>
      <c r="D85" s="37"/>
    </row>
    <row r="86" spans="3:22" x14ac:dyDescent="0.3">
      <c r="C86" s="37"/>
      <c r="D86" s="37"/>
    </row>
    <row r="87" spans="3:22" x14ac:dyDescent="0.3">
      <c r="C87" s="37"/>
      <c r="D87" s="37"/>
    </row>
    <row r="88" spans="3:22" x14ac:dyDescent="0.3">
      <c r="C88" s="37"/>
      <c r="D88" s="37"/>
    </row>
    <row r="89" spans="3:22" x14ac:dyDescent="0.3">
      <c r="C89" s="37"/>
      <c r="D89" s="37"/>
    </row>
    <row r="90" spans="3:22" x14ac:dyDescent="0.3">
      <c r="C90" s="37"/>
      <c r="D90" s="37"/>
    </row>
    <row r="91" spans="3:22" x14ac:dyDescent="0.3">
      <c r="C91" s="37"/>
      <c r="D91" s="37"/>
    </row>
    <row r="92" spans="3:22" x14ac:dyDescent="0.3">
      <c r="C92" s="37"/>
      <c r="D92" s="37"/>
    </row>
    <row r="93" spans="3:22" x14ac:dyDescent="0.3">
      <c r="C93" s="37"/>
      <c r="D93" s="37"/>
    </row>
    <row r="94" spans="3:22" x14ac:dyDescent="0.3">
      <c r="C94" s="37"/>
      <c r="D94" s="37"/>
    </row>
    <row r="95" spans="3:22" x14ac:dyDescent="0.3">
      <c r="C95" s="37"/>
      <c r="D95" s="37"/>
    </row>
    <row r="96" spans="3:22" x14ac:dyDescent="0.3">
      <c r="C96" s="37"/>
      <c r="D96" s="37"/>
    </row>
    <row r="97" spans="3:36" x14ac:dyDescent="0.3">
      <c r="C97" s="37"/>
      <c r="D97" s="37"/>
    </row>
    <row r="98" spans="3:36" x14ac:dyDescent="0.3">
      <c r="C98" s="37"/>
      <c r="D98" s="37"/>
    </row>
    <row r="99" spans="3:36" x14ac:dyDescent="0.3">
      <c r="C99" s="37"/>
      <c r="D99" s="37"/>
    </row>
    <row r="100" spans="3:36" x14ac:dyDescent="0.3">
      <c r="C100" s="37"/>
      <c r="D100" s="37"/>
      <c r="AJ100" s="38" t="s">
        <v>73</v>
      </c>
    </row>
    <row r="101" spans="3:36" x14ac:dyDescent="0.3">
      <c r="C101" s="37"/>
      <c r="D101" s="37"/>
    </row>
    <row r="102" spans="3:36" x14ac:dyDescent="0.3">
      <c r="C102" s="37"/>
      <c r="D102" s="37"/>
    </row>
    <row r="103" spans="3:36" x14ac:dyDescent="0.3">
      <c r="C103" s="37"/>
      <c r="D103" s="37"/>
    </row>
    <row r="104" spans="3:36" x14ac:dyDescent="0.3">
      <c r="C104" s="37"/>
      <c r="D104" s="37"/>
    </row>
    <row r="105" spans="3:36" x14ac:dyDescent="0.3">
      <c r="C105" s="37"/>
      <c r="D105" s="37"/>
    </row>
    <row r="106" spans="3:36" x14ac:dyDescent="0.3">
      <c r="C106" s="37"/>
      <c r="D106" s="37"/>
    </row>
    <row r="107" spans="3:36" x14ac:dyDescent="0.3">
      <c r="C107" s="37"/>
      <c r="D107" s="37"/>
    </row>
    <row r="108" spans="3:36" x14ac:dyDescent="0.3">
      <c r="C108" s="37"/>
      <c r="D108" s="37"/>
    </row>
    <row r="109" spans="3:36" x14ac:dyDescent="0.3">
      <c r="C109" s="37"/>
      <c r="D109" s="37"/>
    </row>
    <row r="110" spans="3:36" x14ac:dyDescent="0.3">
      <c r="C110" s="37"/>
      <c r="D110" s="37"/>
    </row>
    <row r="111" spans="3:36" x14ac:dyDescent="0.3">
      <c r="C111" s="37"/>
      <c r="D111" s="37"/>
    </row>
    <row r="112" spans="3:36" x14ac:dyDescent="0.3">
      <c r="C112" s="37"/>
      <c r="D112" s="37"/>
    </row>
    <row r="113" spans="3:4" x14ac:dyDescent="0.3">
      <c r="C113" s="37"/>
      <c r="D113" s="37"/>
    </row>
    <row r="114" spans="3:4" x14ac:dyDescent="0.3">
      <c r="C114" s="37"/>
      <c r="D114" s="37"/>
    </row>
    <row r="115" spans="3:4" x14ac:dyDescent="0.3">
      <c r="C115" s="37"/>
      <c r="D115" s="37"/>
    </row>
    <row r="116" spans="3:4" x14ac:dyDescent="0.3">
      <c r="C116" s="37"/>
      <c r="D116" s="37"/>
    </row>
    <row r="117" spans="3:4" x14ac:dyDescent="0.3">
      <c r="C117" s="37"/>
      <c r="D117" s="37"/>
    </row>
    <row r="118" spans="3:4" x14ac:dyDescent="0.3">
      <c r="C118" s="37"/>
      <c r="D118" s="37"/>
    </row>
    <row r="119" spans="3:4" x14ac:dyDescent="0.3">
      <c r="C119" s="37"/>
      <c r="D119" s="37"/>
    </row>
    <row r="120" spans="3:4" x14ac:dyDescent="0.3">
      <c r="C120" s="37"/>
      <c r="D120" s="37"/>
    </row>
    <row r="121" spans="3:4" x14ac:dyDescent="0.3">
      <c r="C121" s="37"/>
      <c r="D121" s="37"/>
    </row>
    <row r="122" spans="3:4" x14ac:dyDescent="0.3">
      <c r="C122" s="37"/>
      <c r="D122" s="37"/>
    </row>
    <row r="123" spans="3:4" x14ac:dyDescent="0.3">
      <c r="C123" s="37"/>
      <c r="D123" s="37"/>
    </row>
    <row r="124" spans="3:4" x14ac:dyDescent="0.3">
      <c r="C124" s="37"/>
      <c r="D124" s="37"/>
    </row>
    <row r="125" spans="3:4" x14ac:dyDescent="0.3">
      <c r="C125" s="37"/>
      <c r="D125" s="37"/>
    </row>
    <row r="126" spans="3:4" x14ac:dyDescent="0.3">
      <c r="C126" s="37"/>
      <c r="D126" s="37"/>
    </row>
    <row r="127" spans="3:4" x14ac:dyDescent="0.3">
      <c r="C127" s="37"/>
      <c r="D127" s="37"/>
    </row>
    <row r="128" spans="3:4" x14ac:dyDescent="0.3">
      <c r="C128" s="37"/>
      <c r="D128" s="37"/>
    </row>
    <row r="129" spans="3:4" x14ac:dyDescent="0.3">
      <c r="C129" s="37"/>
      <c r="D129" s="37"/>
    </row>
    <row r="130" spans="3:4" x14ac:dyDescent="0.3">
      <c r="C130" s="37"/>
      <c r="D130" s="37"/>
    </row>
    <row r="131" spans="3:4" x14ac:dyDescent="0.3">
      <c r="C131" s="37"/>
      <c r="D131" s="37"/>
    </row>
    <row r="132" spans="3:4" x14ac:dyDescent="0.3">
      <c r="C132" s="37"/>
      <c r="D132" s="37"/>
    </row>
    <row r="133" spans="3:4" x14ac:dyDescent="0.3">
      <c r="C133" s="37"/>
      <c r="D133" s="37"/>
    </row>
    <row r="134" spans="3:4" x14ac:dyDescent="0.3">
      <c r="C134" s="37"/>
      <c r="D134" s="37"/>
    </row>
    <row r="135" spans="3:4" x14ac:dyDescent="0.3">
      <c r="C135" s="37"/>
      <c r="D135" s="37"/>
    </row>
    <row r="136" spans="3:4" x14ac:dyDescent="0.3">
      <c r="C136" s="37"/>
      <c r="D136" s="37"/>
    </row>
    <row r="137" spans="3:4" x14ac:dyDescent="0.3">
      <c r="C137" s="37"/>
      <c r="D137" s="37"/>
    </row>
    <row r="138" spans="3:4" x14ac:dyDescent="0.3">
      <c r="C138" s="37"/>
      <c r="D138" s="37"/>
    </row>
    <row r="139" spans="3:4" x14ac:dyDescent="0.3">
      <c r="C139" s="37"/>
      <c r="D139" s="37"/>
    </row>
    <row r="140" spans="3:4" x14ac:dyDescent="0.3">
      <c r="C140" s="37"/>
      <c r="D140" s="37"/>
    </row>
    <row r="141" spans="3:4" x14ac:dyDescent="0.3">
      <c r="C141" s="37"/>
      <c r="D141" s="37"/>
    </row>
    <row r="142" spans="3:4" x14ac:dyDescent="0.3">
      <c r="C142" s="37"/>
      <c r="D142" s="37"/>
    </row>
    <row r="143" spans="3:4" x14ac:dyDescent="0.3">
      <c r="C143" s="37"/>
      <c r="D143" s="37"/>
    </row>
    <row r="144" spans="3:4" x14ac:dyDescent="0.3">
      <c r="C144" s="37"/>
      <c r="D144" s="37"/>
    </row>
    <row r="145" spans="3:4" x14ac:dyDescent="0.3">
      <c r="C145" s="37"/>
      <c r="D145" s="37"/>
    </row>
    <row r="146" spans="3:4" x14ac:dyDescent="0.3">
      <c r="C146" s="37"/>
      <c r="D146" s="37"/>
    </row>
    <row r="147" spans="3:4" x14ac:dyDescent="0.3">
      <c r="C147" s="37"/>
      <c r="D147" s="37"/>
    </row>
    <row r="148" spans="3:4" x14ac:dyDescent="0.3">
      <c r="C148" s="37"/>
      <c r="D148" s="37"/>
    </row>
    <row r="149" spans="3:4" x14ac:dyDescent="0.3">
      <c r="C149" s="37"/>
      <c r="D149" s="37"/>
    </row>
    <row r="150" spans="3:4" x14ac:dyDescent="0.3">
      <c r="C150" s="37"/>
      <c r="D150" s="37"/>
    </row>
    <row r="151" spans="3:4" x14ac:dyDescent="0.3">
      <c r="C151" s="37"/>
      <c r="D151" s="37"/>
    </row>
    <row r="152" spans="3:4" x14ac:dyDescent="0.3">
      <c r="C152" s="37"/>
      <c r="D152" s="37"/>
    </row>
    <row r="153" spans="3:4" x14ac:dyDescent="0.3">
      <c r="C153" s="37"/>
      <c r="D153" s="37"/>
    </row>
    <row r="154" spans="3:4" x14ac:dyDescent="0.3">
      <c r="C154" s="37"/>
      <c r="D154" s="37"/>
    </row>
    <row r="155" spans="3:4" x14ac:dyDescent="0.3">
      <c r="C155" s="37"/>
      <c r="D155" s="37"/>
    </row>
    <row r="156" spans="3:4" x14ac:dyDescent="0.3">
      <c r="C156" s="37"/>
      <c r="D156" s="37"/>
    </row>
    <row r="157" spans="3:4" x14ac:dyDescent="0.3">
      <c r="C157" s="37"/>
      <c r="D157" s="37"/>
    </row>
    <row r="158" spans="3:4" x14ac:dyDescent="0.3">
      <c r="C158" s="37"/>
      <c r="D158" s="37"/>
    </row>
    <row r="159" spans="3:4" x14ac:dyDescent="0.3">
      <c r="C159" s="37"/>
      <c r="D159" s="37"/>
    </row>
    <row r="160" spans="3:4" x14ac:dyDescent="0.3">
      <c r="C160" s="37"/>
      <c r="D160" s="37"/>
    </row>
    <row r="161" spans="3:23" x14ac:dyDescent="0.3">
      <c r="C161" s="37"/>
      <c r="D161" s="37"/>
    </row>
    <row r="162" spans="3:23" x14ac:dyDescent="0.3">
      <c r="C162" s="37"/>
      <c r="D162" s="37"/>
    </row>
    <row r="163" spans="3:23" x14ac:dyDescent="0.3">
      <c r="C163" s="37"/>
      <c r="D163" s="37"/>
    </row>
    <row r="164" spans="3:23" x14ac:dyDescent="0.3">
      <c r="C164" s="37"/>
      <c r="D164" s="37"/>
    </row>
    <row r="165" spans="3:23" x14ac:dyDescent="0.3">
      <c r="C165" s="37"/>
      <c r="D165" s="37"/>
    </row>
    <row r="166" spans="3:23" x14ac:dyDescent="0.3">
      <c r="C166" s="37"/>
      <c r="D166" s="37"/>
    </row>
    <row r="167" spans="3:23" x14ac:dyDescent="0.3">
      <c r="C167" s="37"/>
      <c r="D167" s="37"/>
    </row>
    <row r="168" spans="3:23" x14ac:dyDescent="0.3">
      <c r="C168" s="37"/>
      <c r="D168" s="37"/>
    </row>
    <row r="169" spans="3:23" x14ac:dyDescent="0.3">
      <c r="C169" s="37"/>
      <c r="D169" s="37"/>
    </row>
    <row r="170" spans="3:23" x14ac:dyDescent="0.3">
      <c r="C170" s="37"/>
      <c r="D170" s="37"/>
    </row>
    <row r="171" spans="3:23" x14ac:dyDescent="0.3">
      <c r="C171" s="37"/>
      <c r="D171" s="37"/>
    </row>
    <row r="172" spans="3:23" x14ac:dyDescent="0.3">
      <c r="C172" s="37"/>
      <c r="D172" s="37"/>
    </row>
    <row r="173" spans="3:23" x14ac:dyDescent="0.3">
      <c r="W173" s="372" t="s">
        <v>139</v>
      </c>
    </row>
  </sheetData>
  <autoFilter ref="C10:W172" xr:uid="{2A72CDE9-ACB8-4FFB-B00B-E9E3A51D8054}">
    <filterColumn colId="0" showButton="0"/>
    <filterColumn colId="1" showButton="0"/>
    <filterColumn colId="2" showButton="0"/>
    <filterColumn colId="3" showButton="0"/>
    <filterColumn colId="4" showButton="0"/>
    <filterColumn colId="5" showButton="0"/>
  </autoFilter>
  <mergeCells count="10">
    <mergeCell ref="C28:I28"/>
    <mergeCell ref="C44:I44"/>
    <mergeCell ref="C47:I47"/>
    <mergeCell ref="C53:I53"/>
    <mergeCell ref="C61:I61"/>
    <mergeCell ref="E6:I6"/>
    <mergeCell ref="J6:T6"/>
    <mergeCell ref="U6:W6"/>
    <mergeCell ref="C10:I10"/>
    <mergeCell ref="C22:I22"/>
  </mergeCells>
  <conditionalFormatting sqref="E48:F52">
    <cfRule type="iconSet" priority="97">
      <iconSet iconSet="5Arrows" showValue="0">
        <cfvo type="percent" val="0"/>
        <cfvo type="percent" val="20"/>
        <cfvo type="percent" val="40"/>
        <cfvo type="percent" val="60"/>
        <cfvo type="percent" val="80"/>
      </iconSet>
    </cfRule>
    <cfRule type="iconSet" priority="98">
      <iconSet iconSet="4Arrows">
        <cfvo type="percent" val="0"/>
        <cfvo type="percent" val="2"/>
        <cfvo type="percent" val="3"/>
        <cfvo type="percent" val="5"/>
      </iconSet>
    </cfRule>
  </conditionalFormatting>
  <conditionalFormatting sqref="E54:F54">
    <cfRule type="iconSet" priority="110">
      <iconSet iconSet="4Arrows">
        <cfvo type="percent" val="0"/>
        <cfvo type="percent" val="2"/>
        <cfvo type="percent" val="3"/>
        <cfvo type="percent" val="5"/>
      </iconSet>
    </cfRule>
    <cfRule type="iconSet" priority="109">
      <iconSet iconSet="5Arrows" showValue="0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E54:F60">
    <cfRule type="iconSet" priority="27">
      <iconSet iconSet="5Arrows" showValue="0">
        <cfvo type="percent" val="0"/>
        <cfvo type="percent" val="20"/>
        <cfvo type="percent" val="40"/>
        <cfvo type="percent" val="60"/>
        <cfvo type="percent" val="80"/>
      </iconSet>
    </cfRule>
    <cfRule type="iconSet" priority="28">
      <iconSet iconSet="4Arrows">
        <cfvo type="percent" val="0"/>
        <cfvo type="percent" val="2"/>
        <cfvo type="percent" val="3"/>
        <cfvo type="percent" val="5"/>
      </iconSet>
    </cfRule>
  </conditionalFormatting>
  <conditionalFormatting sqref="E11:H21 E29:H43 E45:H46 E48:H52 E54:H60 E23:H27">
    <cfRule type="iconSet" priority="29">
      <iconSet iconSet="3Arrows" showValue="0">
        <cfvo type="percent" val="0"/>
        <cfvo type="num" val="0"/>
        <cfvo type="num" val="1"/>
      </iconSet>
    </cfRule>
  </conditionalFormatting>
  <conditionalFormatting sqref="E62:H62">
    <cfRule type="iconSet" priority="1">
      <iconSet iconSet="3Arrows" showValue="0">
        <cfvo type="percent" val="0"/>
        <cfvo type="num" val="0"/>
        <cfvo type="num" val="1"/>
      </iconSet>
    </cfRule>
  </conditionalFormatting>
  <conditionalFormatting sqref="I11:I21">
    <cfRule type="containsText" priority="34" operator="containsText" text="Conserver">
      <formula>NOT(ISERROR(SEARCH("Conserver",I11)))</formula>
    </cfRule>
    <cfRule type="containsText" dxfId="6" priority="35" operator="containsText" text="Alléger">
      <formula>NOT(ISERROR(SEARCH("Alléger",I11)))</formula>
    </cfRule>
    <cfRule type="containsText" dxfId="5" priority="36" operator="containsText" text="Vendre">
      <formula>NOT(ISERROR(SEARCH("Vendre",I11)))</formula>
    </cfRule>
    <cfRule type="containsText" dxfId="4" priority="37" operator="containsText" text="Acheter">
      <formula>NOT(ISERROR(SEARCH("Acheter",I11)))</formula>
    </cfRule>
  </conditionalFormatting>
  <conditionalFormatting sqref="I12:I14 I16:I21 I23:I27 I29:I43 I45:I46 I48:I52 I54:I60 I62">
    <cfRule type="containsText" dxfId="3" priority="39" operator="containsText" text="Alléger">
      <formula>NOT(ISERROR(SEARCH("Alléger",I12)))</formula>
    </cfRule>
    <cfRule type="containsText" dxfId="2" priority="40" operator="containsText" text="Vendre">
      <formula>NOT(ISERROR(SEARCH("Vendre",I12)))</formula>
    </cfRule>
    <cfRule type="containsText" dxfId="1" priority="41" operator="containsText" text="Acheter">
      <formula>NOT(ISERROR(SEARCH("Acheter",I12)))</formula>
    </cfRule>
  </conditionalFormatting>
  <conditionalFormatting sqref="I23:I27 I29:I43 I45:I46 I48:I52 I54:I60 I62">
    <cfRule type="containsText" priority="38" operator="containsText" text="Conserver">
      <formula>NOT(ISERROR(SEARCH("Conserver",I23)))</formula>
    </cfRule>
  </conditionalFormatting>
  <conditionalFormatting sqref="J11:J21">
    <cfRule type="iconSet" priority="146">
      <iconSet iconSet="3Symbols" showValue="0" reverse="1">
        <cfvo type="percent" val="0"/>
        <cfvo type="num" val="$J$10"/>
        <cfvo type="num" val="$J$10" gte="0"/>
      </iconSet>
    </cfRule>
  </conditionalFormatting>
  <conditionalFormatting sqref="J23:J27">
    <cfRule type="iconSet" priority="14">
      <iconSet iconSet="3Symbols" showValue="0" reverse="1">
        <cfvo type="percent" val="0"/>
        <cfvo type="num" val="$J$22"/>
        <cfvo type="num" val="$J$22" gte="0"/>
      </iconSet>
    </cfRule>
  </conditionalFormatting>
  <conditionalFormatting sqref="J29:J43">
    <cfRule type="iconSet" priority="148">
      <iconSet iconSet="3Symbols" showValue="0" reverse="1">
        <cfvo type="percent" val="0"/>
        <cfvo type="num" val="$J$28"/>
        <cfvo type="num" val="$J$28" gte="0"/>
      </iconSet>
    </cfRule>
  </conditionalFormatting>
  <conditionalFormatting sqref="J45:J46">
    <cfRule type="iconSet" priority="149">
      <iconSet iconSet="3Symbols" showValue="0" reverse="1">
        <cfvo type="percent" val="0"/>
        <cfvo type="num" val="$J$44"/>
        <cfvo type="num" val="$J$44" gte="0"/>
      </iconSet>
    </cfRule>
  </conditionalFormatting>
  <conditionalFormatting sqref="J48:J52">
    <cfRule type="iconSet" priority="150">
      <iconSet iconSet="3Symbols" showValue="0" reverse="1">
        <cfvo type="percent" val="0"/>
        <cfvo type="num" val="$J$47"/>
        <cfvo type="num" val="$J$47" gte="0"/>
      </iconSet>
    </cfRule>
  </conditionalFormatting>
  <conditionalFormatting sqref="M11:M21">
    <cfRule type="iconSet" priority="15">
      <iconSet iconSet="3TrafficLights2" showValue="0">
        <cfvo type="percent" val="0"/>
        <cfvo type="num" val="0"/>
        <cfvo type="num" val="$M$10" gte="0"/>
      </iconSet>
    </cfRule>
  </conditionalFormatting>
  <conditionalFormatting sqref="M23:M27">
    <cfRule type="iconSet" priority="24">
      <iconSet iconSet="3TrafficLights2" showValue="0">
        <cfvo type="percent" val="0"/>
        <cfvo type="num" val="0"/>
        <cfvo type="num" val="$M$22" gte="0"/>
      </iconSet>
    </cfRule>
  </conditionalFormatting>
  <conditionalFormatting sqref="M29:M43">
    <cfRule type="iconSet" priority="23">
      <iconSet iconSet="3TrafficLights2" showValue="0">
        <cfvo type="percent" val="0"/>
        <cfvo type="num" val="0"/>
        <cfvo type="num" val="$M$28" gte="0"/>
      </iconSet>
    </cfRule>
  </conditionalFormatting>
  <conditionalFormatting sqref="M45:M46">
    <cfRule type="iconSet" priority="17">
      <iconSet iconSet="3TrafficLights2" showValue="0">
        <cfvo type="percent" val="0"/>
        <cfvo type="num" val="0"/>
        <cfvo type="num" val="$M$44" gte="0"/>
      </iconSet>
    </cfRule>
  </conditionalFormatting>
  <conditionalFormatting sqref="M48:M52">
    <cfRule type="iconSet" priority="20">
      <iconSet iconSet="3TrafficLights2" showValue="0">
        <cfvo type="percent" val="0"/>
        <cfvo type="num" val="0"/>
        <cfvo type="num" val="$M$47" gte="0"/>
      </iconSet>
    </cfRule>
  </conditionalFormatting>
  <conditionalFormatting sqref="M54:M60">
    <cfRule type="iconSet" priority="19">
      <iconSet iconSet="3TrafficLights2" showValue="0">
        <cfvo type="percent" val="0"/>
        <cfvo type="num" val="0"/>
        <cfvo type="num" val="$M$53" gte="0"/>
      </iconSet>
    </cfRule>
  </conditionalFormatting>
  <conditionalFormatting sqref="M62">
    <cfRule type="iconSet" priority="18">
      <iconSet iconSet="3TrafficLights2" showValue="0">
        <cfvo type="percent" val="0"/>
        <cfvo type="num" val="0"/>
        <cfvo type="num" val="$M$61" gte="0"/>
      </iconSet>
    </cfRule>
  </conditionalFormatting>
  <conditionalFormatting sqref="N11:N62">
    <cfRule type="iconSet" priority="16">
      <iconSet>
        <cfvo type="percent" val="0"/>
        <cfvo type="num" val="0"/>
        <cfvo type="num" val="0"/>
      </iconSet>
    </cfRule>
  </conditionalFormatting>
  <conditionalFormatting sqref="O47:S47">
    <cfRule type="cellIs" dxfId="0" priority="153" operator="greaterThan">
      <formula>5</formula>
    </cfRule>
    <cfRule type="colorScale" priority="154">
      <colorScale>
        <cfvo type="min"/>
        <cfvo type="max"/>
        <color rgb="FFFF0000"/>
        <color rgb="FF00B050"/>
      </colorScale>
    </cfRule>
  </conditionalFormatting>
  <pageMargins left="0.7" right="0.7" top="0.75" bottom="0.75" header="0.3" footer="0.3"/>
  <pageSetup paperSize="9" scale="56" fitToHeight="0" orientation="landscape" horizontalDpi="4294967295" verticalDpi="4294967295" r:id="rId1"/>
  <colBreaks count="1" manualBreakCount="1">
    <brk id="25" max="1048575" man="1"/>
  </colBreak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51" id="{FE61EEDE-F0E8-401C-A714-3CF10C2F80AD}">
            <x14:iconSet iconSet="3Symbols" showValue="0" custom="1">
              <x14:cfvo type="percent">
                <xm:f>0</xm:f>
              </x14:cfvo>
              <x14:cfvo type="num">
                <xm:f>$J$53</xm:f>
              </x14:cfvo>
              <x14:cfvo type="num" gte="0">
                <xm:f>$J$53</xm:f>
              </x14:cfvo>
              <x14:cfIcon iconSet="3Symbols" iconId="2"/>
              <x14:cfIcon iconSet="3Symbols" iconId="1"/>
              <x14:cfIcon iconSet="3Symbols" iconId="0"/>
            </x14:iconSet>
          </x14:cfRule>
          <xm:sqref>J54:J60</xm:sqref>
        </x14:conditionalFormatting>
        <x14:conditionalFormatting xmlns:xm="http://schemas.microsoft.com/office/excel/2006/main">
          <x14:cfRule type="iconSet" priority="152" id="{AD524ACE-3180-4A70-84A7-66CC24A92393}">
            <x14:iconSet iconSet="3Symbols" showValue="0" custom="1">
              <x14:cfvo type="percent">
                <xm:f>0</xm:f>
              </x14:cfvo>
              <x14:cfvo type="num">
                <xm:f>$J$61</xm:f>
              </x14:cfvo>
              <x14:cfvo type="num" gte="0">
                <xm:f>$J$61</xm:f>
              </x14:cfvo>
              <x14:cfIcon iconSet="3Symbols" iconId="2"/>
              <x14:cfIcon iconSet="3Symbols" iconId="1"/>
              <x14:cfIcon iconSet="3Symbols" iconId="0"/>
            </x14:iconSet>
          </x14:cfRule>
          <xm:sqref>J62</xm:sqref>
        </x14:conditionalFormatting>
        <x14:conditionalFormatting xmlns:xm="http://schemas.microsoft.com/office/excel/2006/main">
          <x14:cfRule type="iconSet" priority="66" id="{C1FEBBAA-2AC3-45A0-8AB9-B11ABB38FE2C}">
            <x14:iconSet iconSet="3Stars" showValue="0">
              <x14:cfvo type="percent">
                <xm:f>0</xm:f>
              </x14:cfvo>
              <x14:cfvo type="num" gte="0">
                <xm:f>$L$10</xm:f>
              </x14:cfvo>
              <x14:cfvo type="num">
                <xm:f>$L$8</xm:f>
              </x14:cfvo>
            </x14:iconSet>
          </x14:cfRule>
          <xm:sqref>L11:L21</xm:sqref>
        </x14:conditionalFormatting>
        <x14:conditionalFormatting xmlns:xm="http://schemas.microsoft.com/office/excel/2006/main">
          <x14:cfRule type="iconSet" priority="61" id="{F56C265D-E4C9-4F6D-84D1-C232FD7AF014}">
            <x14:iconSet iconSet="3Stars" showValue="0">
              <x14:cfvo type="percent">
                <xm:f>0</xm:f>
              </x14:cfvo>
              <x14:cfvo type="num">
                <xm:f>$L$22</xm:f>
              </x14:cfvo>
              <x14:cfvo type="num">
                <xm:f>$L$8</xm:f>
              </x14:cfvo>
            </x14:iconSet>
          </x14:cfRule>
          <xm:sqref>L23:L27</xm:sqref>
        </x14:conditionalFormatting>
        <x14:conditionalFormatting xmlns:xm="http://schemas.microsoft.com/office/excel/2006/main">
          <x14:cfRule type="iconSet" priority="60" id="{B94B800F-18E1-4DB2-A408-FB94F5AEEB50}">
            <x14:iconSet iconSet="3Stars" showValue="0">
              <x14:cfvo type="percent">
                <xm:f>0</xm:f>
              </x14:cfvo>
              <x14:cfvo type="num">
                <xm:f>$L$28</xm:f>
              </x14:cfvo>
              <x14:cfvo type="num">
                <xm:f>$L$8</xm:f>
              </x14:cfvo>
            </x14:iconSet>
          </x14:cfRule>
          <xm:sqref>L29:L43</xm:sqref>
        </x14:conditionalFormatting>
        <x14:conditionalFormatting xmlns:xm="http://schemas.microsoft.com/office/excel/2006/main">
          <x14:cfRule type="iconSet" priority="59" id="{5C3E6E1B-4BC9-44B5-B32B-6F5F34513E0E}">
            <x14:iconSet iconSet="3Stars" showValue="0">
              <x14:cfvo type="percent">
                <xm:f>0</xm:f>
              </x14:cfvo>
              <x14:cfvo type="num">
                <xm:f>$L$44</xm:f>
              </x14:cfvo>
              <x14:cfvo type="num">
                <xm:f>$L$8</xm:f>
              </x14:cfvo>
            </x14:iconSet>
          </x14:cfRule>
          <xm:sqref>L45:L46</xm:sqref>
        </x14:conditionalFormatting>
        <x14:conditionalFormatting xmlns:xm="http://schemas.microsoft.com/office/excel/2006/main">
          <x14:cfRule type="iconSet" priority="58" id="{8CA35076-D784-4BCE-9042-C23A188AA713}">
            <x14:iconSet iconSet="3Stars" showValue="0">
              <x14:cfvo type="percent">
                <xm:f>0</xm:f>
              </x14:cfvo>
              <x14:cfvo type="num">
                <xm:f>$L$47</xm:f>
              </x14:cfvo>
              <x14:cfvo type="num">
                <xm:f>$L$8</xm:f>
              </x14:cfvo>
            </x14:iconSet>
          </x14:cfRule>
          <xm:sqref>L48:L52</xm:sqref>
        </x14:conditionalFormatting>
        <x14:conditionalFormatting xmlns:xm="http://schemas.microsoft.com/office/excel/2006/main">
          <x14:cfRule type="iconSet" priority="57" id="{E82A02B3-9DB3-4C62-BA45-C6EF59984C60}">
            <x14:iconSet iconSet="3Stars" showValue="0">
              <x14:cfvo type="percent">
                <xm:f>0</xm:f>
              </x14:cfvo>
              <x14:cfvo type="num">
                <xm:f>$L$53</xm:f>
              </x14:cfvo>
              <x14:cfvo type="num">
                <xm:f>$L$8</xm:f>
              </x14:cfvo>
            </x14:iconSet>
          </x14:cfRule>
          <xm:sqref>L54:L60</xm:sqref>
        </x14:conditionalFormatting>
        <x14:conditionalFormatting xmlns:xm="http://schemas.microsoft.com/office/excel/2006/main">
          <x14:cfRule type="iconSet" priority="56" id="{EB5723FE-2C7D-412A-B25C-A0EB47ACFB1C}">
            <x14:iconSet iconSet="3Stars" showValue="0">
              <x14:cfvo type="percent">
                <xm:f>0</xm:f>
              </x14:cfvo>
              <x14:cfvo type="num">
                <xm:f>$L$61</xm:f>
              </x14:cfvo>
              <x14:cfvo type="num">
                <xm:f>$L$8</xm:f>
              </x14:cfvo>
            </x14:iconSet>
          </x14:cfRule>
          <xm:sqref>L62</xm:sqref>
        </x14:conditionalFormatting>
        <x14:conditionalFormatting xmlns:xm="http://schemas.microsoft.com/office/excel/2006/main">
          <x14:cfRule type="iconSet" priority="51" id="{5631BF36-5B22-40C6-8D7B-F535F23ECCEC}">
            <x14:iconSet iconSet="3Flags" showValue="0" custom="1">
              <x14:cfvo type="percent">
                <xm:f>0</xm:f>
              </x14:cfvo>
              <x14:cfvo type="num">
                <xm:f>1</xm:f>
              </x14:cfvo>
              <x14:cfvo type="num" gte="0">
                <xm:f>1</xm:f>
              </x14:cfvo>
              <x14:cfIcon iconSet="3Flags" iconId="1"/>
              <x14:cfIcon iconSet="3Flags" iconId="0"/>
              <x14:cfIcon iconSet="3Flags" iconId="2"/>
            </x14:iconSet>
          </x14:cfRule>
          <xm:sqref>T11:T21 T29:T43 T45:T46 T48:T52 T62 T54:T60 T23:T27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B1414-3E04-4AB0-A371-35D5EDC93FCD}">
  <sheetPr codeName="Feuil1">
    <pageSetUpPr fitToPage="1"/>
  </sheetPr>
  <dimension ref="A1:AN167"/>
  <sheetViews>
    <sheetView topLeftCell="M27" zoomScale="85" zoomScaleNormal="85" zoomScaleSheetLayoutView="100" workbookViewId="0">
      <selection activeCell="W43" sqref="W43"/>
    </sheetView>
  </sheetViews>
  <sheetFormatPr baseColWidth="10" defaultRowHeight="14.4" x14ac:dyDescent="0.3"/>
  <cols>
    <col min="2" max="2" width="8.6640625" customWidth="1"/>
    <col min="3" max="3" width="26.44140625" customWidth="1"/>
    <col min="4" max="4" width="6.44140625" customWidth="1"/>
    <col min="5" max="5" width="8" customWidth="1"/>
    <col min="6" max="6" width="8.109375" customWidth="1"/>
    <col min="7" max="7" width="6.88671875" customWidth="1"/>
    <col min="8" max="8" width="10" customWidth="1"/>
    <col min="9" max="9" width="10" style="39" customWidth="1"/>
    <col min="10" max="10" width="9.6640625" style="284" bestFit="1" customWidth="1"/>
    <col min="11" max="12" width="19.109375" customWidth="1"/>
    <col min="13" max="14" width="20.33203125" bestFit="1" customWidth="1"/>
    <col min="15" max="16" width="21.6640625" style="81" customWidth="1"/>
    <col min="17" max="17" width="20.44140625" customWidth="1"/>
    <col min="18" max="18" width="27.109375" customWidth="1"/>
    <col min="19" max="19" width="21.44140625" bestFit="1" customWidth="1"/>
    <col min="20" max="20" width="15.44140625" customWidth="1"/>
    <col min="21" max="21" width="13.109375" bestFit="1" customWidth="1"/>
    <col min="22" max="23" width="14.33203125" customWidth="1"/>
    <col min="24" max="24" width="17.88671875" customWidth="1"/>
    <col min="25" max="25" width="16.44140625" customWidth="1"/>
    <col min="26" max="26" width="10" customWidth="1"/>
    <col min="27" max="27" width="12.109375" customWidth="1"/>
    <col min="28" max="28" width="32.6640625" bestFit="1" customWidth="1"/>
    <col min="29" max="29" width="12.6640625" customWidth="1"/>
    <col min="31" max="31" width="11.44140625" customWidth="1"/>
  </cols>
  <sheetData>
    <row r="1" spans="1:29" x14ac:dyDescent="0.3">
      <c r="V1" s="1"/>
      <c r="W1" s="1"/>
      <c r="X1" s="1"/>
    </row>
    <row r="2" spans="1:29" x14ac:dyDescent="0.3">
      <c r="A2" s="39">
        <f>1000000</f>
        <v>1000000</v>
      </c>
      <c r="C2" s="2"/>
      <c r="D2" s="416" t="s">
        <v>0</v>
      </c>
      <c r="E2" s="417"/>
      <c r="F2" s="417"/>
      <c r="G2" s="417"/>
      <c r="H2" s="418"/>
      <c r="I2" s="64"/>
      <c r="J2" s="419" t="s">
        <v>1</v>
      </c>
      <c r="K2" s="419"/>
      <c r="L2" s="419"/>
      <c r="M2" s="419"/>
      <c r="N2" s="419"/>
      <c r="O2" s="419"/>
      <c r="P2" s="419"/>
      <c r="Q2" s="419"/>
      <c r="R2" s="419"/>
      <c r="S2" s="419"/>
      <c r="T2" s="419"/>
      <c r="U2" s="419"/>
      <c r="V2" s="419"/>
      <c r="W2" s="419"/>
      <c r="X2" s="419"/>
      <c r="Y2" s="419"/>
      <c r="Z2" s="419"/>
      <c r="AA2" s="420"/>
      <c r="AB2" s="3" t="s">
        <v>2</v>
      </c>
    </row>
    <row r="3" spans="1:29" x14ac:dyDescent="0.3">
      <c r="C3" s="4"/>
      <c r="D3" s="5"/>
      <c r="E3" s="5"/>
      <c r="F3" s="5"/>
      <c r="G3" s="5"/>
      <c r="H3" s="6"/>
      <c r="I3" s="63"/>
      <c r="J3" s="285"/>
      <c r="K3" s="5"/>
      <c r="L3" s="5"/>
      <c r="M3" s="5"/>
      <c r="N3" s="5"/>
      <c r="O3" s="82"/>
      <c r="P3" s="82"/>
      <c r="Q3" s="5"/>
      <c r="R3" s="5"/>
      <c r="S3" s="5"/>
      <c r="T3" s="5"/>
      <c r="U3" s="5"/>
      <c r="V3" s="5"/>
      <c r="W3" s="5"/>
      <c r="X3" s="5"/>
      <c r="Y3" s="5"/>
      <c r="Z3" s="5"/>
      <c r="AA3" s="6"/>
      <c r="AB3" s="7"/>
    </row>
    <row r="4" spans="1:29" ht="60.75" customHeight="1" x14ac:dyDescent="0.3">
      <c r="C4" s="8" t="s">
        <v>3</v>
      </c>
      <c r="D4" s="9" t="s">
        <v>4</v>
      </c>
      <c r="E4" s="10" t="s">
        <v>5</v>
      </c>
      <c r="F4" s="10" t="s">
        <v>6</v>
      </c>
      <c r="G4" s="10" t="s">
        <v>7</v>
      </c>
      <c r="H4" s="11" t="s">
        <v>8</v>
      </c>
      <c r="I4" s="62" t="s">
        <v>76</v>
      </c>
      <c r="J4" s="286" t="s">
        <v>9</v>
      </c>
      <c r="K4" s="12" t="s">
        <v>122</v>
      </c>
      <c r="L4" s="12" t="s">
        <v>122</v>
      </c>
      <c r="M4" s="12" t="s">
        <v>125</v>
      </c>
      <c r="N4" s="61" t="s">
        <v>124</v>
      </c>
      <c r="O4" s="83" t="s">
        <v>123</v>
      </c>
      <c r="P4" s="83" t="s">
        <v>138</v>
      </c>
      <c r="Q4" s="61" t="s">
        <v>124</v>
      </c>
      <c r="R4" s="65" t="s">
        <v>78</v>
      </c>
      <c r="S4" s="61" t="s">
        <v>75</v>
      </c>
      <c r="T4" s="61" t="s">
        <v>74</v>
      </c>
      <c r="U4" s="13" t="s">
        <v>10</v>
      </c>
      <c r="V4" s="14" t="s">
        <v>11</v>
      </c>
      <c r="W4" s="14" t="s">
        <v>11</v>
      </c>
      <c r="X4" s="14" t="s">
        <v>83</v>
      </c>
      <c r="Y4" s="14" t="s">
        <v>12</v>
      </c>
      <c r="Z4" s="13" t="s">
        <v>13</v>
      </c>
      <c r="AA4" s="15" t="s">
        <v>14</v>
      </c>
      <c r="AB4" s="3" t="s">
        <v>2</v>
      </c>
    </row>
    <row r="5" spans="1:29" ht="30" customHeight="1" x14ac:dyDescent="0.3">
      <c r="C5" s="17" t="s">
        <v>16</v>
      </c>
      <c r="D5" s="60"/>
      <c r="E5" s="57"/>
      <c r="F5" s="57"/>
      <c r="G5" s="57"/>
      <c r="H5" s="57"/>
      <c r="I5" s="59"/>
      <c r="J5" s="287"/>
      <c r="K5" s="59"/>
      <c r="L5" s="59"/>
      <c r="M5" s="59"/>
      <c r="N5" s="59"/>
      <c r="O5" s="59"/>
      <c r="P5" s="59"/>
      <c r="Q5" s="59"/>
      <c r="R5" s="59"/>
      <c r="S5" s="59"/>
      <c r="T5" s="59"/>
      <c r="U5" s="59">
        <f>+AVERAGE(U6:U16)</f>
        <v>44.387958807430778</v>
      </c>
      <c r="V5" s="73"/>
      <c r="W5" s="73"/>
      <c r="X5" s="73"/>
      <c r="Y5" s="58"/>
      <c r="Z5" s="57"/>
      <c r="AA5" s="57"/>
      <c r="AB5" s="56"/>
    </row>
    <row r="6" spans="1:29" ht="30" customHeight="1" x14ac:dyDescent="0.3">
      <c r="C6" s="18" t="s">
        <v>17</v>
      </c>
      <c r="D6" s="19">
        <v>1</v>
      </c>
      <c r="E6" s="19">
        <f t="shared" ref="E6:E16" ca="1" si="0">+RANDBETWEEN(0,4)</f>
        <v>4</v>
      </c>
      <c r="F6" s="19">
        <f t="shared" ref="F6:H16" ca="1" si="1">+RANDBETWEEN(-1,2)</f>
        <v>2</v>
      </c>
      <c r="G6" s="19">
        <f t="shared" ca="1" si="1"/>
        <v>0</v>
      </c>
      <c r="H6" s="19">
        <f t="shared" ca="1" si="1"/>
        <v>2</v>
      </c>
      <c r="I6" s="51">
        <v>1010</v>
      </c>
      <c r="J6" s="50">
        <f>+IF(P6="","",P6/S6)</f>
        <v>181.61854189189188</v>
      </c>
      <c r="K6" s="51">
        <f>13047.8*(1000000)</f>
        <v>13047800000</v>
      </c>
      <c r="L6" s="51">
        <f>13047.8*(1000000)</f>
        <v>13047800000</v>
      </c>
      <c r="M6" s="50">
        <f>887*(1000000)</f>
        <v>887000000</v>
      </c>
      <c r="N6" s="50">
        <f>863*(1000000)</f>
        <v>863000000</v>
      </c>
      <c r="O6" s="50">
        <f>1075.181768*(1000000)</f>
        <v>1075181768</v>
      </c>
      <c r="P6" s="50">
        <f>1075.181768*(1000000)</f>
        <v>1075181768</v>
      </c>
      <c r="Q6" s="50">
        <f>863*(1000000)</f>
        <v>863000000</v>
      </c>
      <c r="R6" s="21">
        <f>IF(M6="","",+(M6-N6)/N6)</f>
        <v>2.7809965237543453E-2</v>
      </c>
      <c r="S6" s="51">
        <v>5920000</v>
      </c>
      <c r="T6" s="260">
        <v>69</v>
      </c>
      <c r="U6" s="50">
        <f>IF(J6="","",IF(J6&lt;=0,"",I6/J6))</f>
        <v>5.5611062035791514</v>
      </c>
      <c r="V6" s="21">
        <f>+T6/I6</f>
        <v>6.8316831683168322E-2</v>
      </c>
      <c r="W6" s="21">
        <f>+T6/I6</f>
        <v>6.8316831683168322E-2</v>
      </c>
      <c r="X6" s="21">
        <f>IF(L6="","",M6/L6)</f>
        <v>6.7980809025276298E-2</v>
      </c>
      <c r="Y6" s="20">
        <v>1500</v>
      </c>
      <c r="Z6" s="20">
        <v>1135</v>
      </c>
      <c r="AA6" s="20">
        <f t="shared" ref="AA6:AA16" ca="1" si="2">+RANDBETWEEN(-1,3)</f>
        <v>2</v>
      </c>
      <c r="AB6" s="20" t="s">
        <v>18</v>
      </c>
    </row>
    <row r="7" spans="1:29" ht="30" customHeight="1" x14ac:dyDescent="0.3">
      <c r="A7" t="s">
        <v>104</v>
      </c>
      <c r="C7" s="18" t="s">
        <v>19</v>
      </c>
      <c r="D7" s="19">
        <v>2</v>
      </c>
      <c r="E7" s="19">
        <f t="shared" ca="1" si="0"/>
        <v>2</v>
      </c>
      <c r="F7" s="19">
        <f t="shared" ca="1" si="1"/>
        <v>1</v>
      </c>
      <c r="G7" s="19">
        <f t="shared" ca="1" si="1"/>
        <v>2</v>
      </c>
      <c r="H7" s="19">
        <f t="shared" ca="1" si="1"/>
        <v>1</v>
      </c>
      <c r="I7" s="51">
        <v>1945</v>
      </c>
      <c r="J7" s="50">
        <f t="shared" ref="J7:J36" si="3">+IF(P7="","",P7/S7)</f>
        <v>10.882432602983322</v>
      </c>
      <c r="K7" s="51">
        <f>27095*(1000000)</f>
        <v>27095000000</v>
      </c>
      <c r="L7" s="51">
        <f>27095*(1000000)</f>
        <v>27095000000</v>
      </c>
      <c r="M7" s="289">
        <f>4088*(1000000)</f>
        <v>4088000000</v>
      </c>
      <c r="N7" s="289">
        <f>-227*(1000000)</f>
        <v>-227000000</v>
      </c>
      <c r="O7" s="289">
        <f>153.483*(1000000)</f>
        <v>153483000</v>
      </c>
      <c r="P7" s="289">
        <f>153.483*(1000000)</f>
        <v>153483000</v>
      </c>
      <c r="Q7" s="289">
        <f>-227*(1000000)</f>
        <v>-227000000</v>
      </c>
      <c r="R7" s="290">
        <f>-IF(M7="","",+(M7-N7)/N7)</f>
        <v>19.008810572687224</v>
      </c>
      <c r="S7" s="51">
        <v>14103740</v>
      </c>
      <c r="T7" s="50">
        <v>235</v>
      </c>
      <c r="U7" s="50">
        <f t="shared" ref="U7:U22" si="4">IF(J7="","",IF(J7&lt;=0,"",I7/J7))</f>
        <v>178.72842138868802</v>
      </c>
      <c r="V7" s="21">
        <f t="shared" ref="V7:V16" si="5">+T7/I7</f>
        <v>0.12082262210796915</v>
      </c>
      <c r="W7" s="21">
        <f t="shared" ref="W7:W16" si="6">+T7/I7</f>
        <v>0.12082262210796915</v>
      </c>
      <c r="X7" s="21">
        <f t="shared" ref="X7:X15" si="7">IF(L7="","",M7/L7)</f>
        <v>0.15087654548809742</v>
      </c>
      <c r="Y7" s="20">
        <v>1800</v>
      </c>
      <c r="Z7" s="20">
        <v>1905</v>
      </c>
      <c r="AA7" s="20">
        <f t="shared" ca="1" si="2"/>
        <v>2</v>
      </c>
      <c r="AB7" s="20" t="s">
        <v>18</v>
      </c>
    </row>
    <row r="8" spans="1:29" ht="30" customHeight="1" x14ac:dyDescent="0.3">
      <c r="C8" s="18" t="s">
        <v>21</v>
      </c>
      <c r="D8" s="19">
        <v>3</v>
      </c>
      <c r="E8" s="19">
        <f t="shared" ca="1" si="0"/>
        <v>4</v>
      </c>
      <c r="F8" s="19">
        <f t="shared" ca="1" si="1"/>
        <v>2</v>
      </c>
      <c r="G8" s="19">
        <f t="shared" ca="1" si="1"/>
        <v>0</v>
      </c>
      <c r="H8" s="19">
        <f t="shared" ca="1" si="1"/>
        <v>0</v>
      </c>
      <c r="I8" s="51">
        <v>685</v>
      </c>
      <c r="J8" s="50">
        <f t="shared" si="3"/>
        <v>94.964834626825919</v>
      </c>
      <c r="K8" s="51">
        <f>7260.894436*(1000000)</f>
        <v>7260894436</v>
      </c>
      <c r="L8" s="51">
        <f>7260.894436*(1000000)</f>
        <v>7260894436</v>
      </c>
      <c r="M8" s="50">
        <f>1109.162313*(1000000)</f>
        <v>1109162313</v>
      </c>
      <c r="N8" s="50">
        <f>1268.594062*(1000000)</f>
        <v>1268594062</v>
      </c>
      <c r="O8" s="50">
        <f>1212.30446*(1000000)</f>
        <v>1212304460</v>
      </c>
      <c r="P8" s="50">
        <f>1212.30446*(1000000)</f>
        <v>1212304460</v>
      </c>
      <c r="Q8" s="50">
        <f>1268.594062*(1000000)</f>
        <v>1268594062</v>
      </c>
      <c r="R8" s="21">
        <f t="shared" ref="R8:R40" si="8">IF(M8="","",+(M8-N8)/N8)</f>
        <v>-0.12567593824981974</v>
      </c>
      <c r="S8" s="51">
        <v>12765825</v>
      </c>
      <c r="T8" s="50">
        <v>35.25</v>
      </c>
      <c r="U8" s="50">
        <f t="shared" si="4"/>
        <v>7.2131963657050306</v>
      </c>
      <c r="V8" s="21">
        <f t="shared" si="5"/>
        <v>5.1459854014598537E-2</v>
      </c>
      <c r="W8" s="21">
        <f t="shared" si="6"/>
        <v>5.1459854014598537E-2</v>
      </c>
      <c r="X8" s="21">
        <f>IF(L8="","",M8/L8)</f>
        <v>0.15275835818528075</v>
      </c>
      <c r="Y8" s="20">
        <v>955</v>
      </c>
      <c r="Z8" s="20">
        <v>710</v>
      </c>
      <c r="AA8" s="20">
        <f t="shared" ca="1" si="2"/>
        <v>2</v>
      </c>
      <c r="AB8" s="20" t="s">
        <v>18</v>
      </c>
    </row>
    <row r="9" spans="1:29" ht="30" customHeight="1" x14ac:dyDescent="0.3">
      <c r="C9" s="18" t="s">
        <v>23</v>
      </c>
      <c r="D9" s="19">
        <v>4</v>
      </c>
      <c r="E9" s="19">
        <f t="shared" ca="1" si="0"/>
        <v>2</v>
      </c>
      <c r="F9" s="19">
        <f t="shared" ca="1" si="1"/>
        <v>1</v>
      </c>
      <c r="G9" s="19">
        <f t="shared" ca="1" si="1"/>
        <v>1</v>
      </c>
      <c r="H9" s="19">
        <f t="shared" ca="1" si="1"/>
        <v>0</v>
      </c>
      <c r="I9" s="51">
        <v>6850</v>
      </c>
      <c r="J9" s="50">
        <f t="shared" si="3"/>
        <v>753.36396386109902</v>
      </c>
      <c r="K9" s="51">
        <f>148651.723617*(1000000)</f>
        <v>148651723617</v>
      </c>
      <c r="L9" s="51">
        <f>148651.723617*(1000000)</f>
        <v>148651723617</v>
      </c>
      <c r="M9" s="50">
        <f>11199.464454*(1000000)</f>
        <v>11199464454</v>
      </c>
      <c r="N9" s="50">
        <f>13188*(1000000)</f>
        <v>13188000000</v>
      </c>
      <c r="O9" s="50">
        <f>16627.044028*(1000000)</f>
        <v>16627044028</v>
      </c>
      <c r="P9" s="50">
        <f>16627.044028*(1000000)</f>
        <v>16627044028</v>
      </c>
      <c r="Q9" s="50">
        <f>13188*(1000000)</f>
        <v>13188000000</v>
      </c>
      <c r="R9" s="21">
        <f t="shared" si="8"/>
        <v>-0.15078370837124658</v>
      </c>
      <c r="S9" s="51">
        <v>22070400</v>
      </c>
      <c r="T9" s="260">
        <v>728.1</v>
      </c>
      <c r="U9" s="50">
        <f t="shared" si="4"/>
        <v>9.0925506509400336</v>
      </c>
      <c r="V9" s="21">
        <f t="shared" si="5"/>
        <v>0.10629197080291972</v>
      </c>
      <c r="W9" s="21">
        <f t="shared" si="6"/>
        <v>0.10629197080291972</v>
      </c>
      <c r="X9" s="21">
        <f t="shared" si="7"/>
        <v>7.5340293280791906E-2</v>
      </c>
      <c r="Y9" s="20">
        <v>8600</v>
      </c>
      <c r="Z9" s="20">
        <v>8195</v>
      </c>
      <c r="AA9" s="20">
        <f t="shared" ca="1" si="2"/>
        <v>3</v>
      </c>
      <c r="AB9" s="20" t="s">
        <v>18</v>
      </c>
    </row>
    <row r="10" spans="1:29" ht="30" customHeight="1" x14ac:dyDescent="0.3">
      <c r="C10" s="18" t="s">
        <v>25</v>
      </c>
      <c r="D10" s="19">
        <v>5</v>
      </c>
      <c r="E10" s="19">
        <f t="shared" ca="1" si="0"/>
        <v>4</v>
      </c>
      <c r="F10" s="19">
        <f t="shared" ca="1" si="1"/>
        <v>2</v>
      </c>
      <c r="G10" s="19">
        <f t="shared" ca="1" si="1"/>
        <v>-1</v>
      </c>
      <c r="H10" s="19">
        <f t="shared" ca="1" si="1"/>
        <v>2</v>
      </c>
      <c r="I10" s="51">
        <v>700</v>
      </c>
      <c r="J10" s="50">
        <f t="shared" si="3"/>
        <v>153.14996188903356</v>
      </c>
      <c r="K10" s="51"/>
      <c r="L10" s="51"/>
      <c r="M10" s="50"/>
      <c r="N10" s="50">
        <f>0*(1000000)</f>
        <v>0</v>
      </c>
      <c r="O10" s="50">
        <f>3857.78628*(1000000)</f>
        <v>3857786280</v>
      </c>
      <c r="P10" s="50">
        <f>3857.78628*(1000000)</f>
        <v>3857786280</v>
      </c>
      <c r="Q10" s="50">
        <f>0*(1000000)</f>
        <v>0</v>
      </c>
      <c r="R10" s="21" t="str">
        <f t="shared" si="8"/>
        <v/>
      </c>
      <c r="S10" s="51">
        <v>25189600</v>
      </c>
      <c r="T10" s="51">
        <v>14.4</v>
      </c>
      <c r="U10" s="50"/>
      <c r="V10" s="21"/>
      <c r="W10" s="21"/>
      <c r="X10" s="21" t="str">
        <f t="shared" si="7"/>
        <v/>
      </c>
      <c r="Y10" s="20">
        <v>790</v>
      </c>
      <c r="Z10" s="20">
        <v>765</v>
      </c>
      <c r="AA10" s="20">
        <f t="shared" ca="1" si="2"/>
        <v>-1</v>
      </c>
      <c r="AB10" s="20" t="s">
        <v>18</v>
      </c>
    </row>
    <row r="11" spans="1:29" ht="30" customHeight="1" x14ac:dyDescent="0.3">
      <c r="C11" s="18" t="s">
        <v>26</v>
      </c>
      <c r="D11" s="19">
        <v>6</v>
      </c>
      <c r="E11" s="19">
        <f t="shared" ca="1" si="0"/>
        <v>2</v>
      </c>
      <c r="F11" s="19">
        <f t="shared" ca="1" si="1"/>
        <v>1</v>
      </c>
      <c r="G11" s="19">
        <f t="shared" ca="1" si="1"/>
        <v>1</v>
      </c>
      <c r="H11" s="19">
        <f t="shared" ca="1" si="1"/>
        <v>1</v>
      </c>
      <c r="I11" s="51">
        <v>800</v>
      </c>
      <c r="J11" s="50">
        <f t="shared" si="3"/>
        <v>46.112585527822304</v>
      </c>
      <c r="K11" s="51"/>
      <c r="L11" s="51"/>
      <c r="M11" s="50"/>
      <c r="N11" s="50">
        <f>0*(1000000)</f>
        <v>0</v>
      </c>
      <c r="O11" s="50">
        <f>402.747322*(1000000)</f>
        <v>402747322</v>
      </c>
      <c r="P11" s="50">
        <f>402.747322*(1000000)</f>
        <v>402747322</v>
      </c>
      <c r="Q11" s="50">
        <f>0*(1000000)</f>
        <v>0</v>
      </c>
      <c r="R11" s="21" t="str">
        <f t="shared" si="8"/>
        <v/>
      </c>
      <c r="S11" s="51">
        <v>8734000</v>
      </c>
      <c r="T11" s="51">
        <v>63</v>
      </c>
      <c r="U11" s="50">
        <f t="shared" si="4"/>
        <v>17.348842855868821</v>
      </c>
      <c r="V11" s="21">
        <f t="shared" si="5"/>
        <v>7.8750000000000001E-2</v>
      </c>
      <c r="W11" s="21">
        <f t="shared" si="6"/>
        <v>7.8750000000000001E-2</v>
      </c>
      <c r="X11" s="21" t="str">
        <f t="shared" si="7"/>
        <v/>
      </c>
      <c r="Y11" s="20">
        <v>1000</v>
      </c>
      <c r="Z11" s="20">
        <v>805</v>
      </c>
      <c r="AA11" s="20">
        <f t="shared" ca="1" si="2"/>
        <v>1</v>
      </c>
      <c r="AB11" s="20" t="s">
        <v>18</v>
      </c>
    </row>
    <row r="12" spans="1:29" ht="30" customHeight="1" x14ac:dyDescent="0.3">
      <c r="B12" t="s">
        <v>80</v>
      </c>
      <c r="C12" s="18" t="s">
        <v>27</v>
      </c>
      <c r="D12" s="19">
        <v>7</v>
      </c>
      <c r="E12" s="19">
        <f t="shared" ca="1" si="0"/>
        <v>3</v>
      </c>
      <c r="F12" s="19">
        <f t="shared" ca="1" si="1"/>
        <v>-1</v>
      </c>
      <c r="G12" s="19">
        <f t="shared" ca="1" si="1"/>
        <v>-1</v>
      </c>
      <c r="H12" s="19">
        <f t="shared" ca="1" si="1"/>
        <v>-1</v>
      </c>
      <c r="I12" s="51">
        <v>88000</v>
      </c>
      <c r="J12" s="50">
        <f t="shared" si="3"/>
        <v>739.33043514182748</v>
      </c>
      <c r="K12" s="51"/>
      <c r="L12" s="51"/>
      <c r="M12" s="50"/>
      <c r="N12" s="50">
        <f>0*(1000000)</f>
        <v>0</v>
      </c>
      <c r="O12" s="50">
        <f>1217*(1000000)</f>
        <v>1217000000</v>
      </c>
      <c r="P12" s="50">
        <f>1217*(1000000)</f>
        <v>1217000000</v>
      </c>
      <c r="Q12" s="50">
        <f>0*(1000000)</f>
        <v>0</v>
      </c>
      <c r="R12" s="21" t="str">
        <f t="shared" si="8"/>
        <v/>
      </c>
      <c r="S12" s="51">
        <v>1646084</v>
      </c>
      <c r="T12" s="112">
        <v>4050</v>
      </c>
      <c r="U12" s="50">
        <f t="shared" si="4"/>
        <v>119.0266162695152</v>
      </c>
      <c r="V12" s="21">
        <f t="shared" si="5"/>
        <v>4.6022727272727271E-2</v>
      </c>
      <c r="W12" s="21">
        <f t="shared" si="6"/>
        <v>4.6022727272727271E-2</v>
      </c>
      <c r="X12" s="21" t="str">
        <f t="shared" si="7"/>
        <v/>
      </c>
      <c r="Y12" s="20">
        <v>168000</v>
      </c>
      <c r="Z12" s="20">
        <v>86500</v>
      </c>
      <c r="AA12" s="20">
        <f t="shared" ca="1" si="2"/>
        <v>-1</v>
      </c>
      <c r="AB12" s="20" t="s">
        <v>18</v>
      </c>
    </row>
    <row r="13" spans="1:29" ht="30" customHeight="1" x14ac:dyDescent="0.3">
      <c r="C13" s="18" t="s">
        <v>28</v>
      </c>
      <c r="D13" s="19">
        <v>8</v>
      </c>
      <c r="E13" s="19">
        <f t="shared" ca="1" si="0"/>
        <v>1</v>
      </c>
      <c r="F13" s="19">
        <f t="shared" ca="1" si="1"/>
        <v>2</v>
      </c>
      <c r="G13" s="19">
        <f t="shared" ca="1" si="1"/>
        <v>2</v>
      </c>
      <c r="H13" s="19">
        <f t="shared" ca="1" si="1"/>
        <v>0</v>
      </c>
      <c r="I13" s="51">
        <v>10050</v>
      </c>
      <c r="J13" s="50">
        <f t="shared" si="3"/>
        <v>1208.5642446633826</v>
      </c>
      <c r="K13" s="51">
        <f>179523.800896*(1000000)</f>
        <v>179523800896</v>
      </c>
      <c r="L13" s="51">
        <f>179523.800896*(1000000)</f>
        <v>179523800896</v>
      </c>
      <c r="M13" s="50">
        <f>12165.430436*(1000000)</f>
        <v>12165430436</v>
      </c>
      <c r="N13" s="50">
        <f>6465.055414*(1000000)</f>
        <v>6465055414</v>
      </c>
      <c r="O13" s="50">
        <f>9421*(1000000)</f>
        <v>9421000000</v>
      </c>
      <c r="P13" s="50">
        <f>9421*(1000000)</f>
        <v>9421000000</v>
      </c>
      <c r="Q13" s="50">
        <f>6465.055414*(1000000)</f>
        <v>6465055414</v>
      </c>
      <c r="R13" s="21">
        <f t="shared" si="8"/>
        <v>0.8817209841165331</v>
      </c>
      <c r="S13" s="51">
        <v>7795200</v>
      </c>
      <c r="T13" s="112">
        <v>720</v>
      </c>
      <c r="U13" s="50">
        <f t="shared" si="4"/>
        <v>8.3156522662137782</v>
      </c>
      <c r="V13" s="21">
        <f t="shared" si="5"/>
        <v>7.1641791044776124E-2</v>
      </c>
      <c r="W13" s="21">
        <f t="shared" si="6"/>
        <v>7.1641791044776124E-2</v>
      </c>
      <c r="X13" s="21">
        <f t="shared" si="7"/>
        <v>6.7765000380353796E-2</v>
      </c>
      <c r="Y13" s="20">
        <v>8500</v>
      </c>
      <c r="Z13" s="20">
        <v>10045</v>
      </c>
      <c r="AA13" s="20">
        <f t="shared" ca="1" si="2"/>
        <v>3</v>
      </c>
      <c r="AB13" s="20" t="s">
        <v>18</v>
      </c>
    </row>
    <row r="14" spans="1:29" ht="30" customHeight="1" x14ac:dyDescent="0.3">
      <c r="C14" s="18" t="s">
        <v>29</v>
      </c>
      <c r="D14" s="19">
        <v>9</v>
      </c>
      <c r="E14" s="19">
        <f t="shared" ca="1" si="0"/>
        <v>2</v>
      </c>
      <c r="F14" s="19">
        <f t="shared" ca="1" si="1"/>
        <v>-1</v>
      </c>
      <c r="G14" s="19">
        <f t="shared" ca="1" si="1"/>
        <v>2</v>
      </c>
      <c r="H14" s="19">
        <f t="shared" ca="1" si="1"/>
        <v>1</v>
      </c>
      <c r="I14" s="51">
        <v>6120</v>
      </c>
      <c r="J14" s="50">
        <f t="shared" si="3"/>
        <v>623.3903097744361</v>
      </c>
      <c r="K14" s="51">
        <f>123554.282*(1000000)</f>
        <v>123554282000</v>
      </c>
      <c r="L14" s="51">
        <f>123554.282*(1000000)</f>
        <v>123554282000</v>
      </c>
      <c r="M14" s="50">
        <f>8455.95*(1000000)</f>
        <v>8455950000.000001</v>
      </c>
      <c r="N14" s="50">
        <f>10434.537*(1000000)</f>
        <v>10434537000</v>
      </c>
      <c r="O14" s="50">
        <f>11192.973012*(1000000)</f>
        <v>11192973012</v>
      </c>
      <c r="P14" s="50">
        <f>11192.973012*(1000000)</f>
        <v>11192973012</v>
      </c>
      <c r="Q14" s="50">
        <f>10434.537*(1000000)</f>
        <v>10434537000</v>
      </c>
      <c r="R14" s="21">
        <f t="shared" si="8"/>
        <v>-0.18961905065840479</v>
      </c>
      <c r="S14" s="51">
        <v>17955000</v>
      </c>
      <c r="T14" s="262">
        <v>551</v>
      </c>
      <c r="U14" s="50">
        <f t="shared" si="4"/>
        <v>9.8172844589362072</v>
      </c>
      <c r="V14" s="21">
        <f t="shared" si="5"/>
        <v>9.0032679738562091E-2</v>
      </c>
      <c r="W14" s="21">
        <f t="shared" si="6"/>
        <v>9.0032679738562091E-2</v>
      </c>
      <c r="X14" s="21">
        <f t="shared" si="7"/>
        <v>6.8439149684832459E-2</v>
      </c>
      <c r="Y14" s="20">
        <v>6825</v>
      </c>
      <c r="Z14" s="20">
        <v>6400</v>
      </c>
      <c r="AA14" s="20">
        <f t="shared" ca="1" si="2"/>
        <v>3</v>
      </c>
      <c r="AB14" s="20" t="s">
        <v>18</v>
      </c>
    </row>
    <row r="15" spans="1:29" ht="30" customHeight="1" x14ac:dyDescent="0.3">
      <c r="B15" t="s">
        <v>81</v>
      </c>
      <c r="C15" s="18" t="s">
        <v>30</v>
      </c>
      <c r="D15" s="19">
        <v>10</v>
      </c>
      <c r="E15" s="19">
        <f t="shared" ca="1" si="0"/>
        <v>3</v>
      </c>
      <c r="F15" s="19">
        <f t="shared" ca="1" si="1"/>
        <v>0</v>
      </c>
      <c r="G15" s="19">
        <f t="shared" ca="1" si="1"/>
        <v>2</v>
      </c>
      <c r="H15" s="19">
        <f t="shared" ca="1" si="1"/>
        <v>-1</v>
      </c>
      <c r="I15" s="51">
        <v>6000</v>
      </c>
      <c r="J15" s="50">
        <f t="shared" si="3"/>
        <v>-695.014960254372</v>
      </c>
      <c r="K15" s="51"/>
      <c r="L15" s="51"/>
      <c r="M15" s="50"/>
      <c r="N15" s="50">
        <f>0*(1000000)</f>
        <v>0</v>
      </c>
      <c r="O15" s="50">
        <f>-6382.600386*(1000000)</f>
        <v>-6382600386</v>
      </c>
      <c r="P15" s="50">
        <f>-6382.600386*(1000000)</f>
        <v>-6382600386</v>
      </c>
      <c r="Q15" s="50">
        <f>0*(1000000)</f>
        <v>0</v>
      </c>
      <c r="R15" s="21" t="str">
        <f t="shared" si="8"/>
        <v/>
      </c>
      <c r="S15" s="70">
        <v>9183400</v>
      </c>
      <c r="T15" s="51">
        <v>1233</v>
      </c>
      <c r="U15" s="50" t="str">
        <f t="shared" si="4"/>
        <v/>
      </c>
      <c r="V15" s="21">
        <f t="shared" si="5"/>
        <v>0.20549999999999999</v>
      </c>
      <c r="W15" s="21">
        <f t="shared" si="6"/>
        <v>0.20549999999999999</v>
      </c>
      <c r="X15" s="21" t="str">
        <f t="shared" si="7"/>
        <v/>
      </c>
      <c r="Y15" s="20">
        <v>4890</v>
      </c>
      <c r="Z15" s="20">
        <v>6360</v>
      </c>
      <c r="AA15" s="20">
        <f t="shared" ca="1" si="2"/>
        <v>2</v>
      </c>
      <c r="AB15" s="20" t="s">
        <v>18</v>
      </c>
    </row>
    <row r="16" spans="1:29" ht="30" customHeight="1" x14ac:dyDescent="0.3">
      <c r="B16" t="s">
        <v>80</v>
      </c>
      <c r="C16" s="23" t="s">
        <v>31</v>
      </c>
      <c r="D16" s="19">
        <v>1</v>
      </c>
      <c r="E16" s="19">
        <f t="shared" ca="1" si="0"/>
        <v>0</v>
      </c>
      <c r="F16" s="19">
        <f t="shared" ca="1" si="1"/>
        <v>2</v>
      </c>
      <c r="G16" s="19">
        <f t="shared" ca="1" si="1"/>
        <v>0</v>
      </c>
      <c r="H16" s="19">
        <f t="shared" ca="1" si="1"/>
        <v>-1</v>
      </c>
      <c r="I16" s="51">
        <v>550</v>
      </c>
      <c r="J16" s="50">
        <f t="shared" si="3"/>
        <v>-62.58674563855422</v>
      </c>
      <c r="K16" s="51">
        <f>23708.665592*(1000000)</f>
        <v>23708665592</v>
      </c>
      <c r="L16" s="51">
        <f>23708.665592*(1000000)</f>
        <v>23708665592</v>
      </c>
      <c r="M16" s="50">
        <f>-879.406597*(1000000)</f>
        <v>-879406597</v>
      </c>
      <c r="N16" s="50">
        <f>295.606433*(1000000)</f>
        <v>295606433</v>
      </c>
      <c r="O16" s="50">
        <f>-1298.674972*(1000000)</f>
        <v>-1298674972</v>
      </c>
      <c r="P16" s="50">
        <f>-1298.674972*(1000000)</f>
        <v>-1298674972</v>
      </c>
      <c r="Q16" s="50">
        <f>295.606433*(1000000)</f>
        <v>295606433</v>
      </c>
      <c r="R16" s="21">
        <f t="shared" si="8"/>
        <v>-3.974923745993038</v>
      </c>
      <c r="S16" s="51">
        <v>20750000</v>
      </c>
      <c r="T16" s="264">
        <v>60.75</v>
      </c>
      <c r="U16" s="50" t="str">
        <f t="shared" si="4"/>
        <v/>
      </c>
      <c r="V16" s="21">
        <f t="shared" si="5"/>
        <v>0.11045454545454546</v>
      </c>
      <c r="W16" s="21">
        <f t="shared" si="6"/>
        <v>0.11045454545454546</v>
      </c>
      <c r="X16" s="21">
        <f>IF(L16="","",M16/L16)</f>
        <v>-3.7092201312955278E-2</v>
      </c>
      <c r="Y16" s="20">
        <v>2100</v>
      </c>
      <c r="Z16" s="20">
        <v>715</v>
      </c>
      <c r="AA16" s="20">
        <f t="shared" ca="1" si="2"/>
        <v>-1</v>
      </c>
      <c r="AB16" s="20" t="s">
        <v>18</v>
      </c>
      <c r="AC16" s="24"/>
    </row>
    <row r="17" spans="1:32" ht="30" customHeight="1" x14ac:dyDescent="0.3">
      <c r="C17" s="25" t="s">
        <v>32</v>
      </c>
      <c r="D17" s="283"/>
      <c r="E17" s="283"/>
      <c r="F17" s="283"/>
      <c r="G17" s="283"/>
      <c r="H17" s="283"/>
      <c r="I17" s="53"/>
      <c r="J17" s="86"/>
      <c r="K17" s="86">
        <f>0*(1000000)</f>
        <v>0</v>
      </c>
      <c r="L17" s="86">
        <f>0*(1000000)</f>
        <v>0</v>
      </c>
      <c r="M17" s="86">
        <f>0*(1000000)</f>
        <v>0</v>
      </c>
      <c r="N17" s="86"/>
      <c r="O17" s="86">
        <f>0*(1000000)</f>
        <v>0</v>
      </c>
      <c r="P17" s="86">
        <f>0*(1000000)</f>
        <v>0</v>
      </c>
      <c r="Q17" s="86"/>
      <c r="R17" s="254"/>
      <c r="S17" s="53"/>
      <c r="T17" s="53"/>
      <c r="U17" s="52">
        <f>+AVERAGE(U18:U22)</f>
        <v>8.1131503312031477</v>
      </c>
      <c r="V17" s="30"/>
      <c r="W17" s="55"/>
      <c r="X17" s="30"/>
      <c r="Y17" s="55"/>
      <c r="Z17" s="55"/>
      <c r="AA17" s="55"/>
      <c r="AB17" s="54"/>
      <c r="AC17" s="24"/>
    </row>
    <row r="18" spans="1:32" ht="30" customHeight="1" x14ac:dyDescent="0.3">
      <c r="C18" s="23" t="s">
        <v>33</v>
      </c>
      <c r="D18" s="26">
        <v>1</v>
      </c>
      <c r="E18" s="26">
        <f ca="1">+RANDBETWEEN(0,4)</f>
        <v>0</v>
      </c>
      <c r="F18" s="26">
        <f t="shared" ref="F18:H22" ca="1" si="9">+RANDBETWEEN(-1,2)</f>
        <v>2</v>
      </c>
      <c r="G18" s="26">
        <f t="shared" ca="1" si="9"/>
        <v>1</v>
      </c>
      <c r="H18" s="26">
        <f t="shared" ca="1" si="9"/>
        <v>1</v>
      </c>
      <c r="I18" s="42">
        <v>1780</v>
      </c>
      <c r="J18" s="50">
        <f t="shared" si="3"/>
        <v>175.33928571428572</v>
      </c>
      <c r="K18" s="51"/>
      <c r="L18" s="51"/>
      <c r="M18" s="50"/>
      <c r="N18" s="50">
        <f>0*(1000000)</f>
        <v>0</v>
      </c>
      <c r="O18" s="50">
        <f>9819*(1000000)</f>
        <v>9819000000</v>
      </c>
      <c r="P18" s="50">
        <f>9819*(1000000)</f>
        <v>9819000000</v>
      </c>
      <c r="Q18" s="50">
        <f>0*(1000000)</f>
        <v>0</v>
      </c>
      <c r="R18" s="21" t="str">
        <f t="shared" si="8"/>
        <v/>
      </c>
      <c r="S18" s="42">
        <v>56000000</v>
      </c>
      <c r="T18" s="256">
        <v>157.5</v>
      </c>
      <c r="U18" s="50">
        <f>IF(J18="","",IF(J18&lt;=0,"",I18/J18))</f>
        <v>10.151746613708116</v>
      </c>
      <c r="V18" s="21">
        <f>+T18/I18</f>
        <v>8.8483146067415724E-2</v>
      </c>
      <c r="W18" s="74">
        <f>+T18/I18</f>
        <v>8.8483146067415724E-2</v>
      </c>
      <c r="X18" s="21" t="str">
        <f>IF(L18="","",M18/L18)</f>
        <v/>
      </c>
      <c r="Y18" s="22">
        <v>2550</v>
      </c>
      <c r="Z18" s="22">
        <v>2040</v>
      </c>
      <c r="AA18" s="22">
        <f ca="1">+RANDBETWEEN(-1,3)</f>
        <v>1</v>
      </c>
      <c r="AB18" s="22" t="s">
        <v>20</v>
      </c>
      <c r="AC18" s="24"/>
    </row>
    <row r="19" spans="1:32" ht="30" customHeight="1" x14ac:dyDescent="0.3">
      <c r="C19" s="23" t="s">
        <v>34</v>
      </c>
      <c r="D19" s="26">
        <v>2</v>
      </c>
      <c r="E19" s="26">
        <f ca="1">+RANDBETWEEN(0,4)</f>
        <v>2</v>
      </c>
      <c r="F19" s="26">
        <f t="shared" ca="1" si="9"/>
        <v>-1</v>
      </c>
      <c r="G19" s="26">
        <f t="shared" ca="1" si="9"/>
        <v>-1</v>
      </c>
      <c r="H19" s="26">
        <f t="shared" ca="1" si="9"/>
        <v>-1</v>
      </c>
      <c r="I19" s="42">
        <v>2100</v>
      </c>
      <c r="J19" s="50">
        <f t="shared" si="3"/>
        <v>329.00496170588235</v>
      </c>
      <c r="K19" s="51">
        <f>104379*(1000000)</f>
        <v>104379000000</v>
      </c>
      <c r="L19" s="51">
        <f>104379*(1000000)</f>
        <v>104379000000</v>
      </c>
      <c r="M19" s="50">
        <f>16183*(1000000)</f>
        <v>16183000000</v>
      </c>
      <c r="N19" s="50">
        <f>16852*(1000000)</f>
        <v>16852000000</v>
      </c>
      <c r="O19" s="50">
        <f>22372.337396*(1000000)</f>
        <v>22372337396</v>
      </c>
      <c r="P19" s="50">
        <f>22372.337396*(1000000)</f>
        <v>22372337396</v>
      </c>
      <c r="Q19" s="50">
        <f>16852*(1000000)</f>
        <v>16852000000</v>
      </c>
      <c r="R19" s="21">
        <f t="shared" si="8"/>
        <v>-3.9698552100640876E-2</v>
      </c>
      <c r="S19" s="42">
        <v>68000000</v>
      </c>
      <c r="T19" s="256">
        <v>287.88</v>
      </c>
      <c r="U19" s="50">
        <f t="shared" si="4"/>
        <v>6.3828824620502784</v>
      </c>
      <c r="V19" s="21">
        <f>+T19/I19</f>
        <v>0.13708571428571428</v>
      </c>
      <c r="W19" s="74">
        <f>+T19/I19</f>
        <v>0.13708571428571428</v>
      </c>
      <c r="X19" s="21">
        <f>IF(L19="","",M19/L19)</f>
        <v>0.15504076490481802</v>
      </c>
      <c r="Y19" s="22">
        <v>5000</v>
      </c>
      <c r="Z19" s="27">
        <v>2660</v>
      </c>
      <c r="AA19" s="27">
        <f ca="1">+RANDBETWEEN(-1,3)</f>
        <v>2</v>
      </c>
      <c r="AB19" s="22" t="s">
        <v>22</v>
      </c>
      <c r="AC19" s="24"/>
    </row>
    <row r="20" spans="1:32" ht="30" customHeight="1" x14ac:dyDescent="0.3">
      <c r="C20" s="23" t="s">
        <v>117</v>
      </c>
      <c r="D20" s="26">
        <v>3</v>
      </c>
      <c r="E20" s="26">
        <f ca="1">+RANDBETWEEN(0,4)</f>
        <v>3</v>
      </c>
      <c r="F20" s="26">
        <f t="shared" ca="1" si="9"/>
        <v>0</v>
      </c>
      <c r="G20" s="26">
        <f t="shared" ca="1" si="9"/>
        <v>-1</v>
      </c>
      <c r="H20" s="26">
        <f t="shared" ca="1" si="9"/>
        <v>1</v>
      </c>
      <c r="I20" s="42">
        <v>10890</v>
      </c>
      <c r="J20" s="50">
        <f>+IF(P20="","",P20/S20)</f>
        <v>1028.1745719617657</v>
      </c>
      <c r="K20" s="51">
        <f>753200*(1000000)</f>
        <v>753200000000</v>
      </c>
      <c r="L20" s="399">
        <v>1016500000000</v>
      </c>
      <c r="M20" s="50">
        <f>86000*(1000000)</f>
        <v>86000000000</v>
      </c>
      <c r="N20" s="50">
        <f>106600*(1000000)</f>
        <v>106600000000</v>
      </c>
      <c r="O20" s="50">
        <f>153485*(1000000)</f>
        <v>153485000000</v>
      </c>
      <c r="P20" s="50">
        <v>154900000000</v>
      </c>
      <c r="Q20" s="50">
        <f>106600*(1000000)</f>
        <v>106600000000</v>
      </c>
      <c r="R20" s="398">
        <f>IF(P20="","",+(P20-O20)/O20)</f>
        <v>9.2191419356940415E-3</v>
      </c>
      <c r="S20" s="42">
        <v>150655350</v>
      </c>
      <c r="T20" s="396">
        <v>780</v>
      </c>
      <c r="U20" s="50">
        <f>IF(J20="","",IF(J20&lt;=0,"",I20/J20))</f>
        <v>10.591586581665592</v>
      </c>
      <c r="V20" s="21">
        <f>+T20/I20</f>
        <v>7.1625344352617082E-2</v>
      </c>
      <c r="W20" s="74">
        <f t="shared" ref="W20:W22" si="10">+T20/I20</f>
        <v>7.1625344352617082E-2</v>
      </c>
      <c r="X20" s="21">
        <f>IF(L20="","",P20/L20)</f>
        <v>0.15238563698967045</v>
      </c>
      <c r="Y20" s="22"/>
      <c r="Z20" s="27">
        <v>10800</v>
      </c>
      <c r="AA20" s="27"/>
      <c r="AB20" s="22"/>
      <c r="AC20" s="24"/>
    </row>
    <row r="21" spans="1:32" ht="30" customHeight="1" x14ac:dyDescent="0.3">
      <c r="C21" s="23" t="s">
        <v>35</v>
      </c>
      <c r="D21" s="26">
        <v>3</v>
      </c>
      <c r="E21" s="26">
        <f ca="1">+RANDBETWEEN(0,4)</f>
        <v>1</v>
      </c>
      <c r="F21" s="26">
        <f t="shared" ca="1" si="9"/>
        <v>-1</v>
      </c>
      <c r="G21" s="26">
        <f t="shared" ca="1" si="9"/>
        <v>-1</v>
      </c>
      <c r="H21" s="26">
        <f t="shared" ca="1" si="9"/>
        <v>1</v>
      </c>
      <c r="I21" s="42">
        <v>4295</v>
      </c>
      <c r="J21" s="50">
        <f t="shared" si="3"/>
        <v>533.94633333333331</v>
      </c>
      <c r="K21" s="51">
        <f>120735*(1000000)</f>
        <v>120735000000</v>
      </c>
      <c r="L21" s="51">
        <f>120735*(1000000)</f>
        <v>120735000000</v>
      </c>
      <c r="M21" s="50">
        <f>2048*(1000000)</f>
        <v>2048000000</v>
      </c>
      <c r="N21" s="50">
        <f>3658*(1000000)</f>
        <v>3658000000</v>
      </c>
      <c r="O21" s="50">
        <f>4805.517*(1000000)</f>
        <v>4805517000</v>
      </c>
      <c r="P21" s="50">
        <f>4805.517*(1000000)</f>
        <v>4805517000</v>
      </c>
      <c r="Q21" s="50">
        <f>3658*(1000000)</f>
        <v>3658000000</v>
      </c>
      <c r="R21" s="21">
        <f t="shared" si="8"/>
        <v>-0.44013121924548931</v>
      </c>
      <c r="S21" s="42">
        <v>9000000</v>
      </c>
      <c r="T21" s="256">
        <v>450</v>
      </c>
      <c r="U21" s="50">
        <f t="shared" si="4"/>
        <v>8.0438795659239162</v>
      </c>
      <c r="V21" s="21">
        <f>+T21/I21</f>
        <v>0.10477299185098952</v>
      </c>
      <c r="W21" s="74">
        <f t="shared" si="10"/>
        <v>0.10477299185098952</v>
      </c>
      <c r="X21" s="21">
        <f t="shared" ref="X21" si="11">IF(L21="","",M21/L21)</f>
        <v>1.6962769702240445E-2</v>
      </c>
      <c r="Y21" s="22">
        <v>5400</v>
      </c>
      <c r="Z21" s="27">
        <v>5000</v>
      </c>
      <c r="AA21" s="27">
        <f ca="1">+RANDBETWEEN(-1,3)</f>
        <v>3</v>
      </c>
      <c r="AB21" s="22" t="s">
        <v>24</v>
      </c>
      <c r="AC21" s="24"/>
      <c r="AF21" t="s">
        <v>36</v>
      </c>
    </row>
    <row r="22" spans="1:32" ht="30" customHeight="1" x14ac:dyDescent="0.3">
      <c r="C22" s="23" t="s">
        <v>37</v>
      </c>
      <c r="D22" s="26">
        <v>4</v>
      </c>
      <c r="E22" s="26">
        <f ca="1">+RANDBETWEEN(0,4)</f>
        <v>0</v>
      </c>
      <c r="F22" s="26">
        <f t="shared" ca="1" si="9"/>
        <v>1</v>
      </c>
      <c r="G22" s="26">
        <f t="shared" ca="1" si="9"/>
        <v>-1</v>
      </c>
      <c r="H22" s="26">
        <f t="shared" ca="1" si="9"/>
        <v>2</v>
      </c>
      <c r="I22" s="42">
        <v>17900</v>
      </c>
      <c r="J22" s="50">
        <f t="shared" si="3"/>
        <v>3317.4832799999999</v>
      </c>
      <c r="K22" s="51">
        <f>1201500*(1000000)</f>
        <v>1201500000000</v>
      </c>
      <c r="L22" s="399">
        <v>1620700751000</v>
      </c>
      <c r="M22" s="50">
        <f>240600*(1000000)</f>
        <v>240600000000</v>
      </c>
      <c r="N22" s="50">
        <f>200300*(1000000)</f>
        <v>200300000000</v>
      </c>
      <c r="O22" s="50">
        <f>278912*(1000000)</f>
        <v>278912000000</v>
      </c>
      <c r="P22" s="50">
        <v>331748328000</v>
      </c>
      <c r="Q22" s="50">
        <f>200300*(1000000)</f>
        <v>200300000000</v>
      </c>
      <c r="R22" s="398">
        <f>IF(P22="","",+(P22-O22)/O22)</f>
        <v>0.18943727053694356</v>
      </c>
      <c r="S22" s="42">
        <v>100000000</v>
      </c>
      <c r="T22" s="396">
        <v>1575</v>
      </c>
      <c r="U22" s="50">
        <f t="shared" si="4"/>
        <v>5.3956564326678382</v>
      </c>
      <c r="V22" s="21">
        <f>+T22/I22</f>
        <v>8.7988826815642462E-2</v>
      </c>
      <c r="W22" s="74">
        <f t="shared" si="10"/>
        <v>8.7988826815642462E-2</v>
      </c>
      <c r="X22" s="21">
        <f>IF(L22="","",P22/L22)</f>
        <v>0.20469437543933119</v>
      </c>
      <c r="Y22" s="22">
        <v>16600</v>
      </c>
      <c r="Z22" s="27">
        <v>17450</v>
      </c>
      <c r="AA22" s="27">
        <f ca="1">+RANDBETWEEN(-1,3)</f>
        <v>-1</v>
      </c>
      <c r="AB22" s="22" t="s">
        <v>20</v>
      </c>
      <c r="AC22" s="24"/>
    </row>
    <row r="23" spans="1:32" ht="30" customHeight="1" x14ac:dyDescent="0.3">
      <c r="C23" s="25" t="s">
        <v>38</v>
      </c>
      <c r="D23" s="28"/>
      <c r="E23" s="29"/>
      <c r="F23" s="29"/>
      <c r="G23" s="29"/>
      <c r="H23" s="29"/>
      <c r="I23" s="53"/>
      <c r="J23" s="86"/>
      <c r="K23" s="86">
        <f t="shared" ref="K23:Q23" si="12">0*(1000000)</f>
        <v>0</v>
      </c>
      <c r="L23" s="86">
        <f t="shared" si="12"/>
        <v>0</v>
      </c>
      <c r="M23" s="86">
        <f t="shared" si="12"/>
        <v>0</v>
      </c>
      <c r="N23" s="86">
        <f t="shared" si="12"/>
        <v>0</v>
      </c>
      <c r="O23" s="86">
        <f t="shared" si="12"/>
        <v>0</v>
      </c>
      <c r="P23" s="86">
        <f t="shared" si="12"/>
        <v>0</v>
      </c>
      <c r="Q23" s="86">
        <f t="shared" si="12"/>
        <v>0</v>
      </c>
      <c r="R23" s="254"/>
      <c r="S23" s="53"/>
      <c r="T23" s="53"/>
      <c r="U23" s="52">
        <f>+AVERAGE(U24:U38)</f>
        <v>6.5041249042900819</v>
      </c>
      <c r="V23" s="30"/>
      <c r="W23" s="30"/>
      <c r="X23" s="30"/>
      <c r="Y23" s="30"/>
      <c r="Z23" s="30"/>
      <c r="AA23" s="30"/>
      <c r="AB23" s="43"/>
      <c r="AC23" s="24"/>
    </row>
    <row r="24" spans="1:32" ht="30" customHeight="1" x14ac:dyDescent="0.3">
      <c r="C24" s="18" t="s">
        <v>39</v>
      </c>
      <c r="D24" s="26">
        <v>0</v>
      </c>
      <c r="E24" s="26">
        <v>2</v>
      </c>
      <c r="F24" s="26">
        <f t="shared" ref="F24:H38" ca="1" si="13">+RANDBETWEEN(-1,2)</f>
        <v>1</v>
      </c>
      <c r="G24" s="26">
        <f t="shared" ca="1" si="13"/>
        <v>0</v>
      </c>
      <c r="H24" s="26">
        <f t="shared" ca="1" si="13"/>
        <v>-1</v>
      </c>
      <c r="I24" s="51">
        <v>7395</v>
      </c>
      <c r="J24" s="50">
        <f t="shared" si="3"/>
        <v>743.45985130802978</v>
      </c>
      <c r="K24" s="51">
        <f>40690*(1000000)</f>
        <v>40690000000</v>
      </c>
      <c r="L24" s="51">
        <f>40690*(1000000)</f>
        <v>40690000000</v>
      </c>
      <c r="M24" s="50">
        <f>12061*(1000000)</f>
        <v>12061000000</v>
      </c>
      <c r="N24" s="50">
        <f>9742*(1000000)</f>
        <v>9742000000</v>
      </c>
      <c r="O24" s="50">
        <f>12391*(1000000)</f>
        <v>12391000000</v>
      </c>
      <c r="P24" s="50">
        <f>12391*(1000000)</f>
        <v>12391000000</v>
      </c>
      <c r="Q24" s="50">
        <f>9742*(1000000)</f>
        <v>9742000000</v>
      </c>
      <c r="R24" s="21">
        <f t="shared" si="8"/>
        <v>0.23804146992404024</v>
      </c>
      <c r="S24" s="51">
        <v>16666670</v>
      </c>
      <c r="T24" s="112">
        <v>401.4</v>
      </c>
      <c r="U24" s="50">
        <f>IF(J24="","",IF(J24&lt;=0,"",I24/J24))</f>
        <v>9.946737523202323</v>
      </c>
      <c r="V24" s="21">
        <f t="shared" ref="V24:V38" si="14">+T24/I24</f>
        <v>5.427991886409736E-2</v>
      </c>
      <c r="W24" s="21">
        <f>+T24/I24</f>
        <v>5.427991886409736E-2</v>
      </c>
      <c r="X24" s="21">
        <f>IF(L24="","",M24/L24)</f>
        <v>0.29641189481445074</v>
      </c>
      <c r="Y24" s="22">
        <v>6710</v>
      </c>
      <c r="Z24" s="27">
        <v>6895</v>
      </c>
      <c r="AA24" s="27">
        <f t="shared" ref="AA24:AA34" ca="1" si="15">+RANDBETWEEN(-1,3)</f>
        <v>3</v>
      </c>
      <c r="AB24" s="22" t="s">
        <v>22</v>
      </c>
    </row>
    <row r="25" spans="1:32" ht="30" customHeight="1" x14ac:dyDescent="0.3">
      <c r="C25" s="23" t="s">
        <v>40</v>
      </c>
      <c r="D25" s="26">
        <v>1</v>
      </c>
      <c r="E25" s="26">
        <v>3</v>
      </c>
      <c r="F25" s="26">
        <f t="shared" ca="1" si="13"/>
        <v>2</v>
      </c>
      <c r="G25" s="26">
        <f t="shared" ca="1" si="13"/>
        <v>0</v>
      </c>
      <c r="H25" s="26">
        <f t="shared" ca="1" si="13"/>
        <v>1</v>
      </c>
      <c r="I25" s="42">
        <v>6355</v>
      </c>
      <c r="J25" s="50">
        <f t="shared" si="3"/>
        <v>943.91854485613885</v>
      </c>
      <c r="K25" s="51">
        <f>35505*(1000000)</f>
        <v>35505000000</v>
      </c>
      <c r="L25" s="51">
        <f>35505*(1000000)</f>
        <v>35505000000</v>
      </c>
      <c r="M25" s="50">
        <f>17018*(1000000)</f>
        <v>17018000000</v>
      </c>
      <c r="N25" s="50">
        <f>17189*(1000000)</f>
        <v>17189000000</v>
      </c>
      <c r="O25" s="50">
        <f>19143.162703*(1000000)</f>
        <v>19143162703</v>
      </c>
      <c r="P25" s="50">
        <f>19143.162703*(1000000)</f>
        <v>19143162703</v>
      </c>
      <c r="Q25" s="50">
        <f>17189*(1000000)</f>
        <v>17189000000</v>
      </c>
      <c r="R25" s="21">
        <f t="shared" si="8"/>
        <v>-9.9482227005643145E-3</v>
      </c>
      <c r="S25" s="42">
        <v>20280524</v>
      </c>
      <c r="T25" s="256">
        <v>627</v>
      </c>
      <c r="U25" s="50">
        <f t="shared" ref="U25:U38" si="16">IF(J25="","",IF(J25&lt;=0,"",I25/J25))</f>
        <v>6.7325724604431363</v>
      </c>
      <c r="V25" s="21">
        <f t="shared" si="14"/>
        <v>9.8662470495672699E-2</v>
      </c>
      <c r="W25" s="21">
        <f t="shared" ref="W25:W38" si="17">+T25/I25</f>
        <v>9.8662470495672699E-2</v>
      </c>
      <c r="X25" s="21">
        <f t="shared" ref="X25:X57" si="18">IF(L25="","",M25/L25)</f>
        <v>0.47931277284889451</v>
      </c>
      <c r="Y25" s="22">
        <v>6980</v>
      </c>
      <c r="Z25" s="27">
        <v>6430</v>
      </c>
      <c r="AA25" s="27">
        <f t="shared" ca="1" si="15"/>
        <v>2</v>
      </c>
      <c r="AB25" s="22" t="s">
        <v>24</v>
      </c>
      <c r="AC25" s="24"/>
    </row>
    <row r="26" spans="1:32" ht="30" customHeight="1" x14ac:dyDescent="0.3">
      <c r="C26" s="23" t="s">
        <v>41</v>
      </c>
      <c r="D26" s="26">
        <v>2</v>
      </c>
      <c r="E26" s="26">
        <v>4</v>
      </c>
      <c r="F26" s="26">
        <f t="shared" ca="1" si="13"/>
        <v>0</v>
      </c>
      <c r="G26" s="26">
        <f t="shared" ca="1" si="13"/>
        <v>0</v>
      </c>
      <c r="H26" s="26">
        <f t="shared" ca="1" si="13"/>
        <v>2</v>
      </c>
      <c r="I26" s="42">
        <v>7195</v>
      </c>
      <c r="J26" s="50">
        <f t="shared" si="3"/>
        <v>1321.0267970454545</v>
      </c>
      <c r="K26" s="51">
        <f>44930*(1000000)</f>
        <v>44930000000</v>
      </c>
      <c r="L26" s="51">
        <f>44930*(1000000)</f>
        <v>44930000000</v>
      </c>
      <c r="M26" s="50">
        <f>22299*(1000000)</f>
        <v>22299000000</v>
      </c>
      <c r="N26" s="50">
        <f>19046*(1000000)</f>
        <v>19046000000</v>
      </c>
      <c r="O26" s="50">
        <f>25476.935672*(1000000)</f>
        <v>25476935672</v>
      </c>
      <c r="P26" s="50">
        <v>29062589535</v>
      </c>
      <c r="Q26" s="50">
        <f>19046*(1000000)</f>
        <v>19046000000</v>
      </c>
      <c r="R26" s="398">
        <f>IF(P26="","",+(P26-O26)/O26)</f>
        <v>0.14074117504409106</v>
      </c>
      <c r="S26" s="42">
        <v>22000000</v>
      </c>
      <c r="T26" s="396">
        <v>702</v>
      </c>
      <c r="U26" s="50">
        <f t="shared" si="16"/>
        <v>5.4465208549077078</v>
      </c>
      <c r="V26" s="21">
        <f t="shared" si="14"/>
        <v>9.7567755385684504E-2</v>
      </c>
      <c r="W26" s="21">
        <f t="shared" si="17"/>
        <v>9.7567755385684504E-2</v>
      </c>
      <c r="X26" s="21">
        <f t="shared" si="18"/>
        <v>0.49630536389939905</v>
      </c>
      <c r="Y26" s="22">
        <v>6650</v>
      </c>
      <c r="Z26" s="27">
        <v>6830</v>
      </c>
      <c r="AA26" s="27">
        <f t="shared" ca="1" si="15"/>
        <v>3</v>
      </c>
      <c r="AB26" s="27" t="s">
        <v>18</v>
      </c>
      <c r="AC26" s="24"/>
    </row>
    <row r="27" spans="1:32" ht="30" customHeight="1" x14ac:dyDescent="0.3">
      <c r="A27">
        <f>J27*1000000</f>
        <v>1003450000</v>
      </c>
      <c r="C27" s="23" t="s">
        <v>42</v>
      </c>
      <c r="D27" s="26">
        <v>3</v>
      </c>
      <c r="E27" s="26">
        <v>0</v>
      </c>
      <c r="F27" s="26">
        <f t="shared" ca="1" si="13"/>
        <v>1</v>
      </c>
      <c r="G27" s="26">
        <f t="shared" ca="1" si="13"/>
        <v>1</v>
      </c>
      <c r="H27" s="26">
        <f t="shared" ca="1" si="13"/>
        <v>2</v>
      </c>
      <c r="I27" s="42">
        <v>7250</v>
      </c>
      <c r="J27" s="50">
        <f t="shared" si="3"/>
        <v>1003.45</v>
      </c>
      <c r="K27" s="51">
        <f>46003*(1000000)</f>
        <v>46003000000</v>
      </c>
      <c r="L27" s="51">
        <f>46003*(1000000)</f>
        <v>46003000000</v>
      </c>
      <c r="M27" s="50">
        <f>25058*(1000000)</f>
        <v>25058000000</v>
      </c>
      <c r="N27" s="50">
        <f>15134*(1000000)</f>
        <v>15134000000</v>
      </c>
      <c r="O27" s="50">
        <f>20069*(1000000)</f>
        <v>20069000000</v>
      </c>
      <c r="P27" s="50">
        <f>20069*(1000000)</f>
        <v>20069000000</v>
      </c>
      <c r="Q27" s="50">
        <f>15134*(1000000)</f>
        <v>15134000000</v>
      </c>
      <c r="R27" s="21">
        <f t="shared" si="8"/>
        <v>0.65574203779569185</v>
      </c>
      <c r="S27" s="42">
        <v>20000000</v>
      </c>
      <c r="T27" s="256">
        <v>540</v>
      </c>
      <c r="U27" s="50">
        <f t="shared" si="16"/>
        <v>7.2250734964372914</v>
      </c>
      <c r="V27" s="21">
        <f t="shared" si="14"/>
        <v>7.4482758620689649E-2</v>
      </c>
      <c r="W27" s="21">
        <f t="shared" si="17"/>
        <v>7.4482758620689649E-2</v>
      </c>
      <c r="X27" s="21">
        <f t="shared" si="18"/>
        <v>0.54470360628654657</v>
      </c>
      <c r="Y27" s="22">
        <v>5990</v>
      </c>
      <c r="Z27" s="27">
        <v>6950</v>
      </c>
      <c r="AA27" s="27">
        <f t="shared" ca="1" si="15"/>
        <v>1</v>
      </c>
      <c r="AB27" s="22" t="s">
        <v>20</v>
      </c>
      <c r="AC27" s="24"/>
    </row>
    <row r="28" spans="1:32" ht="30" customHeight="1" x14ac:dyDescent="0.3">
      <c r="B28" t="s">
        <v>82</v>
      </c>
      <c r="C28" s="23" t="s">
        <v>43</v>
      </c>
      <c r="D28" s="26">
        <v>4</v>
      </c>
      <c r="E28" s="26">
        <v>1</v>
      </c>
      <c r="F28" s="26">
        <f t="shared" ca="1" si="13"/>
        <v>2</v>
      </c>
      <c r="G28" s="26">
        <f t="shared" ca="1" si="13"/>
        <v>1</v>
      </c>
      <c r="H28" s="26">
        <f t="shared" ca="1" si="13"/>
        <v>0</v>
      </c>
      <c r="I28" s="42">
        <v>1495</v>
      </c>
      <c r="J28" s="50">
        <f t="shared" si="3"/>
        <v>159.25420588996764</v>
      </c>
      <c r="K28" s="51">
        <f>26705*(1000000)</f>
        <v>26705000000</v>
      </c>
      <c r="L28" s="51">
        <f>26705*(1000000)</f>
        <v>26705000000</v>
      </c>
      <c r="M28" s="50">
        <f>3753*(1000000)</f>
        <v>3753000000</v>
      </c>
      <c r="N28" s="50">
        <f>2898*(1000000)</f>
        <v>2898000000</v>
      </c>
      <c r="O28" s="50">
        <f>2460.477481*(1000000)</f>
        <v>2460477481</v>
      </c>
      <c r="P28" s="50">
        <f>2460.477481*(1000000)</f>
        <v>2460477481</v>
      </c>
      <c r="Q28" s="50">
        <f>2898*(1000000)</f>
        <v>2898000000</v>
      </c>
      <c r="R28" s="21">
        <f t="shared" si="8"/>
        <v>0.29503105590062112</v>
      </c>
      <c r="S28" s="42">
        <v>15450000</v>
      </c>
      <c r="T28" s="256">
        <v>271</v>
      </c>
      <c r="U28" s="50">
        <f>IF(J28="","",IF(J28&lt;=0,"",I28/J28))</f>
        <v>9.387507172230853</v>
      </c>
      <c r="V28" s="21">
        <f t="shared" si="14"/>
        <v>0.18127090301003346</v>
      </c>
      <c r="W28" s="21">
        <f t="shared" si="17"/>
        <v>0.18127090301003346</v>
      </c>
      <c r="X28" s="21">
        <f t="shared" si="18"/>
        <v>0.14053548024714474</v>
      </c>
      <c r="Y28" s="22">
        <v>2000</v>
      </c>
      <c r="Z28" s="27">
        <v>1465</v>
      </c>
      <c r="AA28" s="27">
        <f t="shared" ca="1" si="15"/>
        <v>-1</v>
      </c>
      <c r="AB28" s="22" t="s">
        <v>22</v>
      </c>
      <c r="AC28" s="24"/>
    </row>
    <row r="29" spans="1:32" ht="30" customHeight="1" x14ac:dyDescent="0.3">
      <c r="C29" s="23" t="s">
        <v>44</v>
      </c>
      <c r="D29" s="26">
        <f t="shared" ref="D29:E38" ca="1" si="19">+RANDBETWEEN(0,4)</f>
        <v>1</v>
      </c>
      <c r="E29" s="26">
        <f t="shared" ca="1" si="19"/>
        <v>3</v>
      </c>
      <c r="F29" s="26">
        <f t="shared" ca="1" si="13"/>
        <v>0</v>
      </c>
      <c r="G29" s="26">
        <f t="shared" ca="1" si="13"/>
        <v>0</v>
      </c>
      <c r="H29" s="26">
        <f t="shared" ca="1" si="13"/>
        <v>-1</v>
      </c>
      <c r="I29" s="42">
        <v>5800</v>
      </c>
      <c r="J29" s="50">
        <f t="shared" si="3"/>
        <v>775.13307692307694</v>
      </c>
      <c r="K29" s="51">
        <f>24623.85*(1000000)</f>
        <v>24623850000</v>
      </c>
      <c r="L29" s="51">
        <f>24623.85*(1000000)</f>
        <v>24623850000</v>
      </c>
      <c r="M29" s="50">
        <f>10134.09*(1000000)</f>
        <v>10134090000</v>
      </c>
      <c r="N29" s="50">
        <f>7561.75*(1000000)</f>
        <v>7561750000</v>
      </c>
      <c r="O29" s="50">
        <f>10134.089251*(1000000)</f>
        <v>10134089251</v>
      </c>
      <c r="P29" s="50">
        <v>10076730000</v>
      </c>
      <c r="Q29" s="50">
        <f>7561.75*(1000000)</f>
        <v>7561750000</v>
      </c>
      <c r="R29" s="398">
        <f>IF(P29="","",+(P29-O29)/O29)</f>
        <v>-5.6600301792625292E-3</v>
      </c>
      <c r="S29" s="42">
        <v>13000000</v>
      </c>
      <c r="T29" s="256">
        <v>613.79999999999995</v>
      </c>
      <c r="U29" s="50">
        <f t="shared" si="16"/>
        <v>7.4825861167263588</v>
      </c>
      <c r="V29" s="21">
        <f t="shared" si="14"/>
        <v>0.10582758620689654</v>
      </c>
      <c r="W29" s="21">
        <f t="shared" si="17"/>
        <v>0.10582758620689654</v>
      </c>
      <c r="X29" s="21">
        <f t="shared" si="18"/>
        <v>0.41155586961421547</v>
      </c>
      <c r="Y29" s="22">
        <v>7300</v>
      </c>
      <c r="Z29" s="27">
        <v>5505</v>
      </c>
      <c r="AA29" s="27">
        <f t="shared" ca="1" si="15"/>
        <v>0</v>
      </c>
      <c r="AB29" s="22" t="s">
        <v>22</v>
      </c>
      <c r="AC29" s="24"/>
    </row>
    <row r="30" spans="1:32" ht="30" customHeight="1" x14ac:dyDescent="0.3">
      <c r="C30" s="23" t="s">
        <v>45</v>
      </c>
      <c r="D30" s="26">
        <f t="shared" ca="1" si="19"/>
        <v>4</v>
      </c>
      <c r="E30" s="26">
        <f t="shared" ca="1" si="19"/>
        <v>4</v>
      </c>
      <c r="F30" s="26">
        <f t="shared" ca="1" si="13"/>
        <v>0</v>
      </c>
      <c r="G30" s="26">
        <f t="shared" ca="1" si="13"/>
        <v>0</v>
      </c>
      <c r="H30" s="26">
        <f t="shared" ca="1" si="13"/>
        <v>2</v>
      </c>
      <c r="I30" s="42">
        <v>3195</v>
      </c>
      <c r="J30" s="50">
        <f t="shared" si="3"/>
        <v>649.20833333333337</v>
      </c>
      <c r="K30" s="51">
        <f>33486*(1000000)</f>
        <v>33486000000</v>
      </c>
      <c r="L30" s="51">
        <f>33486*(1000000)</f>
        <v>33486000000</v>
      </c>
      <c r="M30" s="50">
        <f>12888*(1000000)</f>
        <v>12888000000</v>
      </c>
      <c r="N30" s="50">
        <f>10923*(1000000)</f>
        <v>10923000000</v>
      </c>
      <c r="O30" s="50">
        <f>15581*(1000000)</f>
        <v>15581000000</v>
      </c>
      <c r="P30" s="50">
        <f>15581*(1000000)</f>
        <v>15581000000</v>
      </c>
      <c r="Q30" s="50">
        <f>10923*(1000000)</f>
        <v>10923000000</v>
      </c>
      <c r="R30" s="21">
        <f t="shared" si="8"/>
        <v>0.17989563306783851</v>
      </c>
      <c r="S30" s="42">
        <v>24000000</v>
      </c>
      <c r="T30" s="256">
        <v>187.5</v>
      </c>
      <c r="U30" s="50">
        <f t="shared" si="16"/>
        <v>4.9213786021436361</v>
      </c>
      <c r="V30" s="21">
        <f t="shared" si="14"/>
        <v>5.8685446009389672E-2</v>
      </c>
      <c r="W30" s="21">
        <f t="shared" si="17"/>
        <v>5.8685446009389672E-2</v>
      </c>
      <c r="X30" s="21">
        <f t="shared" si="18"/>
        <v>0.38487726213940154</v>
      </c>
      <c r="Y30" s="22">
        <v>3000</v>
      </c>
      <c r="Z30" s="27">
        <v>3260</v>
      </c>
      <c r="AA30" s="27">
        <f t="shared" ca="1" si="15"/>
        <v>-1</v>
      </c>
      <c r="AB30" s="22" t="s">
        <v>24</v>
      </c>
      <c r="AC30" s="24"/>
    </row>
    <row r="31" spans="1:32" ht="30" customHeight="1" x14ac:dyDescent="0.3">
      <c r="C31" s="23" t="s">
        <v>46</v>
      </c>
      <c r="D31" s="26">
        <f t="shared" ca="1" si="19"/>
        <v>0</v>
      </c>
      <c r="E31" s="26">
        <f t="shared" ca="1" si="19"/>
        <v>1</v>
      </c>
      <c r="F31" s="26">
        <f t="shared" ca="1" si="13"/>
        <v>1</v>
      </c>
      <c r="G31" s="26">
        <f t="shared" ca="1" si="13"/>
        <v>2</v>
      </c>
      <c r="H31" s="26">
        <f t="shared" ca="1" si="13"/>
        <v>-1</v>
      </c>
      <c r="I31" s="42">
        <v>8800</v>
      </c>
      <c r="J31" s="50">
        <f t="shared" si="3"/>
        <v>1764.9375</v>
      </c>
      <c r="K31" s="51">
        <f>91764*(1000000)</f>
        <v>91764000000</v>
      </c>
      <c r="L31" s="51">
        <f>91764*(1000000)</f>
        <v>91764000000</v>
      </c>
      <c r="M31" s="50">
        <f>48912*(1000000)</f>
        <v>48912000000</v>
      </c>
      <c r="N31" s="50">
        <f>43176*(1000000)</f>
        <v>43176000000</v>
      </c>
      <c r="O31" s="50">
        <f>56478*(1000000)</f>
        <v>56478000000</v>
      </c>
      <c r="P31" s="50">
        <f>56478*(1000000)</f>
        <v>56478000000</v>
      </c>
      <c r="Q31" s="50">
        <f>43176*(1000000)</f>
        <v>43176000000</v>
      </c>
      <c r="R31" s="21">
        <f t="shared" si="8"/>
        <v>0.13285158421345192</v>
      </c>
      <c r="S31" s="42">
        <v>32000000</v>
      </c>
      <c r="T31" s="256">
        <v>525</v>
      </c>
      <c r="U31" s="50">
        <f t="shared" si="16"/>
        <v>4.9860122525585187</v>
      </c>
      <c r="V31" s="21">
        <f t="shared" si="14"/>
        <v>5.9659090909090912E-2</v>
      </c>
      <c r="W31" s="21">
        <f t="shared" si="17"/>
        <v>5.9659090909090912E-2</v>
      </c>
      <c r="X31" s="21">
        <f t="shared" si="18"/>
        <v>0.53301948476526739</v>
      </c>
      <c r="Y31" s="22">
        <v>11000</v>
      </c>
      <c r="Z31" s="27">
        <v>8400</v>
      </c>
      <c r="AA31" s="27">
        <f t="shared" ca="1" si="15"/>
        <v>3</v>
      </c>
      <c r="AB31" s="22" t="s">
        <v>20</v>
      </c>
      <c r="AC31" s="24"/>
    </row>
    <row r="32" spans="1:32" ht="30" customHeight="1" x14ac:dyDescent="0.3">
      <c r="C32" s="23" t="s">
        <v>47</v>
      </c>
      <c r="D32" s="26">
        <f t="shared" ca="1" si="19"/>
        <v>1</v>
      </c>
      <c r="E32" s="26">
        <f t="shared" ca="1" si="19"/>
        <v>4</v>
      </c>
      <c r="F32" s="26">
        <f t="shared" ca="1" si="13"/>
        <v>2</v>
      </c>
      <c r="G32" s="26">
        <f t="shared" ca="1" si="13"/>
        <v>0</v>
      </c>
      <c r="H32" s="26">
        <f t="shared" ca="1" si="13"/>
        <v>2</v>
      </c>
      <c r="I32" s="42">
        <v>6780</v>
      </c>
      <c r="J32" s="50">
        <f t="shared" si="3"/>
        <v>810.12741005547628</v>
      </c>
      <c r="K32" s="51">
        <f>79715*(1000000)</f>
        <v>79715000000</v>
      </c>
      <c r="L32" s="51">
        <f>79715*(1000000)</f>
        <v>79715000000</v>
      </c>
      <c r="M32" s="50">
        <f>36296*(1000000)</f>
        <v>36296000000</v>
      </c>
      <c r="N32" s="50">
        <f>28386*(1000000)</f>
        <v>28386000000</v>
      </c>
      <c r="O32" s="50">
        <f>44598*(1000000)</f>
        <v>44598000000</v>
      </c>
      <c r="P32" s="50">
        <f>44598*(1000000)</f>
        <v>44598000000</v>
      </c>
      <c r="Q32" s="50">
        <f>28386*(1000000)</f>
        <v>28386000000</v>
      </c>
      <c r="R32" s="21">
        <f t="shared" si="8"/>
        <v>0.27865849362361728</v>
      </c>
      <c r="S32" s="42">
        <v>55050600</v>
      </c>
      <c r="T32" s="256">
        <v>549</v>
      </c>
      <c r="U32" s="50">
        <f t="shared" si="16"/>
        <v>8.3690539486075597</v>
      </c>
      <c r="V32" s="21">
        <f t="shared" si="14"/>
        <v>8.0973451327433624E-2</v>
      </c>
      <c r="W32" s="21">
        <f t="shared" si="17"/>
        <v>8.0973451327433624E-2</v>
      </c>
      <c r="X32" s="21">
        <f t="shared" si="18"/>
        <v>0.45532208492755444</v>
      </c>
      <c r="Y32" s="22">
        <v>5500</v>
      </c>
      <c r="Z32" s="27">
        <v>6920</v>
      </c>
      <c r="AA32" s="27">
        <f t="shared" ca="1" si="15"/>
        <v>-1</v>
      </c>
      <c r="AB32" s="22" t="s">
        <v>22</v>
      </c>
      <c r="AC32" s="24"/>
    </row>
    <row r="33" spans="3:29" ht="30" customHeight="1" x14ac:dyDescent="0.3">
      <c r="C33" s="23" t="s">
        <v>48</v>
      </c>
      <c r="D33" s="26">
        <f t="shared" ca="1" si="19"/>
        <v>1</v>
      </c>
      <c r="E33" s="26">
        <f t="shared" ca="1" si="19"/>
        <v>0</v>
      </c>
      <c r="F33" s="26">
        <f t="shared" ca="1" si="13"/>
        <v>-1</v>
      </c>
      <c r="G33" s="26">
        <f t="shared" ca="1" si="13"/>
        <v>0</v>
      </c>
      <c r="H33" s="26">
        <f t="shared" ca="1" si="13"/>
        <v>1</v>
      </c>
      <c r="I33" s="42">
        <v>18</v>
      </c>
      <c r="J33" s="50">
        <f t="shared" si="3"/>
        <v>12.649228602578249</v>
      </c>
      <c r="K33" s="51">
        <f>919328*(1000000)</f>
        <v>919328000000</v>
      </c>
      <c r="L33" s="51">
        <f>919328*(1000000)</f>
        <v>919328000000</v>
      </c>
      <c r="M33" s="50">
        <f>190097*(1000000)</f>
        <v>190097000000</v>
      </c>
      <c r="N33" s="50">
        <f>172184*(1000000)</f>
        <v>172184000000</v>
      </c>
      <c r="O33" s="50">
        <f>228750*(1000000)</f>
        <v>228750000000</v>
      </c>
      <c r="P33" s="50">
        <f>228750*(1000000)</f>
        <v>228750000000</v>
      </c>
      <c r="Q33" s="50">
        <f>172184*(1000000)</f>
        <v>172184000000</v>
      </c>
      <c r="R33" s="21">
        <f t="shared" si="8"/>
        <v>0.10403405659062398</v>
      </c>
      <c r="S33" s="42">
        <v>18084106722</v>
      </c>
      <c r="T33" s="256">
        <v>0.6</v>
      </c>
      <c r="U33" s="50">
        <f t="shared" si="16"/>
        <v>1.4230116764852461</v>
      </c>
      <c r="V33" s="21">
        <f t="shared" si="14"/>
        <v>3.3333333333333333E-2</v>
      </c>
      <c r="W33" s="21">
        <f t="shared" si="17"/>
        <v>3.3333333333333333E-2</v>
      </c>
      <c r="X33" s="21">
        <f t="shared" si="18"/>
        <v>0.20677821191130913</v>
      </c>
      <c r="Y33" s="22">
        <v>26</v>
      </c>
      <c r="Z33" s="27">
        <v>19</v>
      </c>
      <c r="AA33" s="27">
        <f t="shared" ca="1" si="15"/>
        <v>-1</v>
      </c>
      <c r="AB33" s="22" t="s">
        <v>24</v>
      </c>
      <c r="AC33" s="24"/>
    </row>
    <row r="34" spans="3:29" ht="30" customHeight="1" x14ac:dyDescent="0.3">
      <c r="C34" s="23" t="s">
        <v>49</v>
      </c>
      <c r="D34" s="26">
        <f t="shared" ca="1" si="19"/>
        <v>2</v>
      </c>
      <c r="E34" s="26">
        <f t="shared" ca="1" si="19"/>
        <v>1</v>
      </c>
      <c r="F34" s="26">
        <f t="shared" ca="1" si="13"/>
        <v>1</v>
      </c>
      <c r="G34" s="26">
        <f t="shared" ca="1" si="13"/>
        <v>1</v>
      </c>
      <c r="H34" s="26">
        <f t="shared" ca="1" si="13"/>
        <v>-1</v>
      </c>
      <c r="I34" s="42">
        <v>5600</v>
      </c>
      <c r="J34" s="50">
        <f t="shared" si="3"/>
        <v>1309.1797181693703</v>
      </c>
      <c r="K34" s="51">
        <f>56843*(1000000)</f>
        <v>56843000000</v>
      </c>
      <c r="L34" s="51">
        <f>56843*(1000000)</f>
        <v>56843000000</v>
      </c>
      <c r="M34" s="50">
        <f>18346*(1000000)</f>
        <v>18346000000</v>
      </c>
      <c r="N34" s="50">
        <f>15100*(1000000)</f>
        <v>15100000000</v>
      </c>
      <c r="O34" s="50">
        <f>32382*(1000000)</f>
        <v>32382000000</v>
      </c>
      <c r="P34" s="50">
        <f>32382*(1000000)</f>
        <v>32382000000</v>
      </c>
      <c r="Q34" s="50">
        <f>15100*(1000000)</f>
        <v>15100000000</v>
      </c>
      <c r="R34" s="21">
        <f t="shared" si="8"/>
        <v>0.21496688741721853</v>
      </c>
      <c r="S34" s="42">
        <v>24734572</v>
      </c>
      <c r="T34" s="42">
        <v>363.6</v>
      </c>
      <c r="U34" s="50">
        <f t="shared" si="16"/>
        <v>4.2774875918720277</v>
      </c>
      <c r="V34" s="21">
        <f t="shared" si="14"/>
        <v>6.4928571428571433E-2</v>
      </c>
      <c r="W34" s="21">
        <f t="shared" si="17"/>
        <v>6.4928571428571433E-2</v>
      </c>
      <c r="X34" s="21">
        <f t="shared" si="18"/>
        <v>0.32274862340129834</v>
      </c>
      <c r="Y34" s="22">
        <v>6000</v>
      </c>
      <c r="Z34" s="27">
        <v>6045</v>
      </c>
      <c r="AA34" s="27">
        <f t="shared" ca="1" si="15"/>
        <v>0</v>
      </c>
      <c r="AB34" s="27" t="s">
        <v>18</v>
      </c>
      <c r="AC34" s="24"/>
    </row>
    <row r="35" spans="3:29" ht="30" customHeight="1" x14ac:dyDescent="0.3">
      <c r="C35" s="23" t="s">
        <v>50</v>
      </c>
      <c r="D35" s="26">
        <f t="shared" ca="1" si="19"/>
        <v>2</v>
      </c>
      <c r="E35" s="26">
        <f t="shared" ca="1" si="19"/>
        <v>1</v>
      </c>
      <c r="F35" s="26">
        <f t="shared" ca="1" si="13"/>
        <v>1</v>
      </c>
      <c r="G35" s="26">
        <f t="shared" ca="1" si="13"/>
        <v>-1</v>
      </c>
      <c r="H35" s="26">
        <f t="shared" ca="1" si="13"/>
        <v>1</v>
      </c>
      <c r="I35" s="42">
        <v>2220</v>
      </c>
      <c r="J35" s="50">
        <f t="shared" si="3"/>
        <v>276.58274761845166</v>
      </c>
      <c r="K35" s="51">
        <f>171620*(1000000)</f>
        <v>171620000000</v>
      </c>
      <c r="L35" s="51">
        <f>171620*(1000000)</f>
        <v>171620000000</v>
      </c>
      <c r="M35" s="50">
        <f>-27379*(1000000)</f>
        <v>-27379000000</v>
      </c>
      <c r="N35" s="50">
        <f>14761*(1000000)</f>
        <v>14761000000</v>
      </c>
      <c r="O35" s="50">
        <f>19199*(1000000)</f>
        <v>19199000000</v>
      </c>
      <c r="P35" s="50">
        <f>19199*(1000000)</f>
        <v>19199000000</v>
      </c>
      <c r="Q35" s="50">
        <f>14761*(1000000)</f>
        <v>14761000000</v>
      </c>
      <c r="R35" s="21">
        <f t="shared" si="8"/>
        <v>-2.8548201341372534</v>
      </c>
      <c r="S35" s="42">
        <v>69415031</v>
      </c>
      <c r="T35" s="42">
        <v>59.52</v>
      </c>
      <c r="U35" s="50">
        <f t="shared" si="16"/>
        <v>8.0265310078649943</v>
      </c>
      <c r="V35" s="21">
        <f t="shared" si="14"/>
        <v>2.6810810810810812E-2</v>
      </c>
      <c r="W35" s="21">
        <f t="shared" si="17"/>
        <v>2.6810810810810812E-2</v>
      </c>
      <c r="X35" s="21">
        <f t="shared" si="18"/>
        <v>-0.15953268849784408</v>
      </c>
      <c r="Y35" s="22">
        <v>4250</v>
      </c>
      <c r="Z35" s="27">
        <v>2690</v>
      </c>
      <c r="AA35" s="27"/>
      <c r="AB35" s="27"/>
      <c r="AC35" s="24"/>
    </row>
    <row r="36" spans="3:29" ht="30" customHeight="1" x14ac:dyDescent="0.3">
      <c r="C36" s="23" t="s">
        <v>51</v>
      </c>
      <c r="D36" s="26">
        <f t="shared" ca="1" si="19"/>
        <v>1</v>
      </c>
      <c r="E36" s="26">
        <f t="shared" ca="1" si="19"/>
        <v>0</v>
      </c>
      <c r="F36" s="26">
        <f t="shared" ca="1" si="13"/>
        <v>0</v>
      </c>
      <c r="G36" s="26">
        <f t="shared" ca="1" si="13"/>
        <v>0</v>
      </c>
      <c r="H36" s="26">
        <f t="shared" ca="1" si="13"/>
        <v>1</v>
      </c>
      <c r="I36" s="42">
        <v>1095</v>
      </c>
      <c r="J36" s="50">
        <f t="shared" si="3"/>
        <v>-28.941777764093722</v>
      </c>
      <c r="K36" s="51">
        <f>2424*(1000000)</f>
        <v>2424000000</v>
      </c>
      <c r="L36" s="51">
        <f>2424*(1000000)</f>
        <v>2424000000</v>
      </c>
      <c r="M36" s="50">
        <f>-351*(1000000)</f>
        <v>-351000000</v>
      </c>
      <c r="N36" s="50">
        <f>-152*(1000000)</f>
        <v>-152000000</v>
      </c>
      <c r="O36" s="50">
        <f>-235*(1000000)</f>
        <v>-235000000</v>
      </c>
      <c r="P36" s="50">
        <f>-235*(1000000)</f>
        <v>-235000000</v>
      </c>
      <c r="Q36" s="50">
        <f>-152*(1000000)</f>
        <v>-152000000</v>
      </c>
      <c r="R36" s="21">
        <f t="shared" si="8"/>
        <v>1.3092105263157894</v>
      </c>
      <c r="S36" s="42">
        <v>8119750</v>
      </c>
      <c r="T36" s="42">
        <v>23.04</v>
      </c>
      <c r="U36" s="50" t="str">
        <f t="shared" si="16"/>
        <v/>
      </c>
      <c r="V36" s="21">
        <f t="shared" si="14"/>
        <v>2.1041095890410959E-2</v>
      </c>
      <c r="W36" s="21">
        <f t="shared" si="17"/>
        <v>2.1041095890410959E-2</v>
      </c>
      <c r="X36" s="21">
        <f t="shared" si="18"/>
        <v>-0.14480198019801979</v>
      </c>
      <c r="Y36" s="22">
        <v>2285</v>
      </c>
      <c r="Z36" s="27">
        <v>1090</v>
      </c>
      <c r="AA36" s="27">
        <f ca="1">+RANDBETWEEN(-1,3)</f>
        <v>3</v>
      </c>
      <c r="AB36" s="22" t="s">
        <v>20</v>
      </c>
    </row>
    <row r="37" spans="3:29" ht="30" customHeight="1" x14ac:dyDescent="0.3">
      <c r="C37" s="23" t="s">
        <v>52</v>
      </c>
      <c r="D37" s="26">
        <f t="shared" ca="1" si="19"/>
        <v>3</v>
      </c>
      <c r="E37" s="26">
        <f t="shared" ca="1" si="19"/>
        <v>0</v>
      </c>
      <c r="F37" s="26">
        <f t="shared" ca="1" si="13"/>
        <v>-1</v>
      </c>
      <c r="G37" s="26">
        <f t="shared" ca="1" si="13"/>
        <v>2</v>
      </c>
      <c r="H37" s="26">
        <f t="shared" ca="1" si="13"/>
        <v>0</v>
      </c>
      <c r="I37" s="42">
        <v>17500</v>
      </c>
      <c r="J37" s="50">
        <f>+IF(P37="","",P37/S37)</f>
        <v>3125.2501116160756</v>
      </c>
      <c r="K37" s="51">
        <f>185297*(1000000)</f>
        <v>185297000000</v>
      </c>
      <c r="L37" s="399">
        <v>253286000000</v>
      </c>
      <c r="M37" s="50">
        <f>66696*(1000000)</f>
        <v>66696000000</v>
      </c>
      <c r="N37" s="50">
        <f>47084*(1000000)</f>
        <v>47084000000</v>
      </c>
      <c r="O37" s="50">
        <f>97230*(1000000)</f>
        <v>97230000000</v>
      </c>
      <c r="P37" s="397">
        <f>97230*(1000000)</f>
        <v>97230000000</v>
      </c>
      <c r="Q37" s="50">
        <f>47084*(1000000)</f>
        <v>47084000000</v>
      </c>
      <c r="R37" s="21">
        <v>0.30030000000000001</v>
      </c>
      <c r="S37" s="42">
        <v>31111110</v>
      </c>
      <c r="T37" s="256">
        <v>1547.1</v>
      </c>
      <c r="U37" s="50">
        <f>IF(J37="","",IF(J37&lt;=0,"",I37/J37))</f>
        <v>5.5995518358531315</v>
      </c>
      <c r="V37" s="21">
        <f>+T37/I37</f>
        <v>8.8405714285714282E-2</v>
      </c>
      <c r="W37" s="21">
        <f t="shared" si="17"/>
        <v>8.8405714285714282E-2</v>
      </c>
      <c r="X37" s="21">
        <f>IF(L37="","",P37/L37)</f>
        <v>0.38387435547168025</v>
      </c>
      <c r="Y37" s="22">
        <v>15500</v>
      </c>
      <c r="Z37" s="27">
        <v>16135</v>
      </c>
      <c r="AA37" s="27">
        <f ca="1">+RANDBETWEEN(-1,3)</f>
        <v>2</v>
      </c>
      <c r="AB37" s="22" t="s">
        <v>22</v>
      </c>
    </row>
    <row r="38" spans="3:29" ht="30" customHeight="1" x14ac:dyDescent="0.3">
      <c r="C38" s="23" t="s">
        <v>53</v>
      </c>
      <c r="D38" s="26">
        <f t="shared" ca="1" si="19"/>
        <v>1</v>
      </c>
      <c r="E38" s="26">
        <f t="shared" ca="1" si="19"/>
        <v>2</v>
      </c>
      <c r="F38" s="26">
        <f t="shared" ca="1" si="13"/>
        <v>2</v>
      </c>
      <c r="G38" s="26">
        <f t="shared" ca="1" si="13"/>
        <v>2</v>
      </c>
      <c r="H38" s="26">
        <f t="shared" ca="1" si="13"/>
        <v>-1</v>
      </c>
      <c r="I38" s="42">
        <v>5800</v>
      </c>
      <c r="J38" s="50">
        <f>+IF(P38="","",P38/S38)</f>
        <v>801.8</v>
      </c>
      <c r="K38" s="51">
        <f>73300*(1000000)</f>
        <v>73300000000</v>
      </c>
      <c r="L38" s="51">
        <f>73300*(1000000)</f>
        <v>73300000000</v>
      </c>
      <c r="M38" s="50">
        <f>36200*(1000000)</f>
        <v>36200000000</v>
      </c>
      <c r="N38" s="50">
        <f>31100*(1000000)</f>
        <v>31100000000</v>
      </c>
      <c r="O38" s="50">
        <f>40090*(1000000)</f>
        <v>40090000000</v>
      </c>
      <c r="P38" s="50">
        <f>40090*(1000000)</f>
        <v>40090000000</v>
      </c>
      <c r="Q38" s="50">
        <f>31100*(1000000)</f>
        <v>31100000000</v>
      </c>
      <c r="R38" s="21">
        <f t="shared" si="8"/>
        <v>0.16398713826366559</v>
      </c>
      <c r="S38" s="42">
        <v>50000000</v>
      </c>
      <c r="T38" s="256">
        <v>495</v>
      </c>
      <c r="U38" s="50">
        <f t="shared" si="16"/>
        <v>7.233724120728362</v>
      </c>
      <c r="V38" s="21">
        <f t="shared" si="14"/>
        <v>8.5344827586206901E-2</v>
      </c>
      <c r="W38" s="21">
        <f t="shared" si="17"/>
        <v>8.5344827586206901E-2</v>
      </c>
      <c r="X38" s="21">
        <f t="shared" si="18"/>
        <v>0.49386084583901774</v>
      </c>
      <c r="Y38" s="22">
        <v>5500</v>
      </c>
      <c r="Z38" s="27">
        <v>5315</v>
      </c>
      <c r="AA38" s="27">
        <f ca="1">+RANDBETWEEN(-1,3)</f>
        <v>3</v>
      </c>
      <c r="AB38" s="22" t="s">
        <v>22</v>
      </c>
    </row>
    <row r="39" spans="3:29" ht="30" customHeight="1" x14ac:dyDescent="0.3">
      <c r="C39" s="25" t="s">
        <v>54</v>
      </c>
      <c r="D39" s="28"/>
      <c r="E39" s="29"/>
      <c r="F39" s="29"/>
      <c r="G39" s="29"/>
      <c r="H39" s="29"/>
      <c r="I39" s="45"/>
      <c r="J39" s="86"/>
      <c r="K39" s="86"/>
      <c r="L39" s="86"/>
      <c r="M39" s="86"/>
      <c r="N39" s="86">
        <f>0*(1000000)</f>
        <v>0</v>
      </c>
      <c r="O39" s="86">
        <f>0*(1000000)</f>
        <v>0</v>
      </c>
      <c r="P39" s="86">
        <f>0*(1000000)</f>
        <v>0</v>
      </c>
      <c r="Q39" s="86">
        <f>0*(1000000)</f>
        <v>0</v>
      </c>
      <c r="R39" s="255"/>
      <c r="S39" s="45"/>
      <c r="T39" s="45"/>
      <c r="U39" s="52">
        <f>+AVERAGE(U40:U41)</f>
        <v>8.1023226105518962</v>
      </c>
      <c r="V39" s="30"/>
      <c r="W39" s="30"/>
      <c r="X39" s="30"/>
      <c r="Y39" s="30"/>
      <c r="Z39" s="30"/>
      <c r="AA39" s="30"/>
      <c r="AB39" s="43"/>
    </row>
    <row r="40" spans="3:29" ht="30" customHeight="1" x14ac:dyDescent="0.3">
      <c r="C40" s="23" t="s">
        <v>55</v>
      </c>
      <c r="D40" s="26">
        <f ca="1">+RANDBETWEEN(0,4)</f>
        <v>2</v>
      </c>
      <c r="E40" s="26">
        <f ca="1">+RANDBETWEEN(0,4)</f>
        <v>1</v>
      </c>
      <c r="F40" s="26">
        <f t="shared" ref="F40:H41" ca="1" si="20">+RANDBETWEEN(-1,2)</f>
        <v>-1</v>
      </c>
      <c r="G40" s="26">
        <f t="shared" ca="1" si="20"/>
        <v>-1</v>
      </c>
      <c r="H40" s="26">
        <f t="shared" ca="1" si="20"/>
        <v>0</v>
      </c>
      <c r="I40" s="42">
        <v>1495</v>
      </c>
      <c r="J40" s="50">
        <f>+IF(P40="","",P40/S40)</f>
        <v>184.51499302842089</v>
      </c>
      <c r="K40" s="51">
        <f>62067.879*(1000000)</f>
        <v>62067879000</v>
      </c>
      <c r="L40" s="51">
        <f>62067.879*(1000000)</f>
        <v>62067879000</v>
      </c>
      <c r="M40" s="50">
        <f>17986.871*(1000000)</f>
        <v>17986871000</v>
      </c>
      <c r="N40" s="50">
        <f>9857.981*(1000000)</f>
        <v>9857981000</v>
      </c>
      <c r="O40" s="50">
        <f>10044.129*(1000000)</f>
        <v>10044129000</v>
      </c>
      <c r="P40" s="50">
        <f>10044.129*(1000000)</f>
        <v>10044129000</v>
      </c>
      <c r="Q40" s="50">
        <f>9857.981*(1000000)</f>
        <v>9857981000</v>
      </c>
      <c r="R40" s="21">
        <f t="shared" si="8"/>
        <v>0.82459988510831983</v>
      </c>
      <c r="S40" s="42">
        <v>54435300</v>
      </c>
      <c r="T40" s="113">
        <v>92</v>
      </c>
      <c r="U40" s="50">
        <f t="shared" ref="U40:U41" si="21">IF(J40="","",IF(J40&lt;=0,"",I40/J40))</f>
        <v>8.1023226105518962</v>
      </c>
      <c r="V40" s="21">
        <f>+T40/I40</f>
        <v>6.1538461538461542E-2</v>
      </c>
      <c r="W40" s="21">
        <f>+T40/I40</f>
        <v>6.1538461538461542E-2</v>
      </c>
      <c r="X40" s="21">
        <f t="shared" si="18"/>
        <v>0.28979355005831597</v>
      </c>
      <c r="Y40" s="22">
        <v>2760</v>
      </c>
      <c r="Z40" s="27">
        <v>1500</v>
      </c>
      <c r="AA40" s="27">
        <f ca="1">+RANDBETWEEN(-1,3)</f>
        <v>1</v>
      </c>
      <c r="AB40" s="22" t="s">
        <v>24</v>
      </c>
    </row>
    <row r="41" spans="3:29" ht="30" customHeight="1" x14ac:dyDescent="0.3">
      <c r="C41" s="23" t="s">
        <v>56</v>
      </c>
      <c r="D41" s="26">
        <f ca="1">+RANDBETWEEN(0,4)</f>
        <v>3</v>
      </c>
      <c r="E41" s="26">
        <f ca="1">+RANDBETWEEN(0,4)</f>
        <v>3</v>
      </c>
      <c r="F41" s="26">
        <f t="shared" ca="1" si="20"/>
        <v>-1</v>
      </c>
      <c r="G41" s="26">
        <f t="shared" ca="1" si="20"/>
        <v>2</v>
      </c>
      <c r="H41" s="26">
        <f t="shared" ca="1" si="20"/>
        <v>2</v>
      </c>
      <c r="I41" s="42">
        <v>2395</v>
      </c>
      <c r="J41" s="50">
        <f>+IF(P41="","",P41/S41)</f>
        <v>0</v>
      </c>
      <c r="K41" s="51"/>
      <c r="L41" s="51"/>
      <c r="M41" s="50"/>
      <c r="N41" s="50">
        <f t="shared" ref="N41:P42" si="22">0*(1000000)</f>
        <v>0</v>
      </c>
      <c r="O41" s="50">
        <f t="shared" si="22"/>
        <v>0</v>
      </c>
      <c r="P41" s="50">
        <f t="shared" si="22"/>
        <v>0</v>
      </c>
      <c r="Q41" s="50"/>
      <c r="R41" s="21"/>
      <c r="S41" s="42">
        <v>835625</v>
      </c>
      <c r="T41" s="42">
        <v>270</v>
      </c>
      <c r="U41" s="50" t="str">
        <f t="shared" si="21"/>
        <v/>
      </c>
      <c r="V41" s="21"/>
      <c r="W41" s="21">
        <v>0.1</v>
      </c>
      <c r="X41" s="21" t="str">
        <f t="shared" si="18"/>
        <v/>
      </c>
      <c r="Y41" s="22"/>
      <c r="Z41" s="27"/>
      <c r="AA41" s="27">
        <f ca="1">+RANDBETWEEN(-1,3)</f>
        <v>1</v>
      </c>
      <c r="AB41" s="22" t="s">
        <v>24</v>
      </c>
    </row>
    <row r="42" spans="3:29" ht="30" customHeight="1" x14ac:dyDescent="0.3">
      <c r="C42" s="25" t="s">
        <v>57</v>
      </c>
      <c r="D42" s="28"/>
      <c r="E42" s="29"/>
      <c r="F42" s="29"/>
      <c r="G42" s="29"/>
      <c r="H42" s="29"/>
      <c r="I42" s="45"/>
      <c r="J42" s="86"/>
      <c r="K42" s="86"/>
      <c r="L42" s="86"/>
      <c r="M42" s="86"/>
      <c r="N42" s="86">
        <f t="shared" si="22"/>
        <v>0</v>
      </c>
      <c r="O42" s="86">
        <f t="shared" si="22"/>
        <v>0</v>
      </c>
      <c r="P42" s="86">
        <f t="shared" si="22"/>
        <v>0</v>
      </c>
      <c r="Q42" s="86">
        <f>0*(1000000)</f>
        <v>0</v>
      </c>
      <c r="R42" s="255"/>
      <c r="S42" s="45"/>
      <c r="T42" s="45"/>
      <c r="U42" s="52">
        <f>+AVERAGE(U43:U47)</f>
        <v>3.564714978276216</v>
      </c>
      <c r="V42" s="30"/>
      <c r="W42" s="30"/>
      <c r="X42" s="30"/>
      <c r="Y42" s="30"/>
      <c r="Z42" s="30">
        <v>9602</v>
      </c>
      <c r="AA42" s="30"/>
      <c r="AB42" s="43"/>
    </row>
    <row r="43" spans="3:29" ht="30" customHeight="1" x14ac:dyDescent="0.3">
      <c r="C43" s="23" t="s">
        <v>58</v>
      </c>
      <c r="D43" s="31"/>
      <c r="E43" s="32"/>
      <c r="F43" s="32"/>
      <c r="G43" s="32"/>
      <c r="H43" s="32"/>
      <c r="I43" s="49">
        <v>6695</v>
      </c>
      <c r="J43" s="50">
        <f>+IF(P43="","",P43/S43)</f>
        <v>2696.9609855313133</v>
      </c>
      <c r="K43" s="51">
        <f>172795.053*(1000000)</f>
        <v>172795053000</v>
      </c>
      <c r="L43" s="51">
        <f>172795.053*(1000000)</f>
        <v>172795053000</v>
      </c>
      <c r="M43" s="50">
        <f>22252.8*(1000000)</f>
        <v>22252800000</v>
      </c>
      <c r="N43" s="50">
        <f>41419.739*(1000000)</f>
        <v>41419739000</v>
      </c>
      <c r="O43" s="50">
        <f>41693.172115*(1000000)</f>
        <v>41693172115</v>
      </c>
      <c r="P43" s="50">
        <f>41693.172115*(1000000)</f>
        <v>41693172115</v>
      </c>
      <c r="Q43" s="50">
        <f>41419.739*(1000000)</f>
        <v>41419739000</v>
      </c>
      <c r="R43" s="21">
        <f t="shared" ref="R43:R47" si="23">IF(M43="","",+(M43-N43)/N43)</f>
        <v>-0.46274890819567938</v>
      </c>
      <c r="S43" s="49">
        <v>15459316</v>
      </c>
      <c r="T43" s="49">
        <v>1213.6300000000001</v>
      </c>
      <c r="U43" s="50">
        <f t="shared" ref="U43:U46" si="24">IF(J43="","",IF(J43&lt;=0,"",I43/J43))</f>
        <v>2.4824237487740501</v>
      </c>
      <c r="V43" s="21">
        <f>+T43/I43</f>
        <v>0.18127408513816282</v>
      </c>
      <c r="W43" s="21">
        <f t="shared" ref="W43:W45" si="25">+T43/I43</f>
        <v>0.18127408513816282</v>
      </c>
      <c r="X43" s="21">
        <f t="shared" si="18"/>
        <v>0.12878146459435966</v>
      </c>
      <c r="Y43" s="33">
        <v>13550</v>
      </c>
      <c r="Z43" s="47">
        <v>9602</v>
      </c>
      <c r="AA43" s="47"/>
      <c r="AB43" s="46"/>
    </row>
    <row r="44" spans="3:29" ht="30" customHeight="1" x14ac:dyDescent="0.3">
      <c r="C44" s="23" t="s">
        <v>59</v>
      </c>
      <c r="D44" s="31"/>
      <c r="E44" s="32"/>
      <c r="F44" s="32"/>
      <c r="G44" s="32"/>
      <c r="H44" s="32"/>
      <c r="I44" s="49">
        <v>440</v>
      </c>
      <c r="J44" s="50">
        <f t="shared" ref="J44:J47" si="26">+IF(P44="","",P44/S44)</f>
        <v>-446.71779903061224</v>
      </c>
      <c r="K44" s="51">
        <f>53972.184618*(1000000)</f>
        <v>53972184618</v>
      </c>
      <c r="L44" s="51">
        <f>53972.184618*(1000000)</f>
        <v>53972184618</v>
      </c>
      <c r="M44" s="50">
        <f>-14046.142368*(1000000)</f>
        <v>-14046142368</v>
      </c>
      <c r="N44" s="50">
        <f>-8210.121702*(1000000)</f>
        <v>-8210121702</v>
      </c>
      <c r="O44" s="50">
        <f>-8755.668861*(1000000)</f>
        <v>-8755668861</v>
      </c>
      <c r="P44" s="50">
        <f>-8755.668861*(1000000)</f>
        <v>-8755668861</v>
      </c>
      <c r="Q44" s="50">
        <f>-8210.121702*(1000000)</f>
        <v>-8210121702</v>
      </c>
      <c r="R44" s="21">
        <f t="shared" si="23"/>
        <v>0.7108324185472592</v>
      </c>
      <c r="S44" s="49">
        <v>19600000</v>
      </c>
      <c r="T44" s="49">
        <v>40.5</v>
      </c>
      <c r="U44" s="50" t="str">
        <f t="shared" si="24"/>
        <v/>
      </c>
      <c r="V44" s="21">
        <f>+T44/I44</f>
        <v>9.2045454545454541E-2</v>
      </c>
      <c r="W44" s="21">
        <f t="shared" si="25"/>
        <v>9.2045454545454541E-2</v>
      </c>
      <c r="X44" s="21">
        <f t="shared" si="18"/>
        <v>-0.26024780111115864</v>
      </c>
      <c r="Y44" s="33">
        <v>1130</v>
      </c>
      <c r="Z44" s="47">
        <v>578</v>
      </c>
      <c r="AA44" s="47"/>
      <c r="AB44" s="46"/>
    </row>
    <row r="45" spans="3:29" ht="30" customHeight="1" x14ac:dyDescent="0.3">
      <c r="C45" s="23" t="s">
        <v>60</v>
      </c>
      <c r="D45" s="31"/>
      <c r="E45" s="32"/>
      <c r="F45" s="32"/>
      <c r="G45" s="32"/>
      <c r="H45" s="32"/>
      <c r="I45" s="49">
        <v>3600</v>
      </c>
      <c r="J45" s="50">
        <f t="shared" si="26"/>
        <v>0</v>
      </c>
      <c r="K45" s="51"/>
      <c r="L45" s="51"/>
      <c r="M45" s="50"/>
      <c r="N45" s="50">
        <f>0*(1000000)</f>
        <v>0</v>
      </c>
      <c r="O45" s="50">
        <f>0*(1000000)</f>
        <v>0</v>
      </c>
      <c r="P45" s="50">
        <f>0*(1000000)</f>
        <v>0</v>
      </c>
      <c r="Q45" s="50">
        <f>0*(1000000)</f>
        <v>0</v>
      </c>
      <c r="R45" s="21" t="str">
        <f t="shared" si="23"/>
        <v/>
      </c>
      <c r="S45" s="49">
        <v>600000</v>
      </c>
      <c r="T45" s="49">
        <v>1919</v>
      </c>
      <c r="U45" s="50" t="str">
        <f t="shared" si="24"/>
        <v/>
      </c>
      <c r="V45" s="21">
        <f>+T45/I45</f>
        <v>0.5330555555555555</v>
      </c>
      <c r="W45" s="21">
        <f t="shared" si="25"/>
        <v>0.5330555555555555</v>
      </c>
      <c r="X45" s="21" t="str">
        <f t="shared" si="18"/>
        <v/>
      </c>
      <c r="Y45" s="33">
        <v>12135</v>
      </c>
      <c r="Z45" s="47">
        <v>4682</v>
      </c>
      <c r="AA45" s="47"/>
      <c r="AB45" s="46"/>
    </row>
    <row r="46" spans="3:29" ht="30" customHeight="1" x14ac:dyDescent="0.3">
      <c r="C46" s="23" t="s">
        <v>61</v>
      </c>
      <c r="D46" s="31"/>
      <c r="E46" s="32"/>
      <c r="F46" s="32"/>
      <c r="G46" s="32"/>
      <c r="H46" s="32"/>
      <c r="I46" s="49">
        <v>3300</v>
      </c>
      <c r="J46" s="50">
        <f t="shared" si="26"/>
        <v>724.61341256115224</v>
      </c>
      <c r="K46" s="51">
        <f>54478.813169*(1000000)</f>
        <v>54478813169</v>
      </c>
      <c r="L46" s="51">
        <f>54478.813169*(1000000)</f>
        <v>54478813169</v>
      </c>
      <c r="M46" s="50">
        <f>4404.106157*(1000000)</f>
        <v>4404106157</v>
      </c>
      <c r="N46" s="50">
        <f>11929.470475*(1000000)</f>
        <v>11929470475</v>
      </c>
      <c r="O46" s="50">
        <f>15652.983*(1000000)</f>
        <v>15652983000</v>
      </c>
      <c r="P46" s="50">
        <f>15652.983*(1000000)</f>
        <v>15652983000</v>
      </c>
      <c r="Q46" s="50">
        <f>11929.470475*(1000000)</f>
        <v>11929470475</v>
      </c>
      <c r="R46" s="21">
        <f t="shared" si="23"/>
        <v>-0.63082132050794149</v>
      </c>
      <c r="S46" s="49">
        <v>21601840</v>
      </c>
      <c r="T46" s="263">
        <v>558</v>
      </c>
      <c r="U46" s="50">
        <f t="shared" si="24"/>
        <v>4.5541525215992378</v>
      </c>
      <c r="V46" s="21">
        <f>+T46/I46</f>
        <v>0.1690909090909091</v>
      </c>
      <c r="W46" s="21">
        <f>+T46/I46</f>
        <v>0.1690909090909091</v>
      </c>
      <c r="X46" s="21">
        <f t="shared" si="18"/>
        <v>8.0840714046723439E-2</v>
      </c>
      <c r="Y46" s="33">
        <v>7100</v>
      </c>
      <c r="Z46" s="47">
        <v>4279</v>
      </c>
      <c r="AA46" s="47"/>
      <c r="AB46" s="46"/>
    </row>
    <row r="47" spans="3:29" ht="30" customHeight="1" x14ac:dyDescent="0.3">
      <c r="C47" s="23" t="s">
        <v>62</v>
      </c>
      <c r="D47" s="31"/>
      <c r="E47" s="32"/>
      <c r="F47" s="32"/>
      <c r="G47" s="32"/>
      <c r="H47" s="32"/>
      <c r="I47" s="49">
        <v>2390</v>
      </c>
      <c r="J47" s="50">
        <f t="shared" si="26"/>
        <v>653.43954393153933</v>
      </c>
      <c r="K47" s="51">
        <f>142657*(1000000)</f>
        <v>142657000000</v>
      </c>
      <c r="L47" s="51">
        <f>142657*(1000000)</f>
        <v>142657000000</v>
      </c>
      <c r="M47" s="50">
        <f>3984*(1000000)</f>
        <v>3984000000</v>
      </c>
      <c r="N47" s="50">
        <f>14642*(1000000)</f>
        <v>14642000000</v>
      </c>
      <c r="O47" s="50">
        <f>16700.611131*(1000000)</f>
        <v>16700611131.000002</v>
      </c>
      <c r="P47" s="50">
        <f>16700.611131*(1000000)</f>
        <v>16700611131.000002</v>
      </c>
      <c r="Q47" s="50">
        <f>14642*(1000000)</f>
        <v>14642000000</v>
      </c>
      <c r="R47" s="21">
        <f t="shared" si="23"/>
        <v>-0.72790602376724489</v>
      </c>
      <c r="S47" s="49">
        <v>25558005</v>
      </c>
      <c r="T47" s="263">
        <v>294.3</v>
      </c>
      <c r="U47" s="50">
        <f>IF(J47="","",IF(J47&lt;=0,"",I47/J47))</f>
        <v>3.65756866445536</v>
      </c>
      <c r="V47" s="21">
        <f>+T47/I47</f>
        <v>0.12313807531380754</v>
      </c>
      <c r="W47" s="21">
        <f>+T47/I47</f>
        <v>0.12313807531380754</v>
      </c>
      <c r="X47" s="21">
        <f t="shared" si="18"/>
        <v>2.7927125903390651E-2</v>
      </c>
      <c r="Y47" s="33">
        <v>6375</v>
      </c>
      <c r="Z47" s="47">
        <v>3610</v>
      </c>
      <c r="AA47" s="47"/>
      <c r="AB47" s="46"/>
    </row>
    <row r="48" spans="3:29" ht="30" customHeight="1" x14ac:dyDescent="0.3">
      <c r="C48" s="25" t="s">
        <v>63</v>
      </c>
      <c r="D48" s="28"/>
      <c r="E48" s="29"/>
      <c r="F48" s="29"/>
      <c r="G48" s="29"/>
      <c r="H48" s="29"/>
      <c r="I48" s="45"/>
      <c r="J48" s="86"/>
      <c r="K48" s="86"/>
      <c r="L48" s="86"/>
      <c r="M48" s="86"/>
      <c r="N48" s="86">
        <f>0*(1000000)</f>
        <v>0</v>
      </c>
      <c r="O48" s="86">
        <f>0*(1000000)</f>
        <v>0</v>
      </c>
      <c r="P48" s="86">
        <f>0*(1000000)</f>
        <v>0</v>
      </c>
      <c r="Q48" s="86">
        <f>0*(1000000)</f>
        <v>0</v>
      </c>
      <c r="R48" s="255"/>
      <c r="S48" s="45"/>
      <c r="T48" s="45"/>
      <c r="U48" s="52">
        <f>+AVERAGE(U49:U55)</f>
        <v>10.682269253074864</v>
      </c>
      <c r="V48" s="30"/>
      <c r="W48" s="30"/>
      <c r="X48" s="30"/>
      <c r="Y48" s="30"/>
      <c r="Z48" s="30"/>
      <c r="AA48" s="30"/>
      <c r="AB48" s="43"/>
    </row>
    <row r="49" spans="3:29" ht="30" customHeight="1" x14ac:dyDescent="0.3">
      <c r="C49" s="23" t="s">
        <v>64</v>
      </c>
      <c r="D49" s="26">
        <f t="shared" ref="D49:E55" ca="1" si="27">+RANDBETWEEN(0,4)</f>
        <v>4</v>
      </c>
      <c r="E49" s="26">
        <f t="shared" ca="1" si="27"/>
        <v>0</v>
      </c>
      <c r="F49" s="26">
        <f t="shared" ref="F49:H55" ca="1" si="28">+RANDBETWEEN(-1,2)</f>
        <v>0</v>
      </c>
      <c r="G49" s="26">
        <f t="shared" ca="1" si="28"/>
        <v>1</v>
      </c>
      <c r="H49" s="26">
        <f t="shared" ca="1" si="28"/>
        <v>-1</v>
      </c>
      <c r="I49" s="42">
        <v>1305</v>
      </c>
      <c r="J49" s="50">
        <f>+IF(P49="","",P49/S49)</f>
        <v>116.25881561583577</v>
      </c>
      <c r="K49" s="51">
        <f>8423.103*(1000000)</f>
        <v>8423102999.999999</v>
      </c>
      <c r="L49" s="51">
        <f>8423.103*(1000000)</f>
        <v>8423102999.999999</v>
      </c>
      <c r="M49" s="50">
        <f>1182.024*(1000000)</f>
        <v>1182024000</v>
      </c>
      <c r="N49" s="50">
        <f>1258.015*(1000000)</f>
        <v>1258015000</v>
      </c>
      <c r="O49" s="50">
        <f>1268.616196*(1000000)</f>
        <v>1268616196</v>
      </c>
      <c r="P49" s="50">
        <f>1268.616196*(1000000)</f>
        <v>1268616196</v>
      </c>
      <c r="Q49" s="50">
        <f>1258.015*(1000000)</f>
        <v>1258015000</v>
      </c>
      <c r="R49" s="21">
        <f t="shared" ref="R49:R55" si="29">IF(M49="","",+(M49-N49)/N49)</f>
        <v>-6.0405480061843458E-2</v>
      </c>
      <c r="S49" s="42">
        <f>545600*20</f>
        <v>10912000</v>
      </c>
      <c r="T49" s="256">
        <v>92</v>
      </c>
      <c r="U49" s="50">
        <f t="shared" ref="U49:U55" si="30">IF(J49="","",IF(J49&lt;=0,"",I49/J49))</f>
        <v>11.224955226726429</v>
      </c>
      <c r="V49" s="21">
        <f t="shared" ref="V49:V55" si="31">+T49/I49</f>
        <v>7.0498084291187743E-2</v>
      </c>
      <c r="W49" s="21">
        <f t="shared" ref="W49:W57" si="32">+T49/I49</f>
        <v>7.0498084291187743E-2</v>
      </c>
      <c r="X49" s="21">
        <f t="shared" si="18"/>
        <v>0.1403311819883955</v>
      </c>
      <c r="Y49" s="22">
        <v>1940</v>
      </c>
      <c r="Z49" s="27">
        <v>1275</v>
      </c>
      <c r="AA49" s="27">
        <f t="shared" ref="AA49:AA55" ca="1" si="33">+RANDBETWEEN(-1,3)</f>
        <v>-1</v>
      </c>
      <c r="AB49" s="22" t="s">
        <v>24</v>
      </c>
    </row>
    <row r="50" spans="3:29" ht="30" customHeight="1" x14ac:dyDescent="0.3">
      <c r="C50" s="23" t="s">
        <v>65</v>
      </c>
      <c r="D50" s="26">
        <f t="shared" ca="1" si="27"/>
        <v>3</v>
      </c>
      <c r="E50" s="26">
        <f t="shared" ca="1" si="27"/>
        <v>0</v>
      </c>
      <c r="F50" s="26">
        <f t="shared" ca="1" si="28"/>
        <v>0</v>
      </c>
      <c r="G50" s="26">
        <f t="shared" ca="1" si="28"/>
        <v>1</v>
      </c>
      <c r="H50" s="26">
        <f t="shared" ca="1" si="28"/>
        <v>0</v>
      </c>
      <c r="I50" s="42">
        <v>1065</v>
      </c>
      <c r="J50" s="50">
        <f t="shared" ref="J50:J55" si="34">+IF(P50="","",P50/S50)</f>
        <v>273.0978260869565</v>
      </c>
      <c r="K50" s="51">
        <f>34428.743391*(1000000)</f>
        <v>34428743391</v>
      </c>
      <c r="L50" s="51">
        <f>34428.743391*(1000000)</f>
        <v>34428743391</v>
      </c>
      <c r="M50" s="50">
        <f>353.850183*(1000000)</f>
        <v>353850183</v>
      </c>
      <c r="N50" s="50">
        <f>1805.367009*(1000000)</f>
        <v>1805367009</v>
      </c>
      <c r="O50" s="50">
        <f>1809*(1000000)</f>
        <v>1809000000</v>
      </c>
      <c r="P50" s="50">
        <f>1809*(1000000)</f>
        <v>1809000000</v>
      </c>
      <c r="Q50" s="50">
        <f>1805.367009*(1000000)</f>
        <v>1805367009</v>
      </c>
      <c r="R50" s="21">
        <f t="shared" si="29"/>
        <v>-0.8040009697551751</v>
      </c>
      <c r="S50" s="42">
        <v>6624000</v>
      </c>
      <c r="T50" s="42">
        <v>150</v>
      </c>
      <c r="U50" s="50">
        <f t="shared" si="30"/>
        <v>3.8997014925373139</v>
      </c>
      <c r="V50" s="21">
        <f t="shared" si="31"/>
        <v>0.14084507042253522</v>
      </c>
      <c r="W50" s="21">
        <f t="shared" si="32"/>
        <v>0.14084507042253522</v>
      </c>
      <c r="X50" s="21">
        <f t="shared" si="18"/>
        <v>1.0277754810316423E-2</v>
      </c>
      <c r="Y50" s="22">
        <v>2580</v>
      </c>
      <c r="Z50" s="27">
        <v>1777</v>
      </c>
      <c r="AA50" s="27">
        <f t="shared" ca="1" si="33"/>
        <v>3</v>
      </c>
      <c r="AB50" s="22" t="s">
        <v>24</v>
      </c>
    </row>
    <row r="51" spans="3:29" ht="30" customHeight="1" x14ac:dyDescent="0.3">
      <c r="C51" s="23" t="s">
        <v>66</v>
      </c>
      <c r="D51" s="26">
        <f t="shared" ca="1" si="27"/>
        <v>3</v>
      </c>
      <c r="E51" s="26">
        <f t="shared" ca="1" si="27"/>
        <v>4</v>
      </c>
      <c r="F51" s="26">
        <f t="shared" ca="1" si="28"/>
        <v>-1</v>
      </c>
      <c r="G51" s="26">
        <f t="shared" ca="1" si="28"/>
        <v>1</v>
      </c>
      <c r="H51" s="26">
        <f t="shared" ca="1" si="28"/>
        <v>1</v>
      </c>
      <c r="I51" s="42">
        <v>725</v>
      </c>
      <c r="J51" s="50">
        <f t="shared" si="34"/>
        <v>30.509486634919742</v>
      </c>
      <c r="K51" s="51"/>
      <c r="L51" s="51"/>
      <c r="M51" s="50"/>
      <c r="N51" s="50">
        <f>0*(1000000)</f>
        <v>0</v>
      </c>
      <c r="O51" s="50">
        <f>5533.563559*(1000000)</f>
        <v>5533563559</v>
      </c>
      <c r="P51" s="50">
        <f>5533.563559*(1000000)</f>
        <v>5533563559</v>
      </c>
      <c r="Q51" s="50">
        <f>0*(1000000)</f>
        <v>0</v>
      </c>
      <c r="R51" s="21" t="str">
        <f t="shared" si="29"/>
        <v/>
      </c>
      <c r="S51" s="42">
        <v>181371900</v>
      </c>
      <c r="T51" s="256">
        <v>27.45</v>
      </c>
      <c r="U51" s="50">
        <f t="shared" si="30"/>
        <v>23.763100594757258</v>
      </c>
      <c r="V51" s="21">
        <f t="shared" si="31"/>
        <v>3.7862068965517241E-2</v>
      </c>
      <c r="W51" s="21">
        <f t="shared" si="32"/>
        <v>3.7862068965517241E-2</v>
      </c>
      <c r="X51" s="21" t="str">
        <f t="shared" si="18"/>
        <v/>
      </c>
      <c r="Y51" s="22">
        <v>1265</v>
      </c>
      <c r="Z51" s="27">
        <v>842</v>
      </c>
      <c r="AA51" s="27">
        <f t="shared" ca="1" si="33"/>
        <v>1</v>
      </c>
      <c r="AB51" s="22" t="s">
        <v>24</v>
      </c>
    </row>
    <row r="52" spans="3:29" ht="30" customHeight="1" x14ac:dyDescent="0.3">
      <c r="C52" s="23" t="s">
        <v>67</v>
      </c>
      <c r="D52" s="26">
        <f t="shared" ca="1" si="27"/>
        <v>2</v>
      </c>
      <c r="E52" s="26">
        <f t="shared" ca="1" si="27"/>
        <v>1</v>
      </c>
      <c r="F52" s="26">
        <f t="shared" ca="1" si="28"/>
        <v>2</v>
      </c>
      <c r="G52" s="26">
        <f t="shared" ca="1" si="28"/>
        <v>1</v>
      </c>
      <c r="H52" s="26">
        <f t="shared" ca="1" si="28"/>
        <v>2</v>
      </c>
      <c r="I52" s="42">
        <v>1955</v>
      </c>
      <c r="J52" s="50">
        <f t="shared" si="34"/>
        <v>355.88348564453128</v>
      </c>
      <c r="K52" s="51"/>
      <c r="L52" s="51"/>
      <c r="M52" s="50"/>
      <c r="N52" s="50">
        <f>2879.641263*(1000000)</f>
        <v>2879641263</v>
      </c>
      <c r="O52" s="50">
        <f>3644.246893*(1000000)</f>
        <v>3644246893</v>
      </c>
      <c r="P52" s="50">
        <f>3644.246893*(1000000)</f>
        <v>3644246893</v>
      </c>
      <c r="Q52" s="50">
        <f>2879.641263*(1000000)</f>
        <v>2879641263</v>
      </c>
      <c r="R52" s="21" t="str">
        <f t="shared" si="29"/>
        <v/>
      </c>
      <c r="S52" s="42">
        <v>10240000</v>
      </c>
      <c r="T52" s="256">
        <v>224.1</v>
      </c>
      <c r="U52" s="50">
        <f t="shared" si="30"/>
        <v>5.4933709454355562</v>
      </c>
      <c r="V52" s="21">
        <f t="shared" si="31"/>
        <v>0.11462915601023017</v>
      </c>
      <c r="W52" s="21">
        <f t="shared" si="32"/>
        <v>0.11462915601023017</v>
      </c>
      <c r="X52" s="21" t="str">
        <f t="shared" si="18"/>
        <v/>
      </c>
      <c r="Y52" s="22">
        <v>5375</v>
      </c>
      <c r="Z52" s="27">
        <v>2659</v>
      </c>
      <c r="AA52" s="27">
        <f t="shared" ca="1" si="33"/>
        <v>1</v>
      </c>
      <c r="AB52" s="22" t="s">
        <v>24</v>
      </c>
    </row>
    <row r="53" spans="3:29" ht="30" customHeight="1" x14ac:dyDescent="0.3">
      <c r="C53" s="23" t="s">
        <v>68</v>
      </c>
      <c r="D53" s="26">
        <f t="shared" ca="1" si="27"/>
        <v>1</v>
      </c>
      <c r="E53" s="26">
        <f t="shared" ca="1" si="27"/>
        <v>3</v>
      </c>
      <c r="F53" s="26">
        <f t="shared" ca="1" si="28"/>
        <v>-1</v>
      </c>
      <c r="G53" s="26">
        <f t="shared" ca="1" si="28"/>
        <v>2</v>
      </c>
      <c r="H53" s="26">
        <f t="shared" ca="1" si="28"/>
        <v>-1</v>
      </c>
      <c r="I53" s="42">
        <v>765</v>
      </c>
      <c r="J53" s="50">
        <f t="shared" si="34"/>
        <v>59.564398539682543</v>
      </c>
      <c r="K53" s="51"/>
      <c r="L53" s="51"/>
      <c r="M53" s="50"/>
      <c r="N53" s="50">
        <f>1393*(1000000)</f>
        <v>1393000000</v>
      </c>
      <c r="O53" s="50">
        <f>3752.557108*(1000000)</f>
        <v>3752557108</v>
      </c>
      <c r="P53" s="50">
        <f>3752.557108*(1000000)</f>
        <v>3752557108</v>
      </c>
      <c r="Q53" s="50">
        <f>1393*(1000000)</f>
        <v>1393000000</v>
      </c>
      <c r="R53" s="21" t="str">
        <f t="shared" si="29"/>
        <v/>
      </c>
      <c r="S53" s="42">
        <f>1260000*50</f>
        <v>63000000</v>
      </c>
      <c r="T53" s="113">
        <v>53</v>
      </c>
      <c r="U53" s="50">
        <f t="shared" si="30"/>
        <v>12.843242251331514</v>
      </c>
      <c r="V53" s="21">
        <f t="shared" si="31"/>
        <v>6.9281045751633991E-2</v>
      </c>
      <c r="W53" s="21">
        <f t="shared" si="32"/>
        <v>6.9281045751633991E-2</v>
      </c>
      <c r="X53" s="21" t="str">
        <f t="shared" si="18"/>
        <v/>
      </c>
      <c r="Y53" s="22">
        <v>1000</v>
      </c>
      <c r="Z53" s="27">
        <v>800</v>
      </c>
      <c r="AA53" s="27">
        <f t="shared" ca="1" si="33"/>
        <v>3</v>
      </c>
      <c r="AB53" s="22" t="s">
        <v>24</v>
      </c>
    </row>
    <row r="54" spans="3:29" ht="30" customHeight="1" x14ac:dyDescent="0.3">
      <c r="C54" s="23" t="s">
        <v>69</v>
      </c>
      <c r="D54" s="26">
        <f t="shared" ca="1" si="27"/>
        <v>4</v>
      </c>
      <c r="E54" s="26">
        <f t="shared" ca="1" si="27"/>
        <v>3</v>
      </c>
      <c r="F54" s="26">
        <f t="shared" ca="1" si="28"/>
        <v>2</v>
      </c>
      <c r="G54" s="26">
        <f t="shared" ca="1" si="28"/>
        <v>1</v>
      </c>
      <c r="H54" s="26">
        <f t="shared" ca="1" si="28"/>
        <v>0</v>
      </c>
      <c r="I54" s="42">
        <v>1665</v>
      </c>
      <c r="J54" s="50">
        <f t="shared" si="34"/>
        <v>195.02363345277121</v>
      </c>
      <c r="K54" s="51">
        <f>430882*(1000000)</f>
        <v>430882000000</v>
      </c>
      <c r="L54" s="51">
        <f>430882*(1000000)</f>
        <v>430882000000</v>
      </c>
      <c r="M54" s="50">
        <f>8402*(1000000)</f>
        <v>8402000000</v>
      </c>
      <c r="N54" s="50">
        <f>9149*(1000000)</f>
        <v>9149000000</v>
      </c>
      <c r="O54" s="50">
        <f>12279*(1000000)</f>
        <v>12279000000</v>
      </c>
      <c r="P54" s="50">
        <f>12279*(1000000)</f>
        <v>12279000000</v>
      </c>
      <c r="Q54" s="50">
        <f>9149*(1000000)</f>
        <v>9149000000</v>
      </c>
      <c r="R54" s="21">
        <f t="shared" si="29"/>
        <v>-8.1648267570226252E-2</v>
      </c>
      <c r="S54" s="42">
        <v>62961600</v>
      </c>
      <c r="T54" s="261">
        <v>175.53</v>
      </c>
      <c r="U54" s="50">
        <f t="shared" si="30"/>
        <v>8.5374268262887867</v>
      </c>
      <c r="V54" s="21">
        <f t="shared" si="31"/>
        <v>0.10542342342342342</v>
      </c>
      <c r="W54" s="21">
        <f t="shared" si="32"/>
        <v>0.10542342342342342</v>
      </c>
      <c r="X54" s="21">
        <f t="shared" si="18"/>
        <v>1.9499538156618285E-2</v>
      </c>
      <c r="Y54" s="22">
        <v>2470</v>
      </c>
      <c r="Z54" s="27">
        <v>2100</v>
      </c>
      <c r="AA54" s="27">
        <f t="shared" ca="1" si="33"/>
        <v>0</v>
      </c>
      <c r="AB54" s="22" t="s">
        <v>24</v>
      </c>
    </row>
    <row r="55" spans="3:29" ht="30" customHeight="1" x14ac:dyDescent="0.3">
      <c r="C55" s="23" t="s">
        <v>70</v>
      </c>
      <c r="D55" s="26">
        <f t="shared" ca="1" si="27"/>
        <v>1</v>
      </c>
      <c r="E55" s="26">
        <f t="shared" ca="1" si="27"/>
        <v>3</v>
      </c>
      <c r="F55" s="26">
        <f t="shared" ca="1" si="28"/>
        <v>2</v>
      </c>
      <c r="G55" s="26">
        <f t="shared" ca="1" si="28"/>
        <v>-1</v>
      </c>
      <c r="H55" s="26">
        <f t="shared" ca="1" si="28"/>
        <v>2</v>
      </c>
      <c r="I55" s="42">
        <v>2345</v>
      </c>
      <c r="J55" s="50">
        <f t="shared" si="34"/>
        <v>260.14835301448539</v>
      </c>
      <c r="K55" s="51">
        <f>313038*(1000000)</f>
        <v>313038000000</v>
      </c>
      <c r="L55" s="51">
        <f>313038*(1000000)</f>
        <v>313038000000</v>
      </c>
      <c r="M55" s="289">
        <f>8319*(1000000)</f>
        <v>8319000000</v>
      </c>
      <c r="N55" s="289">
        <f>11266*(1000000)</f>
        <v>11266000000</v>
      </c>
      <c r="O55" s="289">
        <f>8475.035*(1000000)</f>
        <v>8475035000</v>
      </c>
      <c r="P55" s="289">
        <f>8475.035*(1000000)</f>
        <v>8475035000</v>
      </c>
      <c r="Q55" s="289">
        <f>11266*(1000000)</f>
        <v>11266000000</v>
      </c>
      <c r="R55" s="21">
        <f t="shared" si="29"/>
        <v>-0.26158352565240545</v>
      </c>
      <c r="S55" s="71">
        <v>32577700</v>
      </c>
      <c r="T55" s="256">
        <v>241.01</v>
      </c>
      <c r="U55" s="50">
        <f t="shared" si="30"/>
        <v>9.0140874344471733</v>
      </c>
      <c r="V55" s="21">
        <f t="shared" si="31"/>
        <v>0.10277611940298507</v>
      </c>
      <c r="W55" s="21">
        <f t="shared" si="32"/>
        <v>0.10277611940298507</v>
      </c>
      <c r="X55" s="21">
        <f t="shared" si="18"/>
        <v>2.6575048396680276E-2</v>
      </c>
      <c r="Y55" s="22">
        <v>2805</v>
      </c>
      <c r="Z55" s="27">
        <v>2612</v>
      </c>
      <c r="AA55" s="27">
        <f t="shared" ca="1" si="33"/>
        <v>3</v>
      </c>
      <c r="AB55" s="22" t="s">
        <v>20</v>
      </c>
      <c r="AC55" s="24"/>
    </row>
    <row r="56" spans="3:29" ht="30" customHeight="1" x14ac:dyDescent="0.3">
      <c r="C56" s="25" t="s">
        <v>71</v>
      </c>
      <c r="D56" s="28"/>
      <c r="E56" s="29"/>
      <c r="F56" s="29"/>
      <c r="G56" s="29"/>
      <c r="H56" s="29"/>
      <c r="I56" s="45"/>
      <c r="J56" s="88"/>
      <c r="K56" s="86"/>
      <c r="L56" s="86"/>
      <c r="M56" s="86"/>
      <c r="N56" s="86">
        <f>0*(1000000)</f>
        <v>0</v>
      </c>
      <c r="O56" s="86">
        <f>0*(1000000)</f>
        <v>0</v>
      </c>
      <c r="P56" s="86">
        <f>0*(1000000)</f>
        <v>0</v>
      </c>
      <c r="Q56" s="86">
        <f>0*(1000000)</f>
        <v>0</v>
      </c>
      <c r="R56" s="255"/>
      <c r="S56" s="45"/>
      <c r="T56" s="45"/>
      <c r="U56" s="52">
        <f>+AVERAGE(U57)</f>
        <v>151.46291676117033</v>
      </c>
      <c r="V56" s="30"/>
      <c r="W56" s="30"/>
      <c r="X56" s="30"/>
      <c r="Y56" s="30"/>
      <c r="Z56" s="30"/>
      <c r="AA56" s="30"/>
      <c r="AB56" s="43"/>
      <c r="AC56" s="24"/>
    </row>
    <row r="57" spans="3:29" ht="30" customHeight="1" x14ac:dyDescent="0.3">
      <c r="C57" s="23" t="s">
        <v>72</v>
      </c>
      <c r="D57" s="26">
        <f ca="1">+RANDBETWEEN(0,4)</f>
        <v>4</v>
      </c>
      <c r="E57" s="26">
        <f ca="1">+RANDBETWEEN(0,4)</f>
        <v>4</v>
      </c>
      <c r="F57" s="26">
        <f ca="1">+RANDBETWEEN(-1,2)</f>
        <v>2</v>
      </c>
      <c r="G57" s="26">
        <f ca="1">+RANDBETWEEN(-1,2)</f>
        <v>0</v>
      </c>
      <c r="H57" s="26">
        <f ca="1">+RANDBETWEEN(-1,2)</f>
        <v>2</v>
      </c>
      <c r="I57" s="42">
        <v>795</v>
      </c>
      <c r="J57" s="50">
        <f>+IF(P57="","",P57/S57)</f>
        <v>5.2488095238095234</v>
      </c>
      <c r="K57" s="51">
        <f>7072.575557*(1000000)</f>
        <v>7072575557</v>
      </c>
      <c r="L57" s="51">
        <f>7072.575557*(1000000)</f>
        <v>7072575557</v>
      </c>
      <c r="M57" s="50">
        <f>-1594.566326*(1000000)</f>
        <v>-1594566326</v>
      </c>
      <c r="N57" s="50">
        <f>348.728922*(1000000)</f>
        <v>348728922</v>
      </c>
      <c r="O57" s="50">
        <f>70.544*(1000000)</f>
        <v>70544000</v>
      </c>
      <c r="P57" s="50">
        <f>70.544*(1000000)</f>
        <v>70544000</v>
      </c>
      <c r="Q57" s="50">
        <f>348.728922*(1000000)</f>
        <v>348728922</v>
      </c>
      <c r="R57" s="21">
        <f t="shared" ref="R57" si="35">IF(M57="","",+(M57-N57)/N57)</f>
        <v>-5.5725095494086956</v>
      </c>
      <c r="S57" s="42">
        <v>13440000</v>
      </c>
      <c r="T57" s="256">
        <v>66.150000000000006</v>
      </c>
      <c r="U57" s="50">
        <f>IF(J57="","",IF(J57&lt;=0,"",I57/J57))</f>
        <v>151.46291676117033</v>
      </c>
      <c r="V57" s="21">
        <f>+T57/I57</f>
        <v>8.3207547169811324E-2</v>
      </c>
      <c r="W57" s="21">
        <f t="shared" si="32"/>
        <v>8.3207547169811324E-2</v>
      </c>
      <c r="X57" s="21">
        <f t="shared" si="18"/>
        <v>-0.22545765869150686</v>
      </c>
      <c r="Y57" s="22">
        <v>2250</v>
      </c>
      <c r="Z57" s="27">
        <v>1005</v>
      </c>
      <c r="AA57" s="27">
        <f ca="1">+RANDBETWEEN(-1,3)</f>
        <v>1</v>
      </c>
      <c r="AB57" s="27" t="s">
        <v>18</v>
      </c>
    </row>
    <row r="58" spans="3:29" ht="15" customHeight="1" x14ac:dyDescent="0.3">
      <c r="C58" s="34"/>
      <c r="D58" s="2"/>
      <c r="E58" s="2"/>
      <c r="F58" s="2"/>
      <c r="G58" s="2"/>
      <c r="H58" s="2"/>
      <c r="I58" s="40"/>
      <c r="J58" s="288"/>
      <c r="K58" s="2"/>
      <c r="L58" s="2"/>
      <c r="M58" s="2"/>
      <c r="N58" s="2"/>
      <c r="O58" s="90"/>
      <c r="P58" s="90"/>
      <c r="Q58" s="40"/>
      <c r="R58" s="40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 spans="3:29" x14ac:dyDescent="0.3">
      <c r="C59" s="35"/>
      <c r="D59" s="2"/>
      <c r="E59" s="2"/>
      <c r="F59" s="2"/>
      <c r="G59" s="2"/>
      <c r="H59" s="2"/>
      <c r="I59" s="40"/>
      <c r="J59" s="288"/>
      <c r="K59" s="2"/>
      <c r="L59" s="2"/>
      <c r="M59" s="2"/>
      <c r="N59" s="2"/>
      <c r="O59" s="90"/>
      <c r="P59" s="90"/>
      <c r="Q59" s="40"/>
      <c r="R59" s="40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 spans="3:29" x14ac:dyDescent="0.3">
      <c r="C60" s="2"/>
      <c r="D60" s="2"/>
      <c r="E60" s="2"/>
      <c r="F60" s="2"/>
      <c r="G60" s="2"/>
      <c r="H60" s="2"/>
      <c r="I60" s="40"/>
      <c r="J60" s="288"/>
      <c r="K60" s="2"/>
      <c r="L60" s="2"/>
      <c r="M60" s="2"/>
      <c r="N60" s="2"/>
      <c r="O60" s="90"/>
      <c r="P60" s="90"/>
      <c r="Q60" s="40"/>
      <c r="R60" s="40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 spans="3:29" x14ac:dyDescent="0.3">
      <c r="C61" s="36"/>
      <c r="D61" s="2"/>
      <c r="E61" s="2"/>
      <c r="F61" s="2"/>
      <c r="G61" s="2"/>
      <c r="H61" s="2"/>
      <c r="I61" s="40"/>
      <c r="J61" s="288"/>
      <c r="K61" s="2"/>
      <c r="L61" s="2"/>
      <c r="M61" s="2"/>
      <c r="N61" s="2"/>
      <c r="O61" s="90"/>
      <c r="P61" s="90"/>
      <c r="Q61" s="40"/>
      <c r="R61" s="40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 spans="3:29" x14ac:dyDescent="0.3">
      <c r="C62" s="36"/>
      <c r="D62" s="2"/>
      <c r="E62" s="2"/>
      <c r="F62" s="2"/>
      <c r="G62" s="2"/>
      <c r="H62" s="2"/>
      <c r="I62" s="40"/>
      <c r="J62" s="288"/>
      <c r="K62" s="2"/>
      <c r="L62" s="2"/>
      <c r="M62" s="2"/>
      <c r="N62" s="2"/>
      <c r="O62" s="90"/>
      <c r="P62" s="90"/>
      <c r="Q62" s="40"/>
      <c r="R62" s="40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 spans="3:29" x14ac:dyDescent="0.3">
      <c r="C63" s="36"/>
      <c r="D63" s="2"/>
      <c r="E63" s="2"/>
      <c r="F63" s="2"/>
      <c r="G63" s="2"/>
      <c r="H63" s="2"/>
      <c r="I63" s="40"/>
      <c r="J63" s="288"/>
      <c r="K63" s="2"/>
      <c r="L63" s="2"/>
      <c r="M63" s="2"/>
      <c r="N63" s="2"/>
      <c r="O63" s="90"/>
      <c r="P63" s="90"/>
      <c r="Q63" s="40"/>
      <c r="R63" s="40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 spans="3:29" x14ac:dyDescent="0.3">
      <c r="C64" s="36"/>
      <c r="D64" s="2"/>
      <c r="E64" s="2"/>
      <c r="F64" s="2"/>
      <c r="G64" s="2"/>
      <c r="H64" s="2"/>
      <c r="I64" s="40"/>
      <c r="J64" s="288"/>
      <c r="K64" s="2"/>
      <c r="L64" s="2"/>
      <c r="M64" s="2"/>
      <c r="N64" s="2"/>
      <c r="O64" s="90"/>
      <c r="P64" s="90"/>
      <c r="Q64" s="40"/>
      <c r="R64" s="40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 spans="3:28" x14ac:dyDescent="0.3">
      <c r="C65" s="36"/>
      <c r="D65" s="2"/>
      <c r="E65" s="2"/>
      <c r="F65" s="2"/>
      <c r="G65" s="2"/>
      <c r="H65" s="2"/>
      <c r="I65" s="40"/>
      <c r="J65" s="288"/>
      <c r="K65" s="2"/>
      <c r="L65" s="2"/>
      <c r="M65" s="2"/>
      <c r="N65" s="2"/>
      <c r="O65" s="90"/>
      <c r="P65" s="90"/>
      <c r="Q65" s="40"/>
      <c r="R65" s="40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 spans="3:28" x14ac:dyDescent="0.3">
      <c r="C66" s="36"/>
      <c r="D66" s="2"/>
      <c r="E66" s="2"/>
      <c r="F66" s="2"/>
      <c r="G66" s="2"/>
      <c r="H66" s="2"/>
      <c r="I66" s="40"/>
      <c r="J66" s="288"/>
      <c r="K66" s="2"/>
      <c r="L66" s="2"/>
      <c r="M66" s="2"/>
      <c r="N66" s="2"/>
      <c r="O66" s="90"/>
      <c r="P66" s="90"/>
      <c r="Q66" s="40"/>
      <c r="R66" s="40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 spans="3:28" x14ac:dyDescent="0.3">
      <c r="C67" s="36"/>
      <c r="D67" s="2"/>
      <c r="E67" s="2"/>
      <c r="F67" s="2"/>
      <c r="G67" s="2"/>
      <c r="H67" s="2"/>
      <c r="I67" s="40"/>
      <c r="J67" s="288"/>
      <c r="K67" s="2"/>
      <c r="L67" s="2"/>
      <c r="M67" s="2"/>
      <c r="N67" s="2"/>
      <c r="O67" s="90"/>
      <c r="P67" s="90"/>
      <c r="Q67" s="40"/>
      <c r="R67" s="40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 spans="3:28" x14ac:dyDescent="0.3">
      <c r="C68" s="36"/>
      <c r="D68" s="2"/>
      <c r="E68" s="2"/>
      <c r="F68" s="2"/>
      <c r="G68" s="2"/>
      <c r="H68" s="2"/>
      <c r="I68" s="40"/>
      <c r="J68" s="288"/>
      <c r="K68" s="2"/>
      <c r="L68" s="2"/>
      <c r="M68" s="2"/>
      <c r="N68" s="2"/>
      <c r="O68" s="90"/>
      <c r="P68" s="90"/>
      <c r="Q68" s="40"/>
      <c r="R68" s="40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 spans="3:28" x14ac:dyDescent="0.3">
      <c r="C69" s="36"/>
      <c r="D69" s="2"/>
      <c r="E69" s="2"/>
      <c r="F69" s="2"/>
      <c r="G69" s="2"/>
      <c r="H69" s="2"/>
      <c r="I69" s="40"/>
      <c r="J69" s="288"/>
      <c r="K69" s="2"/>
      <c r="L69" s="2"/>
      <c r="M69" s="2"/>
      <c r="N69" s="2"/>
      <c r="O69" s="90"/>
      <c r="P69" s="90"/>
      <c r="Q69" s="40"/>
      <c r="R69" s="40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 spans="3:28" x14ac:dyDescent="0.3">
      <c r="C70" s="36"/>
      <c r="D70" s="2"/>
      <c r="E70" s="2"/>
      <c r="F70" s="2"/>
      <c r="G70" s="2"/>
      <c r="H70" s="2"/>
      <c r="I70" s="40"/>
      <c r="J70" s="288"/>
      <c r="K70" s="2"/>
      <c r="L70" s="2"/>
      <c r="M70" s="2"/>
      <c r="N70" s="2"/>
      <c r="O70" s="90"/>
      <c r="P70" s="90"/>
      <c r="Q70" s="40"/>
      <c r="R70" s="40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 spans="3:28" x14ac:dyDescent="0.3">
      <c r="C71" s="36"/>
      <c r="D71" s="2"/>
      <c r="E71" s="2"/>
      <c r="F71" s="2"/>
      <c r="G71" s="2"/>
      <c r="H71" s="2"/>
      <c r="I71" s="40"/>
      <c r="J71" s="288"/>
      <c r="K71" s="2"/>
      <c r="L71" s="2"/>
      <c r="M71" s="2"/>
      <c r="N71" s="2"/>
      <c r="O71" s="90"/>
      <c r="P71" s="90"/>
      <c r="Q71" s="40"/>
      <c r="R71" s="40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 spans="3:28" x14ac:dyDescent="0.3">
      <c r="C72" s="36"/>
      <c r="D72" s="2"/>
      <c r="E72" s="2"/>
      <c r="F72" s="2"/>
      <c r="G72" s="2"/>
      <c r="H72" s="2"/>
      <c r="I72" s="40"/>
      <c r="J72" s="288"/>
      <c r="K72" s="2"/>
      <c r="L72" s="2"/>
      <c r="M72" s="2"/>
      <c r="N72" s="2"/>
      <c r="O72" s="90"/>
      <c r="P72" s="90"/>
      <c r="Q72" s="40"/>
      <c r="R72" s="40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 spans="3:28" x14ac:dyDescent="0.3">
      <c r="C73" s="36"/>
      <c r="D73" s="2"/>
      <c r="E73" s="2"/>
      <c r="F73" s="2"/>
      <c r="G73" s="2"/>
      <c r="H73" s="2"/>
      <c r="I73" s="40"/>
      <c r="J73" s="288"/>
      <c r="K73" s="2"/>
      <c r="L73" s="2"/>
      <c r="M73" s="2"/>
      <c r="N73" s="2"/>
      <c r="O73" s="90"/>
      <c r="P73" s="90"/>
      <c r="Q73" s="40"/>
      <c r="R73" s="40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 spans="3:28" x14ac:dyDescent="0.3">
      <c r="C74" s="36"/>
      <c r="D74" s="2"/>
      <c r="E74" s="2"/>
      <c r="F74" s="2"/>
      <c r="G74" s="2"/>
      <c r="H74" s="2"/>
      <c r="I74" s="40"/>
      <c r="J74" s="288"/>
      <c r="K74" s="2"/>
      <c r="L74" s="2"/>
      <c r="M74" s="2"/>
      <c r="N74" s="2"/>
      <c r="O74" s="90"/>
      <c r="P74" s="90"/>
      <c r="Q74" s="40"/>
      <c r="R74" s="40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 spans="3:28" x14ac:dyDescent="0.3">
      <c r="C75" s="36"/>
      <c r="D75" s="2"/>
      <c r="E75" s="2"/>
      <c r="F75" s="2"/>
      <c r="G75" s="2"/>
      <c r="H75" s="2"/>
      <c r="I75" s="40"/>
      <c r="J75" s="288"/>
      <c r="K75" s="2"/>
      <c r="L75" s="2"/>
      <c r="M75" s="2"/>
      <c r="N75" s="2"/>
      <c r="O75" s="90"/>
      <c r="P75" s="90"/>
      <c r="Q75" s="40"/>
      <c r="R75" s="40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 spans="3:28" x14ac:dyDescent="0.3">
      <c r="C76" s="36"/>
      <c r="D76" s="2"/>
      <c r="E76" s="2"/>
      <c r="F76" s="2"/>
      <c r="G76" s="2"/>
      <c r="H76" s="2"/>
      <c r="I76" s="40"/>
      <c r="J76" s="288"/>
      <c r="K76" s="2"/>
      <c r="L76" s="2"/>
      <c r="M76" s="2"/>
      <c r="N76" s="2"/>
      <c r="O76" s="90"/>
      <c r="P76" s="90"/>
      <c r="Q76" s="40"/>
      <c r="R76" s="40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 spans="3:28" x14ac:dyDescent="0.3">
      <c r="C77" s="36"/>
      <c r="D77" s="2"/>
      <c r="E77" s="2"/>
      <c r="F77" s="2"/>
      <c r="G77" s="2"/>
      <c r="H77" s="2"/>
      <c r="I77" s="40"/>
      <c r="J77" s="288"/>
      <c r="K77" s="2"/>
      <c r="L77" s="2"/>
      <c r="M77" s="2"/>
      <c r="N77" s="2"/>
      <c r="O77" s="90"/>
      <c r="P77" s="90"/>
      <c r="Q77" s="40"/>
      <c r="R77" s="40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 spans="3:28" x14ac:dyDescent="0.3">
      <c r="C78" s="37"/>
      <c r="Q78" s="39"/>
      <c r="R78" s="39"/>
    </row>
    <row r="79" spans="3:28" x14ac:dyDescent="0.3">
      <c r="C79" s="37"/>
      <c r="Q79" s="39"/>
      <c r="R79" s="39"/>
    </row>
    <row r="80" spans="3:28" x14ac:dyDescent="0.3">
      <c r="C80" s="37"/>
      <c r="Q80" s="39"/>
      <c r="R80" s="39"/>
    </row>
    <row r="81" spans="3:40" x14ac:dyDescent="0.3">
      <c r="C81" s="37"/>
      <c r="Q81" s="39"/>
      <c r="R81" s="39"/>
    </row>
    <row r="82" spans="3:40" x14ac:dyDescent="0.3">
      <c r="C82" s="37"/>
      <c r="Q82" s="39"/>
      <c r="R82" s="39"/>
    </row>
    <row r="83" spans="3:40" x14ac:dyDescent="0.3">
      <c r="C83" s="37"/>
      <c r="Q83" s="39"/>
      <c r="R83" s="39"/>
    </row>
    <row r="84" spans="3:40" x14ac:dyDescent="0.3">
      <c r="C84" s="37"/>
      <c r="Q84" s="39"/>
      <c r="R84" s="39"/>
    </row>
    <row r="85" spans="3:40" x14ac:dyDescent="0.3">
      <c r="C85" s="37"/>
      <c r="Q85" s="39"/>
      <c r="R85" s="39"/>
    </row>
    <row r="86" spans="3:40" x14ac:dyDescent="0.3">
      <c r="C86" s="37"/>
      <c r="Q86" s="39"/>
      <c r="R86" s="39"/>
    </row>
    <row r="87" spans="3:40" x14ac:dyDescent="0.3">
      <c r="C87" s="37"/>
      <c r="Q87" s="39"/>
      <c r="R87" s="39"/>
    </row>
    <row r="88" spans="3:40" x14ac:dyDescent="0.3">
      <c r="C88" s="37"/>
      <c r="Q88" s="39"/>
      <c r="R88" s="39"/>
    </row>
    <row r="89" spans="3:40" x14ac:dyDescent="0.3">
      <c r="C89" s="37"/>
      <c r="Q89" s="39"/>
      <c r="R89" s="39"/>
    </row>
    <row r="90" spans="3:40" x14ac:dyDescent="0.3">
      <c r="C90" s="37"/>
      <c r="Q90" s="39"/>
      <c r="R90" s="39"/>
    </row>
    <row r="91" spans="3:40" x14ac:dyDescent="0.3">
      <c r="C91" s="37"/>
      <c r="Q91" s="39"/>
      <c r="R91" s="39"/>
    </row>
    <row r="92" spans="3:40" x14ac:dyDescent="0.3">
      <c r="C92" s="37"/>
      <c r="Q92" s="39"/>
      <c r="R92" s="39"/>
    </row>
    <row r="93" spans="3:40" x14ac:dyDescent="0.3">
      <c r="C93" s="37"/>
      <c r="Q93" s="39"/>
      <c r="R93" s="39"/>
    </row>
    <row r="94" spans="3:40" x14ac:dyDescent="0.3">
      <c r="C94" s="37"/>
      <c r="Q94" s="39"/>
      <c r="R94" s="39"/>
    </row>
    <row r="95" spans="3:40" x14ac:dyDescent="0.3">
      <c r="C95" s="37"/>
      <c r="Q95" s="39"/>
      <c r="R95" s="39"/>
      <c r="AN95" s="38" t="s">
        <v>73</v>
      </c>
    </row>
    <row r="96" spans="3:40" x14ac:dyDescent="0.3">
      <c r="C96" s="37"/>
      <c r="Q96" s="39"/>
      <c r="R96" s="39"/>
    </row>
    <row r="97" spans="3:3" x14ac:dyDescent="0.3">
      <c r="C97" s="37"/>
    </row>
    <row r="98" spans="3:3" x14ac:dyDescent="0.3">
      <c r="C98" s="37"/>
    </row>
    <row r="99" spans="3:3" x14ac:dyDescent="0.3">
      <c r="C99" s="37"/>
    </row>
    <row r="100" spans="3:3" x14ac:dyDescent="0.3">
      <c r="C100" s="37"/>
    </row>
    <row r="101" spans="3:3" x14ac:dyDescent="0.3">
      <c r="C101" s="37"/>
    </row>
    <row r="102" spans="3:3" x14ac:dyDescent="0.3">
      <c r="C102" s="37"/>
    </row>
    <row r="103" spans="3:3" x14ac:dyDescent="0.3">
      <c r="C103" s="37"/>
    </row>
    <row r="104" spans="3:3" x14ac:dyDescent="0.3">
      <c r="C104" s="37"/>
    </row>
    <row r="105" spans="3:3" x14ac:dyDescent="0.3">
      <c r="C105" s="37"/>
    </row>
    <row r="106" spans="3:3" x14ac:dyDescent="0.3">
      <c r="C106" s="37"/>
    </row>
    <row r="107" spans="3:3" x14ac:dyDescent="0.3">
      <c r="C107" s="37"/>
    </row>
    <row r="108" spans="3:3" x14ac:dyDescent="0.3">
      <c r="C108" s="37"/>
    </row>
    <row r="109" spans="3:3" x14ac:dyDescent="0.3">
      <c r="C109" s="37"/>
    </row>
    <row r="110" spans="3:3" x14ac:dyDescent="0.3">
      <c r="C110" s="37"/>
    </row>
    <row r="111" spans="3:3" x14ac:dyDescent="0.3">
      <c r="C111" s="37"/>
    </row>
    <row r="112" spans="3:3" x14ac:dyDescent="0.3">
      <c r="C112" s="37"/>
    </row>
    <row r="113" spans="3:3" x14ac:dyDescent="0.3">
      <c r="C113" s="37"/>
    </row>
    <row r="114" spans="3:3" x14ac:dyDescent="0.3">
      <c r="C114" s="37"/>
    </row>
    <row r="115" spans="3:3" x14ac:dyDescent="0.3">
      <c r="C115" s="37"/>
    </row>
    <row r="116" spans="3:3" x14ac:dyDescent="0.3">
      <c r="C116" s="37"/>
    </row>
    <row r="117" spans="3:3" x14ac:dyDescent="0.3">
      <c r="C117" s="37"/>
    </row>
    <row r="118" spans="3:3" x14ac:dyDescent="0.3">
      <c r="C118" s="37"/>
    </row>
    <row r="119" spans="3:3" x14ac:dyDescent="0.3">
      <c r="C119" s="37"/>
    </row>
    <row r="120" spans="3:3" x14ac:dyDescent="0.3">
      <c r="C120" s="37"/>
    </row>
    <row r="121" spans="3:3" x14ac:dyDescent="0.3">
      <c r="C121" s="37"/>
    </row>
    <row r="122" spans="3:3" x14ac:dyDescent="0.3">
      <c r="C122" s="37"/>
    </row>
    <row r="123" spans="3:3" x14ac:dyDescent="0.3">
      <c r="C123" s="37"/>
    </row>
    <row r="124" spans="3:3" x14ac:dyDescent="0.3">
      <c r="C124" s="37"/>
    </row>
    <row r="125" spans="3:3" x14ac:dyDescent="0.3">
      <c r="C125" s="37"/>
    </row>
    <row r="126" spans="3:3" x14ac:dyDescent="0.3">
      <c r="C126" s="37"/>
    </row>
    <row r="127" spans="3:3" x14ac:dyDescent="0.3">
      <c r="C127" s="37"/>
    </row>
    <row r="128" spans="3:3" x14ac:dyDescent="0.3">
      <c r="C128" s="37"/>
    </row>
    <row r="129" spans="3:3" x14ac:dyDescent="0.3">
      <c r="C129" s="37"/>
    </row>
    <row r="130" spans="3:3" x14ac:dyDescent="0.3">
      <c r="C130" s="37"/>
    </row>
    <row r="131" spans="3:3" x14ac:dyDescent="0.3">
      <c r="C131" s="37"/>
    </row>
    <row r="132" spans="3:3" x14ac:dyDescent="0.3">
      <c r="C132" s="37"/>
    </row>
    <row r="133" spans="3:3" x14ac:dyDescent="0.3">
      <c r="C133" s="37"/>
    </row>
    <row r="134" spans="3:3" x14ac:dyDescent="0.3">
      <c r="C134" s="37"/>
    </row>
    <row r="135" spans="3:3" x14ac:dyDescent="0.3">
      <c r="C135" s="37"/>
    </row>
    <row r="136" spans="3:3" x14ac:dyDescent="0.3">
      <c r="C136" s="37"/>
    </row>
    <row r="137" spans="3:3" x14ac:dyDescent="0.3">
      <c r="C137" s="37"/>
    </row>
    <row r="138" spans="3:3" x14ac:dyDescent="0.3">
      <c r="C138" s="37"/>
    </row>
    <row r="139" spans="3:3" x14ac:dyDescent="0.3">
      <c r="C139" s="37"/>
    </row>
    <row r="140" spans="3:3" x14ac:dyDescent="0.3">
      <c r="C140" s="37"/>
    </row>
    <row r="141" spans="3:3" x14ac:dyDescent="0.3">
      <c r="C141" s="37"/>
    </row>
    <row r="142" spans="3:3" x14ac:dyDescent="0.3">
      <c r="C142" s="37"/>
    </row>
    <row r="143" spans="3:3" x14ac:dyDescent="0.3">
      <c r="C143" s="37"/>
    </row>
    <row r="144" spans="3:3" x14ac:dyDescent="0.3">
      <c r="C144" s="37"/>
    </row>
    <row r="145" spans="3:3" x14ac:dyDescent="0.3">
      <c r="C145" s="37"/>
    </row>
    <row r="146" spans="3:3" x14ac:dyDescent="0.3">
      <c r="C146" s="37"/>
    </row>
    <row r="147" spans="3:3" x14ac:dyDescent="0.3">
      <c r="C147" s="37"/>
    </row>
    <row r="148" spans="3:3" x14ac:dyDescent="0.3">
      <c r="C148" s="37"/>
    </row>
    <row r="149" spans="3:3" x14ac:dyDescent="0.3">
      <c r="C149" s="37"/>
    </row>
    <row r="150" spans="3:3" x14ac:dyDescent="0.3">
      <c r="C150" s="37"/>
    </row>
    <row r="151" spans="3:3" x14ac:dyDescent="0.3">
      <c r="C151" s="37"/>
    </row>
    <row r="152" spans="3:3" x14ac:dyDescent="0.3">
      <c r="C152" s="37"/>
    </row>
    <row r="153" spans="3:3" x14ac:dyDescent="0.3">
      <c r="C153" s="37"/>
    </row>
    <row r="154" spans="3:3" x14ac:dyDescent="0.3">
      <c r="C154" s="37"/>
    </row>
    <row r="155" spans="3:3" x14ac:dyDescent="0.3">
      <c r="C155" s="37"/>
    </row>
    <row r="156" spans="3:3" x14ac:dyDescent="0.3">
      <c r="C156" s="37"/>
    </row>
    <row r="157" spans="3:3" x14ac:dyDescent="0.3">
      <c r="C157" s="37"/>
    </row>
    <row r="158" spans="3:3" x14ac:dyDescent="0.3">
      <c r="C158" s="37"/>
    </row>
    <row r="159" spans="3:3" x14ac:dyDescent="0.3">
      <c r="C159" s="37"/>
    </row>
    <row r="160" spans="3:3" x14ac:dyDescent="0.3">
      <c r="C160" s="37"/>
    </row>
    <row r="161" spans="3:3" x14ac:dyDescent="0.3">
      <c r="C161" s="37"/>
    </row>
    <row r="162" spans="3:3" x14ac:dyDescent="0.3">
      <c r="C162" s="37"/>
    </row>
    <row r="163" spans="3:3" x14ac:dyDescent="0.3">
      <c r="C163" s="37"/>
    </row>
    <row r="164" spans="3:3" x14ac:dyDescent="0.3">
      <c r="C164" s="37"/>
    </row>
    <row r="165" spans="3:3" x14ac:dyDescent="0.3">
      <c r="C165" s="37"/>
    </row>
    <row r="166" spans="3:3" x14ac:dyDescent="0.3">
      <c r="C166" s="37"/>
    </row>
    <row r="167" spans="3:3" x14ac:dyDescent="0.3">
      <c r="C167" s="37"/>
    </row>
  </sheetData>
  <mergeCells count="2">
    <mergeCell ref="D2:H2"/>
    <mergeCell ref="J2:AA2"/>
  </mergeCells>
  <phoneticPr fontId="10" type="noConversion"/>
  <conditionalFormatting sqref="D6:E15">
    <cfRule type="iconSet" priority="19">
      <iconSet iconSet="5Arrows" showValue="0">
        <cfvo type="percent" val="0"/>
        <cfvo type="percent" val="20"/>
        <cfvo type="percent" val="40"/>
        <cfvo type="percent" val="60"/>
        <cfvo type="percent" val="80"/>
      </iconSet>
    </cfRule>
    <cfRule type="iconSet" priority="20">
      <iconSet iconSet="4Arrows">
        <cfvo type="percent" val="0"/>
        <cfvo type="percent" val="2"/>
        <cfvo type="percent" val="3"/>
        <cfvo type="percent" val="5"/>
      </iconSet>
    </cfRule>
  </conditionalFormatting>
  <conditionalFormatting sqref="D41:E41 D43:E47">
    <cfRule type="iconSet" priority="14">
      <iconSet iconSet="5Arrows" showValue="0">
        <cfvo type="percent" val="0"/>
        <cfvo type="percent" val="20"/>
        <cfvo type="percent" val="40"/>
        <cfvo type="percent" val="60"/>
        <cfvo type="percent" val="80"/>
      </iconSet>
    </cfRule>
    <cfRule type="iconSet" priority="15">
      <iconSet iconSet="4Arrows">
        <cfvo type="percent" val="0"/>
        <cfvo type="percent" val="2"/>
        <cfvo type="percent" val="3"/>
        <cfvo type="percent" val="5"/>
      </iconSet>
    </cfRule>
  </conditionalFormatting>
  <conditionalFormatting sqref="D42:E42">
    <cfRule type="iconSet" priority="4">
      <iconSet iconSet="5Arrows" showValue="0">
        <cfvo type="percent" val="0"/>
        <cfvo type="percent" val="20"/>
        <cfvo type="percent" val="40"/>
        <cfvo type="percent" val="60"/>
        <cfvo type="percent" val="80"/>
      </iconSet>
    </cfRule>
    <cfRule type="iconSet" priority="5">
      <iconSet iconSet="4Arrows">
        <cfvo type="percent" val="0"/>
        <cfvo type="percent" val="2"/>
        <cfvo type="percent" val="3"/>
        <cfvo type="percent" val="5"/>
      </iconSet>
    </cfRule>
  </conditionalFormatting>
  <conditionalFormatting sqref="D48:E48 D55:E57 D16:E40">
    <cfRule type="iconSet" priority="24">
      <iconSet iconSet="5Arrows" showValue="0">
        <cfvo type="percent" val="0"/>
        <cfvo type="percent" val="20"/>
        <cfvo type="percent" val="40"/>
        <cfvo type="percent" val="60"/>
        <cfvo type="percent" val="80"/>
      </iconSet>
    </cfRule>
    <cfRule type="iconSet" priority="25">
      <iconSet iconSet="4Arrows">
        <cfvo type="percent" val="0"/>
        <cfvo type="percent" val="2"/>
        <cfvo type="percent" val="3"/>
        <cfvo type="percent" val="5"/>
      </iconSet>
    </cfRule>
  </conditionalFormatting>
  <conditionalFormatting sqref="D49:E54">
    <cfRule type="iconSet" priority="9">
      <iconSet iconSet="5Arrows" showValue="0">
        <cfvo type="percent" val="0"/>
        <cfvo type="percent" val="20"/>
        <cfvo type="percent" val="40"/>
        <cfvo type="percent" val="60"/>
        <cfvo type="percent" val="80"/>
      </iconSet>
    </cfRule>
    <cfRule type="iconSet" priority="10">
      <iconSet iconSet="4Arrows">
        <cfvo type="percent" val="0"/>
        <cfvo type="percent" val="2"/>
        <cfvo type="percent" val="3"/>
        <cfvo type="percent" val="5"/>
      </iconSet>
    </cfRule>
  </conditionalFormatting>
  <conditionalFormatting sqref="AA6:AA15">
    <cfRule type="iconSet" priority="16">
      <iconSet iconSet="3Flags" showValue="0">
        <cfvo type="percent" val="0"/>
        <cfvo type="percent" val="1"/>
        <cfvo type="percent" val="3"/>
      </iconSet>
    </cfRule>
  </conditionalFormatting>
  <conditionalFormatting sqref="AA41 AA43:AA47">
    <cfRule type="iconSet" priority="11">
      <iconSet iconSet="3Flags" showValue="0">
        <cfvo type="percent" val="0"/>
        <cfvo type="percent" val="1"/>
        <cfvo type="percent" val="3"/>
      </iconSet>
    </cfRule>
  </conditionalFormatting>
  <conditionalFormatting sqref="AA42">
    <cfRule type="iconSet" priority="1">
      <iconSet iconSet="3Flags" showValue="0">
        <cfvo type="percent" val="0"/>
        <cfvo type="percent" val="1"/>
        <cfvo type="percent" val="3"/>
      </iconSet>
    </cfRule>
  </conditionalFormatting>
  <conditionalFormatting sqref="AA48 AA16:AA40 AA55:AA57">
    <cfRule type="iconSet" priority="21">
      <iconSet iconSet="3Flags" showValue="0">
        <cfvo type="percent" val="0"/>
        <cfvo type="percent" val="1"/>
        <cfvo type="percent" val="3"/>
      </iconSet>
    </cfRule>
  </conditionalFormatting>
  <conditionalFormatting sqref="AA49:AA54">
    <cfRule type="iconSet" priority="6">
      <iconSet iconSet="3Flags" showValue="0">
        <cfvo type="percent" val="0"/>
        <cfvo type="percent" val="1"/>
        <cfvo type="percent" val="3"/>
      </iconSet>
    </cfRule>
  </conditionalFormatting>
  <conditionalFormatting sqref="AA6:AB15">
    <cfRule type="iconSet" priority="17">
      <iconSet iconSet="4Rating" showValue="0">
        <cfvo type="percent" val="0"/>
        <cfvo type="num" val="1"/>
        <cfvo type="num" val="2"/>
        <cfvo type="num" val="4"/>
      </iconSet>
    </cfRule>
  </conditionalFormatting>
  <conditionalFormatting sqref="AA41:AB41 AA43:AB47">
    <cfRule type="iconSet" priority="12">
      <iconSet iconSet="4Rating" showValue="0">
        <cfvo type="percent" val="0"/>
        <cfvo type="num" val="1"/>
        <cfvo type="num" val="2"/>
        <cfvo type="num" val="4"/>
      </iconSet>
    </cfRule>
  </conditionalFormatting>
  <conditionalFormatting sqref="AA42:AB42">
    <cfRule type="iconSet" priority="2">
      <iconSet iconSet="4Rating" showValue="0">
        <cfvo type="percent" val="0"/>
        <cfvo type="num" val="1"/>
        <cfvo type="num" val="2"/>
        <cfvo type="num" val="4"/>
      </iconSet>
    </cfRule>
  </conditionalFormatting>
  <conditionalFormatting sqref="AA48:AB48 AA16:AB40 AA55:AB57">
    <cfRule type="iconSet" priority="22">
      <iconSet iconSet="4Rating" showValue="0">
        <cfvo type="percent" val="0"/>
        <cfvo type="num" val="1"/>
        <cfvo type="num" val="2"/>
        <cfvo type="num" val="4"/>
      </iconSet>
    </cfRule>
  </conditionalFormatting>
  <conditionalFormatting sqref="AA49:AB54">
    <cfRule type="iconSet" priority="7">
      <iconSet iconSet="4Rating" showValue="0">
        <cfvo type="percent" val="0"/>
        <cfvo type="num" val="1"/>
        <cfvo type="num" val="2"/>
        <cfvo type="num" val="4"/>
      </iconSet>
    </cfRule>
  </conditionalFormatting>
  <pageMargins left="0.7" right="0.7" top="0.75" bottom="0.75" header="0.3" footer="0.3"/>
  <pageSetup paperSize="9" scale="51" fitToHeight="0" orientation="landscape" horizontalDpi="4294967295" verticalDpi="4294967295" r:id="rId1"/>
  <ignoredErrors>
    <ignoredError sqref="U39 L16:M16 P10:Q16 P18:Q19 P17 U42 U48 U56 U23 P42:Q57 P41 P38:Q40 Q37 Q36 P23:Q25 P21:Q21 Q20 P27:Q28 Q26 P30:Q35 Q29" formula="1"/>
  </ignoredError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8" id="{AC9C7E15-607D-4D35-863B-C84B7371429C}">
            <x14:iconSet iconSet="3Triangles" showValue="0">
              <x14:cfvo type="percent">
                <xm:f>0</xm:f>
              </x14:cfvo>
              <x14:cfvo type="num">
                <xm:f>0</xm:f>
              </x14:cfvo>
              <x14:cfvo type="num">
                <xm:f>2</xm:f>
              </x14:cfvo>
            </x14:iconSet>
          </x14:cfRule>
          <xm:sqref>F6:H15</xm:sqref>
        </x14:conditionalFormatting>
        <x14:conditionalFormatting xmlns:xm="http://schemas.microsoft.com/office/excel/2006/main">
          <x14:cfRule type="iconSet" priority="13" id="{DADAE0FE-B4D3-4E83-9761-B4B00DE1F9BF}">
            <x14:iconSet iconSet="3Triangles" showValue="0">
              <x14:cfvo type="percent">
                <xm:f>0</xm:f>
              </x14:cfvo>
              <x14:cfvo type="num">
                <xm:f>0</xm:f>
              </x14:cfvo>
              <x14:cfvo type="num">
                <xm:f>2</xm:f>
              </x14:cfvo>
            </x14:iconSet>
          </x14:cfRule>
          <xm:sqref>F41:H41 F43:H47</xm:sqref>
        </x14:conditionalFormatting>
        <x14:conditionalFormatting xmlns:xm="http://schemas.microsoft.com/office/excel/2006/main">
          <x14:cfRule type="iconSet" priority="3" id="{4DBFAF66-29AB-412C-8506-F4CA4C8CCF2F}">
            <x14:iconSet iconSet="3Triangles" showValue="0">
              <x14:cfvo type="percent">
                <xm:f>0</xm:f>
              </x14:cfvo>
              <x14:cfvo type="num">
                <xm:f>0</xm:f>
              </x14:cfvo>
              <x14:cfvo type="num">
                <xm:f>2</xm:f>
              </x14:cfvo>
            </x14:iconSet>
          </x14:cfRule>
          <xm:sqref>F42:H42</xm:sqref>
        </x14:conditionalFormatting>
        <x14:conditionalFormatting xmlns:xm="http://schemas.microsoft.com/office/excel/2006/main">
          <x14:cfRule type="iconSet" priority="23" id="{27566612-1B64-4C5B-A09F-9894D1058D18}">
            <x14:iconSet iconSet="3Triangles" showValue="0">
              <x14:cfvo type="percent">
                <xm:f>0</xm:f>
              </x14:cfvo>
              <x14:cfvo type="num">
                <xm:f>0</xm:f>
              </x14:cfvo>
              <x14:cfvo type="num">
                <xm:f>2</xm:f>
              </x14:cfvo>
            </x14:iconSet>
          </x14:cfRule>
          <xm:sqref>F48:H48 F55:H57 F16:H40</xm:sqref>
        </x14:conditionalFormatting>
        <x14:conditionalFormatting xmlns:xm="http://schemas.microsoft.com/office/excel/2006/main">
          <x14:cfRule type="iconSet" priority="8" id="{7F68FBAE-0804-4E13-8A48-4858F9B4B4C4}">
            <x14:iconSet iconSet="3Triangles" showValue="0">
              <x14:cfvo type="percent">
                <xm:f>0</xm:f>
              </x14:cfvo>
              <x14:cfvo type="num">
                <xm:f>0</xm:f>
              </x14:cfvo>
              <x14:cfvo type="num">
                <xm:f>2</xm:f>
              </x14:cfvo>
            </x14:iconSet>
          </x14:cfRule>
          <xm:sqref>F49:H54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7348A-A309-4B5D-BC29-E46FF76CEAA0}">
  <sheetPr>
    <pageSetUpPr fitToPage="1"/>
  </sheetPr>
  <dimension ref="A2:V167"/>
  <sheetViews>
    <sheetView zoomScale="85" zoomScaleNormal="85" zoomScaleSheetLayoutView="100" workbookViewId="0">
      <selection activeCell="N28" sqref="N28"/>
    </sheetView>
  </sheetViews>
  <sheetFormatPr baseColWidth="10" defaultRowHeight="14.4" x14ac:dyDescent="0.3"/>
  <cols>
    <col min="2" max="2" width="8.6640625" customWidth="1"/>
    <col min="3" max="3" width="26.44140625" customWidth="1"/>
    <col min="4" max="4" width="9.6640625" style="284" bestFit="1" customWidth="1"/>
    <col min="5" max="5" width="19.109375" customWidth="1"/>
    <col min="6" max="6" width="20.33203125" bestFit="1" customWidth="1"/>
    <col min="7" max="7" width="21.6640625" style="81" customWidth="1"/>
    <col min="8" max="8" width="27.109375" customWidth="1"/>
    <col min="9" max="9" width="21.44140625" bestFit="1" customWidth="1"/>
    <col min="10" max="10" width="21.44140625" customWidth="1"/>
    <col min="11" max="11" width="15.44140625" customWidth="1"/>
    <col min="12" max="12" width="15.44140625" style="277" customWidth="1"/>
    <col min="13" max="13" width="11.44140625" customWidth="1"/>
    <col min="16" max="16" width="14.5546875" style="81" bestFit="1" customWidth="1"/>
  </cols>
  <sheetData>
    <row r="2" spans="1:12" x14ac:dyDescent="0.3">
      <c r="A2" s="39"/>
      <c r="C2" s="2"/>
      <c r="D2" s="419" t="s">
        <v>1</v>
      </c>
      <c r="E2" s="419"/>
      <c r="F2" s="419"/>
      <c r="G2" s="419"/>
      <c r="H2" s="419"/>
      <c r="I2" s="419"/>
      <c r="J2" s="419"/>
      <c r="K2" s="419"/>
      <c r="L2" s="383"/>
    </row>
    <row r="3" spans="1:12" x14ac:dyDescent="0.3">
      <c r="C3" s="4"/>
      <c r="D3" s="285"/>
      <c r="E3" s="5"/>
      <c r="F3" s="5"/>
      <c r="G3" s="82"/>
      <c r="H3" s="5"/>
      <c r="I3" s="5"/>
      <c r="J3" s="5"/>
      <c r="K3" s="5"/>
      <c r="L3" s="384"/>
    </row>
    <row r="4" spans="1:12" ht="60.75" customHeight="1" x14ac:dyDescent="0.3">
      <c r="C4" s="8" t="s">
        <v>3</v>
      </c>
      <c r="D4" s="286" t="s">
        <v>9</v>
      </c>
      <c r="E4" s="12" t="s">
        <v>136</v>
      </c>
      <c r="F4" s="12" t="s">
        <v>137</v>
      </c>
      <c r="G4" s="83" t="s">
        <v>123</v>
      </c>
      <c r="H4" s="65" t="s">
        <v>78</v>
      </c>
      <c r="I4" s="61" t="s">
        <v>75</v>
      </c>
      <c r="J4" s="61"/>
      <c r="K4" s="61" t="s">
        <v>74</v>
      </c>
      <c r="L4" s="385"/>
    </row>
    <row r="5" spans="1:12" ht="30" customHeight="1" x14ac:dyDescent="0.3">
      <c r="C5" s="17" t="s">
        <v>16</v>
      </c>
      <c r="D5" s="287"/>
      <c r="E5" s="59"/>
      <c r="F5" s="59"/>
      <c r="G5" s="59"/>
      <c r="H5" s="59"/>
      <c r="I5" s="59"/>
      <c r="J5" s="59"/>
      <c r="K5" s="59"/>
      <c r="L5" s="386"/>
    </row>
    <row r="6" spans="1:12" ht="30" customHeight="1" x14ac:dyDescent="0.3">
      <c r="C6" s="18" t="s">
        <v>17</v>
      </c>
      <c r="D6" s="50">
        <f t="shared" ref="D6:D16" si="0">+IF(G6="","",G6/I6)</f>
        <v>181.61854189189188</v>
      </c>
      <c r="E6" s="51"/>
      <c r="F6" s="50"/>
      <c r="G6" s="50">
        <f>1075.181768*(1000000)</f>
        <v>1075181768</v>
      </c>
      <c r="H6" s="21" t="str">
        <f>IF(F6="","",+(F6-#REF!)/#REF!)</f>
        <v/>
      </c>
      <c r="I6" s="51">
        <v>5920000</v>
      </c>
      <c r="J6" s="51"/>
      <c r="K6" s="260">
        <v>69</v>
      </c>
      <c r="L6" s="387"/>
    </row>
    <row r="7" spans="1:12" ht="30" customHeight="1" x14ac:dyDescent="0.3">
      <c r="C7" s="18" t="s">
        <v>19</v>
      </c>
      <c r="D7" s="50">
        <f t="shared" si="0"/>
        <v>10.882432602983322</v>
      </c>
      <c r="E7" s="51"/>
      <c r="F7" s="289"/>
      <c r="G7" s="289">
        <f>153.483*(1000000)</f>
        <v>153483000</v>
      </c>
      <c r="H7" s="290" t="e">
        <f>-IF(F7="","",+(F7-#REF!)/#REF!)</f>
        <v>#VALUE!</v>
      </c>
      <c r="I7" s="51">
        <v>14103740</v>
      </c>
      <c r="J7" s="51"/>
      <c r="K7" s="50">
        <v>235</v>
      </c>
      <c r="L7" s="388"/>
    </row>
    <row r="8" spans="1:12" ht="30" customHeight="1" x14ac:dyDescent="0.3">
      <c r="C8" s="18" t="s">
        <v>21</v>
      </c>
      <c r="D8" s="50">
        <f t="shared" si="0"/>
        <v>94.964834626825919</v>
      </c>
      <c r="E8" s="51"/>
      <c r="F8" s="50"/>
      <c r="G8" s="50">
        <f>1212.30446*(1000000)</f>
        <v>1212304460</v>
      </c>
      <c r="H8" s="21" t="str">
        <f>IF(F8="","",+(F8-#REF!)/#REF!)</f>
        <v/>
      </c>
      <c r="I8" s="51">
        <v>12765825</v>
      </c>
      <c r="J8" s="51"/>
      <c r="K8" s="50">
        <v>35.25</v>
      </c>
      <c r="L8" s="388"/>
    </row>
    <row r="9" spans="1:12" ht="30" customHeight="1" x14ac:dyDescent="0.3">
      <c r="C9" s="18" t="s">
        <v>23</v>
      </c>
      <c r="D9" s="50">
        <f t="shared" si="0"/>
        <v>753.36396386109902</v>
      </c>
      <c r="E9" s="51"/>
      <c r="F9" s="50"/>
      <c r="G9" s="50">
        <f>16627.044028*(1000000)</f>
        <v>16627044028</v>
      </c>
      <c r="H9" s="21" t="str">
        <f>IF(F9="","",+(F9-#REF!)/#REF!)</f>
        <v/>
      </c>
      <c r="I9" s="51">
        <v>22070400</v>
      </c>
      <c r="J9" s="51"/>
      <c r="K9" s="260">
        <v>728.1</v>
      </c>
      <c r="L9" s="387"/>
    </row>
    <row r="10" spans="1:12" ht="30" customHeight="1" x14ac:dyDescent="0.3">
      <c r="C10" s="18" t="s">
        <v>25</v>
      </c>
      <c r="D10" s="50">
        <f t="shared" si="0"/>
        <v>153.14996188903356</v>
      </c>
      <c r="E10" s="51"/>
      <c r="F10" s="50"/>
      <c r="G10" s="50">
        <f>3857.78628*(1000000)</f>
        <v>3857786280</v>
      </c>
      <c r="H10" s="21" t="str">
        <f>IF(F10="","",+(F10-#REF!)/#REF!)</f>
        <v/>
      </c>
      <c r="I10" s="51">
        <v>25189600</v>
      </c>
      <c r="J10" s="51"/>
      <c r="K10" s="51">
        <v>14.4</v>
      </c>
      <c r="L10" s="388"/>
    </row>
    <row r="11" spans="1:12" ht="30" customHeight="1" x14ac:dyDescent="0.3">
      <c r="C11" s="18" t="s">
        <v>26</v>
      </c>
      <c r="D11" s="50">
        <f t="shared" si="0"/>
        <v>46.112585527822304</v>
      </c>
      <c r="E11" s="51"/>
      <c r="F11" s="50"/>
      <c r="G11" s="50">
        <f>402.747322*(1000000)</f>
        <v>402747322</v>
      </c>
      <c r="H11" s="21" t="str">
        <f>IF(F11="","",+(F11-#REF!)/#REF!)</f>
        <v/>
      </c>
      <c r="I11" s="51">
        <v>8734000</v>
      </c>
      <c r="J11" s="51"/>
      <c r="K11" s="51">
        <v>63</v>
      </c>
      <c r="L11" s="388"/>
    </row>
    <row r="12" spans="1:12" ht="30" customHeight="1" x14ac:dyDescent="0.3">
      <c r="C12" s="18" t="s">
        <v>27</v>
      </c>
      <c r="D12" s="50">
        <f t="shared" si="0"/>
        <v>739.33043514182748</v>
      </c>
      <c r="E12" s="51"/>
      <c r="F12" s="50"/>
      <c r="G12" s="50">
        <f>1217*(1000000)</f>
        <v>1217000000</v>
      </c>
      <c r="H12" s="21" t="str">
        <f>IF(F12="","",+(F12-#REF!)/#REF!)</f>
        <v/>
      </c>
      <c r="I12" s="51">
        <v>1646084</v>
      </c>
      <c r="J12" s="51"/>
      <c r="K12" s="112">
        <v>4050</v>
      </c>
      <c r="L12" s="387"/>
    </row>
    <row r="13" spans="1:12" ht="30" customHeight="1" x14ac:dyDescent="0.3">
      <c r="C13" s="18" t="s">
        <v>28</v>
      </c>
      <c r="D13" s="50">
        <f t="shared" si="0"/>
        <v>1208.5642446633826</v>
      </c>
      <c r="E13" s="51"/>
      <c r="F13" s="50"/>
      <c r="G13" s="50">
        <f>9421*(1000000)</f>
        <v>9421000000</v>
      </c>
      <c r="H13" s="21" t="str">
        <f>IF(F13="","",+(F13-#REF!)/#REF!)</f>
        <v/>
      </c>
      <c r="I13" s="51">
        <v>7795200</v>
      </c>
      <c r="J13" s="51"/>
      <c r="K13" s="112">
        <v>720</v>
      </c>
      <c r="L13" s="387"/>
    </row>
    <row r="14" spans="1:12" ht="30" customHeight="1" x14ac:dyDescent="0.3">
      <c r="C14" s="18" t="s">
        <v>29</v>
      </c>
      <c r="D14" s="50">
        <f t="shared" si="0"/>
        <v>623.3903097744361</v>
      </c>
      <c r="E14" s="51"/>
      <c r="F14" s="50"/>
      <c r="G14" s="50">
        <f>11192.973012*(1000000)</f>
        <v>11192973012</v>
      </c>
      <c r="H14" s="21" t="str">
        <f>IF(F14="","",+(F14-#REF!)/#REF!)</f>
        <v/>
      </c>
      <c r="I14" s="51">
        <v>17955000</v>
      </c>
      <c r="J14" s="51"/>
      <c r="K14" s="262">
        <v>551</v>
      </c>
      <c r="L14" s="387"/>
    </row>
    <row r="15" spans="1:12" ht="30" customHeight="1" x14ac:dyDescent="0.3">
      <c r="C15" s="18" t="s">
        <v>30</v>
      </c>
      <c r="D15" s="50">
        <f t="shared" si="0"/>
        <v>-695.014960254372</v>
      </c>
      <c r="E15" s="51"/>
      <c r="F15" s="50"/>
      <c r="G15" s="50">
        <f>-6382.600386*(1000000)</f>
        <v>-6382600386</v>
      </c>
      <c r="H15" s="21" t="str">
        <f>IF(F15="","",+(F15-#REF!)/#REF!)</f>
        <v/>
      </c>
      <c r="I15" s="70">
        <v>9183400</v>
      </c>
      <c r="J15" s="70"/>
      <c r="K15" s="51">
        <v>1233</v>
      </c>
      <c r="L15" s="388"/>
    </row>
    <row r="16" spans="1:12" ht="30" customHeight="1" x14ac:dyDescent="0.3">
      <c r="C16" s="23" t="s">
        <v>31</v>
      </c>
      <c r="D16" s="50">
        <f t="shared" si="0"/>
        <v>-62.58674563855422</v>
      </c>
      <c r="E16" s="51"/>
      <c r="F16" s="50"/>
      <c r="G16" s="50">
        <f>-1298.674972*(1000000)</f>
        <v>-1298674972</v>
      </c>
      <c r="H16" s="21" t="str">
        <f>IF(F16="","",+(F16-#REF!)/#REF!)</f>
        <v/>
      </c>
      <c r="I16" s="51">
        <v>20750000</v>
      </c>
      <c r="J16" s="51"/>
      <c r="K16" s="264">
        <v>60.75</v>
      </c>
      <c r="L16" s="389"/>
    </row>
    <row r="17" spans="3:16" ht="30" customHeight="1" x14ac:dyDescent="0.3">
      <c r="C17" s="25" t="s">
        <v>32</v>
      </c>
      <c r="D17" s="86"/>
      <c r="E17" s="86"/>
      <c r="F17" s="86"/>
      <c r="G17" s="86">
        <f>0*(1000000)</f>
        <v>0</v>
      </c>
      <c r="H17" s="254"/>
      <c r="I17" s="53"/>
      <c r="J17" s="53"/>
      <c r="K17" s="53"/>
      <c r="L17" s="390"/>
    </row>
    <row r="18" spans="3:16" ht="30" customHeight="1" x14ac:dyDescent="0.3">
      <c r="C18" s="23" t="s">
        <v>33</v>
      </c>
      <c r="D18" s="50">
        <f>+IF(G18="","",G18/I18)</f>
        <v>175.33928571428572</v>
      </c>
      <c r="E18" s="51"/>
      <c r="F18" s="50"/>
      <c r="G18" s="50">
        <f>9819*(1000000)</f>
        <v>9819000000</v>
      </c>
      <c r="H18" s="21" t="str">
        <f>IF(F18="","",+(F18-#REF!)/#REF!)</f>
        <v/>
      </c>
      <c r="I18" s="42">
        <v>56000000</v>
      </c>
      <c r="J18" s="42"/>
      <c r="K18" s="256">
        <v>157.5</v>
      </c>
      <c r="L18" s="391"/>
    </row>
    <row r="19" spans="3:16" ht="30" customHeight="1" x14ac:dyDescent="0.3">
      <c r="C19" s="23" t="s">
        <v>34</v>
      </c>
      <c r="D19" s="50">
        <f>+IF(G19="","",G19/I19)</f>
        <v>329.00496170588235</v>
      </c>
      <c r="E19" s="51"/>
      <c r="F19" s="50"/>
      <c r="G19" s="50">
        <f>22372.337396*(1000000)</f>
        <v>22372337396</v>
      </c>
      <c r="H19" s="21" t="str">
        <f>IF(F19="","",+(F19-#REF!)/#REF!)</f>
        <v/>
      </c>
      <c r="I19" s="42">
        <v>68000000</v>
      </c>
      <c r="J19" s="42"/>
      <c r="K19" s="256">
        <v>287.88</v>
      </c>
      <c r="L19" s="391"/>
    </row>
    <row r="20" spans="3:16" ht="30" customHeight="1" x14ac:dyDescent="0.3">
      <c r="C20" s="23" t="s">
        <v>117</v>
      </c>
      <c r="D20" s="50">
        <f>+IF(G20="","",G20/I20)</f>
        <v>1018.782273580062</v>
      </c>
      <c r="E20" s="51">
        <v>1016500000000</v>
      </c>
      <c r="F20" s="50">
        <v>154900000000</v>
      </c>
      <c r="G20" s="50">
        <f>153485*(1000000)</f>
        <v>153485000000</v>
      </c>
      <c r="H20" s="21">
        <f>IF(F20="","",+(F20-G20)/G20)</f>
        <v>9.2191419356940415E-3</v>
      </c>
      <c r="I20" s="42">
        <v>150655350</v>
      </c>
      <c r="J20" s="382">
        <v>780</v>
      </c>
      <c r="K20" s="256">
        <v>752.76</v>
      </c>
      <c r="L20" s="391">
        <v>45446</v>
      </c>
      <c r="N20">
        <v>2921</v>
      </c>
      <c r="P20" s="81">
        <f>+N20*J20</f>
        <v>2278380</v>
      </c>
    </row>
    <row r="21" spans="3:16" ht="30" customHeight="1" x14ac:dyDescent="0.3">
      <c r="C21" s="23" t="s">
        <v>35</v>
      </c>
      <c r="D21" s="50">
        <f>+IF(G21="","",G21/I21)</f>
        <v>533.94633333333331</v>
      </c>
      <c r="E21" s="51"/>
      <c r="F21" s="50"/>
      <c r="G21" s="50">
        <f>4805.517*(1000000)</f>
        <v>4805517000</v>
      </c>
      <c r="H21" s="21" t="str">
        <f>IF(F21="","",+(F21-#REF!)/#REF!)</f>
        <v/>
      </c>
      <c r="I21" s="42">
        <v>9000000</v>
      </c>
      <c r="J21" s="42"/>
      <c r="K21" s="256">
        <v>450</v>
      </c>
      <c r="L21" s="391"/>
      <c r="N21" t="s">
        <v>36</v>
      </c>
    </row>
    <row r="22" spans="3:16" ht="30" customHeight="1" x14ac:dyDescent="0.3">
      <c r="C22" s="23" t="s">
        <v>37</v>
      </c>
      <c r="D22" s="50">
        <f>+IF(G22="","",G22/I22)</f>
        <v>2789.12</v>
      </c>
      <c r="E22" s="51">
        <v>1620700751000</v>
      </c>
      <c r="F22" s="50">
        <v>331748328000</v>
      </c>
      <c r="G22" s="50">
        <f>278912*(1000000)</f>
        <v>278912000000</v>
      </c>
      <c r="H22" s="21">
        <f>IF(F22="","",+(F22-G22)/G22)</f>
        <v>0.18943727053694356</v>
      </c>
      <c r="I22" s="42">
        <v>100000000</v>
      </c>
      <c r="J22" s="382">
        <v>1575</v>
      </c>
      <c r="K22" s="256">
        <v>1500</v>
      </c>
      <c r="L22" s="391">
        <v>45429</v>
      </c>
    </row>
    <row r="23" spans="3:16" ht="30" customHeight="1" x14ac:dyDescent="0.3">
      <c r="C23" s="25" t="s">
        <v>38</v>
      </c>
      <c r="D23" s="86"/>
      <c r="E23" s="86"/>
      <c r="F23" s="86"/>
      <c r="G23" s="86">
        <f>0*(1000000)</f>
        <v>0</v>
      </c>
      <c r="H23" s="254"/>
      <c r="I23" s="53"/>
      <c r="J23" s="53"/>
      <c r="K23" s="53"/>
      <c r="L23" s="390"/>
      <c r="N23">
        <v>1598</v>
      </c>
      <c r="P23" s="81">
        <f>+J22*N23</f>
        <v>2516850</v>
      </c>
    </row>
    <row r="24" spans="3:16" ht="30" customHeight="1" x14ac:dyDescent="0.3">
      <c r="C24" s="18" t="s">
        <v>39</v>
      </c>
      <c r="D24" s="50">
        <f t="shared" ref="D24:D38" si="1">+IF(G24="","",G24/I24)</f>
        <v>743.45985130802978</v>
      </c>
      <c r="E24" s="51"/>
      <c r="F24" s="50"/>
      <c r="G24" s="50">
        <f>12391*(1000000)</f>
        <v>12391000000</v>
      </c>
      <c r="H24" s="21" t="str">
        <f>IF(F24="","",+(F24-#REF!)/#REF!)</f>
        <v/>
      </c>
      <c r="I24" s="51">
        <v>16666670</v>
      </c>
      <c r="J24" s="51"/>
      <c r="K24" s="112">
        <v>401.4</v>
      </c>
      <c r="L24" s="387"/>
    </row>
    <row r="25" spans="3:16" ht="30" customHeight="1" x14ac:dyDescent="0.3">
      <c r="C25" s="23" t="s">
        <v>40</v>
      </c>
      <c r="D25" s="50">
        <f t="shared" si="1"/>
        <v>943.91854485613885</v>
      </c>
      <c r="E25" s="51"/>
      <c r="F25" s="50"/>
      <c r="G25" s="50">
        <f>19143.162703*(1000000)</f>
        <v>19143162703</v>
      </c>
      <c r="H25" s="21" t="str">
        <f>IF(F25="","",+(F25-#REF!)/#REF!)</f>
        <v/>
      </c>
      <c r="I25" s="42">
        <v>20280524</v>
      </c>
      <c r="J25" s="42"/>
      <c r="K25" s="256">
        <v>627</v>
      </c>
      <c r="L25" s="391"/>
    </row>
    <row r="26" spans="3:16" ht="30" customHeight="1" x14ac:dyDescent="0.3">
      <c r="C26" s="23" t="s">
        <v>41</v>
      </c>
      <c r="D26" s="50">
        <f t="shared" si="1"/>
        <v>1158.0425305454546</v>
      </c>
      <c r="E26" s="51">
        <v>60576445149</v>
      </c>
      <c r="F26" s="50">
        <v>29062589535</v>
      </c>
      <c r="G26" s="50">
        <f>25476.935672*(1000000)</f>
        <v>25476935672</v>
      </c>
      <c r="H26" s="21">
        <f>IF(F26="","",+(F26-G26)/G26)</f>
        <v>0.14074117504409106</v>
      </c>
      <c r="I26" s="42">
        <v>22000000</v>
      </c>
      <c r="J26" s="382">
        <v>704</v>
      </c>
      <c r="K26" s="256">
        <v>577</v>
      </c>
      <c r="L26" s="391">
        <v>45418</v>
      </c>
    </row>
    <row r="27" spans="3:16" ht="30" customHeight="1" x14ac:dyDescent="0.3">
      <c r="C27" s="23" t="s">
        <v>42</v>
      </c>
      <c r="D27" s="50">
        <f t="shared" si="1"/>
        <v>1003.45</v>
      </c>
      <c r="E27" s="51">
        <v>60811000000</v>
      </c>
      <c r="F27" s="50">
        <v>26075000000</v>
      </c>
      <c r="G27" s="50">
        <f>20069*(1000000)</f>
        <v>20069000000</v>
      </c>
      <c r="H27" s="21">
        <f>IF(F27="","",+(F27-G27)/G27)</f>
        <v>0.29926752703174048</v>
      </c>
      <c r="I27" s="42">
        <v>20000000</v>
      </c>
      <c r="J27" s="382">
        <v>684</v>
      </c>
      <c r="K27" s="256">
        <v>540</v>
      </c>
      <c r="L27" s="391">
        <v>45411</v>
      </c>
    </row>
    <row r="28" spans="3:16" ht="30" customHeight="1" x14ac:dyDescent="0.3">
      <c r="C28" s="23" t="s">
        <v>43</v>
      </c>
      <c r="D28" s="50">
        <f t="shared" si="1"/>
        <v>159.25420588996764</v>
      </c>
      <c r="E28" s="51"/>
      <c r="F28" s="50"/>
      <c r="G28" s="50">
        <f>2460.477481*(1000000)</f>
        <v>2460477481</v>
      </c>
      <c r="H28" s="21" t="str">
        <f>IF(F28="","",+(F28-#REF!)/#REF!)</f>
        <v/>
      </c>
      <c r="I28" s="42">
        <v>15450000</v>
      </c>
      <c r="J28" s="42"/>
      <c r="K28" s="256">
        <v>271</v>
      </c>
      <c r="L28" s="391"/>
    </row>
    <row r="29" spans="3:16" ht="30" customHeight="1" x14ac:dyDescent="0.3">
      <c r="C29" s="23" t="s">
        <v>44</v>
      </c>
      <c r="D29" s="50">
        <f t="shared" si="1"/>
        <v>779.54532700000004</v>
      </c>
      <c r="E29" s="51">
        <v>26975950000</v>
      </c>
      <c r="F29" s="50">
        <v>10076730000</v>
      </c>
      <c r="G29" s="50">
        <f>10134.089251*(1000000)</f>
        <v>10134089251</v>
      </c>
      <c r="H29" s="21">
        <f>IF(F29="","",+(F29-G29)/G29)</f>
        <v>-5.6600301792625292E-3</v>
      </c>
      <c r="I29" s="42">
        <v>13000000</v>
      </c>
      <c r="J29" s="42"/>
      <c r="K29" s="256">
        <v>613.79999999999995</v>
      </c>
      <c r="L29" s="391"/>
    </row>
    <row r="30" spans="3:16" ht="30" customHeight="1" x14ac:dyDescent="0.3">
      <c r="C30" s="23" t="s">
        <v>45</v>
      </c>
      <c r="D30" s="50">
        <f t="shared" si="1"/>
        <v>649.20833333333337</v>
      </c>
      <c r="E30" s="51"/>
      <c r="F30" s="50"/>
      <c r="G30" s="50">
        <f>15581*(1000000)</f>
        <v>15581000000</v>
      </c>
      <c r="H30" s="21" t="str">
        <f>IF(F30="","",+(F30-#REF!)/#REF!)</f>
        <v/>
      </c>
      <c r="I30" s="42">
        <v>24000000</v>
      </c>
      <c r="J30" s="42"/>
      <c r="K30" s="256">
        <v>187.5</v>
      </c>
      <c r="L30" s="391"/>
    </row>
    <row r="31" spans="3:16" ht="30" customHeight="1" x14ac:dyDescent="0.3">
      <c r="C31" s="23" t="s">
        <v>46</v>
      </c>
      <c r="D31" s="50">
        <f t="shared" si="1"/>
        <v>1764.9375</v>
      </c>
      <c r="E31" s="51"/>
      <c r="F31" s="50"/>
      <c r="G31" s="50">
        <f>56478*(1000000)</f>
        <v>56478000000</v>
      </c>
      <c r="H31" s="21" t="str">
        <f>IF(F31="","",+(F31-#REF!)/#REF!)</f>
        <v/>
      </c>
      <c r="I31" s="42">
        <v>32000000</v>
      </c>
      <c r="J31" s="42"/>
      <c r="K31" s="256">
        <v>525</v>
      </c>
      <c r="L31" s="391"/>
    </row>
    <row r="32" spans="3:16" ht="30" customHeight="1" x14ac:dyDescent="0.3">
      <c r="C32" s="23" t="s">
        <v>47</v>
      </c>
      <c r="D32" s="50">
        <f t="shared" si="1"/>
        <v>810.12741005547628</v>
      </c>
      <c r="E32" s="51"/>
      <c r="F32" s="50"/>
      <c r="G32" s="50">
        <f>44598*(1000000)</f>
        <v>44598000000</v>
      </c>
      <c r="H32" s="21" t="str">
        <f>IF(F32="","",+(F32-#REF!)/#REF!)</f>
        <v/>
      </c>
      <c r="I32" s="42">
        <v>55050600</v>
      </c>
      <c r="J32" s="42"/>
      <c r="K32" s="256">
        <v>549</v>
      </c>
      <c r="L32" s="391"/>
    </row>
    <row r="33" spans="3:16" ht="30" customHeight="1" x14ac:dyDescent="0.3">
      <c r="C33" s="23" t="s">
        <v>48</v>
      </c>
      <c r="D33" s="50">
        <f t="shared" si="1"/>
        <v>12.649228602578249</v>
      </c>
      <c r="E33" s="51"/>
      <c r="F33" s="50"/>
      <c r="G33" s="50">
        <f>228750*(1000000)</f>
        <v>228750000000</v>
      </c>
      <c r="H33" s="21" t="str">
        <f>IF(F33="","",+(F33-#REF!)/#REF!)</f>
        <v/>
      </c>
      <c r="I33" s="42">
        <v>18084106722</v>
      </c>
      <c r="J33" s="42"/>
      <c r="K33" s="256">
        <v>0.6</v>
      </c>
      <c r="L33" s="391"/>
    </row>
    <row r="34" spans="3:16" ht="30" customHeight="1" x14ac:dyDescent="0.3">
      <c r="C34" s="23" t="s">
        <v>49</v>
      </c>
      <c r="D34" s="50">
        <f t="shared" si="1"/>
        <v>1309.1797181693703</v>
      </c>
      <c r="E34" s="51"/>
      <c r="F34" s="50"/>
      <c r="G34" s="50">
        <f>32382*(1000000)</f>
        <v>32382000000</v>
      </c>
      <c r="H34" s="21" t="str">
        <f>IF(F34="","",+(F34-#REF!)/#REF!)</f>
        <v/>
      </c>
      <c r="I34" s="42">
        <v>24734572</v>
      </c>
      <c r="J34" s="42"/>
      <c r="K34" s="42">
        <v>363.6</v>
      </c>
      <c r="L34" s="383"/>
    </row>
    <row r="35" spans="3:16" ht="30" customHeight="1" x14ac:dyDescent="0.3">
      <c r="C35" s="23" t="s">
        <v>50</v>
      </c>
      <c r="D35" s="50">
        <f t="shared" si="1"/>
        <v>276.58274761845166</v>
      </c>
      <c r="E35" s="51"/>
      <c r="F35" s="50"/>
      <c r="G35" s="50">
        <f>19199*(1000000)</f>
        <v>19199000000</v>
      </c>
      <c r="H35" s="21" t="str">
        <f>IF(F35="","",+(F35-#REF!)/#REF!)</f>
        <v/>
      </c>
      <c r="I35" s="42">
        <v>69415031</v>
      </c>
      <c r="J35" s="42"/>
      <c r="K35" s="42">
        <v>59.52</v>
      </c>
      <c r="L35" s="383"/>
    </row>
    <row r="36" spans="3:16" ht="30" customHeight="1" x14ac:dyDescent="0.3">
      <c r="C36" s="23" t="s">
        <v>51</v>
      </c>
      <c r="D36" s="50">
        <f t="shared" si="1"/>
        <v>-28.941777764093722</v>
      </c>
      <c r="E36" s="51"/>
      <c r="F36" s="50"/>
      <c r="G36" s="50">
        <f>-235*(1000000)</f>
        <v>-235000000</v>
      </c>
      <c r="H36" s="21" t="str">
        <f>IF(F36="","",+(F36-#REF!)/#REF!)</f>
        <v/>
      </c>
      <c r="I36" s="42">
        <v>8119750</v>
      </c>
      <c r="J36" s="42"/>
      <c r="K36" s="42">
        <v>23.04</v>
      </c>
      <c r="L36" s="383"/>
    </row>
    <row r="37" spans="3:16" ht="30" customHeight="1" x14ac:dyDescent="0.3">
      <c r="C37" s="23" t="s">
        <v>52</v>
      </c>
      <c r="D37" s="50">
        <f t="shared" si="1"/>
        <v>3125.2501116160756</v>
      </c>
      <c r="E37" s="51">
        <v>253286000000</v>
      </c>
      <c r="F37" s="50">
        <f>97230*(1000000)</f>
        <v>97230000000</v>
      </c>
      <c r="G37" s="50">
        <f>97230*(1000000)</f>
        <v>97230000000</v>
      </c>
      <c r="H37" s="21">
        <v>0.30030000000000001</v>
      </c>
      <c r="I37" s="42">
        <v>31111110</v>
      </c>
      <c r="J37" s="382">
        <v>1547.1</v>
      </c>
      <c r="K37" s="256">
        <v>1547.1</v>
      </c>
      <c r="L37" s="391">
        <v>45446</v>
      </c>
      <c r="N37">
        <v>2550</v>
      </c>
      <c r="P37" s="81">
        <f>+N37*J37</f>
        <v>3945105</v>
      </c>
    </row>
    <row r="38" spans="3:16" ht="30" customHeight="1" x14ac:dyDescent="0.3">
      <c r="C38" s="23" t="s">
        <v>53</v>
      </c>
      <c r="D38" s="50">
        <f t="shared" si="1"/>
        <v>801.8</v>
      </c>
      <c r="E38" s="51"/>
      <c r="F38" s="50"/>
      <c r="G38" s="50">
        <f>40090*(1000000)</f>
        <v>40090000000</v>
      </c>
      <c r="H38" s="21" t="str">
        <f>IF(F38="","",+(F38-#REF!)/#REF!)</f>
        <v/>
      </c>
      <c r="I38" s="42">
        <v>50000000</v>
      </c>
      <c r="J38" s="42"/>
      <c r="K38" s="256">
        <v>495</v>
      </c>
      <c r="L38" s="391"/>
    </row>
    <row r="39" spans="3:16" ht="30" customHeight="1" x14ac:dyDescent="0.3">
      <c r="C39" s="25" t="s">
        <v>54</v>
      </c>
      <c r="D39" s="86"/>
      <c r="E39" s="86"/>
      <c r="F39" s="86"/>
      <c r="G39" s="86">
        <f>0*(1000000)</f>
        <v>0</v>
      </c>
      <c r="H39" s="255"/>
      <c r="I39" s="45"/>
      <c r="J39" s="45"/>
      <c r="K39" s="45"/>
      <c r="L39" s="392"/>
    </row>
    <row r="40" spans="3:16" ht="30" customHeight="1" x14ac:dyDescent="0.3">
      <c r="C40" s="23" t="s">
        <v>55</v>
      </c>
      <c r="D40" s="50">
        <f>+IF(G40="","",G40/I40)</f>
        <v>184.51499302842089</v>
      </c>
      <c r="E40" s="51"/>
      <c r="F40" s="50"/>
      <c r="G40" s="50">
        <f>10044.129*(1000000)</f>
        <v>10044129000</v>
      </c>
      <c r="H40" s="21" t="str">
        <f>IF(F40="","",+(F40-#REF!)/#REF!)</f>
        <v/>
      </c>
      <c r="I40" s="42">
        <v>54435300</v>
      </c>
      <c r="J40" s="42"/>
      <c r="K40" s="113">
        <v>92</v>
      </c>
      <c r="L40" s="391"/>
    </row>
    <row r="41" spans="3:16" ht="30" customHeight="1" x14ac:dyDescent="0.3">
      <c r="C41" s="23" t="s">
        <v>56</v>
      </c>
      <c r="D41" s="50">
        <f>+IF(G41="","",G41/I41)</f>
        <v>0</v>
      </c>
      <c r="E41" s="51"/>
      <c r="F41" s="50"/>
      <c r="G41" s="50">
        <f>0*(1000000)</f>
        <v>0</v>
      </c>
      <c r="H41" s="21"/>
      <c r="I41" s="42">
        <v>835625</v>
      </c>
      <c r="J41" s="42"/>
      <c r="K41" s="42">
        <v>270</v>
      </c>
      <c r="L41" s="383"/>
    </row>
    <row r="42" spans="3:16" ht="30" customHeight="1" x14ac:dyDescent="0.3">
      <c r="C42" s="25" t="s">
        <v>57</v>
      </c>
      <c r="D42" s="86"/>
      <c r="E42" s="86"/>
      <c r="F42" s="86"/>
      <c r="G42" s="86">
        <f>0*(1000000)</f>
        <v>0</v>
      </c>
      <c r="H42" s="255"/>
      <c r="I42" s="45"/>
      <c r="J42" s="45"/>
      <c r="K42" s="45"/>
      <c r="L42" s="392"/>
    </row>
    <row r="43" spans="3:16" ht="30" customHeight="1" x14ac:dyDescent="0.3">
      <c r="C43" s="23" t="s">
        <v>58</v>
      </c>
      <c r="D43" s="50">
        <f>+IF(G43="","",G43/I43)</f>
        <v>2696.9609855313133</v>
      </c>
      <c r="E43" s="51"/>
      <c r="F43" s="50"/>
      <c r="G43" s="50">
        <f>41693.172115*(1000000)</f>
        <v>41693172115</v>
      </c>
      <c r="H43" s="21" t="str">
        <f>IF(F43="","",+(F43-#REF!)/#REF!)</f>
        <v/>
      </c>
      <c r="I43" s="49">
        <v>15459316</v>
      </c>
      <c r="J43" s="49"/>
      <c r="K43" s="49">
        <v>1213.6300000000001</v>
      </c>
      <c r="L43" s="393"/>
    </row>
    <row r="44" spans="3:16" ht="30" customHeight="1" x14ac:dyDescent="0.3">
      <c r="C44" s="23" t="s">
        <v>59</v>
      </c>
      <c r="D44" s="50">
        <f>+IF(G44="","",G44/I44)</f>
        <v>-446.71779903061224</v>
      </c>
      <c r="E44" s="51"/>
      <c r="F44" s="50"/>
      <c r="G44" s="50">
        <f>-8755.668861*(1000000)</f>
        <v>-8755668861</v>
      </c>
      <c r="H44" s="21" t="str">
        <f>IF(F44="","",+(F44-#REF!)/#REF!)</f>
        <v/>
      </c>
      <c r="I44" s="49">
        <v>19600000</v>
      </c>
      <c r="J44" s="49"/>
      <c r="K44" s="49">
        <v>40.5</v>
      </c>
      <c r="L44" s="393"/>
    </row>
    <row r="45" spans="3:16" ht="30" customHeight="1" x14ac:dyDescent="0.3">
      <c r="C45" s="23" t="s">
        <v>60</v>
      </c>
      <c r="D45" s="50">
        <f>+IF(G45="","",G45/I45)</f>
        <v>0</v>
      </c>
      <c r="E45" s="51"/>
      <c r="F45" s="50"/>
      <c r="G45" s="50">
        <f>0*(1000000)</f>
        <v>0</v>
      </c>
      <c r="H45" s="21" t="str">
        <f>IF(F45="","",+(F45-#REF!)/#REF!)</f>
        <v/>
      </c>
      <c r="I45" s="49">
        <v>600000</v>
      </c>
      <c r="J45" s="49"/>
      <c r="K45" s="49">
        <v>1919</v>
      </c>
      <c r="L45" s="393"/>
    </row>
    <row r="46" spans="3:16" ht="30" customHeight="1" x14ac:dyDescent="0.3">
      <c r="C46" s="23" t="s">
        <v>61</v>
      </c>
      <c r="D46" s="50">
        <f>+IF(G46="","",G46/I46)</f>
        <v>724.61341256115224</v>
      </c>
      <c r="E46" s="51"/>
      <c r="F46" s="50"/>
      <c r="G46" s="50">
        <f>15652.983*(1000000)</f>
        <v>15652983000</v>
      </c>
      <c r="H46" s="21" t="str">
        <f>IF(F46="","",+(F46-#REF!)/#REF!)</f>
        <v/>
      </c>
      <c r="I46" s="49">
        <v>21601840</v>
      </c>
      <c r="J46" s="49"/>
      <c r="K46" s="263">
        <v>558</v>
      </c>
      <c r="L46" s="394"/>
    </row>
    <row r="47" spans="3:16" ht="30" customHeight="1" x14ac:dyDescent="0.3">
      <c r="C47" s="23" t="s">
        <v>62</v>
      </c>
      <c r="D47" s="50">
        <f>+IF(G47="","",G47/I47)</f>
        <v>653.43954393153933</v>
      </c>
      <c r="E47" s="51"/>
      <c r="F47" s="50"/>
      <c r="G47" s="50">
        <f>16700.611131*(1000000)</f>
        <v>16700611131.000002</v>
      </c>
      <c r="H47" s="21" t="str">
        <f>IF(F47="","",+(F47-#REF!)/#REF!)</f>
        <v/>
      </c>
      <c r="I47" s="49">
        <v>25558005</v>
      </c>
      <c r="J47" s="49"/>
      <c r="K47" s="263">
        <v>294.3</v>
      </c>
      <c r="L47" s="394"/>
    </row>
    <row r="48" spans="3:16" ht="30" customHeight="1" x14ac:dyDescent="0.3">
      <c r="C48" s="25" t="s">
        <v>63</v>
      </c>
      <c r="D48" s="86"/>
      <c r="E48" s="86"/>
      <c r="F48" s="86"/>
      <c r="G48" s="86">
        <f>0*(1000000)</f>
        <v>0</v>
      </c>
      <c r="H48" s="255"/>
      <c r="I48" s="45"/>
      <c r="J48" s="45"/>
      <c r="K48" s="45"/>
      <c r="L48" s="392"/>
    </row>
    <row r="49" spans="3:12" ht="30" customHeight="1" x14ac:dyDescent="0.3">
      <c r="C49" s="23" t="s">
        <v>64</v>
      </c>
      <c r="D49" s="50">
        <f t="shared" ref="D49:D55" si="2">+IF(G49="","",G49/I49)</f>
        <v>116.25881561583577</v>
      </c>
      <c r="E49" s="51"/>
      <c r="F49" s="50"/>
      <c r="G49" s="50">
        <f>1268.616196*(1000000)</f>
        <v>1268616196</v>
      </c>
      <c r="H49" s="21" t="str">
        <f>IF(F49="","",+(F49-#REF!)/#REF!)</f>
        <v/>
      </c>
      <c r="I49" s="42">
        <f>545600*20</f>
        <v>10912000</v>
      </c>
      <c r="J49" s="42"/>
      <c r="K49" s="256">
        <v>92</v>
      </c>
      <c r="L49" s="391"/>
    </row>
    <row r="50" spans="3:12" ht="30" customHeight="1" x14ac:dyDescent="0.3">
      <c r="C50" s="23" t="s">
        <v>65</v>
      </c>
      <c r="D50" s="50">
        <f t="shared" si="2"/>
        <v>273.0978260869565</v>
      </c>
      <c r="E50" s="51"/>
      <c r="F50" s="50"/>
      <c r="G50" s="50">
        <f>1809*(1000000)</f>
        <v>1809000000</v>
      </c>
      <c r="H50" s="21" t="str">
        <f>IF(F50="","",+(F50-#REF!)/#REF!)</f>
        <v/>
      </c>
      <c r="I50" s="42">
        <v>6624000</v>
      </c>
      <c r="J50" s="42"/>
      <c r="K50" s="42">
        <v>150</v>
      </c>
      <c r="L50" s="383"/>
    </row>
    <row r="51" spans="3:12" ht="30" customHeight="1" x14ac:dyDescent="0.3">
      <c r="C51" s="23" t="s">
        <v>66</v>
      </c>
      <c r="D51" s="50">
        <f t="shared" si="2"/>
        <v>30.509486634919742</v>
      </c>
      <c r="E51" s="51"/>
      <c r="F51" s="50"/>
      <c r="G51" s="50">
        <f>5533.563559*(1000000)</f>
        <v>5533563559</v>
      </c>
      <c r="H51" s="21" t="str">
        <f>IF(F51="","",+(F51-#REF!)/#REF!)</f>
        <v/>
      </c>
      <c r="I51" s="42">
        <v>181371900</v>
      </c>
      <c r="J51" s="42"/>
      <c r="K51" s="256">
        <v>27.45</v>
      </c>
      <c r="L51" s="391"/>
    </row>
    <row r="52" spans="3:12" ht="30" customHeight="1" x14ac:dyDescent="0.3">
      <c r="C52" s="23" t="s">
        <v>67</v>
      </c>
      <c r="D52" s="50">
        <f t="shared" si="2"/>
        <v>355.88348564453128</v>
      </c>
      <c r="E52" s="51"/>
      <c r="F52" s="50"/>
      <c r="G52" s="50">
        <f>3644.246893*(1000000)</f>
        <v>3644246893</v>
      </c>
      <c r="H52" s="21" t="str">
        <f>IF(F52="","",+(F52-#REF!)/#REF!)</f>
        <v/>
      </c>
      <c r="I52" s="42">
        <v>10240000</v>
      </c>
      <c r="J52" s="42"/>
      <c r="K52" s="256">
        <v>224.1</v>
      </c>
      <c r="L52" s="391"/>
    </row>
    <row r="53" spans="3:12" ht="30" customHeight="1" x14ac:dyDescent="0.3">
      <c r="C53" s="23" t="s">
        <v>68</v>
      </c>
      <c r="D53" s="50">
        <f t="shared" si="2"/>
        <v>59.564398539682543</v>
      </c>
      <c r="E53" s="51"/>
      <c r="F53" s="50"/>
      <c r="G53" s="50">
        <f>3752.557108*(1000000)</f>
        <v>3752557108</v>
      </c>
      <c r="H53" s="21" t="str">
        <f>IF(F53="","",+(F53-#REF!)/#REF!)</f>
        <v/>
      </c>
      <c r="I53" s="42">
        <f>1260000*50</f>
        <v>63000000</v>
      </c>
      <c r="J53" s="42"/>
      <c r="K53" s="113">
        <v>53</v>
      </c>
      <c r="L53" s="391"/>
    </row>
    <row r="54" spans="3:12" ht="30" customHeight="1" x14ac:dyDescent="0.3">
      <c r="C54" s="23" t="s">
        <v>69</v>
      </c>
      <c r="D54" s="50">
        <f t="shared" si="2"/>
        <v>195.02363345277121</v>
      </c>
      <c r="E54" s="51"/>
      <c r="F54" s="50"/>
      <c r="G54" s="50">
        <f>12279*(1000000)</f>
        <v>12279000000</v>
      </c>
      <c r="H54" s="21" t="str">
        <f>IF(F54="","",+(F54-#REF!)/#REF!)</f>
        <v/>
      </c>
      <c r="I54" s="42">
        <v>62961600</v>
      </c>
      <c r="J54" s="42"/>
      <c r="K54" s="261">
        <v>175.53</v>
      </c>
      <c r="L54" s="391"/>
    </row>
    <row r="55" spans="3:12" ht="30" customHeight="1" x14ac:dyDescent="0.3">
      <c r="C55" s="23" t="s">
        <v>70</v>
      </c>
      <c r="D55" s="50">
        <f t="shared" si="2"/>
        <v>260.14835301448539</v>
      </c>
      <c r="E55" s="51"/>
      <c r="F55" s="289"/>
      <c r="G55" s="289">
        <f>8475.035*(1000000)</f>
        <v>8475035000</v>
      </c>
      <c r="H55" s="21" t="str">
        <f>IF(F55="","",+(F55-#REF!)/#REF!)</f>
        <v/>
      </c>
      <c r="I55" s="71">
        <v>32577700</v>
      </c>
      <c r="J55" s="71"/>
      <c r="K55" s="256">
        <v>241.01</v>
      </c>
      <c r="L55" s="391"/>
    </row>
    <row r="56" spans="3:12" ht="30" customHeight="1" x14ac:dyDescent="0.3">
      <c r="C56" s="25" t="s">
        <v>71</v>
      </c>
      <c r="D56" s="88"/>
      <c r="E56" s="86"/>
      <c r="F56" s="86"/>
      <c r="G56" s="86">
        <f>0*(1000000)</f>
        <v>0</v>
      </c>
      <c r="H56" s="255"/>
      <c r="I56" s="45"/>
      <c r="J56" s="45"/>
      <c r="K56" s="45"/>
      <c r="L56" s="392"/>
    </row>
    <row r="57" spans="3:12" ht="30" customHeight="1" x14ac:dyDescent="0.3">
      <c r="C57" s="23" t="s">
        <v>72</v>
      </c>
      <c r="D57" s="50">
        <f>+IF(G57="","",G57/I57)</f>
        <v>5.2488095238095234</v>
      </c>
      <c r="E57" s="51"/>
      <c r="F57" s="50"/>
      <c r="G57" s="50">
        <f>70.544*(1000000)</f>
        <v>70544000</v>
      </c>
      <c r="H57" s="21" t="str">
        <f>IF(F57="","",+(F57-#REF!)/#REF!)</f>
        <v/>
      </c>
      <c r="I57" s="42">
        <v>13440000</v>
      </c>
      <c r="J57" s="42"/>
      <c r="K57" s="256">
        <v>66.150000000000006</v>
      </c>
      <c r="L57" s="391"/>
    </row>
    <row r="58" spans="3:12" ht="15" customHeight="1" x14ac:dyDescent="0.3">
      <c r="C58" s="34"/>
      <c r="D58" s="288"/>
      <c r="E58" s="2"/>
      <c r="F58" s="2"/>
      <c r="G58" s="90"/>
      <c r="H58" s="40"/>
      <c r="I58" s="2"/>
      <c r="J58" s="2"/>
      <c r="K58" s="2"/>
      <c r="L58" s="395"/>
    </row>
    <row r="59" spans="3:12" x14ac:dyDescent="0.3">
      <c r="C59" s="35"/>
      <c r="D59" s="288"/>
      <c r="E59" s="2"/>
      <c r="F59" s="2"/>
      <c r="G59" s="90"/>
      <c r="H59" s="40"/>
      <c r="I59" s="2"/>
      <c r="J59" s="2"/>
      <c r="K59" s="2"/>
      <c r="L59" s="395"/>
    </row>
    <row r="60" spans="3:12" x14ac:dyDescent="0.3">
      <c r="C60" s="2"/>
      <c r="D60" s="288"/>
      <c r="E60" s="2"/>
      <c r="F60" s="2"/>
      <c r="G60" s="90"/>
      <c r="H60" s="40"/>
      <c r="I60" s="2"/>
      <c r="J60" s="2"/>
      <c r="K60" s="2"/>
      <c r="L60" s="395"/>
    </row>
    <row r="61" spans="3:12" x14ac:dyDescent="0.3">
      <c r="C61" s="36"/>
      <c r="D61" s="288"/>
      <c r="E61" s="2"/>
      <c r="F61" s="2"/>
      <c r="G61" s="90"/>
      <c r="H61" s="40"/>
      <c r="I61" s="2"/>
      <c r="J61" s="2"/>
      <c r="K61" s="2"/>
      <c r="L61" s="395"/>
    </row>
    <row r="62" spans="3:12" x14ac:dyDescent="0.3">
      <c r="C62" s="36"/>
      <c r="D62" s="288"/>
      <c r="E62" s="2"/>
      <c r="F62" s="2"/>
      <c r="G62" s="90"/>
      <c r="H62" s="40"/>
      <c r="I62" s="2"/>
      <c r="J62" s="2"/>
      <c r="K62" s="2"/>
      <c r="L62" s="395"/>
    </row>
    <row r="63" spans="3:12" x14ac:dyDescent="0.3">
      <c r="C63" s="36"/>
      <c r="D63" s="288"/>
      <c r="E63" s="2"/>
      <c r="F63" s="2"/>
      <c r="G63" s="90"/>
      <c r="H63" s="40"/>
      <c r="I63" s="2"/>
      <c r="J63" s="2"/>
      <c r="K63" s="2"/>
      <c r="L63" s="395"/>
    </row>
    <row r="64" spans="3:12" x14ac:dyDescent="0.3">
      <c r="C64" s="36"/>
      <c r="D64" s="288"/>
      <c r="E64" s="2"/>
      <c r="F64" s="2"/>
      <c r="G64" s="90"/>
      <c r="H64" s="40"/>
      <c r="I64" s="2"/>
      <c r="J64" s="2"/>
      <c r="K64" s="2"/>
      <c r="L64" s="395"/>
    </row>
    <row r="65" spans="3:12" x14ac:dyDescent="0.3">
      <c r="C65" s="36"/>
      <c r="D65" s="288"/>
      <c r="E65" s="2"/>
      <c r="F65" s="2"/>
      <c r="G65" s="90"/>
      <c r="H65" s="40"/>
      <c r="I65" s="2"/>
      <c r="J65" s="2"/>
      <c r="K65" s="2"/>
      <c r="L65" s="395"/>
    </row>
    <row r="66" spans="3:12" x14ac:dyDescent="0.3">
      <c r="C66" s="36"/>
      <c r="D66" s="288"/>
      <c r="E66" s="2"/>
      <c r="F66" s="2"/>
      <c r="G66" s="90"/>
      <c r="H66" s="40"/>
      <c r="I66" s="2"/>
      <c r="J66" s="2"/>
      <c r="K66" s="2"/>
      <c r="L66" s="395"/>
    </row>
    <row r="67" spans="3:12" x14ac:dyDescent="0.3">
      <c r="C67" s="36"/>
      <c r="D67" s="288"/>
      <c r="E67" s="2"/>
      <c r="F67" s="2"/>
      <c r="G67" s="90"/>
      <c r="H67" s="40"/>
      <c r="I67" s="2"/>
      <c r="J67" s="2"/>
      <c r="K67" s="2"/>
      <c r="L67" s="395"/>
    </row>
    <row r="68" spans="3:12" x14ac:dyDescent="0.3">
      <c r="C68" s="36"/>
      <c r="D68" s="288"/>
      <c r="E68" s="2"/>
      <c r="F68" s="2"/>
      <c r="G68" s="90"/>
      <c r="H68" s="40"/>
      <c r="I68" s="2"/>
      <c r="J68" s="2"/>
      <c r="K68" s="2"/>
      <c r="L68" s="395"/>
    </row>
    <row r="69" spans="3:12" x14ac:dyDescent="0.3">
      <c r="C69" s="36"/>
      <c r="D69" s="288"/>
      <c r="E69" s="2"/>
      <c r="F69" s="2"/>
      <c r="G69" s="90"/>
      <c r="H69" s="40"/>
      <c r="I69" s="2"/>
      <c r="J69" s="2"/>
      <c r="K69" s="2"/>
      <c r="L69" s="395"/>
    </row>
    <row r="70" spans="3:12" x14ac:dyDescent="0.3">
      <c r="C70" s="36"/>
      <c r="D70" s="288"/>
      <c r="E70" s="2"/>
      <c r="F70" s="2"/>
      <c r="G70" s="90"/>
      <c r="H70" s="40"/>
      <c r="I70" s="2"/>
      <c r="J70" s="2"/>
      <c r="K70" s="2"/>
      <c r="L70" s="395"/>
    </row>
    <row r="71" spans="3:12" x14ac:dyDescent="0.3">
      <c r="C71" s="36"/>
      <c r="D71" s="288"/>
      <c r="E71" s="2"/>
      <c r="F71" s="2"/>
      <c r="G71" s="90"/>
      <c r="H71" s="40"/>
      <c r="I71" s="2"/>
      <c r="J71" s="2"/>
      <c r="K71" s="2"/>
      <c r="L71" s="395"/>
    </row>
    <row r="72" spans="3:12" x14ac:dyDescent="0.3">
      <c r="C72" s="36"/>
      <c r="D72" s="288"/>
      <c r="E72" s="2"/>
      <c r="F72" s="2"/>
      <c r="G72" s="90"/>
      <c r="H72" s="40"/>
      <c r="I72" s="2"/>
      <c r="J72" s="2"/>
      <c r="K72" s="2"/>
      <c r="L72" s="395"/>
    </row>
    <row r="73" spans="3:12" x14ac:dyDescent="0.3">
      <c r="C73" s="36"/>
      <c r="D73" s="288"/>
      <c r="E73" s="2"/>
      <c r="F73" s="2"/>
      <c r="G73" s="90"/>
      <c r="H73" s="40"/>
      <c r="I73" s="2"/>
      <c r="J73" s="2"/>
      <c r="K73" s="2"/>
      <c r="L73" s="395"/>
    </row>
    <row r="74" spans="3:12" x14ac:dyDescent="0.3">
      <c r="C74" s="36"/>
      <c r="D74" s="288"/>
      <c r="E74" s="2"/>
      <c r="F74" s="2"/>
      <c r="G74" s="90"/>
      <c r="H74" s="40"/>
      <c r="I74" s="2"/>
      <c r="J74" s="2"/>
      <c r="K74" s="2"/>
      <c r="L74" s="395"/>
    </row>
    <row r="75" spans="3:12" x14ac:dyDescent="0.3">
      <c r="C75" s="36"/>
      <c r="D75" s="288"/>
      <c r="E75" s="2"/>
      <c r="F75" s="2"/>
      <c r="G75" s="90"/>
      <c r="H75" s="40"/>
      <c r="I75" s="2"/>
      <c r="J75" s="2"/>
      <c r="K75" s="2"/>
      <c r="L75" s="395"/>
    </row>
    <row r="76" spans="3:12" x14ac:dyDescent="0.3">
      <c r="C76" s="36"/>
      <c r="D76" s="288"/>
      <c r="E76" s="2"/>
      <c r="F76" s="2"/>
      <c r="G76" s="90"/>
      <c r="H76" s="40"/>
      <c r="I76" s="2"/>
      <c r="J76" s="2"/>
      <c r="K76" s="2"/>
      <c r="L76" s="395"/>
    </row>
    <row r="77" spans="3:12" x14ac:dyDescent="0.3">
      <c r="C77" s="36"/>
      <c r="D77" s="288"/>
      <c r="E77" s="2"/>
      <c r="F77" s="2"/>
      <c r="G77" s="90"/>
      <c r="H77" s="40"/>
      <c r="I77" s="2"/>
      <c r="J77" s="2"/>
      <c r="K77" s="2"/>
      <c r="L77" s="395"/>
    </row>
    <row r="78" spans="3:12" x14ac:dyDescent="0.3">
      <c r="C78" s="37"/>
      <c r="H78" s="39"/>
    </row>
    <row r="79" spans="3:12" x14ac:dyDescent="0.3">
      <c r="C79" s="37"/>
      <c r="H79" s="39"/>
    </row>
    <row r="80" spans="3:12" x14ac:dyDescent="0.3">
      <c r="C80" s="37"/>
      <c r="H80" s="39"/>
    </row>
    <row r="81" spans="3:22" x14ac:dyDescent="0.3">
      <c r="C81" s="37"/>
      <c r="H81" s="39"/>
    </row>
    <row r="82" spans="3:22" x14ac:dyDescent="0.3">
      <c r="C82" s="37"/>
      <c r="H82" s="39"/>
    </row>
    <row r="83" spans="3:22" x14ac:dyDescent="0.3">
      <c r="C83" s="37"/>
      <c r="H83" s="39"/>
    </row>
    <row r="84" spans="3:22" x14ac:dyDescent="0.3">
      <c r="C84" s="37"/>
      <c r="H84" s="39"/>
    </row>
    <row r="85" spans="3:22" x14ac:dyDescent="0.3">
      <c r="C85" s="37"/>
      <c r="H85" s="39"/>
    </row>
    <row r="86" spans="3:22" x14ac:dyDescent="0.3">
      <c r="C86" s="37"/>
      <c r="H86" s="39"/>
    </row>
    <row r="87" spans="3:22" x14ac:dyDescent="0.3">
      <c r="C87" s="37"/>
      <c r="H87" s="39"/>
    </row>
    <row r="88" spans="3:22" x14ac:dyDescent="0.3">
      <c r="C88" s="37"/>
      <c r="H88" s="39"/>
    </row>
    <row r="89" spans="3:22" x14ac:dyDescent="0.3">
      <c r="C89" s="37"/>
      <c r="H89" s="39"/>
    </row>
    <row r="90" spans="3:22" x14ac:dyDescent="0.3">
      <c r="C90" s="37"/>
      <c r="H90" s="39"/>
    </row>
    <row r="91" spans="3:22" x14ac:dyDescent="0.3">
      <c r="C91" s="37"/>
      <c r="H91" s="39"/>
    </row>
    <row r="92" spans="3:22" x14ac:dyDescent="0.3">
      <c r="C92" s="37"/>
      <c r="H92" s="39"/>
    </row>
    <row r="93" spans="3:22" x14ac:dyDescent="0.3">
      <c r="C93" s="37"/>
      <c r="H93" s="39"/>
    </row>
    <row r="94" spans="3:22" x14ac:dyDescent="0.3">
      <c r="C94" s="37"/>
      <c r="H94" s="39"/>
    </row>
    <row r="95" spans="3:22" x14ac:dyDescent="0.3">
      <c r="C95" s="37"/>
      <c r="H95" s="39"/>
      <c r="V95" s="38" t="s">
        <v>73</v>
      </c>
    </row>
    <row r="96" spans="3:22" x14ac:dyDescent="0.3">
      <c r="C96" s="37"/>
      <c r="H96" s="39"/>
    </row>
    <row r="97" spans="3:3" x14ac:dyDescent="0.3">
      <c r="C97" s="37"/>
    </row>
    <row r="98" spans="3:3" x14ac:dyDescent="0.3">
      <c r="C98" s="37"/>
    </row>
    <row r="99" spans="3:3" x14ac:dyDescent="0.3">
      <c r="C99" s="37"/>
    </row>
    <row r="100" spans="3:3" x14ac:dyDescent="0.3">
      <c r="C100" s="37"/>
    </row>
    <row r="101" spans="3:3" x14ac:dyDescent="0.3">
      <c r="C101" s="37"/>
    </row>
    <row r="102" spans="3:3" x14ac:dyDescent="0.3">
      <c r="C102" s="37"/>
    </row>
    <row r="103" spans="3:3" x14ac:dyDescent="0.3">
      <c r="C103" s="37"/>
    </row>
    <row r="104" spans="3:3" x14ac:dyDescent="0.3">
      <c r="C104" s="37"/>
    </row>
    <row r="105" spans="3:3" x14ac:dyDescent="0.3">
      <c r="C105" s="37"/>
    </row>
    <row r="106" spans="3:3" x14ac:dyDescent="0.3">
      <c r="C106" s="37"/>
    </row>
    <row r="107" spans="3:3" x14ac:dyDescent="0.3">
      <c r="C107" s="37"/>
    </row>
    <row r="108" spans="3:3" x14ac:dyDescent="0.3">
      <c r="C108" s="37"/>
    </row>
    <row r="109" spans="3:3" x14ac:dyDescent="0.3">
      <c r="C109" s="37"/>
    </row>
    <row r="110" spans="3:3" x14ac:dyDescent="0.3">
      <c r="C110" s="37"/>
    </row>
    <row r="111" spans="3:3" x14ac:dyDescent="0.3">
      <c r="C111" s="37"/>
    </row>
    <row r="112" spans="3:3" x14ac:dyDescent="0.3">
      <c r="C112" s="37"/>
    </row>
    <row r="113" spans="3:3" x14ac:dyDescent="0.3">
      <c r="C113" s="37"/>
    </row>
    <row r="114" spans="3:3" x14ac:dyDescent="0.3">
      <c r="C114" s="37"/>
    </row>
    <row r="115" spans="3:3" x14ac:dyDescent="0.3">
      <c r="C115" s="37"/>
    </row>
    <row r="116" spans="3:3" x14ac:dyDescent="0.3">
      <c r="C116" s="37"/>
    </row>
    <row r="117" spans="3:3" x14ac:dyDescent="0.3">
      <c r="C117" s="37"/>
    </row>
    <row r="118" spans="3:3" x14ac:dyDescent="0.3">
      <c r="C118" s="37"/>
    </row>
    <row r="119" spans="3:3" x14ac:dyDescent="0.3">
      <c r="C119" s="37"/>
    </row>
    <row r="120" spans="3:3" x14ac:dyDescent="0.3">
      <c r="C120" s="37"/>
    </row>
    <row r="121" spans="3:3" x14ac:dyDescent="0.3">
      <c r="C121" s="37"/>
    </row>
    <row r="122" spans="3:3" x14ac:dyDescent="0.3">
      <c r="C122" s="37"/>
    </row>
    <row r="123" spans="3:3" x14ac:dyDescent="0.3">
      <c r="C123" s="37"/>
    </row>
    <row r="124" spans="3:3" x14ac:dyDescent="0.3">
      <c r="C124" s="37"/>
    </row>
    <row r="125" spans="3:3" x14ac:dyDescent="0.3">
      <c r="C125" s="37"/>
    </row>
    <row r="126" spans="3:3" x14ac:dyDescent="0.3">
      <c r="C126" s="37"/>
    </row>
    <row r="127" spans="3:3" x14ac:dyDescent="0.3">
      <c r="C127" s="37"/>
    </row>
    <row r="128" spans="3:3" x14ac:dyDescent="0.3">
      <c r="C128" s="37"/>
    </row>
    <row r="129" spans="3:3" x14ac:dyDescent="0.3">
      <c r="C129" s="37"/>
    </row>
    <row r="130" spans="3:3" x14ac:dyDescent="0.3">
      <c r="C130" s="37"/>
    </row>
    <row r="131" spans="3:3" x14ac:dyDescent="0.3">
      <c r="C131" s="37"/>
    </row>
    <row r="132" spans="3:3" x14ac:dyDescent="0.3">
      <c r="C132" s="37"/>
    </row>
    <row r="133" spans="3:3" x14ac:dyDescent="0.3">
      <c r="C133" s="37"/>
    </row>
    <row r="134" spans="3:3" x14ac:dyDescent="0.3">
      <c r="C134" s="37"/>
    </row>
    <row r="135" spans="3:3" x14ac:dyDescent="0.3">
      <c r="C135" s="37"/>
    </row>
    <row r="136" spans="3:3" x14ac:dyDescent="0.3">
      <c r="C136" s="37"/>
    </row>
    <row r="137" spans="3:3" x14ac:dyDescent="0.3">
      <c r="C137" s="37"/>
    </row>
    <row r="138" spans="3:3" x14ac:dyDescent="0.3">
      <c r="C138" s="37"/>
    </row>
    <row r="139" spans="3:3" x14ac:dyDescent="0.3">
      <c r="C139" s="37"/>
    </row>
    <row r="140" spans="3:3" x14ac:dyDescent="0.3">
      <c r="C140" s="37"/>
    </row>
    <row r="141" spans="3:3" x14ac:dyDescent="0.3">
      <c r="C141" s="37"/>
    </row>
    <row r="142" spans="3:3" x14ac:dyDescent="0.3">
      <c r="C142" s="37"/>
    </row>
    <row r="143" spans="3:3" x14ac:dyDescent="0.3">
      <c r="C143" s="37"/>
    </row>
    <row r="144" spans="3:3" x14ac:dyDescent="0.3">
      <c r="C144" s="37"/>
    </row>
    <row r="145" spans="3:3" x14ac:dyDescent="0.3">
      <c r="C145" s="37"/>
    </row>
    <row r="146" spans="3:3" x14ac:dyDescent="0.3">
      <c r="C146" s="37"/>
    </row>
    <row r="147" spans="3:3" x14ac:dyDescent="0.3">
      <c r="C147" s="37"/>
    </row>
    <row r="148" spans="3:3" x14ac:dyDescent="0.3">
      <c r="C148" s="37"/>
    </row>
    <row r="149" spans="3:3" x14ac:dyDescent="0.3">
      <c r="C149" s="37"/>
    </row>
    <row r="150" spans="3:3" x14ac:dyDescent="0.3">
      <c r="C150" s="37"/>
    </row>
    <row r="151" spans="3:3" x14ac:dyDescent="0.3">
      <c r="C151" s="37"/>
    </row>
    <row r="152" spans="3:3" x14ac:dyDescent="0.3">
      <c r="C152" s="37"/>
    </row>
    <row r="153" spans="3:3" x14ac:dyDescent="0.3">
      <c r="C153" s="37"/>
    </row>
    <row r="154" spans="3:3" x14ac:dyDescent="0.3">
      <c r="C154" s="37"/>
    </row>
    <row r="155" spans="3:3" x14ac:dyDescent="0.3">
      <c r="C155" s="37"/>
    </row>
    <row r="156" spans="3:3" x14ac:dyDescent="0.3">
      <c r="C156" s="37"/>
    </row>
    <row r="157" spans="3:3" x14ac:dyDescent="0.3">
      <c r="C157" s="37"/>
    </row>
    <row r="158" spans="3:3" x14ac:dyDescent="0.3">
      <c r="C158" s="37"/>
    </row>
    <row r="159" spans="3:3" x14ac:dyDescent="0.3">
      <c r="C159" s="37"/>
    </row>
    <row r="160" spans="3:3" x14ac:dyDescent="0.3">
      <c r="C160" s="37"/>
    </row>
    <row r="161" spans="3:3" x14ac:dyDescent="0.3">
      <c r="C161" s="37"/>
    </row>
    <row r="162" spans="3:3" x14ac:dyDescent="0.3">
      <c r="C162" s="37"/>
    </row>
    <row r="163" spans="3:3" x14ac:dyDescent="0.3">
      <c r="C163" s="37"/>
    </row>
    <row r="164" spans="3:3" x14ac:dyDescent="0.3">
      <c r="C164" s="37"/>
    </row>
    <row r="165" spans="3:3" x14ac:dyDescent="0.3">
      <c r="C165" s="37"/>
    </row>
    <row r="166" spans="3:3" x14ac:dyDescent="0.3">
      <c r="C166" s="37"/>
    </row>
    <row r="167" spans="3:3" x14ac:dyDescent="0.3">
      <c r="C167" s="37"/>
    </row>
  </sheetData>
  <mergeCells count="1">
    <mergeCell ref="D2:K2"/>
  </mergeCells>
  <pageMargins left="0.7" right="0.7" top="0.75" bottom="0.75" header="0.3" footer="0.3"/>
  <pageSetup paperSize="9" scale="51" fitToHeight="0" orientation="landscape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10</vt:i4>
      </vt:variant>
      <vt:variant>
        <vt:lpstr>Plages nommées</vt:lpstr>
      </vt:variant>
      <vt:variant>
        <vt:i4>10</vt:i4>
      </vt:variant>
    </vt:vector>
  </HeadingPairs>
  <TitlesOfParts>
    <vt:vector size="20" baseType="lpstr">
      <vt:lpstr>DONNEES COMITE (3)</vt:lpstr>
      <vt:lpstr>PERFORMANCE DES TITRES</vt:lpstr>
      <vt:lpstr>EVOL INDICIELLE</vt:lpstr>
      <vt:lpstr>PERFORMANCE DES TITRES 08-03-24</vt:lpstr>
      <vt:lpstr>VOLUME</vt:lpstr>
      <vt:lpstr>EVA RECOM</vt:lpstr>
      <vt:lpstr>SYNTHESE RECOMMANDATION </vt:lpstr>
      <vt:lpstr>DONNEES COMITE (2)</vt:lpstr>
      <vt:lpstr>Dividendes</vt:lpstr>
      <vt:lpstr>RN CA</vt:lpstr>
      <vt:lpstr>Dividendes!Zone_d_impression</vt:lpstr>
      <vt:lpstr>'DONNEES COMITE (2)'!Zone_d_impression</vt:lpstr>
      <vt:lpstr>'DONNEES COMITE (3)'!Zone_d_impression</vt:lpstr>
      <vt:lpstr>'EVA RECOM'!Zone_d_impression</vt:lpstr>
      <vt:lpstr>'EVOL INDICIELLE'!Zone_d_impression</vt:lpstr>
      <vt:lpstr>'PERFORMANCE DES TITRES'!Zone_d_impression</vt:lpstr>
      <vt:lpstr>'PERFORMANCE DES TITRES 08-03-24'!Zone_d_impression</vt:lpstr>
      <vt:lpstr>'RN CA'!Zone_d_impression</vt:lpstr>
      <vt:lpstr>'SYNTHESE RECOMMANDATION '!Zone_d_impression</vt:lpstr>
      <vt:lpstr>VOLUME!Zone_d_impression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Gestion de portefeuille Tiburce</dc:creator>
  <cp:lastModifiedBy>SGP</cp:lastModifiedBy>
  <dcterms:created xsi:type="dcterms:W3CDTF">2021-02-08T15:38:00Z</dcterms:created>
  <dcterms:modified xsi:type="dcterms:W3CDTF">2024-03-20T15:34:39Z</dcterms:modified>
</cp:coreProperties>
</file>