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360" yWindow="0" windowWidth="5655" windowHeight="5865" tabRatio="734"/>
  </bookViews>
  <sheets>
    <sheet name="доходи" sheetId="56" r:id="rId1"/>
    <sheet name="видатки_затв " sheetId="29" r:id="rId2"/>
    <sheet name="видатки по розпорядниках" sheetId="7" r:id="rId3"/>
    <sheet name="дод_4" sheetId="51" r:id="rId4"/>
    <sheet name="дод5" sheetId="52" r:id="rId5"/>
    <sheet name="дод_6" sheetId="53" r:id="rId6"/>
    <sheet name="дод7" sheetId="57" r:id="rId7"/>
    <sheet name="Дод8" sheetId="5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Б21000">#REF!</definedName>
    <definedName name="_Б22000">#REF!</definedName>
    <definedName name="_Б22100">#REF!</definedName>
    <definedName name="_Б22110">#REF!</definedName>
    <definedName name="_Б22111">#REF!</definedName>
    <definedName name="_Б22112">#REF!</definedName>
    <definedName name="_Б22200">#REF!</definedName>
    <definedName name="_Б23000">#REF!</definedName>
    <definedName name="_Б24000">#REF!</definedName>
    <definedName name="_Б25000">#REF!</definedName>
    <definedName name="_Б41000">#REF!</definedName>
    <definedName name="_Б42000">#REF!</definedName>
    <definedName name="_Б43000">#REF!</definedName>
    <definedName name="_Б44000">#REF!</definedName>
    <definedName name="_Б45000">#REF!</definedName>
    <definedName name="_Б46000">#REF!</definedName>
    <definedName name="_В010100">#REF!</definedName>
    <definedName name="_В010200">#REF!</definedName>
    <definedName name="_В040000">#REF!</definedName>
    <definedName name="_В050000">#REF!</definedName>
    <definedName name="_В060000">#REF!</definedName>
    <definedName name="_В070000">#REF!</definedName>
    <definedName name="_В080000">#REF!</definedName>
    <definedName name="_В090000">#REF!</definedName>
    <definedName name="_В090200">#REF!</definedName>
    <definedName name="_В090201">#REF!</definedName>
    <definedName name="_В090202">#REF!</definedName>
    <definedName name="_В090203">#REF!</definedName>
    <definedName name="_В090300">#REF!</definedName>
    <definedName name="_В090301">#REF!</definedName>
    <definedName name="_В090302">#REF!</definedName>
    <definedName name="_В090303">#REF!</definedName>
    <definedName name="_В090304">#REF!</definedName>
    <definedName name="_В090305">#REF!</definedName>
    <definedName name="_В090306">#REF!</definedName>
    <definedName name="_В090307">#REF!</definedName>
    <definedName name="_В090400">#REF!</definedName>
    <definedName name="_В090405">#REF!</definedName>
    <definedName name="_В090412">#REF!</definedName>
    <definedName name="_В090601">#REF!</definedName>
    <definedName name="_В090700">#REF!</definedName>
    <definedName name="_В090900">#REF!</definedName>
    <definedName name="_В091100">#REF!</definedName>
    <definedName name="_В091200">#REF!</definedName>
    <definedName name="_В100000">#REF!</definedName>
    <definedName name="_В100100">#REF!</definedName>
    <definedName name="_В100103">#REF!</definedName>
    <definedName name="_В100200">#REF!</definedName>
    <definedName name="_В100203">#REF!</definedName>
    <definedName name="_В100204">#REF!</definedName>
    <definedName name="_В110000">#REF!</definedName>
    <definedName name="_В120000">#REF!</definedName>
    <definedName name="_В130000">#REF!</definedName>
    <definedName name="_В140000">#REF!</definedName>
    <definedName name="_В140102">#REF!</definedName>
    <definedName name="_В150000">#REF!</definedName>
    <definedName name="_В150101">#REF!</definedName>
    <definedName name="_В160000">#REF!</definedName>
    <definedName name="_В160100">#REF!</definedName>
    <definedName name="_В160103">#REF!</definedName>
    <definedName name="_В160200">#REF!</definedName>
    <definedName name="_В160300">#REF!</definedName>
    <definedName name="_В160304">#REF!</definedName>
    <definedName name="_В170000">#REF!</definedName>
    <definedName name="_В170100">#REF!</definedName>
    <definedName name="_В170101">#REF!</definedName>
    <definedName name="_В170300">#REF!</definedName>
    <definedName name="_В170303">#REF!</definedName>
    <definedName name="_В170600">#REF!</definedName>
    <definedName name="_В170601">#REF!</definedName>
    <definedName name="_В170700">#REF!</definedName>
    <definedName name="_В170703">#REF!</definedName>
    <definedName name="_В200000">#REF!</definedName>
    <definedName name="_В210000">#REF!</definedName>
    <definedName name="_В210200">#REF!</definedName>
    <definedName name="_В240000">#REF!</definedName>
    <definedName name="_В240600">#REF!</definedName>
    <definedName name="_В250000">#REF!</definedName>
    <definedName name="_В250102">#REF!</definedName>
    <definedName name="_В250200">#REF!</definedName>
    <definedName name="_В250301">#REF!</definedName>
    <definedName name="_В250307">#REF!</definedName>
    <definedName name="_В250500">#REF!</definedName>
    <definedName name="_В250501">#REF!</definedName>
    <definedName name="_В250502">#REF!</definedName>
    <definedName name="_Д100000">#REF!</definedName>
    <definedName name="_Д110000">#REF!</definedName>
    <definedName name="_Д110100">#REF!</definedName>
    <definedName name="_Д110200">#REF!</definedName>
    <definedName name="_Д120000">#REF!</definedName>
    <definedName name="_Д120200">#REF!</definedName>
    <definedName name="_Д130000">#REF!</definedName>
    <definedName name="_Д130100">#REF!</definedName>
    <definedName name="_Д130200">#REF!</definedName>
    <definedName name="_Д130300">#REF!</definedName>
    <definedName name="_Д130500">#REF!</definedName>
    <definedName name="_Д140000">#REF!</definedName>
    <definedName name="_Д140601">#REF!</definedName>
    <definedName name="_Д140602">#REF!</definedName>
    <definedName name="_Д140603">#REF!</definedName>
    <definedName name="_Д140700">#REF!</definedName>
    <definedName name="_Д160000">#REF!</definedName>
    <definedName name="_Д160100">#REF!</definedName>
    <definedName name="_Д160200">#REF!</definedName>
    <definedName name="_Д160300">#REF!</definedName>
    <definedName name="_Д200000">#REF!</definedName>
    <definedName name="_Д210000">#REF!</definedName>
    <definedName name="_Д210700">#REF!</definedName>
    <definedName name="_Д220000">#REF!</definedName>
    <definedName name="_Д220800">#REF!</definedName>
    <definedName name="_Д220900">#REF!</definedName>
    <definedName name="_Д230000">#REF!</definedName>
    <definedName name="_Д240000">#REF!</definedName>
    <definedName name="_Д240800">#REF!</definedName>
    <definedName name="_Д400000">#REF!</definedName>
    <definedName name="_Д410100">#REF!</definedName>
    <definedName name="_Д410400">#REF!</definedName>
    <definedName name="_Д500000">#REF!</definedName>
    <definedName name="_Д500800">#REF!</definedName>
    <definedName name="_Д500900">#REF!</definedName>
    <definedName name="_Е1000">#REF!</definedName>
    <definedName name="_Е1100">#REF!</definedName>
    <definedName name="_Е1110">#REF!</definedName>
    <definedName name="_Е1120">#REF!</definedName>
    <definedName name="_Е1130">#REF!</definedName>
    <definedName name="_Е1140">#REF!</definedName>
    <definedName name="_Е1150">#REF!</definedName>
    <definedName name="_Е1160">#REF!</definedName>
    <definedName name="_Е1161">#REF!</definedName>
    <definedName name="_Е1162">#REF!</definedName>
    <definedName name="_Е1163">#REF!</definedName>
    <definedName name="_Е1164">#REF!</definedName>
    <definedName name="_Е1170">#REF!</definedName>
    <definedName name="_Е1200">#REF!</definedName>
    <definedName name="_Е1300">#REF!</definedName>
    <definedName name="_Е1340">#REF!</definedName>
    <definedName name="_Е2000">#REF!</definedName>
    <definedName name="_Е2100">#REF!</definedName>
    <definedName name="_Е2110">#REF!</definedName>
    <definedName name="_Е2120">#REF!</definedName>
    <definedName name="_Е2130">#REF!</definedName>
    <definedName name="_Е2200">#REF!</definedName>
    <definedName name="_Е2300">#REF!</definedName>
    <definedName name="_Е3000">#REF!</definedName>
    <definedName name="_Е4000">#REF!</definedName>
    <definedName name="_ёИ900201">[2]джер_фінанс!#REF!</definedName>
    <definedName name="_ёИ900202">[2]джер_фінанс!#REF!</definedName>
    <definedName name="_ёК900101">[2]джер_фінанс!#REF!</definedName>
    <definedName name="_ёК900102">[2]джер_фінанс!#REF!</definedName>
    <definedName name="_ёЛ900203">[2]джер_фінанс!#REF!</definedName>
    <definedName name="_ёЛ900300">[2]джер_фінанс!#REF!</definedName>
    <definedName name="_ёЪ900400">[2]джер_фінанс!#REF!</definedName>
    <definedName name="_И010100">[2]джер_фінанс!#REF!</definedName>
    <definedName name="_И010200">[2]джер_фінанс!#REF!</definedName>
    <definedName name="_И040000">[2]джер_фінанс!#REF!</definedName>
    <definedName name="_И050000">[2]джер_фінанс!#REF!</definedName>
    <definedName name="_И060000">[2]джер_фінанс!#REF!</definedName>
    <definedName name="_И070000">[2]джер_фінанс!#REF!</definedName>
    <definedName name="_И080000">[2]джер_фінанс!#REF!</definedName>
    <definedName name="_И090000">[2]джер_фінанс!#REF!</definedName>
    <definedName name="_И090200">[2]джер_фінанс!#REF!</definedName>
    <definedName name="_И090201">[2]джер_фінанс!#REF!</definedName>
    <definedName name="_И090202">[2]джер_фінанс!#REF!</definedName>
    <definedName name="_И090203">[2]джер_фінанс!#REF!</definedName>
    <definedName name="_И090300">[2]джер_фінанс!#REF!</definedName>
    <definedName name="_И090301">[2]джер_фінанс!#REF!</definedName>
    <definedName name="_И090302">[2]джер_фінанс!#REF!</definedName>
    <definedName name="_И090303">[2]джер_фінанс!#REF!</definedName>
    <definedName name="_И090304">[2]джер_фінанс!#REF!</definedName>
    <definedName name="_И090305">[2]джер_фінанс!#REF!</definedName>
    <definedName name="_И090306">[2]джер_фінанс!#REF!</definedName>
    <definedName name="_И090307">[2]джер_фінанс!#REF!</definedName>
    <definedName name="_И090400">[2]джер_фінанс!#REF!</definedName>
    <definedName name="_И090405">[2]джер_фінанс!#REF!</definedName>
    <definedName name="_И090412">[2]джер_фінанс!#REF!</definedName>
    <definedName name="_И090601">[2]джер_фінанс!#REF!</definedName>
    <definedName name="_И090700">[2]джер_фінанс!#REF!</definedName>
    <definedName name="_И090900">[2]джер_фінанс!#REF!</definedName>
    <definedName name="_И091100">[2]джер_фінанс!#REF!</definedName>
    <definedName name="_И091200">[2]джер_фінанс!#REF!</definedName>
    <definedName name="_И100000">[2]джер_фінанс!#REF!</definedName>
    <definedName name="_И100100">[2]джер_фінанс!#REF!</definedName>
    <definedName name="_И100103">[2]джер_фінанс!#REF!</definedName>
    <definedName name="_И100200">[2]джер_фінанс!#REF!</definedName>
    <definedName name="_И100203">[2]джер_фінанс!#REF!</definedName>
    <definedName name="_И100204">[2]джер_фінанс!#REF!</definedName>
    <definedName name="_И110000">[2]джер_фінанс!#REF!</definedName>
    <definedName name="_И120000">[2]джер_фінанс!#REF!</definedName>
    <definedName name="_И130000">[2]джер_фінанс!#REF!</definedName>
    <definedName name="_И140000">[2]джер_фінанс!#REF!</definedName>
    <definedName name="_И140102">[2]джер_фінанс!#REF!</definedName>
    <definedName name="_И150000">[2]джер_фінанс!#REF!</definedName>
    <definedName name="_И150101">[2]джер_фінанс!#REF!</definedName>
    <definedName name="_И160000">[2]джер_фінанс!#REF!</definedName>
    <definedName name="_И160100">[2]джер_фінанс!#REF!</definedName>
    <definedName name="_И160103">[2]джер_фінанс!#REF!</definedName>
    <definedName name="_И160200">[2]джер_фінанс!#REF!</definedName>
    <definedName name="_И160300">[2]джер_фінанс!#REF!</definedName>
    <definedName name="_И160304">[2]джер_фінанс!#REF!</definedName>
    <definedName name="_И170000">[2]джер_фінанс!#REF!</definedName>
    <definedName name="_И170100">[2]джер_фінанс!#REF!</definedName>
    <definedName name="_И170101">[2]джер_фінанс!#REF!</definedName>
    <definedName name="_И170300">[2]джер_фінанс!#REF!</definedName>
    <definedName name="_И170303">[2]джер_фінанс!#REF!</definedName>
    <definedName name="_И170600">[2]джер_фінанс!#REF!</definedName>
    <definedName name="_И170601">[2]джер_фінанс!#REF!</definedName>
    <definedName name="_И170700">[2]джер_фінанс!#REF!</definedName>
    <definedName name="_И170703">[2]джер_фінанс!#REF!</definedName>
    <definedName name="_И200000">[2]джер_фінанс!#REF!</definedName>
    <definedName name="_И210000">[2]джер_фінанс!#REF!</definedName>
    <definedName name="_И210200">[2]джер_фінанс!#REF!</definedName>
    <definedName name="_И240000">[2]джер_фінанс!#REF!</definedName>
    <definedName name="_И240600">[2]джер_фінанс!#REF!</definedName>
    <definedName name="_И250000">[2]джер_фінанс!#REF!</definedName>
    <definedName name="_И250102">[2]джер_фінанс!#REF!</definedName>
    <definedName name="_И250200">[2]джер_фінанс!#REF!</definedName>
    <definedName name="_И250301">[2]джер_фінанс!#REF!</definedName>
    <definedName name="_И250307">[2]джер_фінанс!#REF!</definedName>
    <definedName name="_И250500">[2]джер_фінанс!#REF!</definedName>
    <definedName name="_И250501">[2]джер_фінанс!#REF!</definedName>
    <definedName name="_И250502">[2]джер_фінанс!#REF!</definedName>
    <definedName name="_ІБ900501">#REF!</definedName>
    <definedName name="_ІБ900502">#REF!</definedName>
    <definedName name="_ІВ900201">#REF!</definedName>
    <definedName name="_ІВ900202">#REF!</definedName>
    <definedName name="_ІД900101">#REF!</definedName>
    <definedName name="_ІД900102">#REF!</definedName>
    <definedName name="_ІЕ900203">#REF!</definedName>
    <definedName name="_ІЕ900300">#REF!</definedName>
    <definedName name="_ІФ900400">#REF!</definedName>
    <definedName name="_К100000">[2]джер_фінанс!#REF!</definedName>
    <definedName name="_К110000">[2]джер_фінанс!#REF!</definedName>
    <definedName name="_К110100">[2]джер_фінанс!#REF!</definedName>
    <definedName name="_К110200">[2]джер_фінанс!#REF!</definedName>
    <definedName name="_К120000">[2]джер_фінанс!#REF!</definedName>
    <definedName name="_К120200">[2]джер_фінанс!#REF!</definedName>
    <definedName name="_К130000">[2]джер_фінанс!#REF!</definedName>
    <definedName name="_К130100">[2]джер_фінанс!#REF!</definedName>
    <definedName name="_К130200">[2]джер_фінанс!#REF!</definedName>
    <definedName name="_К130300">[2]джер_фінанс!#REF!</definedName>
    <definedName name="_К130500">[2]джер_фінанс!#REF!</definedName>
    <definedName name="_К140000">[2]джер_фінанс!#REF!</definedName>
    <definedName name="_К140601">[2]джер_фінанс!#REF!</definedName>
    <definedName name="_К140602">[2]джер_фінанс!#REF!</definedName>
    <definedName name="_К140603">[2]джер_фінанс!#REF!</definedName>
    <definedName name="_К140700">[2]джер_фінанс!#REF!</definedName>
    <definedName name="_К160000">[2]джер_фінанс!#REF!</definedName>
    <definedName name="_К160100">[2]джер_фінанс!#REF!</definedName>
    <definedName name="_К160200">[2]джер_фінанс!#REF!</definedName>
    <definedName name="_К160300">[2]джер_фінанс!#REF!</definedName>
    <definedName name="_К200000">[2]джер_фінанс!#REF!</definedName>
    <definedName name="_К210000">[2]джер_фінанс!#REF!</definedName>
    <definedName name="_К210700">[2]джер_фінанс!#REF!</definedName>
    <definedName name="_К220000">[2]джер_фінанс!#REF!</definedName>
    <definedName name="_К220800">[2]джер_фінанс!#REF!</definedName>
    <definedName name="_К220900">[2]джер_фінанс!#REF!</definedName>
    <definedName name="_К230000">[2]джер_фінанс!#REF!</definedName>
    <definedName name="_К240000">[2]джер_фінанс!#REF!</definedName>
    <definedName name="_К240800">[2]джер_фінанс!#REF!</definedName>
    <definedName name="_К400000">[2]джер_фінанс!#REF!</definedName>
    <definedName name="_К410100">[2]джер_фінанс!#REF!</definedName>
    <definedName name="_К410400">[2]джер_фінанс!#REF!</definedName>
    <definedName name="_К500000">[2]джер_фінанс!#REF!</definedName>
    <definedName name="_К500800">[2]джер_фінанс!#REF!</definedName>
    <definedName name="_К500900">[2]джер_фінанс!#REF!</definedName>
    <definedName name="_Л1000">[2]джер_фінанс!#REF!</definedName>
    <definedName name="_Л1100">[2]джер_фінанс!#REF!</definedName>
    <definedName name="_Л1110">[2]джер_фінанс!#REF!</definedName>
    <definedName name="_Л1120">[2]джер_фінанс!#REF!</definedName>
    <definedName name="_Л1130">[2]джер_фінанс!#REF!</definedName>
    <definedName name="_Л1140">[2]джер_фінанс!#REF!</definedName>
    <definedName name="_Л1150">[2]джер_фінанс!#REF!</definedName>
    <definedName name="_Л1160">[2]джер_фінанс!#REF!</definedName>
    <definedName name="_Л1161">[2]джер_фінанс!#REF!</definedName>
    <definedName name="_Л1162">[2]джер_фінанс!#REF!</definedName>
    <definedName name="_Л1163">[2]джер_фінанс!#REF!</definedName>
    <definedName name="_Л1164">[2]джер_фінанс!#REF!</definedName>
    <definedName name="_Л1170">[2]джер_фінанс!#REF!</definedName>
    <definedName name="_Л1200">[2]джер_фінанс!#REF!</definedName>
    <definedName name="_Л1300">[2]джер_фінанс!#REF!</definedName>
    <definedName name="_Л1340">[2]джер_фінанс!#REF!</definedName>
    <definedName name="_Л2000">[2]джер_фінанс!#REF!</definedName>
    <definedName name="_Л2100">[2]джер_фінанс!#REF!</definedName>
    <definedName name="_Л2110">[2]джер_фінанс!#REF!</definedName>
    <definedName name="_Л2120">[2]джер_фінанс!#REF!</definedName>
    <definedName name="_Л2130">[2]джер_фінанс!#REF!</definedName>
    <definedName name="_Л2200">[2]джер_фінанс!#REF!</definedName>
    <definedName name="_Л2300">[2]джер_фінанс!#REF!</definedName>
    <definedName name="_Л3000">[2]джер_фінанс!#REF!</definedName>
    <definedName name="_Л4000">[2]джер_фінанс!#REF!</definedName>
    <definedName name="_Ф100000">#REF!</definedName>
    <definedName name="_Ф101000">#REF!</definedName>
    <definedName name="_Ф102000">#REF!</definedName>
    <definedName name="_Ф201000">#REF!</definedName>
    <definedName name="_Ф201010">#REF!</definedName>
    <definedName name="_Ф201011">#REF!</definedName>
    <definedName name="_Ф201012">#REF!</definedName>
    <definedName name="_Ф201020">#REF!</definedName>
    <definedName name="_Ф201021">#REF!</definedName>
    <definedName name="_Ф201022">#REF!</definedName>
    <definedName name="_Ф201030">#REF!</definedName>
    <definedName name="_Ф201031">#REF!</definedName>
    <definedName name="_Ф201032">#REF!</definedName>
    <definedName name="_Ф202000">#REF!</definedName>
    <definedName name="_Ф202010">#REF!</definedName>
    <definedName name="_Ф202011">#REF!</definedName>
    <definedName name="_Ф202012">#REF!</definedName>
    <definedName name="_Ф203000">#REF!</definedName>
    <definedName name="_Ф203010">#REF!</definedName>
    <definedName name="_Ф203011">#REF!</definedName>
    <definedName name="_Ф203012">#REF!</definedName>
    <definedName name="_Ф204000">#REF!</definedName>
    <definedName name="_Ф205000">#REF!</definedName>
    <definedName name="_Ф206000">#REF!</definedName>
    <definedName name="_Ф206001">#REF!</definedName>
    <definedName name="_Ф206002">#REF!</definedName>
    <definedName name="_xlnm._FilterDatabase" localSheetId="2" hidden="1">'видатки по розпорядниках'!$A$20:$P$1040</definedName>
    <definedName name="_xlnm._FilterDatabase" localSheetId="1" hidden="1">'видатки_затв '!$O$19:$O$504</definedName>
    <definedName name="_xlnm._FilterDatabase" localSheetId="3" hidden="1">дод_4!$O$10:$O$41</definedName>
    <definedName name="_xlnm._FilterDatabase" localSheetId="5" hidden="1">дод_6!$T$12:$T$52</definedName>
    <definedName name="_xlnm._FilterDatabase" localSheetId="4" hidden="1">дод5!$H$14:$H$139</definedName>
    <definedName name="_xlnm._FilterDatabase" localSheetId="6" hidden="1">дод7!$A$19:$I$1038</definedName>
    <definedName name="_xlnm._FilterDatabase" localSheetId="7" hidden="1">Дод8!$I$9:$I$221</definedName>
    <definedName name="_xlnm._FilterDatabase" localSheetId="0" hidden="1">доходи!$H$12:$H$362</definedName>
    <definedName name="_Ъ100000">[2]джер_фінанс!#REF!</definedName>
    <definedName name="_Ъ101000">[2]джер_фінанс!#REF!</definedName>
    <definedName name="_Ъ102000">[2]джер_фінанс!#REF!</definedName>
    <definedName name="_Ъ201000">[2]джер_фінанс!#REF!</definedName>
    <definedName name="_Ъ201010">[2]джер_фінанс!#REF!</definedName>
    <definedName name="_Ъ201011">[2]джер_фінанс!#REF!</definedName>
    <definedName name="_Ъ201012">[2]джер_фінанс!#REF!</definedName>
    <definedName name="_Ъ201020">[2]джер_фінанс!#REF!</definedName>
    <definedName name="_Ъ201021">[2]джер_фінанс!#REF!</definedName>
    <definedName name="_Ъ201022">[2]джер_фінанс!#REF!</definedName>
    <definedName name="_Ъ201030">[2]джер_фінанс!#REF!</definedName>
    <definedName name="_Ъ201031">[2]джер_фінанс!#REF!</definedName>
    <definedName name="_Ъ201032">[2]джер_фінанс!#REF!</definedName>
    <definedName name="_Ъ202000">[2]джер_фінанс!#REF!</definedName>
    <definedName name="_Ъ202010">[2]джер_фінанс!#REF!</definedName>
    <definedName name="_Ъ202011">[2]джер_фінанс!#REF!</definedName>
    <definedName name="_Ъ202012">[2]джер_фінанс!#REF!</definedName>
    <definedName name="_Ъ203000">[2]джер_фінанс!#REF!</definedName>
    <definedName name="_Ъ203010">[2]джер_фінанс!#REF!</definedName>
    <definedName name="_Ъ203011">[2]джер_фінанс!#REF!</definedName>
    <definedName name="_Ъ203012">[2]джер_фінанс!#REF!</definedName>
    <definedName name="_Ъ204000">[2]джер_фінанс!#REF!</definedName>
    <definedName name="_Ъ205000">[2]джер_фінанс!#REF!</definedName>
    <definedName name="_Ъ206000">[2]джер_фінанс!#REF!</definedName>
    <definedName name="_Ъ206001">[2]джер_фінанс!#REF!</definedName>
    <definedName name="_Ъ206002">[2]джер_фінанс!#REF!</definedName>
    <definedName name="rrr">[4]Оренда!$A$4:$B$29</definedName>
    <definedName name="а22100">#REF!</definedName>
    <definedName name="алпдвалп">#REF!</definedName>
    <definedName name="_xlnm.Database">#REF!</definedName>
    <definedName name="В68">#REF!</definedName>
    <definedName name="вс">#REF!</definedName>
    <definedName name="_xlnm.Print_Titles" localSheetId="2">'видатки по розпорядниках'!$10:$19</definedName>
    <definedName name="_xlnm.Print_Titles" localSheetId="1">'видатки_затв '!$10:$18</definedName>
    <definedName name="_xlnm.Print_Titles" localSheetId="5">дод_6!$B:$C</definedName>
    <definedName name="_xlnm.Print_Titles" localSheetId="4">дод5!$10:$15</definedName>
    <definedName name="_xlnm.Print_Titles" localSheetId="6">дод7!$9:$18</definedName>
    <definedName name="_xlnm.Print_Titles" localSheetId="7">Дод8!$8:$9</definedName>
    <definedName name="_xlnm.Print_Titles" localSheetId="0">доходи!$8:$13</definedName>
    <definedName name="иори">#REF!</definedName>
    <definedName name="і">#REF!</definedName>
    <definedName name="область">#REF!</definedName>
    <definedName name="_xlnm.Print_Area" localSheetId="2">'видатки по розпорядниках'!$A$1:$O$761</definedName>
    <definedName name="_xlnm.Print_Area" localSheetId="1">'видатки_затв '!$A$1:$M$493</definedName>
    <definedName name="_xlnm.Print_Area" localSheetId="3">дод_4!$A$1:$N$41</definedName>
    <definedName name="_xlnm.Print_Area" localSheetId="5">дод_6!$B$1:$S$48</definedName>
    <definedName name="_xlnm.Print_Area" localSheetId="4">дод5!$B$2:$G$139</definedName>
    <definedName name="_xlnm.Print_Area" localSheetId="6">дод7!$A$1:$H$759</definedName>
    <definedName name="_xlnm.Print_Area" localSheetId="7">Дод8!$A$1:$H$223</definedName>
    <definedName name="_xlnm.Print_Area" localSheetId="0">доходи!$B$1:$G$353</definedName>
  </definedNames>
  <calcPr calcId="145621" fullCalcOnLoad="1"/>
</workbook>
</file>

<file path=xl/calcChain.xml><?xml version="1.0" encoding="utf-8"?>
<calcChain xmlns="http://schemas.openxmlformats.org/spreadsheetml/2006/main">
  <c r="E36" i="55" l="1"/>
  <c r="O531" i="7"/>
  <c r="P531" i="7"/>
  <c r="M391" i="7"/>
  <c r="N391" i="7"/>
  <c r="J191" i="29"/>
  <c r="K191" i="29"/>
  <c r="N390" i="7"/>
  <c r="N394" i="7"/>
  <c r="M383" i="7"/>
  <c r="L390" i="7"/>
  <c r="M390" i="7"/>
  <c r="M394" i="7"/>
  <c r="L382" i="7"/>
  <c r="L378" i="7"/>
  <c r="K382" i="7"/>
  <c r="K378" i="7"/>
  <c r="J382" i="7"/>
  <c r="J378" i="7"/>
  <c r="I382" i="7"/>
  <c r="I378" i="7"/>
  <c r="H379" i="7"/>
  <c r="H380" i="7"/>
  <c r="H381" i="7"/>
  <c r="H383" i="7"/>
  <c r="H384" i="7"/>
  <c r="H385" i="7"/>
  <c r="H386" i="7"/>
  <c r="H387" i="7"/>
  <c r="H390" i="7"/>
  <c r="H391" i="7"/>
  <c r="H394" i="7"/>
  <c r="H395" i="7"/>
  <c r="H396" i="7"/>
  <c r="G382" i="7"/>
  <c r="G378" i="7"/>
  <c r="F382" i="7"/>
  <c r="F378" i="7"/>
  <c r="E387" i="7"/>
  <c r="E378" i="7"/>
  <c r="E390" i="7"/>
  <c r="E391" i="7"/>
  <c r="O392" i="7"/>
  <c r="P392" i="7"/>
  <c r="E138" i="56"/>
  <c r="E139" i="56"/>
  <c r="C353" i="29"/>
  <c r="C444" i="29"/>
  <c r="C348" i="29"/>
  <c r="F350" i="29"/>
  <c r="F351" i="29"/>
  <c r="F348" i="29"/>
  <c r="M348" i="29"/>
  <c r="F352" i="29"/>
  <c r="F353" i="29"/>
  <c r="F354" i="29"/>
  <c r="F355" i="29"/>
  <c r="F356" i="29"/>
  <c r="F357" i="29"/>
  <c r="F358" i="29"/>
  <c r="F361" i="29"/>
  <c r="J365" i="29"/>
  <c r="F365" i="29"/>
  <c r="F362" i="29"/>
  <c r="F413" i="29"/>
  <c r="F416" i="29"/>
  <c r="F417" i="29"/>
  <c r="F418" i="29"/>
  <c r="F419" i="29"/>
  <c r="F420" i="29"/>
  <c r="F431" i="29"/>
  <c r="F432" i="29"/>
  <c r="F433" i="29"/>
  <c r="F434" i="29"/>
  <c r="F436" i="29"/>
  <c r="F437" i="29"/>
  <c r="F438" i="29"/>
  <c r="F439" i="29"/>
  <c r="F443" i="29"/>
  <c r="J444" i="29"/>
  <c r="F444" i="29"/>
  <c r="F455" i="29"/>
  <c r="F456" i="29"/>
  <c r="F457" i="29"/>
  <c r="F460" i="29"/>
  <c r="F461" i="29"/>
  <c r="F462" i="29"/>
  <c r="F463" i="29"/>
  <c r="F465" i="29"/>
  <c r="F468" i="29"/>
  <c r="F470" i="29"/>
  <c r="F440" i="29"/>
  <c r="F441" i="29"/>
  <c r="F442" i="29"/>
  <c r="F428" i="29"/>
  <c r="G430" i="29"/>
  <c r="F430" i="29"/>
  <c r="C336" i="29"/>
  <c r="F337" i="29"/>
  <c r="F342" i="29"/>
  <c r="F339" i="29"/>
  <c r="F340" i="29"/>
  <c r="F341" i="29"/>
  <c r="F345" i="29"/>
  <c r="F336" i="29"/>
  <c r="M336" i="29"/>
  <c r="H51" i="53"/>
  <c r="S50" i="53"/>
  <c r="D42" i="53"/>
  <c r="D21" i="53"/>
  <c r="D43" i="53"/>
  <c r="D47" i="53"/>
  <c r="E42" i="53"/>
  <c r="E21" i="53"/>
  <c r="E43" i="53"/>
  <c r="E47" i="53"/>
  <c r="F42" i="53"/>
  <c r="F21" i="53"/>
  <c r="F43" i="53"/>
  <c r="F47" i="53"/>
  <c r="G42" i="53"/>
  <c r="G21" i="53"/>
  <c r="G43" i="53"/>
  <c r="G47" i="53"/>
  <c r="H42" i="53"/>
  <c r="H21" i="53"/>
  <c r="H43" i="53"/>
  <c r="H47" i="53"/>
  <c r="I42" i="53"/>
  <c r="I21" i="53"/>
  <c r="I43" i="53"/>
  <c r="I47" i="53"/>
  <c r="J42" i="53"/>
  <c r="J21" i="53"/>
  <c r="J43" i="53"/>
  <c r="J47" i="53"/>
  <c r="K42" i="53"/>
  <c r="K21" i="53"/>
  <c r="K43" i="53"/>
  <c r="K47" i="53"/>
  <c r="L42" i="53"/>
  <c r="L21" i="53"/>
  <c r="L43" i="53"/>
  <c r="L47" i="53"/>
  <c r="M42" i="53"/>
  <c r="M21" i="53"/>
  <c r="M43" i="53"/>
  <c r="M47" i="53"/>
  <c r="N42" i="53"/>
  <c r="N21" i="53"/>
  <c r="N43" i="53"/>
  <c r="N47" i="53"/>
  <c r="O42" i="53"/>
  <c r="O21" i="53"/>
  <c r="O43" i="53"/>
  <c r="O47" i="53"/>
  <c r="P42" i="53"/>
  <c r="P21" i="53"/>
  <c r="P43" i="53"/>
  <c r="P47" i="53"/>
  <c r="Q42" i="53"/>
  <c r="Q43" i="53"/>
  <c r="R42" i="53"/>
  <c r="R43" i="53"/>
  <c r="R47" i="53"/>
  <c r="R52" i="53"/>
  <c r="M713" i="7"/>
  <c r="N713" i="7"/>
  <c r="C11" i="53"/>
  <c r="D11" i="53"/>
  <c r="E11" i="53"/>
  <c r="F11" i="53"/>
  <c r="G11" i="53"/>
  <c r="H11" i="53"/>
  <c r="I11" i="53"/>
  <c r="J11" i="53"/>
  <c r="K11" i="53"/>
  <c r="L11" i="53"/>
  <c r="M11" i="53"/>
  <c r="N11" i="53"/>
  <c r="O11" i="53"/>
  <c r="P11" i="53"/>
  <c r="Q11" i="53"/>
  <c r="R11" i="53"/>
  <c r="S11" i="53"/>
  <c r="D112" i="56"/>
  <c r="D83" i="56"/>
  <c r="D35" i="56"/>
  <c r="D34" i="56"/>
  <c r="C79" i="29"/>
  <c r="E82" i="7"/>
  <c r="C81" i="29"/>
  <c r="E88" i="7"/>
  <c r="E97" i="7"/>
  <c r="E98" i="7"/>
  <c r="E99" i="7"/>
  <c r="E100" i="7"/>
  <c r="E101" i="7"/>
  <c r="C89" i="29"/>
  <c r="E102" i="7"/>
  <c r="E104" i="7"/>
  <c r="E108" i="7"/>
  <c r="E109" i="7"/>
  <c r="E111" i="7"/>
  <c r="C97" i="29"/>
  <c r="E112" i="7"/>
  <c r="E117" i="7"/>
  <c r="E118" i="7"/>
  <c r="E78" i="7"/>
  <c r="E119" i="7"/>
  <c r="E120" i="7"/>
  <c r="E121" i="7"/>
  <c r="E122" i="7"/>
  <c r="E130" i="7"/>
  <c r="E132" i="7"/>
  <c r="M129" i="7"/>
  <c r="N129" i="7"/>
  <c r="L79" i="29"/>
  <c r="N82" i="7"/>
  <c r="N78" i="7"/>
  <c r="N88" i="7"/>
  <c r="N97" i="7"/>
  <c r="N98" i="7"/>
  <c r="N99" i="7"/>
  <c r="N100" i="7"/>
  <c r="N101" i="7"/>
  <c r="N102" i="7"/>
  <c r="N104" i="7"/>
  <c r="N108" i="7"/>
  <c r="N109" i="7"/>
  <c r="N111" i="7"/>
  <c r="L97" i="29"/>
  <c r="N112" i="7"/>
  <c r="N120" i="7"/>
  <c r="N121" i="7"/>
  <c r="N122" i="7"/>
  <c r="K280" i="29"/>
  <c r="L280" i="29"/>
  <c r="N130" i="7"/>
  <c r="N127" i="7"/>
  <c r="N128" i="7"/>
  <c r="G556" i="7"/>
  <c r="E26" i="29"/>
  <c r="M76" i="7"/>
  <c r="H75" i="57"/>
  <c r="I75" i="57"/>
  <c r="N76" i="7"/>
  <c r="H76" i="7"/>
  <c r="O76" i="7"/>
  <c r="P76" i="7"/>
  <c r="N69" i="7"/>
  <c r="M69" i="7"/>
  <c r="L69" i="7"/>
  <c r="L33" i="7"/>
  <c r="L215" i="29"/>
  <c r="K215" i="29"/>
  <c r="J215" i="29"/>
  <c r="K54" i="29"/>
  <c r="J54" i="29"/>
  <c r="K56" i="29"/>
  <c r="J56" i="29"/>
  <c r="J52" i="29"/>
  <c r="K51" i="29"/>
  <c r="J51" i="29"/>
  <c r="L49" i="29"/>
  <c r="K49" i="29"/>
  <c r="J49" i="29"/>
  <c r="L48" i="29"/>
  <c r="K48" i="29"/>
  <c r="J48" i="29"/>
  <c r="G28" i="55"/>
  <c r="G29" i="55"/>
  <c r="G30" i="55"/>
  <c r="G31" i="55"/>
  <c r="G32" i="55"/>
  <c r="G33" i="55"/>
  <c r="G34" i="55"/>
  <c r="G37" i="55"/>
  <c r="G24" i="55"/>
  <c r="H40" i="55"/>
  <c r="I40" i="55"/>
  <c r="E26" i="55"/>
  <c r="E27" i="55"/>
  <c r="E37" i="55"/>
  <c r="E24" i="55"/>
  <c r="H36" i="55"/>
  <c r="I36" i="55"/>
  <c r="H136" i="55"/>
  <c r="I136" i="55"/>
  <c r="E694" i="7"/>
  <c r="C271" i="29"/>
  <c r="G60" i="55"/>
  <c r="E61" i="52"/>
  <c r="D61" i="52"/>
  <c r="K97" i="29"/>
  <c r="J97" i="29"/>
  <c r="E89" i="29"/>
  <c r="E81" i="29"/>
  <c r="K79" i="29"/>
  <c r="J79" i="29"/>
  <c r="E79" i="29"/>
  <c r="E122" i="55"/>
  <c r="E530" i="7"/>
  <c r="C281" i="29"/>
  <c r="E118" i="55"/>
  <c r="C203" i="29"/>
  <c r="E46" i="55"/>
  <c r="E424" i="7"/>
  <c r="C199" i="29"/>
  <c r="G155" i="55"/>
  <c r="G134" i="55"/>
  <c r="E155" i="55"/>
  <c r="E139" i="55"/>
  <c r="E141" i="55"/>
  <c r="E134" i="55"/>
  <c r="H713" i="7"/>
  <c r="O713" i="7"/>
  <c r="F453" i="29"/>
  <c r="M453" i="29"/>
  <c r="O453" i="29"/>
  <c r="L444" i="29"/>
  <c r="K444" i="29"/>
  <c r="E153" i="55"/>
  <c r="E711" i="7"/>
  <c r="E714" i="7"/>
  <c r="E52" i="55"/>
  <c r="C240" i="29"/>
  <c r="G93" i="55"/>
  <c r="J250" i="29"/>
  <c r="N239" i="7"/>
  <c r="N599" i="7"/>
  <c r="L599" i="7"/>
  <c r="L239" i="7"/>
  <c r="J229" i="29"/>
  <c r="E87" i="56"/>
  <c r="E142" i="56"/>
  <c r="E96" i="55"/>
  <c r="H140" i="55"/>
  <c r="I140" i="55"/>
  <c r="E126" i="55"/>
  <c r="E532" i="7"/>
  <c r="E691" i="7"/>
  <c r="E575" i="7"/>
  <c r="L556" i="7"/>
  <c r="L558" i="7"/>
  <c r="F556" i="7"/>
  <c r="E556" i="7"/>
  <c r="E247" i="7"/>
  <c r="J26" i="29"/>
  <c r="D26" i="29"/>
  <c r="C26" i="29"/>
  <c r="C317" i="29"/>
  <c r="C320" i="29"/>
  <c r="C157" i="29"/>
  <c r="D165" i="29"/>
  <c r="C165" i="29"/>
  <c r="C116" i="29"/>
  <c r="E77" i="55"/>
  <c r="E462" i="7"/>
  <c r="C148" i="29"/>
  <c r="E58" i="55"/>
  <c r="E54" i="55"/>
  <c r="H59" i="55"/>
  <c r="I59" i="55"/>
  <c r="E364" i="7"/>
  <c r="E257" i="7"/>
  <c r="E258" i="7"/>
  <c r="E259" i="7"/>
  <c r="E261" i="7"/>
  <c r="E260" i="7"/>
  <c r="E268" i="7"/>
  <c r="E269" i="7"/>
  <c r="E270" i="7"/>
  <c r="E271" i="7"/>
  <c r="E275" i="7"/>
  <c r="E276" i="7"/>
  <c r="E279" i="7"/>
  <c r="E362" i="7"/>
  <c r="E365" i="7"/>
  <c r="E366" i="7"/>
  <c r="E367" i="7"/>
  <c r="E233" i="7"/>
  <c r="E354" i="7"/>
  <c r="E355" i="7"/>
  <c r="E356" i="7"/>
  <c r="E256" i="7"/>
  <c r="E254" i="7"/>
  <c r="E255" i="7"/>
  <c r="E240" i="7"/>
  <c r="E221" i="7"/>
  <c r="M240" i="7"/>
  <c r="N240" i="7"/>
  <c r="N252" i="7"/>
  <c r="N260" i="7"/>
  <c r="N269" i="7"/>
  <c r="N270" i="7"/>
  <c r="N271" i="7"/>
  <c r="N272" i="7"/>
  <c r="N276" i="7"/>
  <c r="N278" i="7"/>
  <c r="N333" i="7"/>
  <c r="N347" i="7"/>
  <c r="N362" i="7"/>
  <c r="N364" i="7"/>
  <c r="N365" i="7"/>
  <c r="N366" i="7"/>
  <c r="N367" i="7"/>
  <c r="N368" i="7"/>
  <c r="N256" i="7"/>
  <c r="N254" i="7"/>
  <c r="N255" i="7"/>
  <c r="N244" i="7"/>
  <c r="N247" i="7"/>
  <c r="N221" i="7"/>
  <c r="L244" i="7"/>
  <c r="M244" i="7"/>
  <c r="M334" i="7"/>
  <c r="M232" i="7"/>
  <c r="K325" i="29"/>
  <c r="M252" i="7"/>
  <c r="M260" i="7"/>
  <c r="M269" i="7"/>
  <c r="M270" i="7"/>
  <c r="M271" i="7"/>
  <c r="M272" i="7"/>
  <c r="M276" i="7"/>
  <c r="K432" i="29"/>
  <c r="M278" i="7"/>
  <c r="M365" i="7"/>
  <c r="M366" i="7"/>
  <c r="M256" i="7"/>
  <c r="M254" i="7"/>
  <c r="M255" i="7"/>
  <c r="L252" i="7"/>
  <c r="L260" i="7"/>
  <c r="L269" i="7"/>
  <c r="L270" i="7"/>
  <c r="H270" i="7"/>
  <c r="L271" i="7"/>
  <c r="L272" i="7"/>
  <c r="L276" i="7"/>
  <c r="L278" i="7"/>
  <c r="H278" i="7"/>
  <c r="L333" i="7"/>
  <c r="L347" i="7"/>
  <c r="H347" i="7"/>
  <c r="L362" i="7"/>
  <c r="L364" i="7"/>
  <c r="L365" i="7"/>
  <c r="L366" i="7"/>
  <c r="L367" i="7"/>
  <c r="L368" i="7"/>
  <c r="H368" i="7"/>
  <c r="L256" i="7"/>
  <c r="L254" i="7"/>
  <c r="L255" i="7"/>
  <c r="L246" i="7"/>
  <c r="H246" i="7"/>
  <c r="K252" i="7"/>
  <c r="K260" i="7"/>
  <c r="K269" i="7"/>
  <c r="K270" i="7"/>
  <c r="K271" i="7"/>
  <c r="K272" i="7"/>
  <c r="K276" i="7"/>
  <c r="K278" i="7"/>
  <c r="K362" i="7"/>
  <c r="K364" i="7"/>
  <c r="K365" i="7"/>
  <c r="K366" i="7"/>
  <c r="K367" i="7"/>
  <c r="K233" i="7"/>
  <c r="K356" i="7"/>
  <c r="K256" i="7"/>
  <c r="K254" i="7"/>
  <c r="K255" i="7"/>
  <c r="K221" i="7"/>
  <c r="J252" i="7"/>
  <c r="J260" i="7"/>
  <c r="J269" i="7"/>
  <c r="J270" i="7"/>
  <c r="J271" i="7"/>
  <c r="J272" i="7"/>
  <c r="J276" i="7"/>
  <c r="J278" i="7"/>
  <c r="J362" i="7"/>
  <c r="J364" i="7"/>
  <c r="J365" i="7"/>
  <c r="J366" i="7"/>
  <c r="J367" i="7"/>
  <c r="J233" i="7"/>
  <c r="J356" i="7"/>
  <c r="J256" i="7"/>
  <c r="J254" i="7"/>
  <c r="J255" i="7"/>
  <c r="I252" i="7"/>
  <c r="I260" i="7"/>
  <c r="I269" i="7"/>
  <c r="H269" i="7"/>
  <c r="I270" i="7"/>
  <c r="I271" i="7"/>
  <c r="H271" i="7"/>
  <c r="I272" i="7"/>
  <c r="I276" i="7"/>
  <c r="H276" i="7"/>
  <c r="I278" i="7"/>
  <c r="I346" i="7"/>
  <c r="H346" i="7"/>
  <c r="I362" i="7"/>
  <c r="I364" i="7"/>
  <c r="H364" i="7"/>
  <c r="I365" i="7"/>
  <c r="I366" i="7"/>
  <c r="H366" i="7"/>
  <c r="I367" i="7"/>
  <c r="I356" i="7"/>
  <c r="H356" i="7"/>
  <c r="I256" i="7"/>
  <c r="I254" i="7"/>
  <c r="I255" i="7"/>
  <c r="I221" i="7"/>
  <c r="H223" i="7"/>
  <c r="H227" i="7"/>
  <c r="H231" i="7"/>
  <c r="H239" i="7"/>
  <c r="H243" i="7"/>
  <c r="H244" i="7"/>
  <c r="H245" i="7"/>
  <c r="H249" i="7"/>
  <c r="H250" i="7"/>
  <c r="H252" i="7"/>
  <c r="H253" i="7"/>
  <c r="H257" i="7"/>
  <c r="H258" i="7"/>
  <c r="H259" i="7"/>
  <c r="H261" i="7"/>
  <c r="H260" i="7"/>
  <c r="H263" i="7"/>
  <c r="H268" i="7"/>
  <c r="H272" i="7"/>
  <c r="H273" i="7"/>
  <c r="H275" i="7"/>
  <c r="H277" i="7"/>
  <c r="H279" i="7"/>
  <c r="H280" i="7"/>
  <c r="H281" i="7"/>
  <c r="H282" i="7"/>
  <c r="H283" i="7"/>
  <c r="H328" i="7"/>
  <c r="H329" i="7"/>
  <c r="H331" i="7"/>
  <c r="H332" i="7"/>
  <c r="H333" i="7"/>
  <c r="H334" i="7"/>
  <c r="H335" i="7"/>
  <c r="H345" i="7"/>
  <c r="H348" i="7"/>
  <c r="H350" i="7"/>
  <c r="H351" i="7"/>
  <c r="H352" i="7"/>
  <c r="H357" i="7"/>
  <c r="H359" i="7"/>
  <c r="H360" i="7"/>
  <c r="H362" i="7"/>
  <c r="H363" i="7"/>
  <c r="H365" i="7"/>
  <c r="H367" i="7"/>
  <c r="H369" i="7"/>
  <c r="H370" i="7"/>
  <c r="H233" i="7"/>
  <c r="H247" i="7"/>
  <c r="H232" i="7"/>
  <c r="H240" i="7"/>
  <c r="H256" i="7"/>
  <c r="H264" i="7"/>
  <c r="G364" i="7"/>
  <c r="G260" i="7"/>
  <c r="G268" i="7"/>
  <c r="G269" i="7"/>
  <c r="G270" i="7"/>
  <c r="G271" i="7"/>
  <c r="G362" i="7"/>
  <c r="G363" i="7"/>
  <c r="G365" i="7"/>
  <c r="G366" i="7"/>
  <c r="G367" i="7"/>
  <c r="G233" i="7"/>
  <c r="G356" i="7"/>
  <c r="G256" i="7"/>
  <c r="G254" i="7"/>
  <c r="G255" i="7"/>
  <c r="G221" i="7"/>
  <c r="F364" i="7"/>
  <c r="F260" i="7"/>
  <c r="F268" i="7"/>
  <c r="F269" i="7"/>
  <c r="F270" i="7"/>
  <c r="F271" i="7"/>
  <c r="F362" i="7"/>
  <c r="F363" i="7"/>
  <c r="F365" i="7"/>
  <c r="F366" i="7"/>
  <c r="F367" i="7"/>
  <c r="F233" i="7"/>
  <c r="F356" i="7"/>
  <c r="F256" i="7"/>
  <c r="F254" i="7"/>
  <c r="F255" i="7"/>
  <c r="E35" i="7"/>
  <c r="E33" i="7"/>
  <c r="N29" i="7"/>
  <c r="M29" i="7"/>
  <c r="L29" i="7"/>
  <c r="E29" i="7"/>
  <c r="C65" i="29"/>
  <c r="C58" i="29"/>
  <c r="C56" i="29"/>
  <c r="K53" i="29"/>
  <c r="J53" i="29"/>
  <c r="C53" i="29"/>
  <c r="C52" i="29"/>
  <c r="C51" i="29"/>
  <c r="I601" i="57"/>
  <c r="I600" i="57"/>
  <c r="G117" i="55"/>
  <c r="E119" i="55"/>
  <c r="E120" i="55"/>
  <c r="E117" i="55"/>
  <c r="H124" i="55"/>
  <c r="I124" i="55"/>
  <c r="M22" i="7"/>
  <c r="N22" i="7"/>
  <c r="D17" i="56"/>
  <c r="D97" i="56"/>
  <c r="D86" i="56"/>
  <c r="D84" i="56"/>
  <c r="E109" i="55"/>
  <c r="E95" i="55"/>
  <c r="H104" i="55"/>
  <c r="I104" i="55"/>
  <c r="H103" i="55"/>
  <c r="I103" i="55"/>
  <c r="S46" i="53"/>
  <c r="S45" i="53"/>
  <c r="S44" i="53"/>
  <c r="S42" i="53"/>
  <c r="S41" i="53"/>
  <c r="S40" i="53"/>
  <c r="S39" i="53"/>
  <c r="S38" i="53"/>
  <c r="S37" i="53"/>
  <c r="S36" i="53"/>
  <c r="S35" i="53"/>
  <c r="S34" i="53"/>
  <c r="S33" i="53"/>
  <c r="S32" i="53"/>
  <c r="S31" i="53"/>
  <c r="S30" i="53"/>
  <c r="S29" i="53"/>
  <c r="S28" i="53"/>
  <c r="S27" i="53"/>
  <c r="S26" i="53"/>
  <c r="S25" i="53"/>
  <c r="S24" i="53"/>
  <c r="S23" i="53"/>
  <c r="S22" i="53"/>
  <c r="S21" i="53"/>
  <c r="S20" i="53"/>
  <c r="S19" i="53"/>
  <c r="S18" i="53"/>
  <c r="S17" i="53"/>
  <c r="S16" i="53"/>
  <c r="S15" i="53"/>
  <c r="S14" i="53"/>
  <c r="S13" i="53"/>
  <c r="S12" i="53"/>
  <c r="G199" i="55"/>
  <c r="G198" i="55"/>
  <c r="E198" i="55"/>
  <c r="H203" i="55"/>
  <c r="I203" i="55"/>
  <c r="G164" i="55"/>
  <c r="E164" i="55"/>
  <c r="L728" i="7"/>
  <c r="E728" i="7"/>
  <c r="J281" i="29"/>
  <c r="G163" i="7"/>
  <c r="E163" i="7"/>
  <c r="G159" i="7"/>
  <c r="E159" i="7"/>
  <c r="E164" i="7"/>
  <c r="C151" i="29"/>
  <c r="E151" i="29"/>
  <c r="E145" i="29"/>
  <c r="C145" i="29"/>
  <c r="C152" i="29"/>
  <c r="D53" i="56"/>
  <c r="D49" i="56"/>
  <c r="G54" i="55"/>
  <c r="H57" i="55"/>
  <c r="I57" i="55"/>
  <c r="E51" i="55"/>
  <c r="E167" i="55"/>
  <c r="M728" i="7"/>
  <c r="N728" i="7"/>
  <c r="E618" i="7"/>
  <c r="K281" i="29"/>
  <c r="L281" i="29"/>
  <c r="G215" i="55"/>
  <c r="G211" i="55"/>
  <c r="G212" i="55"/>
  <c r="H213" i="55"/>
  <c r="I213" i="55"/>
  <c r="L199" i="7"/>
  <c r="L229" i="29"/>
  <c r="E161" i="7"/>
  <c r="E90" i="55"/>
  <c r="C250" i="29"/>
  <c r="C200" i="29"/>
  <c r="C205" i="29"/>
  <c r="C204" i="29"/>
  <c r="E196" i="7"/>
  <c r="H197" i="7"/>
  <c r="I198" i="7"/>
  <c r="L198" i="7"/>
  <c r="H198" i="7"/>
  <c r="O197" i="7"/>
  <c r="P197" i="7"/>
  <c r="N685" i="7"/>
  <c r="N684" i="7"/>
  <c r="M685" i="7"/>
  <c r="M684" i="7"/>
  <c r="H684" i="57"/>
  <c r="L685" i="7"/>
  <c r="L684" i="7"/>
  <c r="K685" i="7"/>
  <c r="K686" i="7"/>
  <c r="K684" i="7"/>
  <c r="J685" i="7"/>
  <c r="J686" i="7"/>
  <c r="J684" i="7"/>
  <c r="I685" i="7"/>
  <c r="I684" i="7"/>
  <c r="H685" i="7"/>
  <c r="H686" i="7"/>
  <c r="H684" i="7"/>
  <c r="G685" i="7"/>
  <c r="G684" i="7"/>
  <c r="F685" i="7"/>
  <c r="F684" i="7"/>
  <c r="E685" i="7"/>
  <c r="E684" i="7"/>
  <c r="O686" i="7"/>
  <c r="P686" i="7"/>
  <c r="E134" i="56"/>
  <c r="K23" i="51"/>
  <c r="L23" i="51"/>
  <c r="N23" i="51"/>
  <c r="K22" i="51"/>
  <c r="D22" i="51"/>
  <c r="H22" i="51"/>
  <c r="L22" i="51"/>
  <c r="N22" i="51"/>
  <c r="D20" i="51"/>
  <c r="D24" i="51"/>
  <c r="D19" i="51"/>
  <c r="D31" i="51"/>
  <c r="D29" i="51"/>
  <c r="D28" i="51"/>
  <c r="H53" i="55"/>
  <c r="I53" i="55"/>
  <c r="H52" i="55"/>
  <c r="I52" i="55"/>
  <c r="G50" i="55"/>
  <c r="E50" i="55"/>
  <c r="M33" i="7"/>
  <c r="M71" i="7"/>
  <c r="M72" i="7"/>
  <c r="M73" i="7"/>
  <c r="M23" i="7"/>
  <c r="M24" i="7"/>
  <c r="M25" i="7"/>
  <c r="M26" i="7"/>
  <c r="K52" i="29"/>
  <c r="M28" i="7"/>
  <c r="M31" i="7"/>
  <c r="M20" i="7"/>
  <c r="H19" i="57"/>
  <c r="M32" i="7"/>
  <c r="M34" i="7"/>
  <c r="M37" i="7"/>
  <c r="M39" i="7"/>
  <c r="M40" i="7"/>
  <c r="K63" i="29"/>
  <c r="M41" i="7"/>
  <c r="K65" i="29"/>
  <c r="M42" i="7"/>
  <c r="K66" i="29"/>
  <c r="M46" i="7"/>
  <c r="M64" i="7"/>
  <c r="M65" i="7"/>
  <c r="M67" i="7"/>
  <c r="M66" i="7"/>
  <c r="L127" i="7"/>
  <c r="M127" i="7"/>
  <c r="L128" i="7"/>
  <c r="M128" i="7"/>
  <c r="M134" i="7"/>
  <c r="M135" i="7"/>
  <c r="M82" i="7"/>
  <c r="M88" i="7"/>
  <c r="M97" i="7"/>
  <c r="M98" i="7"/>
  <c r="M99" i="7"/>
  <c r="M100" i="7"/>
  <c r="M101" i="7"/>
  <c r="M102" i="7"/>
  <c r="M104" i="7"/>
  <c r="M108" i="7"/>
  <c r="M109" i="7"/>
  <c r="M111" i="7"/>
  <c r="M112" i="7"/>
  <c r="M120" i="7"/>
  <c r="M121" i="7"/>
  <c r="M122" i="7"/>
  <c r="M130" i="7"/>
  <c r="M162" i="7"/>
  <c r="M163" i="7"/>
  <c r="M164" i="7"/>
  <c r="M181" i="7"/>
  <c r="L182" i="7"/>
  <c r="M182" i="7"/>
  <c r="M138" i="7"/>
  <c r="M140" i="7"/>
  <c r="M154" i="7"/>
  <c r="M155" i="7"/>
  <c r="M156" i="7"/>
  <c r="M158" i="7"/>
  <c r="M165" i="7"/>
  <c r="M166" i="7"/>
  <c r="M169" i="7"/>
  <c r="M171" i="7"/>
  <c r="M172" i="7"/>
  <c r="M173" i="7"/>
  <c r="M174" i="7"/>
  <c r="M175" i="7"/>
  <c r="M178" i="7"/>
  <c r="M136" i="7"/>
  <c r="H136" i="57"/>
  <c r="M406" i="7"/>
  <c r="L430" i="7"/>
  <c r="M430" i="7"/>
  <c r="M398" i="7"/>
  <c r="M431" i="7"/>
  <c r="H397" i="57"/>
  <c r="L457" i="7"/>
  <c r="M457" i="7"/>
  <c r="M458" i="7"/>
  <c r="M444" i="7"/>
  <c r="H443" i="57"/>
  <c r="L441" i="7"/>
  <c r="M441" i="7"/>
  <c r="M438" i="7"/>
  <c r="H437" i="57"/>
  <c r="L486" i="7"/>
  <c r="M486" i="7"/>
  <c r="M487" i="7"/>
  <c r="M464" i="7"/>
  <c r="K212" i="29"/>
  <c r="M472" i="7"/>
  <c r="M460" i="7"/>
  <c r="M473" i="7"/>
  <c r="M479" i="7"/>
  <c r="M480" i="7"/>
  <c r="M481" i="7"/>
  <c r="M478" i="7"/>
  <c r="M474" i="7"/>
  <c r="M477" i="7"/>
  <c r="K217" i="29"/>
  <c r="M476" i="7"/>
  <c r="H459" i="57"/>
  <c r="M488" i="7"/>
  <c r="H487" i="57"/>
  <c r="K203" i="29"/>
  <c r="M518" i="7"/>
  <c r="M517" i="7"/>
  <c r="H516" i="57"/>
  <c r="I516" i="57"/>
  <c r="M545" i="7"/>
  <c r="M542" i="7"/>
  <c r="M548" i="7"/>
  <c r="M540" i="7"/>
  <c r="H538" i="57"/>
  <c r="M566" i="7"/>
  <c r="L568" i="7"/>
  <c r="M568" i="7"/>
  <c r="H566" i="57"/>
  <c r="K26" i="29"/>
  <c r="M554" i="7"/>
  <c r="M553" i="7"/>
  <c r="H551" i="57"/>
  <c r="I551" i="57"/>
  <c r="M576" i="7"/>
  <c r="H574" i="57"/>
  <c r="M578" i="7"/>
  <c r="H576" i="57"/>
  <c r="M580" i="7"/>
  <c r="H578" i="57"/>
  <c r="M582" i="7"/>
  <c r="H580" i="57"/>
  <c r="M589" i="7"/>
  <c r="H587" i="57"/>
  <c r="M591" i="7"/>
  <c r="H589" i="57"/>
  <c r="M599" i="7"/>
  <c r="M601" i="7"/>
  <c r="M602" i="7"/>
  <c r="M603" i="7"/>
  <c r="M604" i="7"/>
  <c r="M605" i="7"/>
  <c r="M606" i="7"/>
  <c r="M607" i="7"/>
  <c r="M608" i="7"/>
  <c r="L612" i="7"/>
  <c r="M612" i="7"/>
  <c r="M598" i="7"/>
  <c r="H596" i="57"/>
  <c r="M641" i="7"/>
  <c r="H641" i="57"/>
  <c r="L694" i="7"/>
  <c r="M694" i="7"/>
  <c r="M687" i="7"/>
  <c r="M689" i="7"/>
  <c r="M711" i="7"/>
  <c r="M707" i="7"/>
  <c r="M708" i="7"/>
  <c r="M709" i="7"/>
  <c r="H686" i="57"/>
  <c r="I686" i="57"/>
  <c r="H701" i="57"/>
  <c r="M203" i="7"/>
  <c r="M201" i="7"/>
  <c r="M204" i="7"/>
  <c r="K176" i="29"/>
  <c r="M202" i="7"/>
  <c r="M720" i="7"/>
  <c r="M721" i="7"/>
  <c r="M723" i="7"/>
  <c r="M726" i="7"/>
  <c r="H724" i="57"/>
  <c r="M727" i="7"/>
  <c r="H725" i="57"/>
  <c r="M729" i="7"/>
  <c r="H727" i="57"/>
  <c r="I727" i="57"/>
  <c r="M732" i="7"/>
  <c r="H730" i="57"/>
  <c r="M740" i="7"/>
  <c r="M736" i="7"/>
  <c r="H734" i="57"/>
  <c r="I734" i="57"/>
  <c r="M631" i="7"/>
  <c r="H631" i="57"/>
  <c r="M633" i="7"/>
  <c r="H633" i="57"/>
  <c r="M635" i="7"/>
  <c r="H635" i="57"/>
  <c r="M637" i="7"/>
  <c r="H637" i="57"/>
  <c r="M639" i="7"/>
  <c r="H639" i="57"/>
  <c r="M643" i="7"/>
  <c r="H643" i="57"/>
  <c r="I643" i="57"/>
  <c r="M645" i="7"/>
  <c r="H645" i="57"/>
  <c r="M647" i="7"/>
  <c r="H647" i="57"/>
  <c r="I647" i="57"/>
  <c r="M652" i="7"/>
  <c r="H652" i="57"/>
  <c r="M654" i="7"/>
  <c r="H654" i="57"/>
  <c r="M656" i="7"/>
  <c r="H656" i="57"/>
  <c r="M658" i="7"/>
  <c r="H658" i="57"/>
  <c r="M660" i="7"/>
  <c r="H660" i="57"/>
  <c r="M662" i="7"/>
  <c r="H662" i="57"/>
  <c r="M664" i="7"/>
  <c r="H664" i="57"/>
  <c r="M666" i="7"/>
  <c r="H666" i="57"/>
  <c r="M671" i="7"/>
  <c r="M675" i="7"/>
  <c r="M668" i="7"/>
  <c r="H668" i="57"/>
  <c r="H739" i="57"/>
  <c r="M744" i="7"/>
  <c r="H742" i="57"/>
  <c r="I742" i="57"/>
  <c r="M756" i="7"/>
  <c r="H754" i="57"/>
  <c r="I754" i="57"/>
  <c r="M616" i="7"/>
  <c r="M617" i="7"/>
  <c r="M627" i="7"/>
  <c r="M755" i="7"/>
  <c r="M754" i="7"/>
  <c r="H752" i="57"/>
  <c r="I752" i="57"/>
  <c r="M747" i="7"/>
  <c r="M746" i="7"/>
  <c r="H744" i="57"/>
  <c r="I744" i="57"/>
  <c r="M436" i="7"/>
  <c r="H435" i="57"/>
  <c r="M218" i="7"/>
  <c r="H218" i="57"/>
  <c r="M750" i="7"/>
  <c r="M751" i="7"/>
  <c r="M197" i="7"/>
  <c r="M198" i="7"/>
  <c r="H755" i="57"/>
  <c r="I755" i="57"/>
  <c r="H753" i="57"/>
  <c r="I753" i="57"/>
  <c r="H751" i="57"/>
  <c r="I751" i="57"/>
  <c r="H750" i="57"/>
  <c r="I750" i="57"/>
  <c r="H748" i="57"/>
  <c r="I748" i="57"/>
  <c r="H746" i="57"/>
  <c r="I746" i="57"/>
  <c r="H745" i="57"/>
  <c r="I745" i="57"/>
  <c r="H743" i="57"/>
  <c r="I743" i="57"/>
  <c r="H741" i="57"/>
  <c r="I741" i="57"/>
  <c r="H740" i="57"/>
  <c r="I740" i="57"/>
  <c r="I739" i="57"/>
  <c r="H738" i="57"/>
  <c r="I738" i="57"/>
  <c r="H737" i="57"/>
  <c r="I737" i="57"/>
  <c r="H736" i="57"/>
  <c r="I736" i="57"/>
  <c r="H735" i="57"/>
  <c r="I735" i="57"/>
  <c r="H733" i="57"/>
  <c r="I733" i="57"/>
  <c r="H732" i="57"/>
  <c r="I732" i="57"/>
  <c r="H731" i="57"/>
  <c r="I731" i="57"/>
  <c r="I730" i="57"/>
  <c r="H729" i="57"/>
  <c r="I729" i="57"/>
  <c r="H728" i="57"/>
  <c r="I728" i="57"/>
  <c r="H726" i="57"/>
  <c r="I726" i="57"/>
  <c r="I725" i="57"/>
  <c r="I724" i="57"/>
  <c r="H723" i="57"/>
  <c r="I723" i="57"/>
  <c r="H722" i="57"/>
  <c r="I722" i="57"/>
  <c r="H721" i="57"/>
  <c r="I721" i="57"/>
  <c r="H720" i="57"/>
  <c r="I720" i="57"/>
  <c r="H718" i="57"/>
  <c r="I718" i="57"/>
  <c r="H717" i="57"/>
  <c r="I717" i="57"/>
  <c r="L717" i="7"/>
  <c r="M717" i="7"/>
  <c r="H715" i="57"/>
  <c r="I715" i="57"/>
  <c r="H714" i="57"/>
  <c r="I714" i="57"/>
  <c r="H713" i="57"/>
  <c r="I713" i="57"/>
  <c r="H712" i="57"/>
  <c r="I712" i="57"/>
  <c r="H711" i="57"/>
  <c r="I711" i="57"/>
  <c r="H710" i="57"/>
  <c r="I710" i="57"/>
  <c r="H709" i="57"/>
  <c r="I709" i="57"/>
  <c r="H708" i="57"/>
  <c r="I708" i="57"/>
  <c r="H707" i="57"/>
  <c r="I707" i="57"/>
  <c r="H706" i="57"/>
  <c r="I706" i="57"/>
  <c r="H705" i="57"/>
  <c r="I705" i="57"/>
  <c r="H704" i="57"/>
  <c r="I704" i="57"/>
  <c r="H703" i="57"/>
  <c r="I703" i="57"/>
  <c r="H702" i="57"/>
  <c r="I702" i="57"/>
  <c r="I701" i="57"/>
  <c r="H700" i="57"/>
  <c r="I700" i="57"/>
  <c r="H699" i="57"/>
  <c r="I699" i="57"/>
  <c r="H698" i="57"/>
  <c r="I698" i="57"/>
  <c r="H697" i="57"/>
  <c r="I697" i="57"/>
  <c r="L697" i="7"/>
  <c r="M697" i="7"/>
  <c r="H696" i="57"/>
  <c r="I696" i="57"/>
  <c r="H695" i="57"/>
  <c r="I695" i="57"/>
  <c r="H694" i="57"/>
  <c r="I694" i="57"/>
  <c r="H692" i="57"/>
  <c r="I692" i="57"/>
  <c r="H691" i="57"/>
  <c r="I691" i="57"/>
  <c r="H690" i="57"/>
  <c r="I690" i="57"/>
  <c r="H689" i="57"/>
  <c r="I689" i="57"/>
  <c r="H688" i="57"/>
  <c r="I688" i="57"/>
  <c r="H687" i="57"/>
  <c r="I687" i="57"/>
  <c r="H685" i="57"/>
  <c r="I685" i="57"/>
  <c r="I684" i="57"/>
  <c r="H683" i="57"/>
  <c r="I683" i="57"/>
  <c r="H682" i="57"/>
  <c r="I682" i="57"/>
  <c r="H681" i="57"/>
  <c r="I681" i="57"/>
  <c r="H680" i="57"/>
  <c r="I680" i="57"/>
  <c r="H679" i="57"/>
  <c r="I679" i="57"/>
  <c r="H678" i="57"/>
  <c r="I678" i="57"/>
  <c r="H677" i="57"/>
  <c r="I677" i="57"/>
  <c r="H676" i="57"/>
  <c r="I676" i="57"/>
  <c r="H675" i="57"/>
  <c r="I675" i="57"/>
  <c r="H674" i="57"/>
  <c r="I674" i="57"/>
  <c r="H673" i="57"/>
  <c r="I673" i="57"/>
  <c r="H672" i="57"/>
  <c r="I672" i="57"/>
  <c r="H671" i="57"/>
  <c r="I671" i="57"/>
  <c r="H670" i="57"/>
  <c r="I670" i="57"/>
  <c r="H669" i="57"/>
  <c r="I669" i="57"/>
  <c r="I668" i="57"/>
  <c r="H667" i="57"/>
  <c r="I667" i="57"/>
  <c r="I666" i="57"/>
  <c r="H665" i="57"/>
  <c r="I665" i="57"/>
  <c r="I664" i="57"/>
  <c r="H663" i="57"/>
  <c r="I663" i="57"/>
  <c r="I662" i="57"/>
  <c r="H661" i="57"/>
  <c r="I661" i="57"/>
  <c r="I660" i="57"/>
  <c r="H659" i="57"/>
  <c r="I659" i="57"/>
  <c r="I658" i="57"/>
  <c r="H657" i="57"/>
  <c r="I657" i="57"/>
  <c r="I656" i="57"/>
  <c r="H655" i="57"/>
  <c r="I655" i="57"/>
  <c r="I654" i="57"/>
  <c r="H653" i="57"/>
  <c r="I653" i="57"/>
  <c r="I652" i="57"/>
  <c r="H651" i="57"/>
  <c r="I651" i="57"/>
  <c r="H650" i="57"/>
  <c r="I650" i="57"/>
  <c r="M649" i="7"/>
  <c r="H649" i="57"/>
  <c r="I649" i="57"/>
  <c r="H648" i="57"/>
  <c r="I648" i="57"/>
  <c r="H646" i="57"/>
  <c r="I646" i="57"/>
  <c r="I645" i="57"/>
  <c r="H644" i="57"/>
  <c r="I644" i="57"/>
  <c r="H642" i="57"/>
  <c r="I642" i="57"/>
  <c r="I641" i="57"/>
  <c r="H640" i="57"/>
  <c r="I640" i="57"/>
  <c r="I639" i="57"/>
  <c r="H638" i="57"/>
  <c r="I638" i="57"/>
  <c r="I637" i="57"/>
  <c r="H636" i="57"/>
  <c r="I636" i="57"/>
  <c r="I635" i="57"/>
  <c r="H634" i="57"/>
  <c r="I634" i="57"/>
  <c r="I633" i="57"/>
  <c r="H632" i="57"/>
  <c r="I632" i="57"/>
  <c r="I631" i="57"/>
  <c r="H630" i="57"/>
  <c r="I630" i="57"/>
  <c r="H629" i="57"/>
  <c r="I629" i="57"/>
  <c r="M628" i="7"/>
  <c r="H628" i="57"/>
  <c r="I628" i="57"/>
  <c r="H627" i="57"/>
  <c r="I627" i="57"/>
  <c r="H626" i="57"/>
  <c r="I626" i="57"/>
  <c r="H625" i="57"/>
  <c r="I625" i="57"/>
  <c r="H624" i="57"/>
  <c r="I624" i="57"/>
  <c r="H623" i="57"/>
  <c r="I623" i="57"/>
  <c r="H622" i="57"/>
  <c r="I622" i="57"/>
  <c r="H621" i="57"/>
  <c r="I621" i="57"/>
  <c r="H620" i="57"/>
  <c r="I620" i="57"/>
  <c r="H619" i="57"/>
  <c r="I619" i="57"/>
  <c r="H618" i="57"/>
  <c r="I618" i="57"/>
  <c r="H617" i="57"/>
  <c r="I617" i="57"/>
  <c r="H616" i="57"/>
  <c r="I616" i="57"/>
  <c r="H615" i="57"/>
  <c r="I615" i="57"/>
  <c r="H614" i="57"/>
  <c r="I614" i="57"/>
  <c r="H612" i="57"/>
  <c r="I612" i="57"/>
  <c r="H611" i="57"/>
  <c r="I611" i="57"/>
  <c r="H610" i="57"/>
  <c r="I610" i="57"/>
  <c r="H609" i="57"/>
  <c r="I609" i="57"/>
  <c r="H608" i="57"/>
  <c r="I608" i="57"/>
  <c r="H607" i="57"/>
  <c r="I607" i="57"/>
  <c r="H606" i="57"/>
  <c r="I606" i="57"/>
  <c r="H605" i="57"/>
  <c r="I605" i="57"/>
  <c r="H604" i="57"/>
  <c r="I604" i="57"/>
  <c r="H603" i="57"/>
  <c r="I603" i="57"/>
  <c r="H602" i="57"/>
  <c r="I602" i="57"/>
  <c r="I599" i="57"/>
  <c r="H598" i="57"/>
  <c r="H597" i="57"/>
  <c r="I597" i="57"/>
  <c r="I596" i="57"/>
  <c r="H595" i="57"/>
  <c r="I595" i="57"/>
  <c r="H594" i="57"/>
  <c r="I594" i="57"/>
  <c r="H593" i="57"/>
  <c r="I593" i="57"/>
  <c r="H592" i="57"/>
  <c r="I592" i="57"/>
  <c r="H591" i="57"/>
  <c r="I591" i="57"/>
  <c r="H590" i="57"/>
  <c r="I590" i="57"/>
  <c r="I589" i="57"/>
  <c r="H588" i="57"/>
  <c r="I588" i="57"/>
  <c r="I587" i="57"/>
  <c r="H586" i="57"/>
  <c r="I586" i="57"/>
  <c r="H585" i="57"/>
  <c r="I585" i="57"/>
  <c r="H584" i="57"/>
  <c r="I584" i="57"/>
  <c r="H583" i="57"/>
  <c r="I583" i="57"/>
  <c r="H582" i="57"/>
  <c r="I582" i="57"/>
  <c r="H581" i="57"/>
  <c r="I581" i="57"/>
  <c r="I580" i="57"/>
  <c r="H579" i="57"/>
  <c r="I579" i="57"/>
  <c r="I578" i="57"/>
  <c r="H577" i="57"/>
  <c r="I577" i="57"/>
  <c r="I576" i="57"/>
  <c r="H575" i="57"/>
  <c r="I575" i="57"/>
  <c r="I574" i="57"/>
  <c r="H573" i="57"/>
  <c r="I573" i="57"/>
  <c r="H572" i="57"/>
  <c r="I572" i="57"/>
  <c r="H571" i="57"/>
  <c r="I571" i="57"/>
  <c r="H570" i="57"/>
  <c r="I570" i="57"/>
  <c r="H569" i="57"/>
  <c r="I569" i="57"/>
  <c r="H568" i="57"/>
  <c r="I568" i="57"/>
  <c r="H567" i="57"/>
  <c r="I567" i="57"/>
  <c r="I566" i="57"/>
  <c r="M567" i="7"/>
  <c r="H565" i="57"/>
  <c r="I565" i="57"/>
  <c r="H564" i="57"/>
  <c r="I564" i="57"/>
  <c r="H563" i="57"/>
  <c r="I563" i="57"/>
  <c r="H562" i="57"/>
  <c r="I562" i="57"/>
  <c r="H561" i="57"/>
  <c r="I561" i="57"/>
  <c r="H560" i="57"/>
  <c r="I560" i="57"/>
  <c r="H559" i="57"/>
  <c r="I559" i="57"/>
  <c r="H558" i="57"/>
  <c r="I558" i="57"/>
  <c r="H557" i="57"/>
  <c r="I557" i="57"/>
  <c r="M558" i="7"/>
  <c r="H556" i="57"/>
  <c r="H555" i="57"/>
  <c r="I555" i="57"/>
  <c r="M556" i="7"/>
  <c r="H554" i="57"/>
  <c r="H553" i="57"/>
  <c r="H550" i="57"/>
  <c r="I550" i="57"/>
  <c r="H549" i="57"/>
  <c r="I549" i="57"/>
  <c r="H548" i="57"/>
  <c r="I548" i="57"/>
  <c r="H547" i="57"/>
  <c r="I547" i="57"/>
  <c r="H546" i="57"/>
  <c r="I546" i="57"/>
  <c r="L547" i="7"/>
  <c r="M547" i="7"/>
  <c r="H545" i="57"/>
  <c r="I545" i="57"/>
  <c r="H544" i="57"/>
  <c r="I544" i="57"/>
  <c r="H543" i="57"/>
  <c r="I543" i="57"/>
  <c r="H542" i="57"/>
  <c r="I542" i="57"/>
  <c r="H541" i="57"/>
  <c r="I541" i="57"/>
  <c r="H540" i="57"/>
  <c r="I540" i="57"/>
  <c r="H539" i="57"/>
  <c r="I539" i="57"/>
  <c r="I538" i="57"/>
  <c r="H537" i="57"/>
  <c r="I537" i="57"/>
  <c r="H536" i="57"/>
  <c r="I536" i="57"/>
  <c r="M537" i="7"/>
  <c r="H535" i="57"/>
  <c r="I535" i="57"/>
  <c r="H534" i="57"/>
  <c r="I534" i="57"/>
  <c r="M535" i="7"/>
  <c r="H533" i="57"/>
  <c r="I533" i="57"/>
  <c r="H532" i="57"/>
  <c r="I532" i="57"/>
  <c r="M533" i="7"/>
  <c r="H531" i="57"/>
  <c r="I531" i="57"/>
  <c r="H530" i="57"/>
  <c r="I530" i="57"/>
  <c r="H529" i="57"/>
  <c r="I529" i="57"/>
  <c r="H528" i="57"/>
  <c r="I528" i="57"/>
  <c r="M528" i="7"/>
  <c r="H527" i="57"/>
  <c r="I527" i="57"/>
  <c r="H526" i="57"/>
  <c r="I526" i="57"/>
  <c r="H525" i="57"/>
  <c r="I525" i="57"/>
  <c r="H524" i="57"/>
  <c r="I524" i="57"/>
  <c r="H523" i="57"/>
  <c r="I523" i="57"/>
  <c r="H522" i="57"/>
  <c r="I522" i="57"/>
  <c r="H521" i="57"/>
  <c r="I521" i="57"/>
  <c r="H520" i="57"/>
  <c r="I520" i="57"/>
  <c r="H519" i="57"/>
  <c r="I519" i="57"/>
  <c r="H518" i="57"/>
  <c r="I518" i="57"/>
  <c r="H517" i="57"/>
  <c r="I517" i="57"/>
  <c r="H515" i="57"/>
  <c r="I515" i="57"/>
  <c r="H514" i="57"/>
  <c r="I514" i="57"/>
  <c r="H513" i="57"/>
  <c r="I513" i="57"/>
  <c r="H512" i="57"/>
  <c r="I512" i="57"/>
  <c r="H511" i="57"/>
  <c r="I511" i="57"/>
  <c r="H510" i="57"/>
  <c r="I510" i="57"/>
  <c r="H509" i="57"/>
  <c r="I509" i="57"/>
  <c r="H508" i="57"/>
  <c r="I508" i="57"/>
  <c r="H507" i="57"/>
  <c r="I507" i="57"/>
  <c r="H506" i="57"/>
  <c r="I506" i="57"/>
  <c r="H505" i="57"/>
  <c r="I505" i="57"/>
  <c r="H504" i="57"/>
  <c r="I504" i="57"/>
  <c r="H503" i="57"/>
  <c r="I503" i="57"/>
  <c r="H502" i="57"/>
  <c r="I502" i="57"/>
  <c r="H501" i="57"/>
  <c r="I501" i="57"/>
  <c r="H500" i="57"/>
  <c r="I500" i="57"/>
  <c r="H499" i="57"/>
  <c r="I499" i="57"/>
  <c r="H498" i="57"/>
  <c r="I498" i="57"/>
  <c r="H497" i="57"/>
  <c r="I497" i="57"/>
  <c r="H496" i="57"/>
  <c r="I496" i="57"/>
  <c r="H495" i="57"/>
  <c r="I495" i="57"/>
  <c r="H494" i="57"/>
  <c r="I494" i="57"/>
  <c r="H493" i="57"/>
  <c r="I493" i="57"/>
  <c r="H492" i="57"/>
  <c r="I492" i="57"/>
  <c r="H491" i="57"/>
  <c r="I491" i="57"/>
  <c r="H490" i="57"/>
  <c r="I490" i="57"/>
  <c r="H489" i="57"/>
  <c r="I489" i="57"/>
  <c r="H488" i="57"/>
  <c r="I488" i="57"/>
  <c r="I487" i="57"/>
  <c r="H486" i="57"/>
  <c r="I486" i="57"/>
  <c r="H485" i="57"/>
  <c r="I485" i="57"/>
  <c r="L485" i="7"/>
  <c r="M485" i="7"/>
  <c r="H484" i="57"/>
  <c r="I484" i="57"/>
  <c r="H483" i="57"/>
  <c r="I483" i="57"/>
  <c r="H482" i="57"/>
  <c r="I482" i="57"/>
  <c r="H481" i="57"/>
  <c r="I481" i="57"/>
  <c r="H480" i="57"/>
  <c r="I480" i="57"/>
  <c r="H479" i="57"/>
  <c r="I479" i="57"/>
  <c r="H478" i="57"/>
  <c r="I478" i="57"/>
  <c r="H477" i="57"/>
  <c r="I477" i="57"/>
  <c r="H476" i="57"/>
  <c r="I476" i="57"/>
  <c r="H475" i="57"/>
  <c r="I475" i="57"/>
  <c r="H474" i="57"/>
  <c r="I474" i="57"/>
  <c r="H473" i="57"/>
  <c r="I473" i="57"/>
  <c r="H472" i="57"/>
  <c r="I472" i="57"/>
  <c r="H471" i="57"/>
  <c r="I471" i="57"/>
  <c r="H470" i="57"/>
  <c r="I470" i="57"/>
  <c r="H469" i="57"/>
  <c r="I469" i="57"/>
  <c r="H468" i="57"/>
  <c r="I468" i="57"/>
  <c r="H467" i="57"/>
  <c r="I467" i="57"/>
  <c r="H466" i="57"/>
  <c r="I466" i="57"/>
  <c r="H465" i="57"/>
  <c r="I465" i="57"/>
  <c r="H464" i="57"/>
  <c r="I464" i="57"/>
  <c r="H463" i="57"/>
  <c r="I463" i="57"/>
  <c r="H462" i="57"/>
  <c r="I462" i="57"/>
  <c r="H461" i="57"/>
  <c r="I461" i="57"/>
  <c r="H460" i="57"/>
  <c r="I460" i="57"/>
  <c r="I459" i="57"/>
  <c r="H458" i="57"/>
  <c r="I458" i="57"/>
  <c r="H457" i="57"/>
  <c r="I457" i="57"/>
  <c r="H456" i="57"/>
  <c r="I456" i="57"/>
  <c r="H455" i="57"/>
  <c r="I455" i="57"/>
  <c r="H454" i="57"/>
  <c r="I454" i="57"/>
  <c r="H453" i="57"/>
  <c r="I453" i="57"/>
  <c r="H452" i="57"/>
  <c r="I452" i="57"/>
  <c r="H451" i="57"/>
  <c r="I451" i="57"/>
  <c r="H450" i="57"/>
  <c r="I450" i="57"/>
  <c r="H449" i="57"/>
  <c r="I449" i="57"/>
  <c r="H448" i="57"/>
  <c r="I448" i="57"/>
  <c r="H447" i="57"/>
  <c r="I447" i="57"/>
  <c r="H446" i="57"/>
  <c r="I446" i="57"/>
  <c r="H445" i="57"/>
  <c r="I445" i="57"/>
  <c r="H444" i="57"/>
  <c r="I444" i="57"/>
  <c r="I443" i="57"/>
  <c r="H442" i="57"/>
  <c r="I442" i="57"/>
  <c r="H441" i="57"/>
  <c r="I441" i="57"/>
  <c r="H440" i="57"/>
  <c r="I440" i="57"/>
  <c r="H439" i="57"/>
  <c r="I439" i="57"/>
  <c r="H438" i="57"/>
  <c r="I438" i="57"/>
  <c r="I437" i="57"/>
  <c r="H436" i="57"/>
  <c r="I436" i="57"/>
  <c r="I435" i="57"/>
  <c r="H434" i="57"/>
  <c r="I434" i="57"/>
  <c r="H433" i="57"/>
  <c r="I433" i="57"/>
  <c r="H432" i="57"/>
  <c r="I432" i="57"/>
  <c r="H431" i="57"/>
  <c r="I431" i="57"/>
  <c r="H430" i="57"/>
  <c r="I430" i="57"/>
  <c r="H429" i="57"/>
  <c r="I429" i="57"/>
  <c r="H428" i="57"/>
  <c r="I428" i="57"/>
  <c r="H427" i="57"/>
  <c r="I427" i="57"/>
  <c r="H426" i="57"/>
  <c r="I426" i="57"/>
  <c r="H425" i="57"/>
  <c r="I425" i="57"/>
  <c r="H424" i="57"/>
  <c r="I424" i="57"/>
  <c r="H423" i="57"/>
  <c r="I423" i="57"/>
  <c r="H422" i="57"/>
  <c r="I422" i="57"/>
  <c r="H421" i="57"/>
  <c r="I421" i="57"/>
  <c r="H420" i="57"/>
  <c r="I420" i="57"/>
  <c r="H419" i="57"/>
  <c r="I419" i="57"/>
  <c r="H418" i="57"/>
  <c r="I418" i="57"/>
  <c r="H417" i="57"/>
  <c r="I417" i="57"/>
  <c r="H416" i="57"/>
  <c r="I416" i="57"/>
  <c r="H415" i="57"/>
  <c r="I415" i="57"/>
  <c r="H414" i="57"/>
  <c r="I414" i="57"/>
  <c r="H413" i="57"/>
  <c r="I413" i="57"/>
  <c r="H412" i="57"/>
  <c r="I412" i="57"/>
  <c r="H411" i="57"/>
  <c r="I411" i="57"/>
  <c r="H410" i="57"/>
  <c r="I410" i="57"/>
  <c r="H409" i="57"/>
  <c r="I409" i="57"/>
  <c r="H408" i="57"/>
  <c r="I408" i="57"/>
  <c r="H407" i="57"/>
  <c r="I407" i="57"/>
  <c r="H406" i="57"/>
  <c r="I406" i="57"/>
  <c r="H405" i="57"/>
  <c r="I405" i="57"/>
  <c r="H404" i="57"/>
  <c r="I404" i="57"/>
  <c r="H403" i="57"/>
  <c r="I403" i="57"/>
  <c r="H402" i="57"/>
  <c r="I402" i="57"/>
  <c r="H401" i="57"/>
  <c r="I401" i="57"/>
  <c r="H400" i="57"/>
  <c r="I400" i="57"/>
  <c r="H399" i="57"/>
  <c r="I399" i="57"/>
  <c r="H398" i="57"/>
  <c r="I398" i="57"/>
  <c r="I397" i="57"/>
  <c r="H396" i="57"/>
  <c r="I396" i="57"/>
  <c r="H395" i="57"/>
  <c r="I395" i="57"/>
  <c r="H394" i="57"/>
  <c r="I394" i="57"/>
  <c r="H393" i="57"/>
  <c r="I393" i="57"/>
  <c r="H392" i="57"/>
  <c r="I392" i="57"/>
  <c r="H391" i="57"/>
  <c r="I391" i="57"/>
  <c r="H390" i="57"/>
  <c r="I390" i="57"/>
  <c r="H389" i="57"/>
  <c r="I389" i="57"/>
  <c r="H388" i="57"/>
  <c r="I388" i="57"/>
  <c r="H387" i="57"/>
  <c r="I387" i="57"/>
  <c r="H386" i="57"/>
  <c r="I386" i="57"/>
  <c r="H385" i="57"/>
  <c r="I385" i="57"/>
  <c r="H384" i="57"/>
  <c r="I384" i="57"/>
  <c r="H383" i="57"/>
  <c r="I383" i="57"/>
  <c r="H381" i="57"/>
  <c r="I381" i="57"/>
  <c r="H380" i="57"/>
  <c r="I380" i="57"/>
  <c r="H379" i="57"/>
  <c r="I379" i="57"/>
  <c r="H377" i="57"/>
  <c r="I377" i="57"/>
  <c r="M376" i="7"/>
  <c r="H376" i="57"/>
  <c r="I376" i="57"/>
  <c r="H375" i="57"/>
  <c r="I375" i="57"/>
  <c r="H374" i="57"/>
  <c r="I374" i="57"/>
  <c r="H373" i="57"/>
  <c r="I373" i="57"/>
  <c r="H372" i="57"/>
  <c r="I372" i="57"/>
  <c r="H371" i="57"/>
  <c r="I371" i="57"/>
  <c r="H370" i="57"/>
  <c r="I370" i="57"/>
  <c r="H369" i="57"/>
  <c r="I369" i="57"/>
  <c r="H368" i="57"/>
  <c r="I368" i="57"/>
  <c r="H367" i="57"/>
  <c r="I367" i="57"/>
  <c r="H366" i="57"/>
  <c r="I366" i="57"/>
  <c r="H365" i="57"/>
  <c r="I365" i="57"/>
  <c r="H364" i="57"/>
  <c r="I364" i="57"/>
  <c r="H363" i="57"/>
  <c r="I363" i="57"/>
  <c r="H362" i="57"/>
  <c r="I362" i="57"/>
  <c r="H361" i="57"/>
  <c r="I361" i="57"/>
  <c r="H360" i="57"/>
  <c r="I360" i="57"/>
  <c r="H359" i="57"/>
  <c r="I359" i="57"/>
  <c r="H358" i="57"/>
  <c r="I358" i="57"/>
  <c r="H357" i="57"/>
  <c r="I357" i="57"/>
  <c r="H356" i="57"/>
  <c r="I356" i="57"/>
  <c r="H355" i="57"/>
  <c r="I355" i="57"/>
  <c r="H354" i="57"/>
  <c r="I354" i="57"/>
  <c r="H353" i="57"/>
  <c r="I353" i="57"/>
  <c r="H352" i="57"/>
  <c r="I352" i="57"/>
  <c r="H351" i="57"/>
  <c r="I351" i="57"/>
  <c r="H350" i="57"/>
  <c r="I350" i="57"/>
  <c r="H349" i="57"/>
  <c r="I349" i="57"/>
  <c r="H348" i="57"/>
  <c r="I348" i="57"/>
  <c r="H347" i="57"/>
  <c r="I347" i="57"/>
  <c r="H346" i="57"/>
  <c r="I346" i="57"/>
  <c r="H345" i="57"/>
  <c r="I345" i="57"/>
  <c r="H344" i="57"/>
  <c r="I344" i="57"/>
  <c r="H343" i="57"/>
  <c r="I343" i="57"/>
  <c r="H342" i="57"/>
  <c r="I342" i="57"/>
  <c r="H341" i="57"/>
  <c r="I341" i="57"/>
  <c r="H340" i="57"/>
  <c r="I340" i="57"/>
  <c r="H339" i="57"/>
  <c r="I339" i="57"/>
  <c r="H338" i="57"/>
  <c r="I338" i="57"/>
  <c r="H337" i="57"/>
  <c r="I337" i="57"/>
  <c r="H336" i="57"/>
  <c r="I336" i="57"/>
  <c r="H335" i="57"/>
  <c r="I335" i="57"/>
  <c r="H334" i="57"/>
  <c r="I334" i="57"/>
  <c r="H333" i="57"/>
  <c r="I333" i="57"/>
  <c r="H332" i="57"/>
  <c r="I332" i="57"/>
  <c r="H331" i="57"/>
  <c r="I331" i="57"/>
  <c r="H330" i="57"/>
  <c r="I330" i="57"/>
  <c r="H329" i="57"/>
  <c r="I329" i="57"/>
  <c r="H328" i="57"/>
  <c r="I328" i="57"/>
  <c r="H327" i="57"/>
  <c r="I327" i="57"/>
  <c r="H326" i="57"/>
  <c r="I326" i="57"/>
  <c r="H325" i="57"/>
  <c r="I325" i="57"/>
  <c r="H324" i="57"/>
  <c r="I324" i="57"/>
  <c r="H323" i="57"/>
  <c r="I323" i="57"/>
  <c r="H322" i="57"/>
  <c r="I322" i="57"/>
  <c r="H321" i="57"/>
  <c r="I321" i="57"/>
  <c r="H320" i="57"/>
  <c r="I320" i="57"/>
  <c r="H319" i="57"/>
  <c r="I319" i="57"/>
  <c r="H318" i="57"/>
  <c r="I318" i="57"/>
  <c r="H317" i="57"/>
  <c r="I317" i="57"/>
  <c r="H316" i="57"/>
  <c r="I316" i="57"/>
  <c r="H315" i="57"/>
  <c r="I315" i="57"/>
  <c r="H314" i="57"/>
  <c r="I314" i="57"/>
  <c r="H313" i="57"/>
  <c r="I313" i="57"/>
  <c r="H312" i="57"/>
  <c r="I312" i="57"/>
  <c r="H311" i="57"/>
  <c r="I311" i="57"/>
  <c r="H310" i="57"/>
  <c r="I310" i="57"/>
  <c r="M309" i="7"/>
  <c r="H309" i="57"/>
  <c r="I309" i="57"/>
  <c r="H308" i="57"/>
  <c r="I308" i="57"/>
  <c r="H307" i="57"/>
  <c r="I307" i="57"/>
  <c r="H306" i="57"/>
  <c r="I306" i="57"/>
  <c r="M305" i="7"/>
  <c r="H305" i="57"/>
  <c r="I305" i="57"/>
  <c r="M304" i="7"/>
  <c r="H304" i="57"/>
  <c r="I304" i="57"/>
  <c r="H303" i="57"/>
  <c r="I303" i="57"/>
  <c r="H302" i="57"/>
  <c r="I302" i="57"/>
  <c r="H301" i="57"/>
  <c r="I301" i="57"/>
  <c r="M300" i="7"/>
  <c r="H300" i="57"/>
  <c r="I300" i="57"/>
  <c r="M299" i="7"/>
  <c r="H299" i="57"/>
  <c r="I299" i="57"/>
  <c r="H298" i="57"/>
  <c r="I298" i="57"/>
  <c r="H297" i="57"/>
  <c r="I297" i="57"/>
  <c r="M296" i="7"/>
  <c r="H296" i="57"/>
  <c r="I296" i="57"/>
  <c r="H295" i="57"/>
  <c r="I295" i="57"/>
  <c r="M294" i="7"/>
  <c r="H294" i="57"/>
  <c r="I294" i="57"/>
  <c r="H293" i="57"/>
  <c r="I293" i="57"/>
  <c r="H292" i="57"/>
  <c r="I292" i="57"/>
  <c r="M291" i="7"/>
  <c r="H291" i="57"/>
  <c r="I291" i="57"/>
  <c r="H290" i="57"/>
  <c r="I290" i="57"/>
  <c r="H289" i="57"/>
  <c r="I289" i="57"/>
  <c r="H288" i="57"/>
  <c r="I288" i="57"/>
  <c r="H287" i="57"/>
  <c r="I287" i="57"/>
  <c r="H286" i="57"/>
  <c r="I286" i="57"/>
  <c r="H285" i="57"/>
  <c r="I285" i="57"/>
  <c r="H284" i="57"/>
  <c r="I284" i="57"/>
  <c r="H283" i="57"/>
  <c r="I283" i="57"/>
  <c r="H282" i="57"/>
  <c r="I282" i="57"/>
  <c r="H281" i="57"/>
  <c r="I281" i="57"/>
  <c r="H280" i="57"/>
  <c r="I280" i="57"/>
  <c r="H279" i="57"/>
  <c r="I279" i="57"/>
  <c r="H278" i="57"/>
  <c r="I278" i="57"/>
  <c r="H277" i="57"/>
  <c r="I277" i="57"/>
  <c r="H276" i="57"/>
  <c r="I276" i="57"/>
  <c r="H275" i="57"/>
  <c r="I275" i="57"/>
  <c r="M274" i="7"/>
  <c r="H274" i="57"/>
  <c r="I274" i="57"/>
  <c r="H273" i="57"/>
  <c r="I273" i="57"/>
  <c r="H272" i="57"/>
  <c r="I272" i="57"/>
  <c r="H271" i="57"/>
  <c r="I271" i="57"/>
  <c r="H270" i="57"/>
  <c r="I270" i="57"/>
  <c r="H269" i="57"/>
  <c r="I269" i="57"/>
  <c r="H268" i="57"/>
  <c r="I268" i="57"/>
  <c r="H267" i="57"/>
  <c r="I267" i="57"/>
  <c r="H266" i="57"/>
  <c r="I266" i="57"/>
  <c r="H265" i="57"/>
  <c r="I265" i="57"/>
  <c r="H264" i="57"/>
  <c r="I264" i="57"/>
  <c r="H263" i="57"/>
  <c r="I263" i="57"/>
  <c r="H262" i="57"/>
  <c r="I262" i="57"/>
  <c r="H261" i="57"/>
  <c r="I261" i="57"/>
  <c r="H260" i="57"/>
  <c r="I260" i="57"/>
  <c r="H259" i="57"/>
  <c r="I259" i="57"/>
  <c r="H258" i="57"/>
  <c r="I258" i="57"/>
  <c r="H257" i="57"/>
  <c r="I257" i="57"/>
  <c r="H256" i="57"/>
  <c r="I256" i="57"/>
  <c r="H255" i="57"/>
  <c r="I255" i="57"/>
  <c r="H254" i="57"/>
  <c r="I254" i="57"/>
  <c r="H253" i="57"/>
  <c r="I253" i="57"/>
  <c r="H252" i="57"/>
  <c r="I252" i="57"/>
  <c r="H251" i="57"/>
  <c r="I251" i="57"/>
  <c r="H250" i="57"/>
  <c r="I250" i="57"/>
  <c r="H249" i="57"/>
  <c r="I249" i="57"/>
  <c r="H248" i="57"/>
  <c r="I248" i="57"/>
  <c r="H247" i="57"/>
  <c r="I247" i="57"/>
  <c r="H246" i="57"/>
  <c r="I246" i="57"/>
  <c r="H245" i="57"/>
  <c r="I245" i="57"/>
  <c r="H244" i="57"/>
  <c r="I244" i="57"/>
  <c r="H243" i="57"/>
  <c r="I243" i="57"/>
  <c r="M242" i="7"/>
  <c r="H242" i="57"/>
  <c r="I242" i="57"/>
  <c r="H241" i="57"/>
  <c r="I241" i="57"/>
  <c r="H240" i="57"/>
  <c r="I240" i="57"/>
  <c r="H238" i="57"/>
  <c r="I238" i="57"/>
  <c r="H237" i="57"/>
  <c r="I237" i="57"/>
  <c r="H236" i="57"/>
  <c r="I236" i="57"/>
  <c r="H235" i="57"/>
  <c r="I235" i="57"/>
  <c r="H234" i="57"/>
  <c r="I234" i="57"/>
  <c r="H233" i="57"/>
  <c r="I233" i="57"/>
  <c r="H232" i="57"/>
  <c r="I232" i="57"/>
  <c r="H231" i="57"/>
  <c r="I231" i="57"/>
  <c r="H230" i="57"/>
  <c r="I230" i="57"/>
  <c r="H229" i="57"/>
  <c r="I229" i="57"/>
  <c r="H228" i="57"/>
  <c r="I228" i="57"/>
  <c r="H227" i="57"/>
  <c r="I227" i="57"/>
  <c r="H226" i="57"/>
  <c r="I226" i="57"/>
  <c r="H225" i="57"/>
  <c r="I225" i="57"/>
  <c r="H224" i="57"/>
  <c r="I224" i="57"/>
  <c r="H223" i="57"/>
  <c r="I223" i="57"/>
  <c r="H222" i="57"/>
  <c r="I222" i="57"/>
  <c r="H220" i="57"/>
  <c r="I220" i="57"/>
  <c r="H219" i="57"/>
  <c r="I219" i="57"/>
  <c r="I218" i="57"/>
  <c r="H217" i="57"/>
  <c r="I217" i="57"/>
  <c r="H216" i="57"/>
  <c r="I216" i="57"/>
  <c r="H215" i="57"/>
  <c r="I215" i="57"/>
  <c r="H214" i="57"/>
  <c r="I214" i="57"/>
  <c r="H213" i="57"/>
  <c r="I213" i="57"/>
  <c r="H212" i="57"/>
  <c r="I212" i="57"/>
  <c r="H211" i="57"/>
  <c r="I211" i="57"/>
  <c r="H210" i="57"/>
  <c r="I210" i="57"/>
  <c r="H209" i="57"/>
  <c r="I209" i="57"/>
  <c r="H208" i="57"/>
  <c r="I208" i="57"/>
  <c r="H207" i="57"/>
  <c r="I207" i="57"/>
  <c r="H206" i="57"/>
  <c r="I206" i="57"/>
  <c r="H205" i="57"/>
  <c r="I205" i="57"/>
  <c r="H204" i="57"/>
  <c r="I204" i="57"/>
  <c r="H203" i="57"/>
  <c r="I203" i="57"/>
  <c r="H202" i="57"/>
  <c r="I202" i="57"/>
  <c r="H201" i="57"/>
  <c r="I201" i="57"/>
  <c r="H198" i="57"/>
  <c r="I198" i="57"/>
  <c r="H197" i="57"/>
  <c r="I197" i="57"/>
  <c r="H195" i="57"/>
  <c r="I195" i="57"/>
  <c r="H194" i="57"/>
  <c r="I194" i="57"/>
  <c r="H193" i="57"/>
  <c r="I193" i="57"/>
  <c r="H192" i="57"/>
  <c r="I192" i="57"/>
  <c r="H191" i="57"/>
  <c r="I191" i="57"/>
  <c r="H190" i="57"/>
  <c r="I190" i="57"/>
  <c r="H189" i="57"/>
  <c r="I189" i="57"/>
  <c r="H188" i="57"/>
  <c r="I188" i="57"/>
  <c r="H187" i="57"/>
  <c r="I187" i="57"/>
  <c r="H186" i="57"/>
  <c r="I186" i="57"/>
  <c r="H185" i="57"/>
  <c r="I185" i="57"/>
  <c r="H184" i="57"/>
  <c r="I184" i="57"/>
  <c r="H183" i="57"/>
  <c r="I183" i="57"/>
  <c r="H182" i="57"/>
  <c r="I182" i="57"/>
  <c r="H181" i="57"/>
  <c r="I181" i="57"/>
  <c r="H180" i="57"/>
  <c r="I180" i="57"/>
  <c r="H179" i="57"/>
  <c r="I179" i="57"/>
  <c r="H178" i="57"/>
  <c r="I178" i="57"/>
  <c r="H177" i="57"/>
  <c r="I177" i="57"/>
  <c r="H176" i="57"/>
  <c r="I176" i="57"/>
  <c r="H175" i="57"/>
  <c r="I175" i="57"/>
  <c r="H174" i="57"/>
  <c r="I174" i="57"/>
  <c r="H173" i="57"/>
  <c r="I173" i="57"/>
  <c r="H172" i="57"/>
  <c r="I172" i="57"/>
  <c r="H171" i="57"/>
  <c r="I171" i="57"/>
  <c r="H170" i="57"/>
  <c r="I170" i="57"/>
  <c r="H169" i="57"/>
  <c r="I169" i="57"/>
  <c r="H168" i="57"/>
  <c r="I168" i="57"/>
  <c r="H167" i="57"/>
  <c r="I167" i="57"/>
  <c r="H166" i="57"/>
  <c r="I166" i="57"/>
  <c r="H165" i="57"/>
  <c r="I165" i="57"/>
  <c r="H164" i="57"/>
  <c r="I164" i="57"/>
  <c r="H163" i="57"/>
  <c r="I163" i="57"/>
  <c r="H162" i="57"/>
  <c r="I162" i="57"/>
  <c r="H161" i="57"/>
  <c r="I161" i="57"/>
  <c r="H160" i="57"/>
  <c r="I160" i="57"/>
  <c r="H159" i="57"/>
  <c r="I159" i="57"/>
  <c r="H158" i="57"/>
  <c r="I158" i="57"/>
  <c r="H157" i="57"/>
  <c r="I157" i="57"/>
  <c r="H156" i="57"/>
  <c r="I156" i="57"/>
  <c r="H155" i="57"/>
  <c r="I155" i="57"/>
  <c r="H154" i="57"/>
  <c r="I154" i="57"/>
  <c r="H153" i="57"/>
  <c r="I153" i="57"/>
  <c r="H152" i="57"/>
  <c r="I152" i="57"/>
  <c r="H151" i="57"/>
  <c r="I151" i="57"/>
  <c r="H150" i="57"/>
  <c r="I150" i="57"/>
  <c r="H149" i="57"/>
  <c r="I149" i="57"/>
  <c r="H148" i="57"/>
  <c r="I148" i="57"/>
  <c r="H147" i="57"/>
  <c r="I147" i="57"/>
  <c r="H146" i="57"/>
  <c r="I146" i="57"/>
  <c r="H145" i="57"/>
  <c r="I145" i="57"/>
  <c r="H144" i="57"/>
  <c r="I144" i="57"/>
  <c r="H143" i="57"/>
  <c r="I143" i="57"/>
  <c r="H142" i="57"/>
  <c r="I142" i="57"/>
  <c r="H141" i="57"/>
  <c r="I141" i="57"/>
  <c r="H140" i="57"/>
  <c r="I140" i="57"/>
  <c r="H139" i="57"/>
  <c r="I139" i="57"/>
  <c r="H138" i="57"/>
  <c r="I138" i="57"/>
  <c r="H137" i="57"/>
  <c r="I137" i="57"/>
  <c r="I136" i="57"/>
  <c r="H135" i="57"/>
  <c r="I135" i="57"/>
  <c r="H134" i="57"/>
  <c r="I134" i="57"/>
  <c r="H133" i="57"/>
  <c r="I133" i="57"/>
  <c r="H132" i="57"/>
  <c r="I132" i="57"/>
  <c r="H131" i="57"/>
  <c r="I131" i="57"/>
  <c r="H130" i="57"/>
  <c r="I130" i="57"/>
  <c r="H129" i="57"/>
  <c r="I129" i="57"/>
  <c r="H128" i="57"/>
  <c r="I128" i="57"/>
  <c r="H127" i="57"/>
  <c r="I127" i="57"/>
  <c r="H126" i="57"/>
  <c r="I126" i="57"/>
  <c r="H125" i="57"/>
  <c r="I125" i="57"/>
  <c r="H124" i="57"/>
  <c r="I124" i="57"/>
  <c r="H123" i="57"/>
  <c r="I123" i="57"/>
  <c r="H122" i="57"/>
  <c r="I122" i="57"/>
  <c r="H121" i="57"/>
  <c r="I121" i="57"/>
  <c r="H120" i="57"/>
  <c r="I120" i="57"/>
  <c r="H119" i="57"/>
  <c r="I119" i="57"/>
  <c r="H118" i="57"/>
  <c r="I118" i="57"/>
  <c r="H117" i="57"/>
  <c r="I117" i="57"/>
  <c r="H116" i="57"/>
  <c r="I116" i="57"/>
  <c r="H115" i="57"/>
  <c r="I115" i="57"/>
  <c r="H114" i="57"/>
  <c r="I114" i="57"/>
  <c r="H113" i="57"/>
  <c r="I113" i="57"/>
  <c r="H112" i="57"/>
  <c r="I112" i="57"/>
  <c r="H111" i="57"/>
  <c r="I111" i="57"/>
  <c r="H110" i="57"/>
  <c r="I110" i="57"/>
  <c r="H109" i="57"/>
  <c r="I109" i="57"/>
  <c r="H108" i="57"/>
  <c r="I108" i="57"/>
  <c r="H107" i="57"/>
  <c r="I107" i="57"/>
  <c r="H106" i="57"/>
  <c r="I106" i="57"/>
  <c r="H105" i="57"/>
  <c r="I105" i="57"/>
  <c r="H104" i="57"/>
  <c r="I104" i="57"/>
  <c r="H103" i="57"/>
  <c r="I103" i="57"/>
  <c r="H102" i="57"/>
  <c r="I102" i="57"/>
  <c r="H101" i="57"/>
  <c r="I101" i="57"/>
  <c r="H100" i="57"/>
  <c r="I100" i="57"/>
  <c r="H99" i="57"/>
  <c r="I99" i="57"/>
  <c r="H98" i="57"/>
  <c r="I98" i="57"/>
  <c r="H97" i="57"/>
  <c r="I97" i="57"/>
  <c r="H96" i="57"/>
  <c r="I96" i="57"/>
  <c r="H95" i="57"/>
  <c r="I95" i="57"/>
  <c r="H94" i="57"/>
  <c r="I94" i="57"/>
  <c r="H93" i="57"/>
  <c r="I93" i="57"/>
  <c r="H92" i="57"/>
  <c r="I92" i="57"/>
  <c r="H91" i="57"/>
  <c r="I91" i="57"/>
  <c r="H90" i="57"/>
  <c r="I90" i="57"/>
  <c r="H89" i="57"/>
  <c r="I89" i="57"/>
  <c r="H88" i="57"/>
  <c r="I88" i="57"/>
  <c r="H87" i="57"/>
  <c r="I87" i="57"/>
  <c r="H86" i="57"/>
  <c r="I86" i="57"/>
  <c r="H85" i="57"/>
  <c r="I85" i="57"/>
  <c r="H84" i="57"/>
  <c r="I84" i="57"/>
  <c r="H83" i="57"/>
  <c r="I83" i="57"/>
  <c r="H82" i="57"/>
  <c r="I82" i="57"/>
  <c r="H81" i="57"/>
  <c r="I81" i="57"/>
  <c r="H80" i="57"/>
  <c r="I80" i="57"/>
  <c r="H79" i="57"/>
  <c r="I79" i="57"/>
  <c r="H76" i="57"/>
  <c r="I76" i="57"/>
  <c r="H74" i="57"/>
  <c r="I74" i="57"/>
  <c r="H73" i="57"/>
  <c r="I73" i="57"/>
  <c r="H72" i="57"/>
  <c r="I72" i="57"/>
  <c r="H71" i="57"/>
  <c r="I71" i="57"/>
  <c r="H70" i="57"/>
  <c r="I70" i="57"/>
  <c r="H69" i="57"/>
  <c r="I69" i="57"/>
  <c r="H68" i="57"/>
  <c r="I68" i="57"/>
  <c r="H67" i="57"/>
  <c r="I67" i="57"/>
  <c r="H66" i="57"/>
  <c r="I66" i="57"/>
  <c r="H65" i="57"/>
  <c r="I65" i="57"/>
  <c r="H64" i="57"/>
  <c r="I64" i="57"/>
  <c r="H63" i="57"/>
  <c r="I63" i="57"/>
  <c r="H62" i="57"/>
  <c r="I62" i="57"/>
  <c r="H61" i="57"/>
  <c r="I61" i="57"/>
  <c r="H60" i="57"/>
  <c r="I60" i="57"/>
  <c r="H59" i="57"/>
  <c r="I59" i="57"/>
  <c r="H58" i="57"/>
  <c r="I58" i="57"/>
  <c r="H57" i="57"/>
  <c r="I57" i="57"/>
  <c r="H56" i="57"/>
  <c r="I56" i="57"/>
  <c r="H55" i="57"/>
  <c r="I55" i="57"/>
  <c r="H54" i="57"/>
  <c r="I54" i="57"/>
  <c r="H53" i="57"/>
  <c r="I53" i="57"/>
  <c r="H52" i="57"/>
  <c r="I52" i="57"/>
  <c r="H51" i="57"/>
  <c r="I51" i="57"/>
  <c r="H50" i="57"/>
  <c r="I50" i="57"/>
  <c r="H49" i="57"/>
  <c r="I49" i="57"/>
  <c r="H48" i="57"/>
  <c r="I48" i="57"/>
  <c r="H47" i="57"/>
  <c r="I47" i="57"/>
  <c r="H46" i="57"/>
  <c r="I46" i="57"/>
  <c r="H45" i="57"/>
  <c r="I45" i="57"/>
  <c r="H44" i="57"/>
  <c r="I44" i="57"/>
  <c r="H43" i="57"/>
  <c r="I43" i="57"/>
  <c r="H42" i="57"/>
  <c r="I42" i="57"/>
  <c r="H41" i="57"/>
  <c r="I41" i="57"/>
  <c r="H40" i="57"/>
  <c r="I40" i="57"/>
  <c r="H39" i="57"/>
  <c r="I39" i="57"/>
  <c r="H38" i="57"/>
  <c r="I38" i="57"/>
  <c r="H37" i="57"/>
  <c r="I37" i="57"/>
  <c r="H36" i="57"/>
  <c r="I36" i="57"/>
  <c r="H35" i="57"/>
  <c r="I35" i="57"/>
  <c r="H34" i="57"/>
  <c r="I34" i="57"/>
  <c r="H33" i="57"/>
  <c r="I33" i="57"/>
  <c r="H32" i="57"/>
  <c r="I32" i="57"/>
  <c r="H31" i="57"/>
  <c r="I31" i="57"/>
  <c r="H30" i="57"/>
  <c r="I30" i="57"/>
  <c r="H29" i="57"/>
  <c r="I29" i="57"/>
  <c r="H28" i="57"/>
  <c r="I28" i="57"/>
  <c r="H27" i="57"/>
  <c r="I27" i="57"/>
  <c r="H26" i="57"/>
  <c r="I26" i="57"/>
  <c r="H25" i="57"/>
  <c r="I25" i="57"/>
  <c r="H24" i="57"/>
  <c r="I24" i="57"/>
  <c r="H23" i="57"/>
  <c r="I23" i="57"/>
  <c r="H22" i="57"/>
  <c r="I22" i="57"/>
  <c r="I21" i="57"/>
  <c r="H20" i="57"/>
  <c r="I20" i="57"/>
  <c r="I19" i="57"/>
  <c r="C369" i="57"/>
  <c r="C364" i="57"/>
  <c r="C363" i="57"/>
  <c r="C348" i="57"/>
  <c r="B417" i="29"/>
  <c r="C347" i="57"/>
  <c r="C346" i="57"/>
  <c r="C262" i="57"/>
  <c r="C244" i="57"/>
  <c r="C216" i="57"/>
  <c r="K19" i="57"/>
  <c r="K78" i="57"/>
  <c r="K136" i="57"/>
  <c r="K397" i="57"/>
  <c r="K443" i="57"/>
  <c r="K483" i="57"/>
  <c r="K487" i="57"/>
  <c r="K516" i="57"/>
  <c r="T522" i="57"/>
  <c r="T523" i="57"/>
  <c r="T516" i="57"/>
  <c r="U516" i="57"/>
  <c r="V516" i="57"/>
  <c r="T526" i="57"/>
  <c r="K527" i="57"/>
  <c r="K531" i="57"/>
  <c r="K533" i="57"/>
  <c r="K535" i="57"/>
  <c r="K538" i="57"/>
  <c r="K551" i="57"/>
  <c r="K560" i="57"/>
  <c r="K575" i="57"/>
  <c r="K576" i="57"/>
  <c r="U597" i="57"/>
  <c r="J678" i="57"/>
  <c r="B750" i="57"/>
  <c r="J756" i="57"/>
  <c r="I760" i="57"/>
  <c r="I761" i="57"/>
  <c r="I762" i="57"/>
  <c r="I763" i="57"/>
  <c r="J763" i="57"/>
  <c r="K763" i="57"/>
  <c r="L763" i="57"/>
  <c r="M763" i="57"/>
  <c r="N763" i="57"/>
  <c r="O763" i="57"/>
  <c r="P763" i="57"/>
  <c r="Q763" i="57"/>
  <c r="I764" i="57"/>
  <c r="D348" i="29"/>
  <c r="J765" i="57"/>
  <c r="T765" i="57"/>
  <c r="D19" i="29"/>
  <c r="J767" i="57"/>
  <c r="T767" i="57"/>
  <c r="AD767" i="57"/>
  <c r="D53" i="29"/>
  <c r="D39" i="29"/>
  <c r="J769" i="57"/>
  <c r="D140" i="29"/>
  <c r="D151" i="29"/>
  <c r="D111" i="29"/>
  <c r="J770" i="57"/>
  <c r="T770" i="57"/>
  <c r="AD770" i="57"/>
  <c r="J783" i="57"/>
  <c r="T783" i="57"/>
  <c r="AD783" i="57"/>
  <c r="J766" i="57"/>
  <c r="J768" i="57"/>
  <c r="J771" i="57"/>
  <c r="J772" i="57"/>
  <c r="T772" i="57"/>
  <c r="AD772" i="57"/>
  <c r="J773" i="57"/>
  <c r="J774" i="57"/>
  <c r="J775" i="57"/>
  <c r="D245" i="29"/>
  <c r="D233" i="29"/>
  <c r="J776" i="57"/>
  <c r="D254" i="29"/>
  <c r="D253" i="29"/>
  <c r="J777" i="57"/>
  <c r="T777" i="57"/>
  <c r="AD777" i="57"/>
  <c r="J778" i="57"/>
  <c r="J779" i="57"/>
  <c r="D307" i="29"/>
  <c r="D303" i="29"/>
  <c r="J780" i="57"/>
  <c r="J781" i="57"/>
  <c r="J782" i="57"/>
  <c r="J784" i="57"/>
  <c r="E348" i="29"/>
  <c r="K765" i="57"/>
  <c r="E19" i="29"/>
  <c r="K767" i="57"/>
  <c r="E53" i="29"/>
  <c r="E39" i="29"/>
  <c r="K769" i="57"/>
  <c r="U769" i="57"/>
  <c r="E140" i="29"/>
  <c r="E111" i="29"/>
  <c r="K770" i="57"/>
  <c r="K783" i="57"/>
  <c r="K766" i="57"/>
  <c r="K768" i="57"/>
  <c r="U768" i="57"/>
  <c r="K771" i="57"/>
  <c r="K772" i="57"/>
  <c r="K773" i="57"/>
  <c r="K774" i="57"/>
  <c r="U774" i="57"/>
  <c r="K775" i="57"/>
  <c r="E245" i="29"/>
  <c r="E233" i="29"/>
  <c r="K776" i="57"/>
  <c r="E254" i="29"/>
  <c r="E253" i="29"/>
  <c r="K777" i="57"/>
  <c r="K778" i="57"/>
  <c r="U778" i="57"/>
  <c r="K779" i="57"/>
  <c r="E307" i="29"/>
  <c r="E303" i="29"/>
  <c r="K780" i="57"/>
  <c r="K781" i="57"/>
  <c r="K782" i="57"/>
  <c r="U782" i="57"/>
  <c r="K784" i="57"/>
  <c r="L765" i="57"/>
  <c r="M765" i="57"/>
  <c r="G19" i="29"/>
  <c r="N767" i="57"/>
  <c r="X767" i="57"/>
  <c r="J19" i="29"/>
  <c r="F19" i="29"/>
  <c r="M767" i="57"/>
  <c r="AH767" i="57"/>
  <c r="G53" i="29"/>
  <c r="G56" i="29"/>
  <c r="G39" i="29"/>
  <c r="J39" i="29"/>
  <c r="F39" i="29"/>
  <c r="M769" i="57"/>
  <c r="W769" i="57"/>
  <c r="AG769" i="57"/>
  <c r="F112" i="29"/>
  <c r="F113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30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4" i="29"/>
  <c r="F155" i="29"/>
  <c r="F156" i="29"/>
  <c r="F157" i="29"/>
  <c r="F158" i="29"/>
  <c r="F159" i="29"/>
  <c r="F161" i="29"/>
  <c r="F162" i="29"/>
  <c r="F165" i="29"/>
  <c r="F166" i="29"/>
  <c r="F167" i="29"/>
  <c r="F168" i="29"/>
  <c r="F169" i="29"/>
  <c r="F111" i="29"/>
  <c r="M770" i="57"/>
  <c r="M783" i="57"/>
  <c r="AH783" i="57"/>
  <c r="J314" i="29"/>
  <c r="F314" i="29"/>
  <c r="M766" i="57"/>
  <c r="G38" i="29"/>
  <c r="N768" i="57"/>
  <c r="J38" i="29"/>
  <c r="F38" i="29"/>
  <c r="M768" i="57"/>
  <c r="W768" i="57"/>
  <c r="AG768" i="57"/>
  <c r="M771" i="57"/>
  <c r="W771" i="57"/>
  <c r="AG771" i="57"/>
  <c r="F175" i="29"/>
  <c r="M772" i="57"/>
  <c r="AH772" i="57"/>
  <c r="F210" i="29"/>
  <c r="M773" i="57"/>
  <c r="W773" i="57"/>
  <c r="AG773" i="57"/>
  <c r="F229" i="29"/>
  <c r="M774" i="57"/>
  <c r="W774" i="57"/>
  <c r="AG774" i="57"/>
  <c r="F187" i="29"/>
  <c r="M775" i="57"/>
  <c r="F233" i="29"/>
  <c r="M776" i="57"/>
  <c r="W776" i="57"/>
  <c r="AG776" i="57"/>
  <c r="F253" i="29"/>
  <c r="M777" i="57"/>
  <c r="F265" i="29"/>
  <c r="M778" i="57"/>
  <c r="W778" i="57"/>
  <c r="AG778" i="57"/>
  <c r="F276" i="29"/>
  <c r="M779" i="57"/>
  <c r="F303" i="29"/>
  <c r="M780" i="57"/>
  <c r="W780" i="57"/>
  <c r="AG780" i="57"/>
  <c r="F325" i="29"/>
  <c r="M781" i="57"/>
  <c r="F322" i="29"/>
  <c r="M782" i="57"/>
  <c r="W782" i="57"/>
  <c r="AG782" i="57"/>
  <c r="F330" i="29"/>
  <c r="M784" i="57"/>
  <c r="W784" i="57"/>
  <c r="AG784" i="57"/>
  <c r="G348" i="29"/>
  <c r="N765" i="57"/>
  <c r="N769" i="57"/>
  <c r="G111" i="29"/>
  <c r="N770" i="57"/>
  <c r="X770" i="57"/>
  <c r="N783" i="57"/>
  <c r="N766" i="57"/>
  <c r="N771" i="57"/>
  <c r="N772" i="57"/>
  <c r="N773" i="57"/>
  <c r="N774" i="57"/>
  <c r="N775" i="57"/>
  <c r="X775" i="57"/>
  <c r="N776" i="57"/>
  <c r="N777" i="57"/>
  <c r="X777" i="57"/>
  <c r="N778" i="57"/>
  <c r="N779" i="57"/>
  <c r="X779" i="57"/>
  <c r="N780" i="57"/>
  <c r="N781" i="57"/>
  <c r="X781" i="57"/>
  <c r="N782" i="57"/>
  <c r="N784" i="57"/>
  <c r="H348" i="29"/>
  <c r="O765" i="57"/>
  <c r="O767" i="57"/>
  <c r="H39" i="29"/>
  <c r="O769" i="57"/>
  <c r="Y769" i="57"/>
  <c r="H111" i="29"/>
  <c r="O770" i="57"/>
  <c r="O783" i="57"/>
  <c r="O766" i="57"/>
  <c r="O768" i="57"/>
  <c r="Y768" i="57"/>
  <c r="O771" i="57"/>
  <c r="O772" i="57"/>
  <c r="O773" i="57"/>
  <c r="O774" i="57"/>
  <c r="Y774" i="57"/>
  <c r="O775" i="57"/>
  <c r="H233" i="29"/>
  <c r="O776" i="57"/>
  <c r="Y776" i="57"/>
  <c r="O777" i="57"/>
  <c r="O778" i="57"/>
  <c r="O779" i="57"/>
  <c r="O780" i="57"/>
  <c r="O781" i="57"/>
  <c r="O782" i="57"/>
  <c r="O784" i="57"/>
  <c r="Y784" i="57"/>
  <c r="I348" i="29"/>
  <c r="P765" i="57"/>
  <c r="Z765" i="57"/>
  <c r="I19" i="29"/>
  <c r="P767" i="57"/>
  <c r="Z767" i="57"/>
  <c r="I39" i="29"/>
  <c r="P769" i="57"/>
  <c r="I111" i="29"/>
  <c r="P770" i="57"/>
  <c r="Z770" i="57"/>
  <c r="P783" i="57"/>
  <c r="P766" i="57"/>
  <c r="P768" i="57"/>
  <c r="P771" i="57"/>
  <c r="P772" i="57"/>
  <c r="P773" i="57"/>
  <c r="P774" i="57"/>
  <c r="P775" i="57"/>
  <c r="Z775" i="57"/>
  <c r="I233" i="29"/>
  <c r="P776" i="57"/>
  <c r="P777" i="57"/>
  <c r="P778" i="57"/>
  <c r="P779" i="57"/>
  <c r="P780" i="57"/>
  <c r="P781" i="57"/>
  <c r="P782" i="57"/>
  <c r="P784" i="57"/>
  <c r="P785" i="57"/>
  <c r="J348" i="29"/>
  <c r="Q765" i="57"/>
  <c r="Q767" i="57"/>
  <c r="Q769" i="57"/>
  <c r="J111" i="29"/>
  <c r="Q770" i="57"/>
  <c r="Q785" i="57"/>
  <c r="Q783" i="57"/>
  <c r="Q766" i="57"/>
  <c r="Q768" i="57"/>
  <c r="AA768" i="57"/>
  <c r="Q771" i="57"/>
  <c r="Q772" i="57"/>
  <c r="Q773" i="57"/>
  <c r="Q774" i="57"/>
  <c r="AA774" i="57"/>
  <c r="Q775" i="57"/>
  <c r="Q776" i="57"/>
  <c r="AA776" i="57"/>
  <c r="Q777" i="57"/>
  <c r="Q778" i="57"/>
  <c r="AA778" i="57"/>
  <c r="Q779" i="57"/>
  <c r="Q780" i="57"/>
  <c r="AA780" i="57"/>
  <c r="Q781" i="57"/>
  <c r="Q782" i="57"/>
  <c r="AA782" i="57"/>
  <c r="Q784" i="57"/>
  <c r="I765" i="57"/>
  <c r="AD765" i="57"/>
  <c r="R765" i="57"/>
  <c r="S765" i="57"/>
  <c r="S785" i="57"/>
  <c r="U765" i="57"/>
  <c r="U785" i="57"/>
  <c r="W765" i="57"/>
  <c r="W785" i="57"/>
  <c r="Y765" i="57"/>
  <c r="Y785" i="57"/>
  <c r="AA765" i="57"/>
  <c r="AA785" i="57"/>
  <c r="AB765" i="57"/>
  <c r="AC765" i="57"/>
  <c r="AC785" i="57"/>
  <c r="AE765" i="57"/>
  <c r="AG765" i="57"/>
  <c r="I766" i="57"/>
  <c r="S766" i="57"/>
  <c r="AC766" i="57"/>
  <c r="L766" i="57"/>
  <c r="R766" i="57"/>
  <c r="T766" i="57"/>
  <c r="U766" i="57"/>
  <c r="V766" i="57"/>
  <c r="X766" i="57"/>
  <c r="Y766" i="57"/>
  <c r="Z766" i="57"/>
  <c r="AA766" i="57"/>
  <c r="AB766" i="57"/>
  <c r="AD766" i="57"/>
  <c r="AE766" i="57"/>
  <c r="AF766" i="57"/>
  <c r="AH766" i="57"/>
  <c r="I767" i="57"/>
  <c r="L767" i="57"/>
  <c r="V767" i="57"/>
  <c r="R767" i="57"/>
  <c r="S767" i="57"/>
  <c r="U767" i="57"/>
  <c r="W767" i="57"/>
  <c r="Y767" i="57"/>
  <c r="AA767" i="57"/>
  <c r="AB767" i="57"/>
  <c r="AC767" i="57"/>
  <c r="AE767" i="57"/>
  <c r="AG767" i="57"/>
  <c r="I768" i="57"/>
  <c r="S768" i="57"/>
  <c r="AC768" i="57"/>
  <c r="L768" i="57"/>
  <c r="R768" i="57"/>
  <c r="AB768" i="57"/>
  <c r="T768" i="57"/>
  <c r="V768" i="57"/>
  <c r="AF768" i="57"/>
  <c r="X768" i="57"/>
  <c r="Z768" i="57"/>
  <c r="AD768" i="57"/>
  <c r="AH768" i="57"/>
  <c r="C769" i="57"/>
  <c r="I769" i="57"/>
  <c r="S769" i="57"/>
  <c r="AC769" i="57"/>
  <c r="L769" i="57"/>
  <c r="R769" i="57"/>
  <c r="T769" i="57"/>
  <c r="V769" i="57"/>
  <c r="X769" i="57"/>
  <c r="Z769" i="57"/>
  <c r="AA769" i="57"/>
  <c r="AB769" i="57"/>
  <c r="AF769" i="57"/>
  <c r="AH769" i="57"/>
  <c r="I770" i="57"/>
  <c r="L770" i="57"/>
  <c r="V770" i="57"/>
  <c r="R770" i="57"/>
  <c r="S770" i="57"/>
  <c r="U770" i="57"/>
  <c r="W770" i="57"/>
  <c r="Y770" i="57"/>
  <c r="AA770" i="57"/>
  <c r="AB770" i="57"/>
  <c r="AC770" i="57"/>
  <c r="AE770" i="57"/>
  <c r="AG770" i="57"/>
  <c r="I771" i="57"/>
  <c r="S771" i="57"/>
  <c r="AC771" i="57"/>
  <c r="L771" i="57"/>
  <c r="R771" i="57"/>
  <c r="T771" i="57"/>
  <c r="U771" i="57"/>
  <c r="V771" i="57"/>
  <c r="X771" i="57"/>
  <c r="Y771" i="57"/>
  <c r="Z771" i="57"/>
  <c r="AA771" i="57"/>
  <c r="AB771" i="57"/>
  <c r="AE771" i="57"/>
  <c r="AF771" i="57"/>
  <c r="AH771" i="57"/>
  <c r="I772" i="57"/>
  <c r="L772" i="57"/>
  <c r="V772" i="57"/>
  <c r="R772" i="57"/>
  <c r="S772" i="57"/>
  <c r="U772" i="57"/>
  <c r="W772" i="57"/>
  <c r="X772" i="57"/>
  <c r="Y772" i="57"/>
  <c r="Z772" i="57"/>
  <c r="AA772" i="57"/>
  <c r="AB772" i="57"/>
  <c r="AC772" i="57"/>
  <c r="AE772" i="57"/>
  <c r="AG772" i="57"/>
  <c r="I773" i="57"/>
  <c r="S773" i="57"/>
  <c r="AC773" i="57"/>
  <c r="L773" i="57"/>
  <c r="R773" i="57"/>
  <c r="T773" i="57"/>
  <c r="U773" i="57"/>
  <c r="V773" i="57"/>
  <c r="X773" i="57"/>
  <c r="Y773" i="57"/>
  <c r="Z773" i="57"/>
  <c r="AA773" i="57"/>
  <c r="AB773" i="57"/>
  <c r="AD773" i="57"/>
  <c r="AE773" i="57"/>
  <c r="AF773" i="57"/>
  <c r="AH773" i="57"/>
  <c r="C774" i="57"/>
  <c r="I774" i="57"/>
  <c r="S774" i="57"/>
  <c r="AC774" i="57"/>
  <c r="L774" i="57"/>
  <c r="R774" i="57"/>
  <c r="T774" i="57"/>
  <c r="AD774" i="57"/>
  <c r="V774" i="57"/>
  <c r="X774" i="57"/>
  <c r="AH774" i="57"/>
  <c r="Z774" i="57"/>
  <c r="AB774" i="57"/>
  <c r="AF774" i="57"/>
  <c r="I775" i="57"/>
  <c r="L775" i="57"/>
  <c r="V775" i="57"/>
  <c r="AF775" i="57"/>
  <c r="R775" i="57"/>
  <c r="S775" i="57"/>
  <c r="T775" i="57"/>
  <c r="U775" i="57"/>
  <c r="W775" i="57"/>
  <c r="AG775" i="57"/>
  <c r="Y775" i="57"/>
  <c r="AA775" i="57"/>
  <c r="AB775" i="57"/>
  <c r="AC775" i="57"/>
  <c r="AD775" i="57"/>
  <c r="AE775" i="57"/>
  <c r="I776" i="57"/>
  <c r="S776" i="57"/>
  <c r="AC776" i="57"/>
  <c r="L776" i="57"/>
  <c r="R776" i="57"/>
  <c r="AB776" i="57"/>
  <c r="V776" i="57"/>
  <c r="X776" i="57"/>
  <c r="Z776" i="57"/>
  <c r="AH776" i="57"/>
  <c r="I777" i="57"/>
  <c r="L777" i="57"/>
  <c r="V777" i="57"/>
  <c r="R777" i="57"/>
  <c r="S777" i="57"/>
  <c r="AC777" i="57"/>
  <c r="U777" i="57"/>
  <c r="W777" i="57"/>
  <c r="Y777" i="57"/>
  <c r="Z777" i="57"/>
  <c r="AA777" i="57"/>
  <c r="AB777" i="57"/>
  <c r="AE777" i="57"/>
  <c r="I778" i="57"/>
  <c r="S778" i="57"/>
  <c r="AC778" i="57"/>
  <c r="L778" i="57"/>
  <c r="R778" i="57"/>
  <c r="T778" i="57"/>
  <c r="V778" i="57"/>
  <c r="X778" i="57"/>
  <c r="Y778" i="57"/>
  <c r="Z778" i="57"/>
  <c r="AB778" i="57"/>
  <c r="AF778" i="57"/>
  <c r="AH778" i="57"/>
  <c r="I779" i="57"/>
  <c r="L779" i="57"/>
  <c r="V779" i="57"/>
  <c r="AF779" i="57"/>
  <c r="R779" i="57"/>
  <c r="S779" i="57"/>
  <c r="T779" i="57"/>
  <c r="U779" i="57"/>
  <c r="W779" i="57"/>
  <c r="Y779" i="57"/>
  <c r="Z779" i="57"/>
  <c r="AA779" i="57"/>
  <c r="AB779" i="57"/>
  <c r="AC779" i="57"/>
  <c r="AD779" i="57"/>
  <c r="AE779" i="57"/>
  <c r="AG779" i="57"/>
  <c r="I780" i="57"/>
  <c r="S780" i="57"/>
  <c r="AC780" i="57"/>
  <c r="L780" i="57"/>
  <c r="R780" i="57"/>
  <c r="V780" i="57"/>
  <c r="X780" i="57"/>
  <c r="Y780" i="57"/>
  <c r="Z780" i="57"/>
  <c r="AB780" i="57"/>
  <c r="AH780" i="57"/>
  <c r="I781" i="57"/>
  <c r="L781" i="57"/>
  <c r="V781" i="57"/>
  <c r="AF781" i="57"/>
  <c r="R781" i="57"/>
  <c r="S781" i="57"/>
  <c r="T781" i="57"/>
  <c r="U781" i="57"/>
  <c r="W781" i="57"/>
  <c r="Y781" i="57"/>
  <c r="Z781" i="57"/>
  <c r="AA781" i="57"/>
  <c r="AB781" i="57"/>
  <c r="AC781" i="57"/>
  <c r="AD781" i="57"/>
  <c r="AE781" i="57"/>
  <c r="I782" i="57"/>
  <c r="S782" i="57"/>
  <c r="AC782" i="57"/>
  <c r="L782" i="57"/>
  <c r="R782" i="57"/>
  <c r="T782" i="57"/>
  <c r="V782" i="57"/>
  <c r="X782" i="57"/>
  <c r="Y782" i="57"/>
  <c r="Z782" i="57"/>
  <c r="AB782" i="57"/>
  <c r="AF782" i="57"/>
  <c r="AH782" i="57"/>
  <c r="I783" i="57"/>
  <c r="L783" i="57"/>
  <c r="V783" i="57"/>
  <c r="R783" i="57"/>
  <c r="S783" i="57"/>
  <c r="U783" i="57"/>
  <c r="W783" i="57"/>
  <c r="X783" i="57"/>
  <c r="Y783" i="57"/>
  <c r="Z783" i="57"/>
  <c r="AA783" i="57"/>
  <c r="AB783" i="57"/>
  <c r="AC783" i="57"/>
  <c r="AE783" i="57"/>
  <c r="AG783" i="57"/>
  <c r="I784" i="57"/>
  <c r="S784" i="57"/>
  <c r="AC784" i="57"/>
  <c r="L784" i="57"/>
  <c r="R784" i="57"/>
  <c r="AB784" i="57"/>
  <c r="T784" i="57"/>
  <c r="U784" i="57"/>
  <c r="V784" i="57"/>
  <c r="X784" i="57"/>
  <c r="AH784" i="57"/>
  <c r="Z784" i="57"/>
  <c r="AA784" i="57"/>
  <c r="AD784" i="57"/>
  <c r="AE784" i="57"/>
  <c r="AF784" i="57"/>
  <c r="I785" i="57"/>
  <c r="R785" i="57"/>
  <c r="T785" i="57"/>
  <c r="AD785" i="57"/>
  <c r="Z785" i="57"/>
  <c r="AB785" i="57"/>
  <c r="I786" i="57"/>
  <c r="C787" i="57"/>
  <c r="I787" i="57"/>
  <c r="C788" i="57"/>
  <c r="I788" i="57"/>
  <c r="I789" i="57"/>
  <c r="P789" i="57"/>
  <c r="I790" i="57"/>
  <c r="I791" i="57"/>
  <c r="I792" i="57"/>
  <c r="I793" i="57"/>
  <c r="I794" i="57"/>
  <c r="I795" i="57"/>
  <c r="I796" i="57"/>
  <c r="I797" i="57"/>
  <c r="I798" i="57"/>
  <c r="I799" i="57"/>
  <c r="I800" i="57"/>
  <c r="I801" i="57"/>
  <c r="I802" i="57"/>
  <c r="I803" i="57"/>
  <c r="I804" i="57"/>
  <c r="I805" i="57"/>
  <c r="I806" i="57"/>
  <c r="I807" i="57"/>
  <c r="I808" i="57"/>
  <c r="I809" i="57"/>
  <c r="I810" i="57"/>
  <c r="I811" i="57"/>
  <c r="I812" i="57"/>
  <c r="I813" i="57"/>
  <c r="I814" i="57"/>
  <c r="I815" i="57"/>
  <c r="I816" i="57"/>
  <c r="I817" i="57"/>
  <c r="I818" i="57"/>
  <c r="I819" i="57"/>
  <c r="I820" i="57"/>
  <c r="I821" i="57"/>
  <c r="I822" i="57"/>
  <c r="I823" i="57"/>
  <c r="I824" i="57"/>
  <c r="I825" i="57"/>
  <c r="I826" i="57"/>
  <c r="I827" i="57"/>
  <c r="I828" i="57"/>
  <c r="I829" i="57"/>
  <c r="I830" i="57"/>
  <c r="I831" i="57"/>
  <c r="I832" i="57"/>
  <c r="I833" i="57"/>
  <c r="I834" i="57"/>
  <c r="I835" i="57"/>
  <c r="I836" i="57"/>
  <c r="I837" i="57"/>
  <c r="I838" i="57"/>
  <c r="I839" i="57"/>
  <c r="I840" i="57"/>
  <c r="I841" i="57"/>
  <c r="I842" i="57"/>
  <c r="I843" i="57"/>
  <c r="I844" i="57"/>
  <c r="I845" i="57"/>
  <c r="I846" i="57"/>
  <c r="I847" i="57"/>
  <c r="I848" i="57"/>
  <c r="I849" i="57"/>
  <c r="I850" i="57"/>
  <c r="I851" i="57"/>
  <c r="I852" i="57"/>
  <c r="I853" i="57"/>
  <c r="I854" i="57"/>
  <c r="I855" i="57"/>
  <c r="I856" i="57"/>
  <c r="I857" i="57"/>
  <c r="I858" i="57"/>
  <c r="I859" i="57"/>
  <c r="I860" i="57"/>
  <c r="I861" i="57"/>
  <c r="I862" i="57"/>
  <c r="I863" i="57"/>
  <c r="I864" i="57"/>
  <c r="I865" i="57"/>
  <c r="I866" i="57"/>
  <c r="I867" i="57"/>
  <c r="I868" i="57"/>
  <c r="I869" i="57"/>
  <c r="I870" i="57"/>
  <c r="I871" i="57"/>
  <c r="I872" i="57"/>
  <c r="I873" i="57"/>
  <c r="I874" i="57"/>
  <c r="I875" i="57"/>
  <c r="I876" i="57"/>
  <c r="I877" i="57"/>
  <c r="I878" i="57"/>
  <c r="I879" i="57"/>
  <c r="I880" i="57"/>
  <c r="I881" i="57"/>
  <c r="I882" i="57"/>
  <c r="I883" i="57"/>
  <c r="I884" i="57"/>
  <c r="I885" i="57"/>
  <c r="I886" i="57"/>
  <c r="I887" i="57"/>
  <c r="I888" i="57"/>
  <c r="I889" i="57"/>
  <c r="I890" i="57"/>
  <c r="I891" i="57"/>
  <c r="I892" i="57"/>
  <c r="I893" i="57"/>
  <c r="I894" i="57"/>
  <c r="I895" i="57"/>
  <c r="I896" i="57"/>
  <c r="I897" i="57"/>
  <c r="I898" i="57"/>
  <c r="I899" i="57"/>
  <c r="I900" i="57"/>
  <c r="I901" i="57"/>
  <c r="I902" i="57"/>
  <c r="I903" i="57"/>
  <c r="I904" i="57"/>
  <c r="I905" i="57"/>
  <c r="I906" i="57"/>
  <c r="I907" i="57"/>
  <c r="I908" i="57"/>
  <c r="I909" i="57"/>
  <c r="I910" i="57"/>
  <c r="I911" i="57"/>
  <c r="I912" i="57"/>
  <c r="I913" i="57"/>
  <c r="I914" i="57"/>
  <c r="I915" i="57"/>
  <c r="I916" i="57"/>
  <c r="I917" i="57"/>
  <c r="I918" i="57"/>
  <c r="I919" i="57"/>
  <c r="I920" i="57"/>
  <c r="I921" i="57"/>
  <c r="I922" i="57"/>
  <c r="I923" i="57"/>
  <c r="I924" i="57"/>
  <c r="I925" i="57"/>
  <c r="I926" i="57"/>
  <c r="I927" i="57"/>
  <c r="I928" i="57"/>
  <c r="I929" i="57"/>
  <c r="I930" i="57"/>
  <c r="I931" i="57"/>
  <c r="I932" i="57"/>
  <c r="I933" i="57"/>
  <c r="I934" i="57"/>
  <c r="I935" i="57"/>
  <c r="I936" i="57"/>
  <c r="I937" i="57"/>
  <c r="I938" i="57"/>
  <c r="I939" i="57"/>
  <c r="I940" i="57"/>
  <c r="I941" i="57"/>
  <c r="I942" i="57"/>
  <c r="I943" i="57"/>
  <c r="I944" i="57"/>
  <c r="I945" i="57"/>
  <c r="I946" i="57"/>
  <c r="I947" i="57"/>
  <c r="I948" i="57"/>
  <c r="I949" i="57"/>
  <c r="I950" i="57"/>
  <c r="I951" i="57"/>
  <c r="I952" i="57"/>
  <c r="I953" i="57"/>
  <c r="I954" i="57"/>
  <c r="I955" i="57"/>
  <c r="I956" i="57"/>
  <c r="I957" i="57"/>
  <c r="I958" i="57"/>
  <c r="I959" i="57"/>
  <c r="I960" i="57"/>
  <c r="I961" i="57"/>
  <c r="I962" i="57"/>
  <c r="I963" i="57"/>
  <c r="I964" i="57"/>
  <c r="I965" i="57"/>
  <c r="I966" i="57"/>
  <c r="I967" i="57"/>
  <c r="I968" i="57"/>
  <c r="I969" i="57"/>
  <c r="I970" i="57"/>
  <c r="I971" i="57"/>
  <c r="I972" i="57"/>
  <c r="I973" i="57"/>
  <c r="I974" i="57"/>
  <c r="I975" i="57"/>
  <c r="I976" i="57"/>
  <c r="I977" i="57"/>
  <c r="I978" i="57"/>
  <c r="I979" i="57"/>
  <c r="I980" i="57"/>
  <c r="I981" i="57"/>
  <c r="I982" i="57"/>
  <c r="I983" i="57"/>
  <c r="I984" i="57"/>
  <c r="I985" i="57"/>
  <c r="I986" i="57"/>
  <c r="I987" i="57"/>
  <c r="I988" i="57"/>
  <c r="I989" i="57"/>
  <c r="I990" i="57"/>
  <c r="I991" i="57"/>
  <c r="I992" i="57"/>
  <c r="I993" i="57"/>
  <c r="I994" i="57"/>
  <c r="I995" i="57"/>
  <c r="I996" i="57"/>
  <c r="I997" i="57"/>
  <c r="I998" i="57"/>
  <c r="I999" i="57"/>
  <c r="I1000" i="57"/>
  <c r="I1001" i="57"/>
  <c r="I1002" i="57"/>
  <c r="I1003" i="57"/>
  <c r="I1004" i="57"/>
  <c r="I1005" i="57"/>
  <c r="I1006" i="57"/>
  <c r="I1007" i="57"/>
  <c r="I1008" i="57"/>
  <c r="I1009" i="57"/>
  <c r="I1010" i="57"/>
  <c r="I1011" i="57"/>
  <c r="I1012" i="57"/>
  <c r="I1013" i="57"/>
  <c r="I1014" i="57"/>
  <c r="I1015" i="57"/>
  <c r="I1016" i="57"/>
  <c r="I1017" i="57"/>
  <c r="I1018" i="57"/>
  <c r="I1019" i="57"/>
  <c r="I1020" i="57"/>
  <c r="I1021" i="57"/>
  <c r="I1022" i="57"/>
  <c r="I1023" i="57"/>
  <c r="I1024" i="57"/>
  <c r="I1025" i="57"/>
  <c r="I1026" i="57"/>
  <c r="I1027" i="57"/>
  <c r="I1028" i="57"/>
  <c r="I1029" i="57"/>
  <c r="I1030" i="57"/>
  <c r="I1031" i="57"/>
  <c r="I1032" i="57"/>
  <c r="I1033" i="57"/>
  <c r="I1034" i="57"/>
  <c r="I1035" i="57"/>
  <c r="I1036" i="57"/>
  <c r="I1037" i="57"/>
  <c r="I1038" i="57"/>
  <c r="F25" i="51"/>
  <c r="C20" i="51"/>
  <c r="E133" i="56"/>
  <c r="E135" i="56"/>
  <c r="H400" i="7"/>
  <c r="O400" i="7"/>
  <c r="P400" i="7"/>
  <c r="D58" i="52"/>
  <c r="D18" i="52"/>
  <c r="D17" i="52"/>
  <c r="D22" i="52"/>
  <c r="D25" i="52"/>
  <c r="D21" i="52"/>
  <c r="D29" i="52"/>
  <c r="D28" i="52"/>
  <c r="D33" i="52"/>
  <c r="D37" i="52"/>
  <c r="D40" i="52"/>
  <c r="D43" i="52"/>
  <c r="D47" i="52"/>
  <c r="D51" i="52"/>
  <c r="D54" i="52"/>
  <c r="D62" i="52"/>
  <c r="D66" i="52"/>
  <c r="D69" i="52"/>
  <c r="D72" i="52"/>
  <c r="D75" i="52"/>
  <c r="D78" i="52"/>
  <c r="D81" i="52"/>
  <c r="D84" i="52"/>
  <c r="D65" i="52"/>
  <c r="H214" i="55"/>
  <c r="I214" i="55"/>
  <c r="E75" i="55"/>
  <c r="H82" i="55"/>
  <c r="I82" i="55"/>
  <c r="E23" i="7"/>
  <c r="E24" i="7"/>
  <c r="E20" i="7"/>
  <c r="E25" i="7"/>
  <c r="E26" i="7"/>
  <c r="E28" i="7"/>
  <c r="E31" i="7"/>
  <c r="E32" i="7"/>
  <c r="E34" i="7"/>
  <c r="E37" i="7"/>
  <c r="E39" i="7"/>
  <c r="E40" i="7"/>
  <c r="E41" i="7"/>
  <c r="E42" i="7"/>
  <c r="E46" i="7"/>
  <c r="E77" i="7"/>
  <c r="E62" i="7"/>
  <c r="L52" i="53"/>
  <c r="K365" i="29"/>
  <c r="L365" i="29"/>
  <c r="L348" i="29"/>
  <c r="K362" i="29"/>
  <c r="K348" i="29"/>
  <c r="M435" i="29"/>
  <c r="O435" i="29"/>
  <c r="E223" i="56"/>
  <c r="E230" i="56"/>
  <c r="E171" i="56"/>
  <c r="E157" i="56"/>
  <c r="E156" i="56"/>
  <c r="E137" i="56"/>
  <c r="E136" i="56"/>
  <c r="E132" i="56"/>
  <c r="E131" i="56"/>
  <c r="E120" i="56"/>
  <c r="E127" i="56"/>
  <c r="E118" i="56"/>
  <c r="E80" i="56"/>
  <c r="E141" i="56"/>
  <c r="E140" i="56"/>
  <c r="E40" i="56"/>
  <c r="E37" i="56"/>
  <c r="E36" i="56"/>
  <c r="E66" i="56"/>
  <c r="E65" i="56"/>
  <c r="G30" i="29"/>
  <c r="G70" i="29"/>
  <c r="G171" i="29"/>
  <c r="G170" i="29"/>
  <c r="G182" i="29"/>
  <c r="G201" i="29"/>
  <c r="G207" i="29"/>
  <c r="G226" i="29"/>
  <c r="G250" i="29"/>
  <c r="G245" i="29"/>
  <c r="G254" i="29"/>
  <c r="G267" i="29"/>
  <c r="G290" i="29"/>
  <c r="G299" i="29"/>
  <c r="G298" i="29"/>
  <c r="G310" i="29"/>
  <c r="G307" i="29"/>
  <c r="G316" i="29"/>
  <c r="G336" i="29"/>
  <c r="J30" i="29"/>
  <c r="J70" i="29"/>
  <c r="J171" i="29"/>
  <c r="J173" i="29"/>
  <c r="J170" i="29"/>
  <c r="J182" i="29"/>
  <c r="J201" i="29"/>
  <c r="J212" i="29"/>
  <c r="J207" i="29"/>
  <c r="J242" i="29"/>
  <c r="J226" i="29"/>
  <c r="J248" i="29"/>
  <c r="J245" i="29"/>
  <c r="J254" i="29"/>
  <c r="J267" i="29"/>
  <c r="J290" i="29"/>
  <c r="J298" i="29"/>
  <c r="J312" i="29"/>
  <c r="J315" i="29"/>
  <c r="J310" i="29"/>
  <c r="J307" i="29"/>
  <c r="J335" i="29"/>
  <c r="J473" i="29"/>
  <c r="J316" i="29"/>
  <c r="J336" i="29"/>
  <c r="E120" i="52"/>
  <c r="E117" i="52"/>
  <c r="E118" i="52"/>
  <c r="E116" i="52"/>
  <c r="E112" i="52"/>
  <c r="E54" i="52"/>
  <c r="E119" i="52"/>
  <c r="E114" i="52"/>
  <c r="E115" i="52"/>
  <c r="E113" i="52"/>
  <c r="E40" i="52"/>
  <c r="E121" i="52"/>
  <c r="E122" i="52"/>
  <c r="E91" i="52"/>
  <c r="E96" i="52"/>
  <c r="E90" i="52"/>
  <c r="E89" i="52"/>
  <c r="E125" i="52"/>
  <c r="E126" i="52"/>
  <c r="E102" i="52"/>
  <c r="E107" i="52"/>
  <c r="E101" i="52"/>
  <c r="L27" i="51"/>
  <c r="L26" i="51"/>
  <c r="L24" i="51"/>
  <c r="H20" i="51"/>
  <c r="L20" i="51"/>
  <c r="H13" i="51"/>
  <c r="H12" i="51"/>
  <c r="L12" i="51"/>
  <c r="L31" i="51"/>
  <c r="L29" i="51"/>
  <c r="H33" i="51"/>
  <c r="L33" i="51"/>
  <c r="L32" i="51"/>
  <c r="L28" i="51"/>
  <c r="L18" i="51"/>
  <c r="L17" i="51"/>
  <c r="L16" i="51"/>
  <c r="M430" i="29"/>
  <c r="O430" i="29"/>
  <c r="L53" i="29"/>
  <c r="C59" i="29"/>
  <c r="H463" i="7"/>
  <c r="O463" i="7"/>
  <c r="P463" i="7"/>
  <c r="N464" i="7"/>
  <c r="L212" i="29"/>
  <c r="N472" i="7"/>
  <c r="N460" i="7"/>
  <c r="N473" i="7"/>
  <c r="N479" i="7"/>
  <c r="N480" i="7"/>
  <c r="N481" i="7"/>
  <c r="N478" i="7"/>
  <c r="N474" i="7"/>
  <c r="N477" i="7"/>
  <c r="L217" i="29"/>
  <c r="N476" i="7"/>
  <c r="N486" i="7"/>
  <c r="L464" i="7"/>
  <c r="L472" i="7"/>
  <c r="L460" i="7"/>
  <c r="L473" i="7"/>
  <c r="L479" i="7"/>
  <c r="L480" i="7"/>
  <c r="L481" i="7"/>
  <c r="H481" i="7"/>
  <c r="L478" i="7"/>
  <c r="L474" i="7"/>
  <c r="H474" i="7"/>
  <c r="L477" i="7"/>
  <c r="L476" i="7"/>
  <c r="H476" i="7"/>
  <c r="K464" i="7"/>
  <c r="K472" i="7"/>
  <c r="K473" i="7"/>
  <c r="K479" i="7"/>
  <c r="K480" i="7"/>
  <c r="K481" i="7"/>
  <c r="K478" i="7"/>
  <c r="K474" i="7"/>
  <c r="K477" i="7"/>
  <c r="K476" i="7"/>
  <c r="K460" i="7"/>
  <c r="J464" i="7"/>
  <c r="J472" i="7"/>
  <c r="J460" i="7"/>
  <c r="J473" i="7"/>
  <c r="J479" i="7"/>
  <c r="J480" i="7"/>
  <c r="J481" i="7"/>
  <c r="J478" i="7"/>
  <c r="J474" i="7"/>
  <c r="J477" i="7"/>
  <c r="J476" i="7"/>
  <c r="I464" i="7"/>
  <c r="H464" i="7"/>
  <c r="I472" i="7"/>
  <c r="I473" i="7"/>
  <c r="H473" i="7"/>
  <c r="I479" i="7"/>
  <c r="I480" i="7"/>
  <c r="I481" i="7"/>
  <c r="I478" i="7"/>
  <c r="I474" i="7"/>
  <c r="I477" i="7"/>
  <c r="I476" i="7"/>
  <c r="I460" i="7"/>
  <c r="H472" i="7"/>
  <c r="H479" i="7"/>
  <c r="H478" i="7"/>
  <c r="H477" i="7"/>
  <c r="H475" i="7"/>
  <c r="H486" i="7"/>
  <c r="H487" i="7"/>
  <c r="H462" i="7"/>
  <c r="H461" i="7"/>
  <c r="G464" i="7"/>
  <c r="G472" i="7"/>
  <c r="G473" i="7"/>
  <c r="G479" i="7"/>
  <c r="G480" i="7"/>
  <c r="G481" i="7"/>
  <c r="G478" i="7"/>
  <c r="G474" i="7"/>
  <c r="G477" i="7"/>
  <c r="G476" i="7"/>
  <c r="G460" i="7"/>
  <c r="F464" i="7"/>
  <c r="F472" i="7"/>
  <c r="F460" i="7"/>
  <c r="F473" i="7"/>
  <c r="F479" i="7"/>
  <c r="F480" i="7"/>
  <c r="F481" i="7"/>
  <c r="F478" i="7"/>
  <c r="F474" i="7"/>
  <c r="F477" i="7"/>
  <c r="F476" i="7"/>
  <c r="E464" i="7"/>
  <c r="E472" i="7"/>
  <c r="E473" i="7"/>
  <c r="E479" i="7"/>
  <c r="E480" i="7"/>
  <c r="E481" i="7"/>
  <c r="E478" i="7"/>
  <c r="E474" i="7"/>
  <c r="E477" i="7"/>
  <c r="E476" i="7"/>
  <c r="E460" i="7"/>
  <c r="N162" i="7"/>
  <c r="N163" i="7"/>
  <c r="N164" i="7"/>
  <c r="N180" i="7"/>
  <c r="N138" i="7"/>
  <c r="N140" i="7"/>
  <c r="N136" i="7"/>
  <c r="N154" i="7"/>
  <c r="N155" i="7"/>
  <c r="N156" i="7"/>
  <c r="N158" i="7"/>
  <c r="N165" i="7"/>
  <c r="N166" i="7"/>
  <c r="N169" i="7"/>
  <c r="N171" i="7"/>
  <c r="N172" i="7"/>
  <c r="N173" i="7"/>
  <c r="N174" i="7"/>
  <c r="N175" i="7"/>
  <c r="N178" i="7"/>
  <c r="N182" i="7"/>
  <c r="L138" i="7"/>
  <c r="L136" i="7"/>
  <c r="L140" i="7"/>
  <c r="L154" i="7"/>
  <c r="L155" i="7"/>
  <c r="L156" i="7"/>
  <c r="L158" i="7"/>
  <c r="L165" i="7"/>
  <c r="L166" i="7"/>
  <c r="L169" i="7"/>
  <c r="L171" i="7"/>
  <c r="L172" i="7"/>
  <c r="L173" i="7"/>
  <c r="L174" i="7"/>
  <c r="L175" i="7"/>
  <c r="L178" i="7"/>
  <c r="K138" i="7"/>
  <c r="K136" i="7"/>
  <c r="K140" i="7"/>
  <c r="K154" i="7"/>
  <c r="K155" i="7"/>
  <c r="K156" i="7"/>
  <c r="K158" i="7"/>
  <c r="K165" i="7"/>
  <c r="K166" i="7"/>
  <c r="K169" i="7"/>
  <c r="K171" i="7"/>
  <c r="K172" i="7"/>
  <c r="K173" i="7"/>
  <c r="K174" i="7"/>
  <c r="K175" i="7"/>
  <c r="K178" i="7"/>
  <c r="J138" i="7"/>
  <c r="J136" i="7"/>
  <c r="J140" i="7"/>
  <c r="J154" i="7"/>
  <c r="J155" i="7"/>
  <c r="J156" i="7"/>
  <c r="J158" i="7"/>
  <c r="J165" i="7"/>
  <c r="J166" i="7"/>
  <c r="J169" i="7"/>
  <c r="J171" i="7"/>
  <c r="J172" i="7"/>
  <c r="J173" i="7"/>
  <c r="J174" i="7"/>
  <c r="J175" i="7"/>
  <c r="J178" i="7"/>
  <c r="I138" i="7"/>
  <c r="I136" i="7"/>
  <c r="I140" i="7"/>
  <c r="I154" i="7"/>
  <c r="I155" i="7"/>
  <c r="I156" i="7"/>
  <c r="I158" i="7"/>
  <c r="I165" i="7"/>
  <c r="I166" i="7"/>
  <c r="I169" i="7"/>
  <c r="H169" i="7"/>
  <c r="I171" i="7"/>
  <c r="I172" i="7"/>
  <c r="I173" i="7"/>
  <c r="I174" i="7"/>
  <c r="I175" i="7"/>
  <c r="I178" i="7"/>
  <c r="H163" i="7"/>
  <c r="H164" i="7"/>
  <c r="H137" i="7"/>
  <c r="H139" i="7"/>
  <c r="H140" i="7"/>
  <c r="H143" i="7"/>
  <c r="H146" i="7"/>
  <c r="H147" i="7"/>
  <c r="H150" i="7"/>
  <c r="H151" i="7"/>
  <c r="H152" i="7"/>
  <c r="H154" i="7"/>
  <c r="H155" i="7"/>
  <c r="H156" i="7"/>
  <c r="H158" i="7"/>
  <c r="H159" i="7"/>
  <c r="H162" i="7"/>
  <c r="H165" i="7"/>
  <c r="H170" i="7"/>
  <c r="H171" i="7"/>
  <c r="H172" i="7"/>
  <c r="H173" i="7"/>
  <c r="H174" i="7"/>
  <c r="H176" i="7"/>
  <c r="H177" i="7"/>
  <c r="H179" i="7"/>
  <c r="H180" i="7"/>
  <c r="H181" i="7"/>
  <c r="H182" i="7"/>
  <c r="H183" i="7"/>
  <c r="H184" i="7"/>
  <c r="H187" i="7"/>
  <c r="H188" i="7"/>
  <c r="H189" i="7"/>
  <c r="H166" i="7"/>
  <c r="H175" i="7"/>
  <c r="H178" i="7"/>
  <c r="G138" i="7"/>
  <c r="G136" i="7"/>
  <c r="G139" i="7"/>
  <c r="G140" i="7"/>
  <c r="G154" i="7"/>
  <c r="G155" i="7"/>
  <c r="G156" i="7"/>
  <c r="G158" i="7"/>
  <c r="G165" i="7"/>
  <c r="G166" i="7"/>
  <c r="G169" i="7"/>
  <c r="G172" i="7"/>
  <c r="G173" i="7"/>
  <c r="G174" i="7"/>
  <c r="G175" i="7"/>
  <c r="G178" i="7"/>
  <c r="F138" i="7"/>
  <c r="F136" i="7"/>
  <c r="F139" i="7"/>
  <c r="F140" i="7"/>
  <c r="F154" i="7"/>
  <c r="F155" i="7"/>
  <c r="F156" i="7"/>
  <c r="F158" i="7"/>
  <c r="F165" i="7"/>
  <c r="F166" i="7"/>
  <c r="F169" i="7"/>
  <c r="F172" i="7"/>
  <c r="F173" i="7"/>
  <c r="F174" i="7"/>
  <c r="F175" i="7"/>
  <c r="F178" i="7"/>
  <c r="E183" i="7"/>
  <c r="E186" i="7"/>
  <c r="E138" i="7"/>
  <c r="E139" i="7"/>
  <c r="E140" i="7"/>
  <c r="E142" i="7"/>
  <c r="C137" i="29"/>
  <c r="E154" i="7"/>
  <c r="E155" i="7"/>
  <c r="E156" i="7"/>
  <c r="E158" i="7"/>
  <c r="E165" i="7"/>
  <c r="E166" i="7"/>
  <c r="E169" i="7"/>
  <c r="E172" i="7"/>
  <c r="E173" i="7"/>
  <c r="E174" i="7"/>
  <c r="E175" i="7"/>
  <c r="E177" i="7"/>
  <c r="E178" i="7"/>
  <c r="E187" i="7"/>
  <c r="E170" i="7"/>
  <c r="O162" i="7"/>
  <c r="P162" i="7"/>
  <c r="C140" i="29"/>
  <c r="H628" i="7"/>
  <c r="O628" i="7"/>
  <c r="P628" i="7"/>
  <c r="N628" i="7"/>
  <c r="N627" i="7"/>
  <c r="N617" i="7"/>
  <c r="N615" i="7"/>
  <c r="N613" i="7"/>
  <c r="L626" i="7"/>
  <c r="L613" i="7"/>
  <c r="L615" i="7"/>
  <c r="L622" i="7"/>
  <c r="H622" i="7"/>
  <c r="K613" i="7"/>
  <c r="J613" i="7"/>
  <c r="I613" i="7"/>
  <c r="H627" i="7"/>
  <c r="H616" i="7"/>
  <c r="H630" i="7"/>
  <c r="H618" i="7"/>
  <c r="H615" i="7"/>
  <c r="H617" i="7"/>
  <c r="H614" i="7"/>
  <c r="G613" i="7"/>
  <c r="F613" i="7"/>
  <c r="E613" i="7"/>
  <c r="O627" i="7"/>
  <c r="P627" i="7"/>
  <c r="K452" i="29"/>
  <c r="L452" i="29"/>
  <c r="G41" i="55"/>
  <c r="G128" i="55"/>
  <c r="G62" i="55"/>
  <c r="G137" i="55"/>
  <c r="G142" i="55"/>
  <c r="G143" i="55"/>
  <c r="G144" i="55"/>
  <c r="G145" i="55"/>
  <c r="G146" i="55"/>
  <c r="G147" i="55"/>
  <c r="G148" i="55"/>
  <c r="G149" i="55"/>
  <c r="G150" i="55"/>
  <c r="G151" i="55"/>
  <c r="G161" i="55"/>
  <c r="G163" i="55"/>
  <c r="G216" i="55"/>
  <c r="G95" i="55"/>
  <c r="G12" i="55"/>
  <c r="G69" i="55"/>
  <c r="G75" i="55"/>
  <c r="G84" i="55"/>
  <c r="G10" i="55"/>
  <c r="G159" i="55"/>
  <c r="G130" i="55"/>
  <c r="G157" i="55"/>
  <c r="G22" i="55"/>
  <c r="G169" i="55"/>
  <c r="G20" i="55"/>
  <c r="G207" i="55"/>
  <c r="E45" i="55"/>
  <c r="E41" i="55"/>
  <c r="E10" i="55"/>
  <c r="E12" i="55"/>
  <c r="E128" i="55"/>
  <c r="E130" i="55"/>
  <c r="E163" i="55"/>
  <c r="E209" i="55"/>
  <c r="E65" i="55"/>
  <c r="E62" i="55"/>
  <c r="E161" i="55"/>
  <c r="E216" i="55"/>
  <c r="E73" i="55"/>
  <c r="E74" i="55"/>
  <c r="E69" i="55"/>
  <c r="E67" i="55"/>
  <c r="E86" i="55"/>
  <c r="E88" i="55"/>
  <c r="E89" i="55"/>
  <c r="E91" i="55"/>
  <c r="E92" i="55"/>
  <c r="E84" i="55"/>
  <c r="E159" i="55"/>
  <c r="E157" i="55"/>
  <c r="E22" i="55"/>
  <c r="E174" i="55"/>
  <c r="E169" i="55"/>
  <c r="E176" i="55"/>
  <c r="E178" i="55"/>
  <c r="E179" i="55"/>
  <c r="E181" i="55"/>
  <c r="E182" i="55"/>
  <c r="E180" i="55"/>
  <c r="E20" i="55"/>
  <c r="H51" i="55"/>
  <c r="I51" i="55"/>
  <c r="H50" i="55"/>
  <c r="I50" i="55"/>
  <c r="F314" i="56"/>
  <c r="F319" i="56"/>
  <c r="F313" i="56"/>
  <c r="F325" i="56"/>
  <c r="F330" i="56"/>
  <c r="F324" i="56"/>
  <c r="F312" i="56"/>
  <c r="F337" i="56"/>
  <c r="F338" i="56"/>
  <c r="F336" i="56"/>
  <c r="F335" i="56"/>
  <c r="F340" i="56"/>
  <c r="F341" i="56"/>
  <c r="F278" i="56"/>
  <c r="F342" i="56"/>
  <c r="F339" i="56"/>
  <c r="F264" i="56"/>
  <c r="F343" i="56"/>
  <c r="F344" i="56"/>
  <c r="F142" i="56"/>
  <c r="F155" i="56"/>
  <c r="F174" i="56"/>
  <c r="F171" i="56"/>
  <c r="F157" i="56"/>
  <c r="F156" i="56"/>
  <c r="F184" i="56"/>
  <c r="F201" i="56"/>
  <c r="F223" i="56"/>
  <c r="F230" i="56"/>
  <c r="F233" i="56"/>
  <c r="F61" i="52"/>
  <c r="F120" i="52"/>
  <c r="F117" i="52"/>
  <c r="F118" i="52"/>
  <c r="F116" i="52"/>
  <c r="F112" i="52"/>
  <c r="F54" i="52"/>
  <c r="F119" i="52"/>
  <c r="F114" i="52"/>
  <c r="F115" i="52"/>
  <c r="F113" i="52"/>
  <c r="F40" i="52"/>
  <c r="F121" i="52"/>
  <c r="F122" i="52"/>
  <c r="F91" i="52"/>
  <c r="F96" i="52"/>
  <c r="F90" i="52"/>
  <c r="F89" i="52"/>
  <c r="F125" i="52"/>
  <c r="F126" i="52"/>
  <c r="F102" i="52"/>
  <c r="F107" i="52"/>
  <c r="F101" i="52"/>
  <c r="K111" i="29"/>
  <c r="K19" i="29"/>
  <c r="K207" i="29"/>
  <c r="K39" i="29"/>
  <c r="K30" i="29"/>
  <c r="K70" i="29"/>
  <c r="K173" i="29"/>
  <c r="K170" i="29"/>
  <c r="K182" i="29"/>
  <c r="K201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26" i="29"/>
  <c r="K245" i="29"/>
  <c r="K254" i="29"/>
  <c r="K271" i="29"/>
  <c r="K267" i="29"/>
  <c r="K290" i="29"/>
  <c r="K299" i="29"/>
  <c r="K298" i="29"/>
  <c r="K307" i="29"/>
  <c r="K320" i="29"/>
  <c r="K316" i="29"/>
  <c r="K336" i="29"/>
  <c r="M20" i="51"/>
  <c r="M22" i="51"/>
  <c r="M27" i="51"/>
  <c r="M26" i="51"/>
  <c r="M19" i="51"/>
  <c r="I13" i="51"/>
  <c r="I12" i="51"/>
  <c r="M12" i="51"/>
  <c r="M31" i="51"/>
  <c r="M29" i="51"/>
  <c r="M33" i="51"/>
  <c r="M32" i="51"/>
  <c r="I18" i="51"/>
  <c r="M18" i="51"/>
  <c r="M17" i="51"/>
  <c r="M16" i="51"/>
  <c r="E314" i="56"/>
  <c r="E319" i="56"/>
  <c r="E313" i="56"/>
  <c r="E312" i="56"/>
  <c r="E325" i="56"/>
  <c r="E330" i="56"/>
  <c r="E324" i="56"/>
  <c r="E337" i="56"/>
  <c r="E338" i="56"/>
  <c r="E336" i="56"/>
  <c r="E340" i="56"/>
  <c r="E341" i="56"/>
  <c r="E339" i="56"/>
  <c r="E278" i="56"/>
  <c r="E342" i="56"/>
  <c r="E264" i="56"/>
  <c r="E343" i="56"/>
  <c r="E344" i="56"/>
  <c r="I97" i="7"/>
  <c r="L97" i="7"/>
  <c r="H97" i="7"/>
  <c r="L336" i="29"/>
  <c r="I336" i="29"/>
  <c r="H336" i="29"/>
  <c r="E336" i="29"/>
  <c r="D336" i="29"/>
  <c r="O132" i="7"/>
  <c r="P132" i="7"/>
  <c r="M338" i="29"/>
  <c r="O338" i="29"/>
  <c r="M337" i="29"/>
  <c r="M52" i="53"/>
  <c r="K52" i="53"/>
  <c r="D52" i="53"/>
  <c r="H208" i="55"/>
  <c r="I208" i="55"/>
  <c r="H207" i="55"/>
  <c r="I207" i="55"/>
  <c r="G35" i="56"/>
  <c r="H35" i="56"/>
  <c r="D32" i="56"/>
  <c r="H207" i="7"/>
  <c r="I204" i="7"/>
  <c r="H204" i="7"/>
  <c r="I202" i="7"/>
  <c r="L202" i="7"/>
  <c r="H202" i="7"/>
  <c r="H200" i="7"/>
  <c r="H215" i="7"/>
  <c r="H214" i="7"/>
  <c r="H203" i="7"/>
  <c r="H201" i="7"/>
  <c r="E204" i="7"/>
  <c r="E215" i="7"/>
  <c r="E200" i="7"/>
  <c r="O200" i="7"/>
  <c r="I23" i="7"/>
  <c r="L23" i="7"/>
  <c r="H23" i="7"/>
  <c r="I24" i="7"/>
  <c r="L24" i="7"/>
  <c r="H24" i="7"/>
  <c r="I25" i="7"/>
  <c r="L25" i="7"/>
  <c r="H25" i="7"/>
  <c r="I26" i="7"/>
  <c r="L26" i="7"/>
  <c r="H26" i="7"/>
  <c r="I28" i="7"/>
  <c r="L28" i="7"/>
  <c r="H28" i="7"/>
  <c r="I31" i="7"/>
  <c r="L31" i="7"/>
  <c r="H31" i="7"/>
  <c r="F55" i="29"/>
  <c r="I32" i="7"/>
  <c r="L32" i="7"/>
  <c r="H32" i="7"/>
  <c r="I34" i="7"/>
  <c r="L34" i="7"/>
  <c r="H34" i="7"/>
  <c r="I37" i="7"/>
  <c r="L37" i="7"/>
  <c r="H37" i="7"/>
  <c r="I39" i="7"/>
  <c r="L39" i="7"/>
  <c r="H39" i="7"/>
  <c r="I40" i="7"/>
  <c r="L40" i="7"/>
  <c r="H40" i="7"/>
  <c r="I41" i="7"/>
  <c r="L41" i="7"/>
  <c r="H41" i="7"/>
  <c r="I42" i="7"/>
  <c r="L42" i="7"/>
  <c r="H42" i="7"/>
  <c r="I46" i="7"/>
  <c r="L46" i="7"/>
  <c r="H46" i="7"/>
  <c r="I64" i="7"/>
  <c r="L64" i="7"/>
  <c r="H64" i="7"/>
  <c r="I65" i="7"/>
  <c r="L65" i="7"/>
  <c r="H65" i="7"/>
  <c r="L67" i="7"/>
  <c r="H67" i="7"/>
  <c r="H21" i="7"/>
  <c r="H22" i="7"/>
  <c r="H29" i="7"/>
  <c r="H30" i="7"/>
  <c r="H33" i="7"/>
  <c r="H35" i="7"/>
  <c r="H36" i="7"/>
  <c r="H43" i="7"/>
  <c r="H44" i="7"/>
  <c r="H45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I66" i="7"/>
  <c r="L66" i="7"/>
  <c r="H66" i="7"/>
  <c r="H68" i="7"/>
  <c r="H69" i="7"/>
  <c r="H70" i="7"/>
  <c r="H71" i="7"/>
  <c r="H72" i="7"/>
  <c r="H73" i="7"/>
  <c r="H74" i="7"/>
  <c r="H75" i="7"/>
  <c r="H77" i="7"/>
  <c r="I82" i="7"/>
  <c r="L82" i="7"/>
  <c r="H82" i="7"/>
  <c r="I88" i="7"/>
  <c r="L88" i="7"/>
  <c r="H88" i="7"/>
  <c r="I98" i="7"/>
  <c r="L98" i="7"/>
  <c r="H98" i="7"/>
  <c r="I99" i="7"/>
  <c r="L99" i="7"/>
  <c r="H99" i="7"/>
  <c r="I100" i="7"/>
  <c r="L100" i="7"/>
  <c r="H100" i="7"/>
  <c r="I101" i="7"/>
  <c r="L101" i="7"/>
  <c r="H101" i="7"/>
  <c r="I102" i="7"/>
  <c r="L102" i="7"/>
  <c r="H102" i="7"/>
  <c r="I104" i="7"/>
  <c r="L104" i="7"/>
  <c r="H104" i="7"/>
  <c r="I108" i="7"/>
  <c r="L108" i="7"/>
  <c r="H108" i="7"/>
  <c r="I109" i="7"/>
  <c r="L109" i="7"/>
  <c r="H109" i="7"/>
  <c r="I111" i="7"/>
  <c r="L111" i="7"/>
  <c r="H111" i="7"/>
  <c r="I112" i="7"/>
  <c r="L112" i="7"/>
  <c r="H112" i="7"/>
  <c r="I120" i="7"/>
  <c r="L120" i="7"/>
  <c r="H120" i="7"/>
  <c r="I121" i="7"/>
  <c r="L121" i="7"/>
  <c r="H121" i="7"/>
  <c r="F108" i="29"/>
  <c r="H122" i="7"/>
  <c r="I130" i="7"/>
  <c r="L130" i="7"/>
  <c r="H130" i="7"/>
  <c r="H79" i="7"/>
  <c r="H80" i="7"/>
  <c r="H81" i="7"/>
  <c r="H90" i="7"/>
  <c r="H91" i="7"/>
  <c r="H78" i="7"/>
  <c r="O78" i="7"/>
  <c r="H92" i="7"/>
  <c r="H93" i="7"/>
  <c r="H94" i="7"/>
  <c r="H95" i="7"/>
  <c r="H96" i="7"/>
  <c r="H103" i="7"/>
  <c r="H105" i="7"/>
  <c r="H106" i="7"/>
  <c r="H107" i="7"/>
  <c r="H110" i="7"/>
  <c r="H113" i="7"/>
  <c r="H114" i="7"/>
  <c r="H115" i="7"/>
  <c r="H123" i="7"/>
  <c r="H124" i="7"/>
  <c r="H126" i="7"/>
  <c r="H127" i="7"/>
  <c r="H128" i="7"/>
  <c r="H129" i="7"/>
  <c r="H131" i="7"/>
  <c r="H134" i="7"/>
  <c r="H135" i="7"/>
  <c r="E442" i="7"/>
  <c r="E438" i="7"/>
  <c r="O438" i="7"/>
  <c r="H439" i="7"/>
  <c r="H440" i="7"/>
  <c r="H443" i="7"/>
  <c r="H441" i="7"/>
  <c r="H438" i="7"/>
  <c r="E518" i="7"/>
  <c r="E523" i="7"/>
  <c r="E517" i="7"/>
  <c r="O517" i="7"/>
  <c r="E524" i="7"/>
  <c r="E525" i="7"/>
  <c r="I518" i="7"/>
  <c r="L518" i="7"/>
  <c r="H518" i="7"/>
  <c r="H517" i="7"/>
  <c r="H524" i="7"/>
  <c r="H530" i="7"/>
  <c r="H532" i="7"/>
  <c r="H525" i="7"/>
  <c r="E542" i="7"/>
  <c r="E549" i="7"/>
  <c r="E540" i="7"/>
  <c r="I542" i="7"/>
  <c r="L542" i="7"/>
  <c r="H542" i="7"/>
  <c r="H540" i="7"/>
  <c r="L541" i="7"/>
  <c r="H541" i="7"/>
  <c r="I548" i="7"/>
  <c r="H548" i="7"/>
  <c r="H546" i="7"/>
  <c r="H549" i="7"/>
  <c r="H545" i="7"/>
  <c r="I550" i="7"/>
  <c r="L550" i="7"/>
  <c r="H550" i="7"/>
  <c r="I554" i="7"/>
  <c r="L554" i="7"/>
  <c r="H554" i="7"/>
  <c r="H553" i="7"/>
  <c r="H559" i="7"/>
  <c r="H565" i="7"/>
  <c r="H575" i="7"/>
  <c r="H569" i="7"/>
  <c r="H562" i="7"/>
  <c r="H566" i="7"/>
  <c r="H568" i="7"/>
  <c r="E554" i="7"/>
  <c r="E553" i="7"/>
  <c r="E602" i="7"/>
  <c r="E598" i="7"/>
  <c r="O598" i="7"/>
  <c r="H599" i="7"/>
  <c r="H601" i="7"/>
  <c r="H602" i="7"/>
  <c r="H603" i="7"/>
  <c r="H604" i="7"/>
  <c r="H605" i="7"/>
  <c r="H606" i="7"/>
  <c r="H607" i="7"/>
  <c r="H608" i="7"/>
  <c r="H611" i="7"/>
  <c r="H612" i="7"/>
  <c r="H598" i="7"/>
  <c r="H706" i="7"/>
  <c r="I707" i="7"/>
  <c r="L707" i="7"/>
  <c r="H707" i="7"/>
  <c r="H687" i="7"/>
  <c r="O687" i="7"/>
  <c r="I708" i="7"/>
  <c r="L708" i="7"/>
  <c r="H708" i="7"/>
  <c r="L709" i="7"/>
  <c r="H709" i="7"/>
  <c r="L710" i="7"/>
  <c r="H710" i="7"/>
  <c r="H688" i="7"/>
  <c r="H691" i="7"/>
  <c r="H715" i="7"/>
  <c r="H694" i="7"/>
  <c r="H701" i="7"/>
  <c r="H689" i="7"/>
  <c r="H711" i="7"/>
  <c r="E687" i="7"/>
  <c r="E723" i="7"/>
  <c r="E718" i="7"/>
  <c r="H719" i="7"/>
  <c r="H720" i="7"/>
  <c r="H718" i="7"/>
  <c r="O718" i="7"/>
  <c r="H721" i="7"/>
  <c r="H723" i="7"/>
  <c r="H726" i="7"/>
  <c r="H725" i="7"/>
  <c r="H753" i="7"/>
  <c r="H750" i="7"/>
  <c r="H751" i="7"/>
  <c r="H752" i="7"/>
  <c r="H749" i="7"/>
  <c r="E749" i="7"/>
  <c r="O749" i="7"/>
  <c r="O684" i="7"/>
  <c r="E422" i="7"/>
  <c r="E398" i="7"/>
  <c r="O398" i="7"/>
  <c r="H399" i="7"/>
  <c r="H401" i="7"/>
  <c r="H402" i="7"/>
  <c r="H403" i="7"/>
  <c r="H404" i="7"/>
  <c r="H406" i="7"/>
  <c r="H409" i="7"/>
  <c r="H410" i="7"/>
  <c r="H412" i="7"/>
  <c r="H413" i="7"/>
  <c r="H414" i="7"/>
  <c r="H415" i="7"/>
  <c r="H416" i="7"/>
  <c r="H417" i="7"/>
  <c r="H418" i="7"/>
  <c r="H420" i="7"/>
  <c r="H421" i="7"/>
  <c r="I422" i="7"/>
  <c r="H422" i="7"/>
  <c r="H423" i="7"/>
  <c r="H424" i="7"/>
  <c r="H425" i="7"/>
  <c r="H426" i="7"/>
  <c r="H427" i="7"/>
  <c r="H428" i="7"/>
  <c r="H429" i="7"/>
  <c r="H430" i="7"/>
  <c r="H431" i="7"/>
  <c r="H432" i="7"/>
  <c r="H435" i="7"/>
  <c r="H398" i="7"/>
  <c r="E444" i="7"/>
  <c r="H445" i="7"/>
  <c r="H446" i="7"/>
  <c r="H444" i="7"/>
  <c r="O444" i="7"/>
  <c r="H447" i="7"/>
  <c r="H448" i="7"/>
  <c r="H450" i="7"/>
  <c r="H454" i="7"/>
  <c r="H455" i="7"/>
  <c r="H459" i="7"/>
  <c r="H457" i="7"/>
  <c r="H458" i="7"/>
  <c r="E489" i="7"/>
  <c r="E490" i="7"/>
  <c r="E491" i="7"/>
  <c r="E488" i="7"/>
  <c r="H489" i="7"/>
  <c r="H490" i="7"/>
  <c r="I492" i="7"/>
  <c r="L492" i="7"/>
  <c r="H492" i="7"/>
  <c r="H488" i="7"/>
  <c r="H495" i="7"/>
  <c r="H496" i="7"/>
  <c r="H497" i="7"/>
  <c r="H498" i="7"/>
  <c r="H499" i="7"/>
  <c r="H500" i="7"/>
  <c r="H501" i="7"/>
  <c r="H503" i="7"/>
  <c r="H504" i="7"/>
  <c r="H505" i="7"/>
  <c r="H506" i="7"/>
  <c r="H507" i="7"/>
  <c r="E577" i="7"/>
  <c r="E576" i="7"/>
  <c r="O576" i="7"/>
  <c r="I576" i="7"/>
  <c r="L576" i="7"/>
  <c r="H576" i="7"/>
  <c r="I578" i="7"/>
  <c r="L578" i="7"/>
  <c r="H578" i="7"/>
  <c r="O578" i="7"/>
  <c r="I580" i="7"/>
  <c r="L580" i="7"/>
  <c r="H580" i="7"/>
  <c r="O580" i="7"/>
  <c r="I582" i="7"/>
  <c r="L582" i="7"/>
  <c r="H582" i="7"/>
  <c r="O582" i="7"/>
  <c r="I589" i="7"/>
  <c r="L589" i="7"/>
  <c r="H589" i="7"/>
  <c r="O589" i="7"/>
  <c r="I591" i="7"/>
  <c r="L591" i="7"/>
  <c r="H591" i="7"/>
  <c r="O591" i="7"/>
  <c r="E641" i="7"/>
  <c r="I641" i="7"/>
  <c r="L641" i="7"/>
  <c r="H641" i="7"/>
  <c r="O641" i="7"/>
  <c r="H702" i="7"/>
  <c r="O702" i="7"/>
  <c r="E727" i="7"/>
  <c r="H728" i="7"/>
  <c r="H727" i="7"/>
  <c r="O727" i="7"/>
  <c r="H730" i="7"/>
  <c r="H729" i="7"/>
  <c r="O729" i="7"/>
  <c r="E732" i="7"/>
  <c r="O732" i="7"/>
  <c r="H733" i="7"/>
  <c r="H732" i="7"/>
  <c r="E736" i="7"/>
  <c r="O736" i="7"/>
  <c r="H737" i="7"/>
  <c r="H738" i="7"/>
  <c r="H740" i="7"/>
  <c r="H736" i="7"/>
  <c r="E631" i="7"/>
  <c r="I633" i="7"/>
  <c r="I632" i="7"/>
  <c r="I631" i="7"/>
  <c r="H631" i="7"/>
  <c r="O631" i="7"/>
  <c r="L631" i="7"/>
  <c r="E633" i="7"/>
  <c r="L633" i="7"/>
  <c r="H633" i="7"/>
  <c r="O633" i="7"/>
  <c r="I635" i="7"/>
  <c r="L635" i="7"/>
  <c r="H635" i="7"/>
  <c r="O635" i="7"/>
  <c r="I638" i="7"/>
  <c r="I637" i="7"/>
  <c r="L637" i="7"/>
  <c r="H637" i="7"/>
  <c r="O637" i="7"/>
  <c r="E639" i="7"/>
  <c r="I639" i="7"/>
  <c r="L639" i="7"/>
  <c r="H639" i="7"/>
  <c r="O639" i="7"/>
  <c r="I643" i="7"/>
  <c r="L643" i="7"/>
  <c r="H643" i="7"/>
  <c r="O643" i="7"/>
  <c r="E645" i="7"/>
  <c r="I645" i="7"/>
  <c r="L645" i="7"/>
  <c r="H645" i="7"/>
  <c r="O645" i="7"/>
  <c r="E647" i="7"/>
  <c r="I647" i="7"/>
  <c r="L647" i="7"/>
  <c r="H647" i="7"/>
  <c r="O647" i="7"/>
  <c r="E652" i="7"/>
  <c r="I652" i="7"/>
  <c r="L652" i="7"/>
  <c r="H652" i="7"/>
  <c r="O652" i="7"/>
  <c r="E654" i="7"/>
  <c r="I654" i="7"/>
  <c r="L654" i="7"/>
  <c r="H654" i="7"/>
  <c r="O654" i="7"/>
  <c r="E656" i="7"/>
  <c r="I656" i="7"/>
  <c r="L656" i="7"/>
  <c r="H656" i="7"/>
  <c r="O656" i="7"/>
  <c r="E658" i="7"/>
  <c r="I658" i="7"/>
  <c r="L658" i="7"/>
  <c r="H658" i="7"/>
  <c r="O658" i="7"/>
  <c r="E660" i="7"/>
  <c r="I660" i="7"/>
  <c r="L660" i="7"/>
  <c r="H660" i="7"/>
  <c r="O660" i="7"/>
  <c r="E662" i="7"/>
  <c r="I662" i="7"/>
  <c r="L662" i="7"/>
  <c r="H662" i="7"/>
  <c r="O662" i="7"/>
  <c r="E664" i="7"/>
  <c r="I664" i="7"/>
  <c r="L664" i="7"/>
  <c r="H664" i="7"/>
  <c r="O664" i="7"/>
  <c r="E666" i="7"/>
  <c r="I666" i="7"/>
  <c r="L666" i="7"/>
  <c r="H666" i="7"/>
  <c r="O666" i="7"/>
  <c r="E675" i="7"/>
  <c r="E678" i="7"/>
  <c r="E668" i="7"/>
  <c r="O668" i="7"/>
  <c r="H669" i="7"/>
  <c r="H670" i="7"/>
  <c r="I671" i="7"/>
  <c r="L671" i="7"/>
  <c r="H671" i="7"/>
  <c r="H672" i="7"/>
  <c r="I675" i="7"/>
  <c r="L675" i="7"/>
  <c r="H675" i="7"/>
  <c r="H676" i="7"/>
  <c r="H683" i="7"/>
  <c r="H678" i="7"/>
  <c r="H668" i="7"/>
  <c r="E741" i="7"/>
  <c r="O741" i="7"/>
  <c r="E744" i="7"/>
  <c r="O744" i="7"/>
  <c r="H745" i="7"/>
  <c r="H744" i="7"/>
  <c r="E756" i="7"/>
  <c r="H756" i="7"/>
  <c r="O756" i="7"/>
  <c r="E755" i="7"/>
  <c r="E754" i="7"/>
  <c r="O754" i="7"/>
  <c r="H754" i="7"/>
  <c r="E746" i="7"/>
  <c r="H746" i="7"/>
  <c r="O746" i="7"/>
  <c r="H437" i="7"/>
  <c r="E437" i="7"/>
  <c r="O437" i="7"/>
  <c r="O436" i="7"/>
  <c r="E218" i="7"/>
  <c r="H219" i="7"/>
  <c r="H218" i="7"/>
  <c r="O218" i="7"/>
  <c r="L220" i="7"/>
  <c r="H220" i="7"/>
  <c r="N23" i="7"/>
  <c r="N24" i="7"/>
  <c r="N25" i="7"/>
  <c r="L51" i="29"/>
  <c r="N26" i="7"/>
  <c r="L52" i="29"/>
  <c r="N28" i="7"/>
  <c r="L54" i="29"/>
  <c r="N31" i="7"/>
  <c r="N32" i="7"/>
  <c r="N34" i="7"/>
  <c r="N37" i="7"/>
  <c r="N39" i="7"/>
  <c r="N40" i="7"/>
  <c r="L63" i="29"/>
  <c r="N41" i="7"/>
  <c r="L65" i="29"/>
  <c r="N42" i="7"/>
  <c r="L66" i="29"/>
  <c r="N46" i="7"/>
  <c r="N64" i="7"/>
  <c r="N65" i="7"/>
  <c r="N67" i="7"/>
  <c r="N33" i="7"/>
  <c r="N71" i="7"/>
  <c r="N72" i="7"/>
  <c r="N66" i="7"/>
  <c r="N441" i="7"/>
  <c r="N438" i="7"/>
  <c r="L203" i="29"/>
  <c r="N518" i="7"/>
  <c r="N517" i="7"/>
  <c r="N542" i="7"/>
  <c r="N548" i="7"/>
  <c r="N550" i="7"/>
  <c r="N540" i="7"/>
  <c r="L26" i="29"/>
  <c r="N554" i="7"/>
  <c r="N568" i="7"/>
  <c r="N553" i="7"/>
  <c r="N708" i="7"/>
  <c r="N694" i="7"/>
  <c r="N687" i="7"/>
  <c r="N711" i="7"/>
  <c r="N707" i="7"/>
  <c r="N204" i="7"/>
  <c r="N200" i="7"/>
  <c r="L176" i="29"/>
  <c r="N202" i="7"/>
  <c r="N203" i="7"/>
  <c r="N201" i="7"/>
  <c r="N749" i="7"/>
  <c r="N198" i="7"/>
  <c r="N197" i="7"/>
  <c r="N406" i="7"/>
  <c r="N430" i="7"/>
  <c r="N398" i="7"/>
  <c r="N457" i="7"/>
  <c r="N444" i="7"/>
  <c r="N492" i="7"/>
  <c r="N488" i="7"/>
  <c r="N576" i="7"/>
  <c r="N578" i="7"/>
  <c r="N580" i="7"/>
  <c r="N582" i="7"/>
  <c r="N589" i="7"/>
  <c r="N591" i="7"/>
  <c r="N601" i="7"/>
  <c r="N612" i="7"/>
  <c r="N598" i="7"/>
  <c r="N641" i="7"/>
  <c r="N721" i="7"/>
  <c r="N718" i="7"/>
  <c r="N723" i="7"/>
  <c r="N726" i="7"/>
  <c r="N727" i="7"/>
  <c r="N729" i="7"/>
  <c r="N732" i="7"/>
  <c r="N736" i="7"/>
  <c r="N631" i="7"/>
  <c r="N633" i="7"/>
  <c r="N635" i="7"/>
  <c r="N637" i="7"/>
  <c r="N639" i="7"/>
  <c r="N643" i="7"/>
  <c r="N645" i="7"/>
  <c r="N647" i="7"/>
  <c r="N652" i="7"/>
  <c r="N654" i="7"/>
  <c r="N656" i="7"/>
  <c r="N658" i="7"/>
  <c r="N660" i="7"/>
  <c r="N662" i="7"/>
  <c r="N664" i="7"/>
  <c r="N666" i="7"/>
  <c r="N671" i="7"/>
  <c r="N675" i="7"/>
  <c r="N668" i="7"/>
  <c r="N744" i="7"/>
  <c r="N756" i="7"/>
  <c r="N754" i="7"/>
  <c r="N746" i="7"/>
  <c r="N436" i="7"/>
  <c r="N218" i="7"/>
  <c r="L200" i="7"/>
  <c r="L20" i="7"/>
  <c r="L122" i="7"/>
  <c r="L78" i="7"/>
  <c r="L438" i="7"/>
  <c r="L517" i="7"/>
  <c r="L540" i="7"/>
  <c r="L553" i="7"/>
  <c r="L687" i="7"/>
  <c r="L749" i="7"/>
  <c r="L196" i="7"/>
  <c r="L398" i="7"/>
  <c r="L444" i="7"/>
  <c r="L488" i="7"/>
  <c r="L598" i="7"/>
  <c r="L718" i="7"/>
  <c r="L727" i="7"/>
  <c r="L729" i="7"/>
  <c r="L732" i="7"/>
  <c r="L736" i="7"/>
  <c r="L668" i="7"/>
  <c r="L744" i="7"/>
  <c r="L756" i="7"/>
  <c r="L754" i="7"/>
  <c r="L746" i="7"/>
  <c r="L436" i="7"/>
  <c r="L218" i="7"/>
  <c r="K23" i="7"/>
  <c r="K24" i="7"/>
  <c r="K25" i="7"/>
  <c r="K26" i="7"/>
  <c r="K28" i="7"/>
  <c r="K31" i="7"/>
  <c r="K32" i="7"/>
  <c r="K34" i="7"/>
  <c r="K37" i="7"/>
  <c r="K39" i="7"/>
  <c r="K40" i="7"/>
  <c r="K41" i="7"/>
  <c r="K42" i="7"/>
  <c r="K46" i="7"/>
  <c r="K64" i="7"/>
  <c r="K65" i="7"/>
  <c r="K67" i="7"/>
  <c r="K20" i="7"/>
  <c r="K82" i="7"/>
  <c r="K88" i="7"/>
  <c r="K97" i="7"/>
  <c r="K98" i="7"/>
  <c r="K99" i="7"/>
  <c r="K100" i="7"/>
  <c r="K101" i="7"/>
  <c r="K102" i="7"/>
  <c r="K104" i="7"/>
  <c r="K108" i="7"/>
  <c r="K109" i="7"/>
  <c r="K111" i="7"/>
  <c r="K112" i="7"/>
  <c r="K120" i="7"/>
  <c r="K121" i="7"/>
  <c r="K122" i="7"/>
  <c r="K130" i="7"/>
  <c r="K78" i="7"/>
  <c r="K438" i="7"/>
  <c r="K518" i="7"/>
  <c r="K517" i="7"/>
  <c r="K542" i="7"/>
  <c r="K548" i="7"/>
  <c r="K540" i="7"/>
  <c r="K554" i="7"/>
  <c r="K553" i="7"/>
  <c r="I316" i="29"/>
  <c r="K707" i="7"/>
  <c r="K708" i="7"/>
  <c r="K709" i="7"/>
  <c r="K710" i="7"/>
  <c r="K687" i="7"/>
  <c r="K204" i="7"/>
  <c r="K206" i="7"/>
  <c r="K202" i="7"/>
  <c r="K200" i="7"/>
  <c r="K749" i="7"/>
  <c r="K198" i="7"/>
  <c r="K196" i="7"/>
  <c r="K398" i="7"/>
  <c r="K444" i="7"/>
  <c r="K488" i="7"/>
  <c r="K576" i="7"/>
  <c r="K578" i="7"/>
  <c r="K580" i="7"/>
  <c r="K582" i="7"/>
  <c r="K589" i="7"/>
  <c r="K591" i="7"/>
  <c r="K598" i="7"/>
  <c r="K641" i="7"/>
  <c r="K718" i="7"/>
  <c r="K727" i="7"/>
  <c r="K729" i="7"/>
  <c r="K732" i="7"/>
  <c r="K736" i="7"/>
  <c r="K633" i="7"/>
  <c r="K632" i="7"/>
  <c r="K631" i="7"/>
  <c r="K635" i="7"/>
  <c r="K638" i="7"/>
  <c r="K637" i="7"/>
  <c r="K639" i="7"/>
  <c r="K643" i="7"/>
  <c r="K645" i="7"/>
  <c r="K647" i="7"/>
  <c r="K652" i="7"/>
  <c r="K654" i="7"/>
  <c r="K656" i="7"/>
  <c r="K658" i="7"/>
  <c r="K660" i="7"/>
  <c r="K662" i="7"/>
  <c r="K664" i="7"/>
  <c r="K666" i="7"/>
  <c r="K671" i="7"/>
  <c r="K675" i="7"/>
  <c r="K668" i="7"/>
  <c r="K744" i="7"/>
  <c r="K756" i="7"/>
  <c r="K754" i="7"/>
  <c r="K746" i="7"/>
  <c r="K436" i="7"/>
  <c r="K218" i="7"/>
  <c r="J23" i="7"/>
  <c r="J20" i="7"/>
  <c r="J24" i="7"/>
  <c r="J25" i="7"/>
  <c r="J26" i="7"/>
  <c r="J28" i="7"/>
  <c r="J31" i="7"/>
  <c r="J32" i="7"/>
  <c r="J34" i="7"/>
  <c r="J37" i="7"/>
  <c r="J39" i="7"/>
  <c r="J40" i="7"/>
  <c r="J41" i="7"/>
  <c r="J42" i="7"/>
  <c r="J46" i="7"/>
  <c r="J64" i="7"/>
  <c r="J65" i="7"/>
  <c r="J67" i="7"/>
  <c r="J82" i="7"/>
  <c r="J78" i="7"/>
  <c r="J88" i="7"/>
  <c r="J97" i="7"/>
  <c r="J98" i="7"/>
  <c r="J99" i="7"/>
  <c r="J100" i="7"/>
  <c r="J101" i="7"/>
  <c r="J102" i="7"/>
  <c r="J104" i="7"/>
  <c r="J108" i="7"/>
  <c r="J109" i="7"/>
  <c r="J111" i="7"/>
  <c r="J112" i="7"/>
  <c r="J120" i="7"/>
  <c r="J121" i="7"/>
  <c r="J122" i="7"/>
  <c r="J130" i="7"/>
  <c r="J438" i="7"/>
  <c r="J518" i="7"/>
  <c r="J517" i="7"/>
  <c r="J542" i="7"/>
  <c r="J548" i="7"/>
  <c r="J540" i="7"/>
  <c r="J554" i="7"/>
  <c r="J553" i="7"/>
  <c r="H316" i="29"/>
  <c r="J707" i="7"/>
  <c r="J708" i="7"/>
  <c r="J687" i="7"/>
  <c r="J709" i="7"/>
  <c r="J710" i="7"/>
  <c r="J204" i="7"/>
  <c r="J202" i="7"/>
  <c r="J200" i="7"/>
  <c r="J749" i="7"/>
  <c r="J198" i="7"/>
  <c r="J196" i="7"/>
  <c r="J398" i="7"/>
  <c r="J444" i="7"/>
  <c r="J488" i="7"/>
  <c r="J576" i="7"/>
  <c r="J578" i="7"/>
  <c r="J580" i="7"/>
  <c r="J582" i="7"/>
  <c r="J589" i="7"/>
  <c r="J591" i="7"/>
  <c r="J598" i="7"/>
  <c r="J641" i="7"/>
  <c r="J718" i="7"/>
  <c r="J727" i="7"/>
  <c r="J729" i="7"/>
  <c r="J732" i="7"/>
  <c r="J736" i="7"/>
  <c r="J633" i="7"/>
  <c r="J632" i="7"/>
  <c r="J631" i="7"/>
  <c r="J635" i="7"/>
  <c r="J638" i="7"/>
  <c r="J637" i="7"/>
  <c r="J639" i="7"/>
  <c r="J643" i="7"/>
  <c r="J645" i="7"/>
  <c r="J647" i="7"/>
  <c r="J652" i="7"/>
  <c r="J654" i="7"/>
  <c r="J656" i="7"/>
  <c r="J658" i="7"/>
  <c r="J660" i="7"/>
  <c r="J662" i="7"/>
  <c r="J664" i="7"/>
  <c r="J666" i="7"/>
  <c r="J671" i="7"/>
  <c r="J675" i="7"/>
  <c r="J668" i="7"/>
  <c r="J744" i="7"/>
  <c r="J756" i="7"/>
  <c r="J754" i="7"/>
  <c r="J746" i="7"/>
  <c r="J436" i="7"/>
  <c r="J218" i="7"/>
  <c r="H436" i="7"/>
  <c r="G23" i="7"/>
  <c r="G20" i="7"/>
  <c r="G24" i="7"/>
  <c r="G25" i="7"/>
  <c r="G26" i="7"/>
  <c r="G28" i="7"/>
  <c r="G31" i="7"/>
  <c r="G32" i="7"/>
  <c r="G34" i="7"/>
  <c r="G37" i="7"/>
  <c r="G39" i="7"/>
  <c r="G40" i="7"/>
  <c r="G41" i="7"/>
  <c r="G42" i="7"/>
  <c r="G46" i="7"/>
  <c r="G65" i="7"/>
  <c r="G67" i="7"/>
  <c r="G62" i="7"/>
  <c r="G82" i="7"/>
  <c r="G78" i="7"/>
  <c r="G88" i="7"/>
  <c r="G97" i="7"/>
  <c r="G98" i="7"/>
  <c r="G99" i="7"/>
  <c r="G100" i="7"/>
  <c r="G101" i="7"/>
  <c r="G102" i="7"/>
  <c r="G104" i="7"/>
  <c r="G108" i="7"/>
  <c r="G109" i="7"/>
  <c r="G111" i="7"/>
  <c r="G112" i="7"/>
  <c r="G120" i="7"/>
  <c r="G121" i="7"/>
  <c r="G122" i="7"/>
  <c r="G130" i="7"/>
  <c r="G406" i="7"/>
  <c r="G422" i="7"/>
  <c r="G398" i="7"/>
  <c r="G518" i="7"/>
  <c r="G523" i="7"/>
  <c r="G517" i="7"/>
  <c r="G524" i="7"/>
  <c r="G525" i="7"/>
  <c r="G542" i="7"/>
  <c r="G540" i="7"/>
  <c r="G554" i="7"/>
  <c r="G553" i="7"/>
  <c r="G602" i="7"/>
  <c r="G598" i="7"/>
  <c r="G694" i="7"/>
  <c r="G687" i="7"/>
  <c r="G204" i="7"/>
  <c r="G200" i="7"/>
  <c r="G215" i="7"/>
  <c r="G202" i="7"/>
  <c r="G753" i="7"/>
  <c r="G749" i="7"/>
  <c r="G198" i="7"/>
  <c r="G196" i="7"/>
  <c r="G444" i="7"/>
  <c r="G438" i="7"/>
  <c r="G489" i="7"/>
  <c r="G488" i="7"/>
  <c r="G490" i="7"/>
  <c r="G491" i="7"/>
  <c r="G577" i="7"/>
  <c r="G576" i="7"/>
  <c r="G578" i="7"/>
  <c r="G580" i="7"/>
  <c r="G589" i="7"/>
  <c r="G591" i="7"/>
  <c r="G641" i="7"/>
  <c r="G718" i="7"/>
  <c r="G727" i="7"/>
  <c r="G729" i="7"/>
  <c r="G732" i="7"/>
  <c r="G736" i="7"/>
  <c r="G631" i="7"/>
  <c r="G633" i="7"/>
  <c r="G635" i="7"/>
  <c r="G638" i="7"/>
  <c r="G637" i="7"/>
  <c r="G639" i="7"/>
  <c r="G643" i="7"/>
  <c r="G645" i="7"/>
  <c r="G647" i="7"/>
  <c r="G652" i="7"/>
  <c r="G654" i="7"/>
  <c r="G656" i="7"/>
  <c r="G658" i="7"/>
  <c r="G660" i="7"/>
  <c r="G662" i="7"/>
  <c r="G664" i="7"/>
  <c r="G666" i="7"/>
  <c r="G671" i="7"/>
  <c r="G675" i="7"/>
  <c r="G668" i="7"/>
  <c r="G744" i="7"/>
  <c r="G756" i="7"/>
  <c r="G754" i="7"/>
  <c r="G746" i="7"/>
  <c r="G436" i="7"/>
  <c r="G218" i="7"/>
  <c r="F23" i="7"/>
  <c r="F24" i="7"/>
  <c r="F25" i="7"/>
  <c r="F26" i="7"/>
  <c r="F28" i="7"/>
  <c r="F31" i="7"/>
  <c r="F32" i="7"/>
  <c r="F34" i="7"/>
  <c r="F37" i="7"/>
  <c r="F39" i="7"/>
  <c r="F40" i="7"/>
  <c r="F41" i="7"/>
  <c r="F42" i="7"/>
  <c r="F46" i="7"/>
  <c r="F65" i="7"/>
  <c r="F67" i="7"/>
  <c r="F62" i="7"/>
  <c r="F20" i="7"/>
  <c r="F82" i="7"/>
  <c r="F88" i="7"/>
  <c r="F97" i="7"/>
  <c r="F98" i="7"/>
  <c r="F99" i="7"/>
  <c r="F100" i="7"/>
  <c r="F101" i="7"/>
  <c r="F102" i="7"/>
  <c r="F104" i="7"/>
  <c r="F108" i="7"/>
  <c r="F109" i="7"/>
  <c r="F111" i="7"/>
  <c r="F112" i="7"/>
  <c r="F120" i="7"/>
  <c r="F121" i="7"/>
  <c r="F122" i="7"/>
  <c r="F130" i="7"/>
  <c r="F78" i="7"/>
  <c r="F406" i="7"/>
  <c r="F422" i="7"/>
  <c r="F398" i="7"/>
  <c r="F518" i="7"/>
  <c r="F523" i="7"/>
  <c r="F524" i="7"/>
  <c r="F525" i="7"/>
  <c r="F517" i="7"/>
  <c r="F542" i="7"/>
  <c r="F540" i="7"/>
  <c r="F554" i="7"/>
  <c r="F553" i="7"/>
  <c r="F602" i="7"/>
  <c r="F598" i="7"/>
  <c r="F694" i="7"/>
  <c r="F687" i="7"/>
  <c r="F204" i="7"/>
  <c r="F215" i="7"/>
  <c r="F202" i="7"/>
  <c r="F200" i="7"/>
  <c r="F753" i="7"/>
  <c r="F749" i="7"/>
  <c r="F198" i="7"/>
  <c r="F196" i="7"/>
  <c r="F444" i="7"/>
  <c r="F438" i="7"/>
  <c r="F489" i="7"/>
  <c r="F490" i="7"/>
  <c r="F491" i="7"/>
  <c r="F488" i="7"/>
  <c r="F577" i="7"/>
  <c r="F576" i="7"/>
  <c r="F641" i="7"/>
  <c r="F718" i="7"/>
  <c r="F727" i="7"/>
  <c r="F732" i="7"/>
  <c r="F736" i="7"/>
  <c r="F631" i="7"/>
  <c r="F633" i="7"/>
  <c r="F639" i="7"/>
  <c r="F645" i="7"/>
  <c r="F647" i="7"/>
  <c r="F652" i="7"/>
  <c r="F654" i="7"/>
  <c r="F656" i="7"/>
  <c r="F658" i="7"/>
  <c r="F660" i="7"/>
  <c r="F662" i="7"/>
  <c r="F664" i="7"/>
  <c r="F666" i="7"/>
  <c r="F671" i="7"/>
  <c r="F675" i="7"/>
  <c r="F668" i="7"/>
  <c r="F744" i="7"/>
  <c r="F756" i="7"/>
  <c r="F754" i="7"/>
  <c r="F746" i="7"/>
  <c r="F436" i="7"/>
  <c r="F218" i="7"/>
  <c r="E436" i="7"/>
  <c r="I200" i="7"/>
  <c r="I20" i="7"/>
  <c r="I122" i="7"/>
  <c r="I78" i="7"/>
  <c r="I438" i="7"/>
  <c r="I517" i="7"/>
  <c r="I540" i="7"/>
  <c r="I553" i="7"/>
  <c r="I687" i="7"/>
  <c r="I749" i="7"/>
  <c r="I196" i="7"/>
  <c r="I398" i="7"/>
  <c r="I444" i="7"/>
  <c r="I488" i="7"/>
  <c r="I598" i="7"/>
  <c r="I718" i="7"/>
  <c r="I727" i="7"/>
  <c r="I729" i="7"/>
  <c r="I732" i="7"/>
  <c r="I736" i="7"/>
  <c r="I668" i="7"/>
  <c r="I744" i="7"/>
  <c r="I756" i="7"/>
  <c r="I754" i="7"/>
  <c r="I746" i="7"/>
  <c r="I436" i="7"/>
  <c r="I218" i="7"/>
  <c r="O198" i="7"/>
  <c r="P198" i="7"/>
  <c r="P52" i="53"/>
  <c r="C19" i="29"/>
  <c r="C31" i="29"/>
  <c r="C32" i="29"/>
  <c r="C33" i="29"/>
  <c r="C30" i="29"/>
  <c r="C39" i="29"/>
  <c r="C70" i="29"/>
  <c r="C160" i="29"/>
  <c r="C111" i="29"/>
  <c r="C171" i="29"/>
  <c r="C170" i="29"/>
  <c r="C182" i="29"/>
  <c r="C201" i="29"/>
  <c r="C207" i="29"/>
  <c r="C229" i="29"/>
  <c r="C226" i="29"/>
  <c r="C245" i="29"/>
  <c r="C254" i="29"/>
  <c r="C267" i="29"/>
  <c r="C290" i="29"/>
  <c r="C307" i="29"/>
  <c r="C303" i="29"/>
  <c r="C298" i="29"/>
  <c r="C331" i="29"/>
  <c r="C316" i="29"/>
  <c r="D314" i="56"/>
  <c r="D319" i="56"/>
  <c r="D313" i="56"/>
  <c r="D312" i="56"/>
  <c r="D325" i="56"/>
  <c r="D330" i="56"/>
  <c r="D324" i="56"/>
  <c r="D337" i="56"/>
  <c r="D338" i="56"/>
  <c r="D336" i="56"/>
  <c r="D340" i="56"/>
  <c r="D339" i="56"/>
  <c r="D341" i="56"/>
  <c r="D278" i="56"/>
  <c r="D342" i="56"/>
  <c r="D264" i="56"/>
  <c r="D343" i="56"/>
  <c r="D344" i="56"/>
  <c r="D16" i="56"/>
  <c r="D15" i="56"/>
  <c r="G15" i="56"/>
  <c r="D46" i="56"/>
  <c r="D48" i="56"/>
  <c r="D54" i="56"/>
  <c r="D55" i="56"/>
  <c r="D62" i="56"/>
  <c r="D82" i="56"/>
  <c r="D85" i="56"/>
  <c r="D89" i="56"/>
  <c r="D88" i="56"/>
  <c r="D111" i="56"/>
  <c r="D118" i="56"/>
  <c r="D159" i="56"/>
  <c r="D171" i="56"/>
  <c r="D157" i="56"/>
  <c r="D156" i="56"/>
  <c r="G156" i="56"/>
  <c r="H156" i="56"/>
  <c r="D120" i="52"/>
  <c r="D117" i="52"/>
  <c r="D118" i="52"/>
  <c r="D119" i="52"/>
  <c r="D116" i="52"/>
  <c r="D114" i="52"/>
  <c r="D115" i="52"/>
  <c r="D113" i="52"/>
  <c r="D121" i="52"/>
  <c r="D122" i="52"/>
  <c r="D112" i="52"/>
  <c r="D91" i="52"/>
  <c r="D96" i="52"/>
  <c r="D90" i="52"/>
  <c r="D89" i="52"/>
  <c r="D102" i="52"/>
  <c r="D107" i="52"/>
  <c r="D101" i="52"/>
  <c r="D125" i="52"/>
  <c r="K20" i="51"/>
  <c r="N20" i="51"/>
  <c r="C24" i="51"/>
  <c r="K24" i="51"/>
  <c r="N24" i="51"/>
  <c r="K27" i="51"/>
  <c r="N27" i="51"/>
  <c r="N26" i="51"/>
  <c r="O26" i="51"/>
  <c r="J12" i="51"/>
  <c r="N12" i="51"/>
  <c r="C31" i="51"/>
  <c r="K33" i="51"/>
  <c r="N33" i="51"/>
  <c r="N32" i="51"/>
  <c r="K18" i="51"/>
  <c r="N18" i="51"/>
  <c r="N17" i="51"/>
  <c r="N16" i="51"/>
  <c r="C19" i="51"/>
  <c r="C17" i="51"/>
  <c r="C16" i="51"/>
  <c r="G166" i="56"/>
  <c r="H166" i="56"/>
  <c r="F159" i="56"/>
  <c r="E159" i="56"/>
  <c r="G188" i="56"/>
  <c r="H188" i="56"/>
  <c r="G187" i="56"/>
  <c r="H187" i="56"/>
  <c r="H15" i="56"/>
  <c r="G16" i="56"/>
  <c r="H16" i="56"/>
  <c r="G17" i="56"/>
  <c r="H17" i="56"/>
  <c r="G18" i="56"/>
  <c r="H18" i="56"/>
  <c r="G19" i="56"/>
  <c r="H19" i="56"/>
  <c r="G20" i="56"/>
  <c r="H20" i="56"/>
  <c r="G21" i="56"/>
  <c r="H21" i="56"/>
  <c r="G22" i="56"/>
  <c r="H22" i="56"/>
  <c r="G23" i="56"/>
  <c r="H23" i="56"/>
  <c r="G24" i="56"/>
  <c r="H24" i="56"/>
  <c r="G25" i="56"/>
  <c r="H25" i="56"/>
  <c r="G26" i="56"/>
  <c r="H26" i="56"/>
  <c r="G27" i="56"/>
  <c r="H27" i="56"/>
  <c r="G28" i="56"/>
  <c r="H28" i="56"/>
  <c r="G29" i="56"/>
  <c r="H29" i="56"/>
  <c r="G30" i="56"/>
  <c r="H30" i="56"/>
  <c r="G31" i="56"/>
  <c r="H31" i="56"/>
  <c r="G32" i="56"/>
  <c r="H32" i="56"/>
  <c r="G33" i="56"/>
  <c r="H33" i="56"/>
  <c r="G34" i="56"/>
  <c r="H34" i="56"/>
  <c r="G37" i="56"/>
  <c r="H37" i="56"/>
  <c r="G38" i="56"/>
  <c r="H38" i="56"/>
  <c r="G39" i="56"/>
  <c r="H39" i="56"/>
  <c r="G40" i="56"/>
  <c r="H40" i="56"/>
  <c r="G41" i="56"/>
  <c r="H41" i="56"/>
  <c r="G42" i="56"/>
  <c r="H42" i="56"/>
  <c r="G43" i="56"/>
  <c r="H43" i="56"/>
  <c r="G44" i="56"/>
  <c r="H44" i="56"/>
  <c r="E48" i="56"/>
  <c r="E45" i="56"/>
  <c r="F48" i="56"/>
  <c r="F45" i="56"/>
  <c r="G46" i="56"/>
  <c r="H46" i="56"/>
  <c r="G47" i="56"/>
  <c r="H47" i="56"/>
  <c r="G49" i="56"/>
  <c r="H49" i="56"/>
  <c r="G50" i="56"/>
  <c r="H50" i="56"/>
  <c r="G51" i="56"/>
  <c r="H51" i="56"/>
  <c r="G53" i="56"/>
  <c r="H53" i="56"/>
  <c r="G54" i="56"/>
  <c r="H54" i="56"/>
  <c r="D56" i="56"/>
  <c r="G56" i="56"/>
  <c r="H56" i="56"/>
  <c r="G57" i="56"/>
  <c r="H57" i="56"/>
  <c r="G58" i="56"/>
  <c r="H58" i="56"/>
  <c r="G59" i="56"/>
  <c r="H59" i="56"/>
  <c r="G60" i="56"/>
  <c r="H60" i="56"/>
  <c r="G62" i="56"/>
  <c r="H62" i="56"/>
  <c r="G63" i="56"/>
  <c r="H63" i="56"/>
  <c r="G64" i="56"/>
  <c r="H64" i="56"/>
  <c r="G65" i="56"/>
  <c r="H65" i="56"/>
  <c r="G66" i="56"/>
  <c r="H66" i="56"/>
  <c r="G67" i="56"/>
  <c r="H67" i="56"/>
  <c r="G68" i="56"/>
  <c r="H68" i="56"/>
  <c r="G69" i="56"/>
  <c r="H69" i="56"/>
  <c r="G70" i="56"/>
  <c r="H70" i="56"/>
  <c r="G71" i="56"/>
  <c r="H71" i="56"/>
  <c r="G72" i="56"/>
  <c r="H72" i="56"/>
  <c r="G73" i="56"/>
  <c r="H73" i="56"/>
  <c r="G74" i="56"/>
  <c r="H74" i="56"/>
  <c r="G75" i="56"/>
  <c r="H75" i="56"/>
  <c r="G76" i="56"/>
  <c r="H76" i="56"/>
  <c r="G77" i="56"/>
  <c r="H77" i="56"/>
  <c r="G78" i="56"/>
  <c r="H78" i="56"/>
  <c r="G79" i="56"/>
  <c r="H79" i="56"/>
  <c r="E81" i="56"/>
  <c r="G82" i="56"/>
  <c r="H82" i="56"/>
  <c r="G83" i="56"/>
  <c r="H83" i="56"/>
  <c r="G84" i="56"/>
  <c r="H84" i="56"/>
  <c r="G86" i="56"/>
  <c r="H86" i="56"/>
  <c r="G87" i="56"/>
  <c r="H87" i="56"/>
  <c r="G88" i="56"/>
  <c r="H88" i="56"/>
  <c r="G89" i="56"/>
  <c r="H89" i="56"/>
  <c r="G90" i="56"/>
  <c r="H90" i="56"/>
  <c r="G91" i="56"/>
  <c r="H91" i="56"/>
  <c r="G92" i="56"/>
  <c r="H92" i="56"/>
  <c r="G93" i="56"/>
  <c r="H93" i="56"/>
  <c r="G94" i="56"/>
  <c r="H94" i="56"/>
  <c r="G95" i="56"/>
  <c r="H95" i="56"/>
  <c r="G96" i="56"/>
  <c r="H96" i="56"/>
  <c r="G97" i="56"/>
  <c r="H97" i="56"/>
  <c r="G98" i="56"/>
  <c r="H98" i="56"/>
  <c r="G99" i="56"/>
  <c r="H99" i="56"/>
  <c r="G100" i="56"/>
  <c r="H100" i="56"/>
  <c r="D101" i="56"/>
  <c r="G101" i="56"/>
  <c r="H101" i="56"/>
  <c r="G102" i="56"/>
  <c r="H102" i="56"/>
  <c r="G103" i="56"/>
  <c r="H103" i="56"/>
  <c r="G104" i="56"/>
  <c r="H104" i="56"/>
  <c r="G105" i="56"/>
  <c r="H105" i="56"/>
  <c r="F106" i="56"/>
  <c r="G106" i="56"/>
  <c r="H106" i="56"/>
  <c r="G107" i="56"/>
  <c r="H107" i="56"/>
  <c r="G108" i="56"/>
  <c r="H108" i="56"/>
  <c r="G109" i="56"/>
  <c r="H109" i="56"/>
  <c r="G110" i="56"/>
  <c r="H110" i="56"/>
  <c r="G111" i="56"/>
  <c r="H111" i="56"/>
  <c r="G112" i="56"/>
  <c r="H112" i="56"/>
  <c r="G113" i="56"/>
  <c r="H113" i="56"/>
  <c r="G114" i="56"/>
  <c r="H114" i="56"/>
  <c r="D115" i="56"/>
  <c r="G115" i="56"/>
  <c r="H115" i="56"/>
  <c r="G116" i="56"/>
  <c r="H116" i="56"/>
  <c r="G117" i="56"/>
  <c r="H117" i="56"/>
  <c r="E123" i="56"/>
  <c r="F123" i="56"/>
  <c r="F118" i="56"/>
  <c r="F130" i="56"/>
  <c r="G118" i="56"/>
  <c r="H118" i="56"/>
  <c r="G119" i="56"/>
  <c r="H119" i="56"/>
  <c r="D120" i="56"/>
  <c r="G120" i="56"/>
  <c r="H120" i="56"/>
  <c r="G121" i="56"/>
  <c r="H121" i="56"/>
  <c r="G122" i="56"/>
  <c r="H122" i="56"/>
  <c r="H124" i="56"/>
  <c r="G125" i="56"/>
  <c r="H125" i="56"/>
  <c r="G126" i="56"/>
  <c r="H126" i="56"/>
  <c r="G127" i="56"/>
  <c r="G128" i="56"/>
  <c r="H128" i="56"/>
  <c r="E129" i="56"/>
  <c r="F129" i="56"/>
  <c r="G129" i="56"/>
  <c r="H129" i="56"/>
  <c r="G130" i="56"/>
  <c r="H130" i="56"/>
  <c r="G131" i="56"/>
  <c r="H131" i="56"/>
  <c r="G132" i="56"/>
  <c r="H132" i="56"/>
  <c r="G133" i="56"/>
  <c r="H133" i="56"/>
  <c r="G134" i="56"/>
  <c r="H134" i="56"/>
  <c r="G135" i="56"/>
  <c r="H135" i="56"/>
  <c r="G136" i="56"/>
  <c r="H136" i="56"/>
  <c r="G137" i="56"/>
  <c r="H137" i="56"/>
  <c r="G138" i="56"/>
  <c r="H138" i="56"/>
  <c r="G139" i="56"/>
  <c r="H139" i="56"/>
  <c r="F141" i="56"/>
  <c r="F140" i="56"/>
  <c r="G140" i="56"/>
  <c r="H140" i="56"/>
  <c r="G141" i="56"/>
  <c r="H141" i="56"/>
  <c r="G142" i="56"/>
  <c r="H142" i="56"/>
  <c r="G143" i="56"/>
  <c r="H143" i="56"/>
  <c r="G144" i="56"/>
  <c r="H144" i="56"/>
  <c r="E145" i="56"/>
  <c r="G145" i="56"/>
  <c r="H145" i="56"/>
  <c r="G146" i="56"/>
  <c r="H146" i="56"/>
  <c r="J146" i="56"/>
  <c r="G147" i="56"/>
  <c r="H147" i="56"/>
  <c r="G148" i="56"/>
  <c r="H148" i="56"/>
  <c r="G149" i="56"/>
  <c r="H149" i="56"/>
  <c r="G150" i="56"/>
  <c r="H150" i="56"/>
  <c r="G151" i="56"/>
  <c r="H151" i="56"/>
  <c r="G152" i="56"/>
  <c r="H152" i="56"/>
  <c r="I155" i="56"/>
  <c r="G157" i="56"/>
  <c r="H157" i="56"/>
  <c r="G158" i="56"/>
  <c r="H158" i="56"/>
  <c r="G159" i="56"/>
  <c r="H159" i="56"/>
  <c r="G160" i="56"/>
  <c r="H160" i="56"/>
  <c r="G161" i="56"/>
  <c r="H161" i="56"/>
  <c r="G162" i="56"/>
  <c r="H162" i="56"/>
  <c r="G163" i="56"/>
  <c r="H163" i="56"/>
  <c r="G164" i="56"/>
  <c r="H164" i="56"/>
  <c r="G165" i="56"/>
  <c r="H165" i="56"/>
  <c r="G167" i="56"/>
  <c r="H167" i="56"/>
  <c r="G168" i="56"/>
  <c r="H168" i="56"/>
  <c r="G169" i="56"/>
  <c r="H169" i="56"/>
  <c r="G170" i="56"/>
  <c r="H170" i="56"/>
  <c r="G172" i="56"/>
  <c r="G173" i="56"/>
  <c r="G174" i="56"/>
  <c r="G175" i="56"/>
  <c r="G176" i="56"/>
  <c r="G177" i="56"/>
  <c r="G178" i="56"/>
  <c r="G179" i="56"/>
  <c r="G180" i="56"/>
  <c r="G181" i="56"/>
  <c r="G182" i="56"/>
  <c r="G183" i="56"/>
  <c r="G184" i="56"/>
  <c r="G185" i="56"/>
  <c r="G186" i="56"/>
  <c r="G189" i="56"/>
  <c r="G190" i="56"/>
  <c r="G191" i="56"/>
  <c r="G192" i="56"/>
  <c r="G193" i="56"/>
  <c r="G194" i="56"/>
  <c r="G195" i="56"/>
  <c r="G196" i="56"/>
  <c r="G197" i="56"/>
  <c r="G198" i="56"/>
  <c r="G199" i="56"/>
  <c r="G200" i="56"/>
  <c r="G171" i="56"/>
  <c r="G201" i="56"/>
  <c r="G202" i="56"/>
  <c r="G203" i="56"/>
  <c r="G204" i="56"/>
  <c r="G205" i="56"/>
  <c r="G206" i="56"/>
  <c r="G207" i="56"/>
  <c r="G208" i="56"/>
  <c r="G209" i="56"/>
  <c r="G210" i="56"/>
  <c r="G211" i="56"/>
  <c r="G212" i="56"/>
  <c r="G213" i="56"/>
  <c r="G214" i="56"/>
  <c r="G215" i="56"/>
  <c r="G216" i="56"/>
  <c r="G217" i="56"/>
  <c r="G218" i="56"/>
  <c r="G219" i="56"/>
  <c r="G220" i="56"/>
  <c r="G221" i="56"/>
  <c r="G222" i="56"/>
  <c r="G223" i="56"/>
  <c r="G224" i="56"/>
  <c r="G225" i="56"/>
  <c r="G226" i="56"/>
  <c r="G227" i="56"/>
  <c r="G228" i="56"/>
  <c r="G229" i="56"/>
  <c r="G230" i="56"/>
  <c r="G231" i="56"/>
  <c r="G232" i="56"/>
  <c r="H171" i="56"/>
  <c r="I171" i="56"/>
  <c r="J171" i="56"/>
  <c r="H172" i="56"/>
  <c r="H173" i="56"/>
  <c r="K173" i="56"/>
  <c r="H174" i="56"/>
  <c r="H175" i="56"/>
  <c r="I175" i="56"/>
  <c r="J175" i="56"/>
  <c r="H176" i="56"/>
  <c r="H177" i="56"/>
  <c r="H178" i="56"/>
  <c r="H179" i="56"/>
  <c r="H180" i="56"/>
  <c r="H181" i="56"/>
  <c r="H182" i="56"/>
  <c r="H183" i="56"/>
  <c r="H184" i="56"/>
  <c r="H185" i="56"/>
  <c r="H186" i="56"/>
  <c r="H189" i="56"/>
  <c r="H190" i="56"/>
  <c r="H191" i="56"/>
  <c r="H192" i="56"/>
  <c r="H193" i="56"/>
  <c r="H194" i="56"/>
  <c r="H195" i="56"/>
  <c r="H196" i="56"/>
  <c r="H197" i="56"/>
  <c r="H198" i="56"/>
  <c r="H199" i="56"/>
  <c r="H200" i="56"/>
  <c r="H201" i="56"/>
  <c r="H202" i="56"/>
  <c r="H203" i="56"/>
  <c r="H204" i="56"/>
  <c r="H205" i="56"/>
  <c r="H206" i="56"/>
  <c r="H207" i="56"/>
  <c r="H208" i="56"/>
  <c r="H209" i="56"/>
  <c r="H210" i="56"/>
  <c r="H211" i="56"/>
  <c r="H212" i="56"/>
  <c r="H213" i="56"/>
  <c r="H214" i="56"/>
  <c r="H215" i="56"/>
  <c r="H216" i="56"/>
  <c r="H217" i="56"/>
  <c r="H218" i="56"/>
  <c r="H219" i="56"/>
  <c r="H220" i="56"/>
  <c r="H221" i="56"/>
  <c r="H222" i="56"/>
  <c r="H223" i="56"/>
  <c r="H224" i="56"/>
  <c r="H225" i="56"/>
  <c r="H226" i="56"/>
  <c r="H227" i="56"/>
  <c r="H228" i="56"/>
  <c r="H229" i="56"/>
  <c r="H230" i="56"/>
  <c r="H231" i="56"/>
  <c r="H232" i="56"/>
  <c r="G233" i="56"/>
  <c r="H233" i="56"/>
  <c r="D242" i="56"/>
  <c r="D241" i="56"/>
  <c r="D246" i="56"/>
  <c r="D249" i="56"/>
  <c r="D245" i="56"/>
  <c r="G245" i="56"/>
  <c r="D253" i="56"/>
  <c r="D257" i="56"/>
  <c r="D261" i="56"/>
  <c r="D267" i="56"/>
  <c r="D252" i="56"/>
  <c r="D271" i="56"/>
  <c r="D275" i="56"/>
  <c r="D282" i="56"/>
  <c r="D285" i="56"/>
  <c r="E242" i="56"/>
  <c r="E241" i="56"/>
  <c r="E246" i="56"/>
  <c r="G246" i="56"/>
  <c r="E249" i="56"/>
  <c r="E245" i="56"/>
  <c r="E253" i="56"/>
  <c r="E257" i="56"/>
  <c r="E252" i="56"/>
  <c r="G252" i="56"/>
  <c r="E261" i="56"/>
  <c r="E267" i="56"/>
  <c r="E271" i="56"/>
  <c r="E275" i="56"/>
  <c r="E282" i="56"/>
  <c r="E285" i="56"/>
  <c r="F242" i="56"/>
  <c r="F241" i="56"/>
  <c r="F246" i="56"/>
  <c r="F249" i="56"/>
  <c r="F245" i="56"/>
  <c r="F253" i="56"/>
  <c r="F257" i="56"/>
  <c r="F261" i="56"/>
  <c r="F267" i="56"/>
  <c r="F252" i="56"/>
  <c r="F271" i="56"/>
  <c r="F275" i="56"/>
  <c r="F282" i="56"/>
  <c r="F285" i="56"/>
  <c r="G243" i="56"/>
  <c r="G244" i="56"/>
  <c r="G247" i="56"/>
  <c r="G248" i="56"/>
  <c r="G249" i="56"/>
  <c r="G250" i="56"/>
  <c r="G251" i="56"/>
  <c r="G253" i="56"/>
  <c r="G254" i="56"/>
  <c r="G255" i="56"/>
  <c r="G256" i="56"/>
  <c r="G257" i="56"/>
  <c r="G258" i="56"/>
  <c r="G259" i="56"/>
  <c r="G260" i="56"/>
  <c r="G261" i="56"/>
  <c r="G262" i="56"/>
  <c r="G263" i="56"/>
  <c r="G264" i="56"/>
  <c r="G265" i="56"/>
  <c r="G266" i="56"/>
  <c r="G267" i="56"/>
  <c r="G268" i="56"/>
  <c r="G269" i="56"/>
  <c r="G270" i="56"/>
  <c r="G271" i="56"/>
  <c r="G272" i="56"/>
  <c r="H272" i="56"/>
  <c r="G273" i="56"/>
  <c r="H273" i="56"/>
  <c r="G274" i="56"/>
  <c r="G275" i="56"/>
  <c r="G276" i="56"/>
  <c r="G277" i="56"/>
  <c r="G278" i="56"/>
  <c r="G279" i="56"/>
  <c r="G280" i="56"/>
  <c r="G281" i="56"/>
  <c r="G282" i="56"/>
  <c r="H282" i="56"/>
  <c r="G283" i="56"/>
  <c r="H283" i="56"/>
  <c r="G284" i="56"/>
  <c r="H284" i="56"/>
  <c r="G285" i="56"/>
  <c r="H285" i="56"/>
  <c r="G286" i="56"/>
  <c r="H286" i="56"/>
  <c r="G287" i="56"/>
  <c r="H287" i="56"/>
  <c r="D289" i="56"/>
  <c r="D292" i="56"/>
  <c r="G292" i="56"/>
  <c r="H292" i="56"/>
  <c r="D295" i="56"/>
  <c r="D298" i="56"/>
  <c r="G298" i="56"/>
  <c r="H298" i="56"/>
  <c r="D301" i="56"/>
  <c r="D304" i="56"/>
  <c r="D307" i="56"/>
  <c r="D288" i="56"/>
  <c r="G288" i="56"/>
  <c r="H288" i="56"/>
  <c r="E289" i="56"/>
  <c r="E292" i="56"/>
  <c r="E295" i="56"/>
  <c r="E298" i="56"/>
  <c r="E301" i="56"/>
  <c r="E304" i="56"/>
  <c r="G304" i="56"/>
  <c r="H304" i="56"/>
  <c r="E307" i="56"/>
  <c r="E288" i="56"/>
  <c r="F289" i="56"/>
  <c r="F292" i="56"/>
  <c r="F295" i="56"/>
  <c r="F298" i="56"/>
  <c r="F301" i="56"/>
  <c r="F304" i="56"/>
  <c r="F307" i="56"/>
  <c r="F288" i="56"/>
  <c r="G289" i="56"/>
  <c r="H289" i="56"/>
  <c r="G290" i="56"/>
  <c r="H290" i="56"/>
  <c r="G291" i="56"/>
  <c r="H291" i="56"/>
  <c r="G293" i="56"/>
  <c r="H293" i="56"/>
  <c r="G294" i="56"/>
  <c r="H294" i="56"/>
  <c r="G295" i="56"/>
  <c r="H295" i="56"/>
  <c r="G296" i="56"/>
  <c r="H296" i="56"/>
  <c r="G297" i="56"/>
  <c r="H297" i="56"/>
  <c r="G299" i="56"/>
  <c r="H299" i="56"/>
  <c r="G300" i="56"/>
  <c r="H300" i="56"/>
  <c r="G301" i="56"/>
  <c r="H301" i="56"/>
  <c r="G302" i="56"/>
  <c r="H302" i="56"/>
  <c r="G303" i="56"/>
  <c r="H303" i="56"/>
  <c r="G305" i="56"/>
  <c r="H305" i="56"/>
  <c r="G306" i="56"/>
  <c r="H306" i="56"/>
  <c r="G307" i="56"/>
  <c r="H307" i="56"/>
  <c r="G308" i="56"/>
  <c r="H308" i="56"/>
  <c r="G309" i="56"/>
  <c r="H309" i="56"/>
  <c r="H311" i="56"/>
  <c r="G313" i="56"/>
  <c r="H313" i="56"/>
  <c r="G314" i="56"/>
  <c r="H314" i="56"/>
  <c r="G315" i="56"/>
  <c r="H315" i="56"/>
  <c r="G316" i="56"/>
  <c r="H316" i="56"/>
  <c r="G317" i="56"/>
  <c r="H317" i="56"/>
  <c r="G318" i="56"/>
  <c r="H318" i="56"/>
  <c r="G319" i="56"/>
  <c r="H319" i="56"/>
  <c r="G320" i="56"/>
  <c r="H320" i="56"/>
  <c r="G321" i="56"/>
  <c r="H321" i="56"/>
  <c r="G322" i="56"/>
  <c r="H322" i="56"/>
  <c r="G323" i="56"/>
  <c r="H323" i="56"/>
  <c r="G324" i="56"/>
  <c r="H324" i="56"/>
  <c r="G325" i="56"/>
  <c r="H325" i="56"/>
  <c r="G326" i="56"/>
  <c r="H326" i="56"/>
  <c r="G327" i="56"/>
  <c r="H327" i="56"/>
  <c r="G328" i="56"/>
  <c r="H328" i="56"/>
  <c r="G329" i="56"/>
  <c r="H329" i="56"/>
  <c r="G330" i="56"/>
  <c r="H330" i="56"/>
  <c r="G331" i="56"/>
  <c r="H331" i="56"/>
  <c r="G332" i="56"/>
  <c r="H332" i="56"/>
  <c r="G333" i="56"/>
  <c r="H333" i="56"/>
  <c r="G334" i="56"/>
  <c r="H334" i="56"/>
  <c r="G336" i="56"/>
  <c r="H336" i="56"/>
  <c r="G337" i="56"/>
  <c r="H337" i="56"/>
  <c r="G338" i="56"/>
  <c r="H338" i="56"/>
  <c r="G340" i="56"/>
  <c r="H340" i="56"/>
  <c r="G341" i="56"/>
  <c r="H341" i="56"/>
  <c r="G342" i="56"/>
  <c r="H342" i="56"/>
  <c r="G343" i="56"/>
  <c r="H343" i="56"/>
  <c r="G344" i="56"/>
  <c r="H344" i="56"/>
  <c r="G345" i="56"/>
  <c r="H345" i="56"/>
  <c r="G346" i="56"/>
  <c r="H346" i="56"/>
  <c r="E357" i="56"/>
  <c r="K12" i="51"/>
  <c r="O12" i="51"/>
  <c r="J13" i="51"/>
  <c r="K13" i="51"/>
  <c r="L13" i="51"/>
  <c r="M13" i="51"/>
  <c r="N13" i="51"/>
  <c r="O13" i="51"/>
  <c r="I14" i="51"/>
  <c r="J14" i="51"/>
  <c r="K14" i="51"/>
  <c r="L14" i="51"/>
  <c r="M14" i="51"/>
  <c r="N14" i="51"/>
  <c r="O14" i="51"/>
  <c r="I15" i="51"/>
  <c r="J15" i="51"/>
  <c r="K15" i="51"/>
  <c r="L15" i="51"/>
  <c r="M15" i="51"/>
  <c r="N15" i="51"/>
  <c r="O15" i="51"/>
  <c r="H17" i="51"/>
  <c r="H16" i="51"/>
  <c r="I17" i="51"/>
  <c r="I16" i="51"/>
  <c r="J18" i="51"/>
  <c r="J17" i="51"/>
  <c r="J16" i="51"/>
  <c r="K17" i="51"/>
  <c r="K16" i="51"/>
  <c r="O16" i="51"/>
  <c r="D17" i="51"/>
  <c r="E17" i="51"/>
  <c r="F18" i="51"/>
  <c r="F17" i="51"/>
  <c r="G17" i="51"/>
  <c r="O17" i="51"/>
  <c r="O18" i="51"/>
  <c r="E19" i="51"/>
  <c r="F20" i="51"/>
  <c r="F22" i="51"/>
  <c r="F24" i="51"/>
  <c r="F19" i="51"/>
  <c r="G26" i="51"/>
  <c r="G19" i="51"/>
  <c r="H26" i="51"/>
  <c r="H19" i="51"/>
  <c r="I26" i="51"/>
  <c r="I19" i="51"/>
  <c r="J22" i="51"/>
  <c r="J27" i="51"/>
  <c r="J26" i="51"/>
  <c r="J19" i="51"/>
  <c r="J36" i="51"/>
  <c r="J37" i="51"/>
  <c r="K26" i="51"/>
  <c r="K19" i="51"/>
  <c r="O20" i="51"/>
  <c r="F21" i="51"/>
  <c r="K21" i="51"/>
  <c r="L21" i="51"/>
  <c r="M21" i="51"/>
  <c r="N21" i="51"/>
  <c r="O21" i="51"/>
  <c r="F23" i="51"/>
  <c r="J23" i="51"/>
  <c r="M23" i="51"/>
  <c r="O24" i="51"/>
  <c r="K25" i="51"/>
  <c r="L25" i="51"/>
  <c r="N25" i="51"/>
  <c r="O25" i="51"/>
  <c r="O27" i="51"/>
  <c r="E29" i="51"/>
  <c r="E28" i="51"/>
  <c r="E36" i="51"/>
  <c r="E37" i="51"/>
  <c r="G29" i="51"/>
  <c r="G32" i="51"/>
  <c r="G28" i="51"/>
  <c r="G36" i="51"/>
  <c r="G37" i="51"/>
  <c r="H29" i="51"/>
  <c r="H32" i="51"/>
  <c r="H28" i="51"/>
  <c r="H36" i="51"/>
  <c r="H37" i="51"/>
  <c r="I29" i="51"/>
  <c r="I32" i="51"/>
  <c r="I28" i="51"/>
  <c r="I36" i="51"/>
  <c r="I37" i="51"/>
  <c r="J29" i="51"/>
  <c r="J33" i="51"/>
  <c r="J32" i="51"/>
  <c r="J28" i="51"/>
  <c r="K32" i="51"/>
  <c r="F30" i="51"/>
  <c r="L30" i="51"/>
  <c r="N30" i="51"/>
  <c r="F31" i="51"/>
  <c r="O32" i="51"/>
  <c r="O33" i="51"/>
  <c r="H34" i="51"/>
  <c r="J34" i="51"/>
  <c r="K34" i="51"/>
  <c r="M34" i="51"/>
  <c r="J35" i="51"/>
  <c r="K35" i="51"/>
  <c r="N35" i="51"/>
  <c r="O35" i="51"/>
  <c r="L35" i="51"/>
  <c r="M35" i="51"/>
  <c r="E18" i="52"/>
  <c r="E17" i="52"/>
  <c r="E22" i="52"/>
  <c r="E25" i="52"/>
  <c r="E21" i="52"/>
  <c r="E29" i="52"/>
  <c r="E33" i="52"/>
  <c r="E28" i="52"/>
  <c r="G28" i="52"/>
  <c r="H28" i="52"/>
  <c r="E37" i="52"/>
  <c r="E43" i="52"/>
  <c r="E47" i="52"/>
  <c r="E51" i="52"/>
  <c r="E58" i="52"/>
  <c r="E62" i="52"/>
  <c r="F18" i="52"/>
  <c r="F17" i="52"/>
  <c r="F22" i="52"/>
  <c r="F25" i="52"/>
  <c r="F21" i="52"/>
  <c r="F29" i="52"/>
  <c r="F33" i="52"/>
  <c r="F37" i="52"/>
  <c r="F43" i="52"/>
  <c r="F28" i="52"/>
  <c r="F47" i="52"/>
  <c r="F51" i="52"/>
  <c r="F58" i="52"/>
  <c r="F62" i="52"/>
  <c r="G18" i="52"/>
  <c r="H18" i="52"/>
  <c r="G19" i="52"/>
  <c r="H19" i="52"/>
  <c r="G20" i="52"/>
  <c r="H20" i="52"/>
  <c r="G21" i="52"/>
  <c r="H21" i="52"/>
  <c r="G22" i="52"/>
  <c r="H22" i="52"/>
  <c r="G23" i="52"/>
  <c r="H23" i="52"/>
  <c r="G24" i="52"/>
  <c r="H24" i="52"/>
  <c r="G25" i="52"/>
  <c r="H25" i="52"/>
  <c r="G26" i="52"/>
  <c r="H26" i="52"/>
  <c r="G27" i="52"/>
  <c r="H27" i="52"/>
  <c r="G29" i="52"/>
  <c r="H29" i="52"/>
  <c r="G30" i="52"/>
  <c r="H30" i="52"/>
  <c r="G31" i="52"/>
  <c r="H31" i="52"/>
  <c r="G32" i="52"/>
  <c r="H32" i="52"/>
  <c r="G33" i="52"/>
  <c r="H33" i="52"/>
  <c r="G34" i="52"/>
  <c r="H34" i="52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9" i="52"/>
  <c r="G60" i="52"/>
  <c r="G61" i="52"/>
  <c r="G58" i="52"/>
  <c r="H59" i="52"/>
  <c r="H60" i="52"/>
  <c r="G62" i="52"/>
  <c r="H62" i="52"/>
  <c r="G63" i="52"/>
  <c r="H63" i="52"/>
  <c r="G64" i="52"/>
  <c r="H64" i="52"/>
  <c r="E66" i="52"/>
  <c r="E69" i="52"/>
  <c r="G69" i="52"/>
  <c r="H69" i="52"/>
  <c r="E72" i="52"/>
  <c r="E75" i="52"/>
  <c r="G75" i="52"/>
  <c r="H75" i="52"/>
  <c r="E78" i="52"/>
  <c r="E81" i="52"/>
  <c r="G81" i="52"/>
  <c r="H81" i="52"/>
  <c r="E84" i="52"/>
  <c r="E65" i="52"/>
  <c r="G65" i="52"/>
  <c r="H65" i="52"/>
  <c r="F66" i="52"/>
  <c r="F69" i="52"/>
  <c r="F72" i="52"/>
  <c r="F75" i="52"/>
  <c r="F78" i="52"/>
  <c r="F81" i="52"/>
  <c r="F84" i="52"/>
  <c r="F65" i="52"/>
  <c r="G66" i="52"/>
  <c r="H66" i="52"/>
  <c r="G67" i="52"/>
  <c r="H67" i="52"/>
  <c r="G68" i="52"/>
  <c r="H68" i="52"/>
  <c r="G70" i="52"/>
  <c r="H70" i="52"/>
  <c r="G71" i="52"/>
  <c r="H71" i="52"/>
  <c r="G72" i="52"/>
  <c r="H72" i="52"/>
  <c r="G73" i="52"/>
  <c r="H73" i="52"/>
  <c r="G74" i="52"/>
  <c r="H74" i="52"/>
  <c r="G76" i="52"/>
  <c r="H76" i="52"/>
  <c r="G77" i="52"/>
  <c r="H77" i="52"/>
  <c r="G78" i="52"/>
  <c r="H78" i="52"/>
  <c r="G79" i="52"/>
  <c r="H79" i="52"/>
  <c r="G80" i="52"/>
  <c r="H80" i="52"/>
  <c r="G82" i="52"/>
  <c r="H82" i="52"/>
  <c r="G83" i="52"/>
  <c r="H83" i="52"/>
  <c r="G84" i="52"/>
  <c r="H84" i="52"/>
  <c r="G85" i="52"/>
  <c r="H85" i="52"/>
  <c r="G86" i="52"/>
  <c r="H86" i="52"/>
  <c r="H88" i="52"/>
  <c r="G89" i="52"/>
  <c r="H89" i="52"/>
  <c r="G90" i="52"/>
  <c r="H90" i="52"/>
  <c r="G91" i="52"/>
  <c r="H91" i="52"/>
  <c r="G92" i="52"/>
  <c r="H92" i="52"/>
  <c r="G93" i="52"/>
  <c r="H93" i="52"/>
  <c r="G94" i="52"/>
  <c r="H94" i="52"/>
  <c r="G95" i="52"/>
  <c r="H95" i="52"/>
  <c r="G96" i="52"/>
  <c r="H96" i="52"/>
  <c r="G97" i="52"/>
  <c r="H97" i="52"/>
  <c r="G98" i="52"/>
  <c r="H98" i="52"/>
  <c r="G99" i="52"/>
  <c r="H99" i="52"/>
  <c r="G100" i="52"/>
  <c r="H100" i="52"/>
  <c r="G101" i="52"/>
  <c r="H101" i="52"/>
  <c r="G102" i="52"/>
  <c r="H102" i="52"/>
  <c r="G103" i="52"/>
  <c r="H103" i="52"/>
  <c r="G104" i="52"/>
  <c r="H104" i="52"/>
  <c r="G105" i="52"/>
  <c r="H105" i="52"/>
  <c r="G106" i="52"/>
  <c r="H106" i="52"/>
  <c r="G107" i="52"/>
  <c r="H107" i="52"/>
  <c r="G108" i="52"/>
  <c r="H108" i="52"/>
  <c r="G109" i="52"/>
  <c r="H109" i="52"/>
  <c r="G110" i="52"/>
  <c r="H110" i="52"/>
  <c r="G111" i="52"/>
  <c r="H111" i="52"/>
  <c r="G112" i="52"/>
  <c r="G113" i="52"/>
  <c r="H113" i="52"/>
  <c r="G114" i="52"/>
  <c r="H114" i="52"/>
  <c r="G115" i="52"/>
  <c r="H115" i="52"/>
  <c r="G117" i="52"/>
  <c r="H117" i="52"/>
  <c r="G118" i="52"/>
  <c r="G119" i="52"/>
  <c r="H119" i="52"/>
  <c r="G120" i="52"/>
  <c r="G116" i="52"/>
  <c r="H118" i="52"/>
  <c r="G121" i="52"/>
  <c r="H121" i="52"/>
  <c r="G122" i="52"/>
  <c r="H122" i="52"/>
  <c r="G123" i="52"/>
  <c r="H123" i="52"/>
  <c r="G124" i="52"/>
  <c r="H124" i="52"/>
  <c r="F129" i="52"/>
  <c r="D133" i="52"/>
  <c r="E134" i="52"/>
  <c r="E135" i="52"/>
  <c r="E136" i="52"/>
  <c r="D137" i="52"/>
  <c r="E137" i="52"/>
  <c r="F137" i="52"/>
  <c r="G137" i="52"/>
  <c r="D138" i="52"/>
  <c r="E138" i="52"/>
  <c r="F138" i="52"/>
  <c r="T12" i="53"/>
  <c r="U12" i="53"/>
  <c r="T13" i="53"/>
  <c r="U13" i="53"/>
  <c r="T14" i="53"/>
  <c r="U14" i="53"/>
  <c r="B15" i="53"/>
  <c r="B16" i="53"/>
  <c r="B17" i="53"/>
  <c r="B18" i="53"/>
  <c r="B19" i="53"/>
  <c r="B20" i="53"/>
  <c r="B22" i="53"/>
  <c r="B23" i="53"/>
  <c r="B24" i="53"/>
  <c r="B25" i="53"/>
  <c r="B26" i="53"/>
  <c r="B27" i="53"/>
  <c r="B28" i="53"/>
  <c r="B29" i="53"/>
  <c r="B30" i="53"/>
  <c r="B31" i="53"/>
  <c r="B32" i="53"/>
  <c r="B33" i="53"/>
  <c r="B34" i="53"/>
  <c r="B35" i="53"/>
  <c r="B36" i="53"/>
  <c r="B37" i="53"/>
  <c r="B38" i="53"/>
  <c r="B39" i="53"/>
  <c r="B40" i="53"/>
  <c r="B41" i="53"/>
  <c r="B44" i="53"/>
  <c r="T15" i="53"/>
  <c r="U15" i="53"/>
  <c r="T16" i="53"/>
  <c r="U16" i="53"/>
  <c r="T17" i="53"/>
  <c r="U17" i="53"/>
  <c r="T18" i="53"/>
  <c r="U18" i="53"/>
  <c r="T19" i="53"/>
  <c r="U19" i="53"/>
  <c r="T20" i="53"/>
  <c r="U20" i="53"/>
  <c r="T21" i="53"/>
  <c r="U21" i="53"/>
  <c r="T22" i="53"/>
  <c r="U22" i="53"/>
  <c r="T23" i="53"/>
  <c r="U23" i="53"/>
  <c r="T24" i="53"/>
  <c r="U24" i="53"/>
  <c r="T25" i="53"/>
  <c r="U25" i="53"/>
  <c r="T26" i="53"/>
  <c r="U26" i="53"/>
  <c r="T27" i="53"/>
  <c r="U27" i="53"/>
  <c r="T28" i="53"/>
  <c r="U28" i="53"/>
  <c r="T29" i="53"/>
  <c r="U29" i="53"/>
  <c r="T30" i="53"/>
  <c r="U30" i="53"/>
  <c r="T31" i="53"/>
  <c r="U31" i="53"/>
  <c r="T32" i="53"/>
  <c r="U32" i="53"/>
  <c r="T33" i="53"/>
  <c r="U33" i="53"/>
  <c r="T34" i="53"/>
  <c r="U34" i="53"/>
  <c r="T35" i="53"/>
  <c r="U35" i="53"/>
  <c r="T36" i="53"/>
  <c r="U36" i="53"/>
  <c r="T37" i="53"/>
  <c r="U37" i="53"/>
  <c r="T38" i="53"/>
  <c r="U38" i="53"/>
  <c r="T39" i="53"/>
  <c r="U39" i="53"/>
  <c r="T40" i="53"/>
  <c r="U40" i="53"/>
  <c r="T41" i="53"/>
  <c r="U41" i="53"/>
  <c r="T42" i="53"/>
  <c r="U42" i="53"/>
  <c r="T43" i="53"/>
  <c r="U43" i="53"/>
  <c r="T44" i="53"/>
  <c r="U44" i="53"/>
  <c r="T46" i="53"/>
  <c r="U46" i="53"/>
  <c r="T47" i="53"/>
  <c r="U47" i="53"/>
  <c r="U51" i="53"/>
  <c r="E52" i="53"/>
  <c r="F52" i="53"/>
  <c r="G52" i="53"/>
  <c r="H52" i="53"/>
  <c r="I52" i="53"/>
  <c r="J52" i="53"/>
  <c r="N52" i="53"/>
  <c r="O52" i="53"/>
  <c r="T52" i="53"/>
  <c r="U52" i="53"/>
  <c r="H10" i="55"/>
  <c r="I10" i="55"/>
  <c r="H11" i="55"/>
  <c r="I11" i="55"/>
  <c r="H12" i="55"/>
  <c r="I12" i="55"/>
  <c r="H13" i="55"/>
  <c r="I13" i="55"/>
  <c r="H14" i="55"/>
  <c r="I14" i="55"/>
  <c r="H15" i="55"/>
  <c r="I15" i="55"/>
  <c r="H16" i="55"/>
  <c r="I16" i="55"/>
  <c r="H17" i="55"/>
  <c r="I17" i="55"/>
  <c r="H18" i="55"/>
  <c r="I18" i="55"/>
  <c r="H19" i="55"/>
  <c r="I19" i="55"/>
  <c r="H20" i="55"/>
  <c r="I20" i="55"/>
  <c r="H21" i="55"/>
  <c r="I21" i="55"/>
  <c r="H22" i="55"/>
  <c r="I22" i="55"/>
  <c r="H23" i="55"/>
  <c r="I23" i="55"/>
  <c r="H24" i="55"/>
  <c r="I24" i="55"/>
  <c r="H25" i="55"/>
  <c r="I25" i="55"/>
  <c r="H26" i="55"/>
  <c r="I26" i="55"/>
  <c r="H27" i="55"/>
  <c r="I27" i="55"/>
  <c r="H28" i="55"/>
  <c r="I28" i="55"/>
  <c r="H29" i="55"/>
  <c r="I29" i="55"/>
  <c r="H30" i="55"/>
  <c r="I30" i="55"/>
  <c r="H31" i="55"/>
  <c r="I31" i="55"/>
  <c r="H32" i="55"/>
  <c r="I32" i="55"/>
  <c r="H33" i="55"/>
  <c r="I33" i="55"/>
  <c r="H34" i="55"/>
  <c r="I34" i="55"/>
  <c r="H35" i="55"/>
  <c r="I35" i="55"/>
  <c r="H37" i="55"/>
  <c r="I37" i="55"/>
  <c r="H38" i="55"/>
  <c r="I38" i="55"/>
  <c r="H39" i="55"/>
  <c r="I39" i="55"/>
  <c r="H41" i="55"/>
  <c r="I41" i="55"/>
  <c r="H42" i="55"/>
  <c r="I42" i="55"/>
  <c r="H43" i="55"/>
  <c r="I43" i="55"/>
  <c r="H44" i="55"/>
  <c r="I44" i="55"/>
  <c r="H45" i="55"/>
  <c r="I45" i="55"/>
  <c r="H46" i="55"/>
  <c r="I46" i="55"/>
  <c r="H47" i="55"/>
  <c r="I47" i="55"/>
  <c r="H48" i="55"/>
  <c r="I48" i="55"/>
  <c r="H49" i="55"/>
  <c r="I49" i="55"/>
  <c r="H54" i="55"/>
  <c r="I54" i="55"/>
  <c r="H55" i="55"/>
  <c r="I55" i="55"/>
  <c r="H56" i="55"/>
  <c r="I56" i="55"/>
  <c r="H58" i="55"/>
  <c r="I58" i="55"/>
  <c r="H60" i="55"/>
  <c r="I60" i="55"/>
  <c r="H61" i="55"/>
  <c r="I61" i="55"/>
  <c r="H62" i="55"/>
  <c r="I62" i="55"/>
  <c r="H63" i="55"/>
  <c r="I63" i="55"/>
  <c r="H64" i="55"/>
  <c r="I64" i="55"/>
  <c r="H65" i="55"/>
  <c r="I65" i="55"/>
  <c r="H66" i="55"/>
  <c r="I66" i="55"/>
  <c r="H67" i="55"/>
  <c r="I67" i="55"/>
  <c r="H68" i="55"/>
  <c r="I68" i="55"/>
  <c r="H69" i="55"/>
  <c r="I69" i="55"/>
  <c r="H70" i="55"/>
  <c r="I70" i="55"/>
  <c r="H71" i="55"/>
  <c r="I71" i="55"/>
  <c r="H72" i="55"/>
  <c r="I72" i="55"/>
  <c r="H73" i="55"/>
  <c r="I73" i="55"/>
  <c r="H74" i="55"/>
  <c r="I74" i="55"/>
  <c r="H75" i="55"/>
  <c r="I75" i="55"/>
  <c r="H76" i="55"/>
  <c r="I76" i="55"/>
  <c r="H77" i="55"/>
  <c r="I77" i="55"/>
  <c r="H78" i="55"/>
  <c r="I78" i="55"/>
  <c r="H79" i="55"/>
  <c r="I79" i="55"/>
  <c r="H80" i="55"/>
  <c r="I80" i="55"/>
  <c r="H81" i="55"/>
  <c r="I81" i="55"/>
  <c r="H83" i="55"/>
  <c r="I83" i="55"/>
  <c r="H84" i="55"/>
  <c r="I84" i="55"/>
  <c r="H85" i="55"/>
  <c r="I85" i="55"/>
  <c r="H86" i="55"/>
  <c r="I86" i="55"/>
  <c r="H87" i="55"/>
  <c r="I87" i="55"/>
  <c r="H88" i="55"/>
  <c r="I88" i="55"/>
  <c r="H89" i="55"/>
  <c r="I89" i="55"/>
  <c r="H90" i="55"/>
  <c r="I90" i="55"/>
  <c r="H91" i="55"/>
  <c r="I91" i="55"/>
  <c r="H92" i="55"/>
  <c r="I92" i="55"/>
  <c r="H93" i="55"/>
  <c r="I93" i="55"/>
  <c r="H94" i="55"/>
  <c r="I94" i="55"/>
  <c r="H95" i="55"/>
  <c r="I95" i="55"/>
  <c r="H96" i="55"/>
  <c r="I96" i="55"/>
  <c r="H99" i="55"/>
  <c r="I99" i="55"/>
  <c r="H100" i="55"/>
  <c r="I100" i="55"/>
  <c r="H101" i="55"/>
  <c r="I101" i="55"/>
  <c r="H102" i="55"/>
  <c r="I102" i="55"/>
  <c r="H105" i="55"/>
  <c r="I105" i="55"/>
  <c r="H106" i="55"/>
  <c r="I106" i="55"/>
  <c r="H107" i="55"/>
  <c r="I107" i="55"/>
  <c r="H108" i="55"/>
  <c r="I108" i="55"/>
  <c r="H109" i="55"/>
  <c r="I109" i="55"/>
  <c r="E111" i="55"/>
  <c r="E110" i="55"/>
  <c r="G110" i="55"/>
  <c r="H110" i="55"/>
  <c r="I110" i="55"/>
  <c r="H111" i="55"/>
  <c r="I111" i="55"/>
  <c r="E112" i="55"/>
  <c r="H112" i="55"/>
  <c r="I112" i="55"/>
  <c r="H113" i="55"/>
  <c r="I113" i="55"/>
  <c r="H114" i="55"/>
  <c r="I114" i="55"/>
  <c r="H115" i="55"/>
  <c r="I115" i="55"/>
  <c r="H116" i="55"/>
  <c r="I116" i="55"/>
  <c r="H117" i="55"/>
  <c r="I117" i="55"/>
  <c r="H118" i="55"/>
  <c r="I118" i="55"/>
  <c r="H119" i="55"/>
  <c r="I119" i="55"/>
  <c r="H120" i="55"/>
  <c r="I120" i="55"/>
  <c r="H121" i="55"/>
  <c r="I121" i="55"/>
  <c r="H122" i="55"/>
  <c r="I122" i="55"/>
  <c r="H123" i="55"/>
  <c r="I123" i="55"/>
  <c r="H126" i="55"/>
  <c r="I126" i="55"/>
  <c r="I127" i="55"/>
  <c r="H128" i="55"/>
  <c r="I128" i="55"/>
  <c r="H129" i="55"/>
  <c r="I129" i="55"/>
  <c r="H130" i="55"/>
  <c r="I130" i="55"/>
  <c r="H131" i="55"/>
  <c r="I131" i="55"/>
  <c r="H132" i="55"/>
  <c r="I132" i="55"/>
  <c r="H133" i="55"/>
  <c r="I133" i="55"/>
  <c r="H134" i="55"/>
  <c r="I134" i="55"/>
  <c r="H135" i="55"/>
  <c r="I135" i="55"/>
  <c r="H137" i="55"/>
  <c r="I137" i="55"/>
  <c r="H138" i="55"/>
  <c r="I138" i="55"/>
  <c r="H139" i="55"/>
  <c r="I139" i="55"/>
  <c r="H141" i="55"/>
  <c r="I141" i="55"/>
  <c r="H142" i="55"/>
  <c r="I142" i="55"/>
  <c r="H143" i="55"/>
  <c r="I143" i="55"/>
  <c r="H144" i="55"/>
  <c r="I144" i="55"/>
  <c r="H145" i="55"/>
  <c r="I145" i="55"/>
  <c r="H146" i="55"/>
  <c r="I146" i="55"/>
  <c r="H147" i="55"/>
  <c r="I147" i="55"/>
  <c r="H148" i="55"/>
  <c r="I148" i="55"/>
  <c r="H149" i="55"/>
  <c r="I149" i="55"/>
  <c r="H150" i="55"/>
  <c r="I150" i="55"/>
  <c r="H151" i="55"/>
  <c r="I151" i="55"/>
  <c r="H152" i="55"/>
  <c r="I152" i="55"/>
  <c r="H153" i="55"/>
  <c r="I153" i="55"/>
  <c r="H154" i="55"/>
  <c r="I154" i="55"/>
  <c r="H155" i="55"/>
  <c r="I155" i="55"/>
  <c r="H156" i="55"/>
  <c r="I156" i="55"/>
  <c r="H157" i="55"/>
  <c r="I157" i="55"/>
  <c r="H158" i="55"/>
  <c r="I158" i="55"/>
  <c r="H159" i="55"/>
  <c r="I159" i="55"/>
  <c r="H160" i="55"/>
  <c r="I160" i="55"/>
  <c r="H162" i="55"/>
  <c r="H161" i="55"/>
  <c r="I161" i="55"/>
  <c r="H163" i="55"/>
  <c r="I163" i="55"/>
  <c r="H164" i="55"/>
  <c r="I164" i="55"/>
  <c r="H165" i="55"/>
  <c r="I165" i="55"/>
  <c r="H166" i="55"/>
  <c r="I166" i="55"/>
  <c r="H167" i="55"/>
  <c r="I167" i="55"/>
  <c r="H168" i="55"/>
  <c r="I168" i="55"/>
  <c r="H169" i="55"/>
  <c r="I169" i="55"/>
  <c r="H170" i="55"/>
  <c r="I170" i="55"/>
  <c r="H171" i="55"/>
  <c r="I171" i="55"/>
  <c r="H172" i="55"/>
  <c r="I172" i="55"/>
  <c r="H173" i="55"/>
  <c r="I173" i="55"/>
  <c r="H174" i="55"/>
  <c r="I174" i="55"/>
  <c r="H175" i="55"/>
  <c r="I175" i="55"/>
  <c r="H176" i="55"/>
  <c r="I176" i="55"/>
  <c r="H177" i="55"/>
  <c r="I177" i="55"/>
  <c r="H178" i="55"/>
  <c r="I178" i="55"/>
  <c r="H179" i="55"/>
  <c r="I179" i="55"/>
  <c r="H180" i="55"/>
  <c r="I180" i="55"/>
  <c r="H181" i="55"/>
  <c r="I181" i="55"/>
  <c r="H182" i="55"/>
  <c r="I182" i="55"/>
  <c r="H183" i="55"/>
  <c r="I183" i="55"/>
  <c r="H184" i="55"/>
  <c r="I184" i="55"/>
  <c r="H185" i="55"/>
  <c r="I185" i="55"/>
  <c r="H186" i="55"/>
  <c r="I186" i="55"/>
  <c r="H187" i="55"/>
  <c r="I187" i="55"/>
  <c r="H188" i="55"/>
  <c r="I188" i="55"/>
  <c r="H189" i="55"/>
  <c r="I189" i="55"/>
  <c r="H190" i="55"/>
  <c r="I190" i="55"/>
  <c r="H191" i="55"/>
  <c r="I191" i="55"/>
  <c r="H198" i="55"/>
  <c r="I198" i="55"/>
  <c r="H199" i="55"/>
  <c r="I199" i="55"/>
  <c r="H200" i="55"/>
  <c r="I200" i="55"/>
  <c r="H201" i="55"/>
  <c r="I201" i="55"/>
  <c r="H202" i="55"/>
  <c r="I202" i="55"/>
  <c r="H204" i="55"/>
  <c r="I204" i="55"/>
  <c r="H205" i="55"/>
  <c r="I205" i="55"/>
  <c r="H206" i="55"/>
  <c r="H210" i="55"/>
  <c r="I210" i="55"/>
  <c r="H211" i="55"/>
  <c r="I211" i="55"/>
  <c r="H212" i="55"/>
  <c r="I212" i="55"/>
  <c r="H215" i="55"/>
  <c r="I215" i="55"/>
  <c r="H216" i="55"/>
  <c r="I216" i="55"/>
  <c r="H217" i="55"/>
  <c r="I217" i="55"/>
  <c r="H218" i="55"/>
  <c r="I218" i="55"/>
  <c r="H220" i="55"/>
  <c r="H221" i="55"/>
  <c r="H226" i="55"/>
  <c r="O685" i="7"/>
  <c r="P685" i="7"/>
  <c r="P684" i="7"/>
  <c r="O102" i="7"/>
  <c r="P102" i="7"/>
  <c r="O97" i="7"/>
  <c r="P97" i="7"/>
  <c r="O461" i="7"/>
  <c r="P461" i="7"/>
  <c r="O462" i="7"/>
  <c r="P462" i="7"/>
  <c r="O161" i="7"/>
  <c r="P161" i="7"/>
  <c r="O164" i="7"/>
  <c r="P164" i="7"/>
  <c r="F79" i="29"/>
  <c r="F81" i="29"/>
  <c r="F84" i="29"/>
  <c r="F85" i="29"/>
  <c r="F87" i="29"/>
  <c r="F88" i="29"/>
  <c r="F91" i="29"/>
  <c r="F95" i="29"/>
  <c r="F96" i="29"/>
  <c r="F97" i="29"/>
  <c r="O194" i="7"/>
  <c r="P194" i="7"/>
  <c r="O601" i="7"/>
  <c r="P601" i="7"/>
  <c r="I535" i="7"/>
  <c r="L535" i="7"/>
  <c r="H535" i="7"/>
  <c r="O535" i="7"/>
  <c r="P535" i="7"/>
  <c r="H534" i="7"/>
  <c r="O534" i="7"/>
  <c r="P534" i="7"/>
  <c r="O157" i="7"/>
  <c r="P157" i="7"/>
  <c r="O163" i="7"/>
  <c r="O160" i="7"/>
  <c r="P163" i="7"/>
  <c r="P160" i="7"/>
  <c r="O159" i="7"/>
  <c r="P159" i="7"/>
  <c r="O389" i="7"/>
  <c r="P389" i="7"/>
  <c r="O130" i="7"/>
  <c r="P130" i="7"/>
  <c r="O195" i="7"/>
  <c r="P195" i="7"/>
  <c r="O192" i="7"/>
  <c r="P192" i="7"/>
  <c r="O193" i="7"/>
  <c r="F367" i="29"/>
  <c r="M367" i="29"/>
  <c r="O367" i="29"/>
  <c r="H242" i="7"/>
  <c r="O242" i="7"/>
  <c r="P242" i="7"/>
  <c r="H241" i="7"/>
  <c r="N242" i="7"/>
  <c r="F254" i="29"/>
  <c r="L236" i="7"/>
  <c r="K236" i="7"/>
  <c r="J236" i="7"/>
  <c r="I236" i="7"/>
  <c r="H236" i="7"/>
  <c r="O236" i="7"/>
  <c r="P236" i="7"/>
  <c r="L235" i="7"/>
  <c r="K235" i="7"/>
  <c r="J235" i="7"/>
  <c r="I235" i="7"/>
  <c r="O239" i="7"/>
  <c r="P239" i="7"/>
  <c r="H238" i="7"/>
  <c r="O238" i="7"/>
  <c r="P238" i="7"/>
  <c r="H237" i="7"/>
  <c r="O237" i="7"/>
  <c r="P237" i="7"/>
  <c r="H235" i="7"/>
  <c r="O235" i="7"/>
  <c r="P235" i="7"/>
  <c r="O233" i="7"/>
  <c r="P233" i="7"/>
  <c r="H234" i="7"/>
  <c r="O234" i="7"/>
  <c r="M265" i="29"/>
  <c r="O265" i="29"/>
  <c r="F176" i="29"/>
  <c r="L173" i="29"/>
  <c r="L171" i="29"/>
  <c r="L170" i="29"/>
  <c r="L235" i="29"/>
  <c r="L240" i="29"/>
  <c r="L242" i="29"/>
  <c r="L226" i="29"/>
  <c r="L19" i="29"/>
  <c r="L30" i="29"/>
  <c r="L56" i="29"/>
  <c r="L39" i="29"/>
  <c r="L70" i="29"/>
  <c r="L111" i="29"/>
  <c r="L201" i="29"/>
  <c r="L207" i="29"/>
  <c r="L248" i="29"/>
  <c r="L245" i="29"/>
  <c r="L254" i="29"/>
  <c r="L271" i="29"/>
  <c r="L267" i="29"/>
  <c r="L290" i="29"/>
  <c r="L299" i="29"/>
  <c r="L298" i="29"/>
  <c r="L310" i="29"/>
  <c r="L307" i="29"/>
  <c r="L320" i="29"/>
  <c r="L316" i="29"/>
  <c r="M429" i="29"/>
  <c r="J429" i="29"/>
  <c r="K429" i="29"/>
  <c r="L429" i="29"/>
  <c r="N697" i="7"/>
  <c r="H697" i="7"/>
  <c r="O697" i="7"/>
  <c r="P697" i="7"/>
  <c r="H698" i="7"/>
  <c r="O698" i="7"/>
  <c r="P698" i="7"/>
  <c r="H210" i="7"/>
  <c r="O210" i="7"/>
  <c r="P210" i="7"/>
  <c r="H209" i="7"/>
  <c r="O209" i="7"/>
  <c r="P209" i="7"/>
  <c r="H208" i="7"/>
  <c r="O208" i="7"/>
  <c r="N558" i="7"/>
  <c r="N556" i="7"/>
  <c r="H717" i="7"/>
  <c r="O717" i="7"/>
  <c r="P717" i="7"/>
  <c r="N717" i="7"/>
  <c r="O429" i="29"/>
  <c r="C752" i="7"/>
  <c r="O753" i="7"/>
  <c r="P753" i="7"/>
  <c r="O752" i="7"/>
  <c r="P752" i="7"/>
  <c r="O201" i="7"/>
  <c r="O203" i="7"/>
  <c r="P203" i="7"/>
  <c r="O202" i="7"/>
  <c r="P202" i="7"/>
  <c r="M101" i="29"/>
  <c r="M100" i="29"/>
  <c r="M99" i="29"/>
  <c r="O119" i="7"/>
  <c r="O118" i="7"/>
  <c r="O117" i="7"/>
  <c r="M78" i="29"/>
  <c r="M77" i="29"/>
  <c r="M76" i="29"/>
  <c r="M75" i="29"/>
  <c r="O191" i="7"/>
  <c r="O190" i="7"/>
  <c r="O186" i="7"/>
  <c r="O185" i="7"/>
  <c r="P191" i="7"/>
  <c r="C262" i="29"/>
  <c r="M262" i="29"/>
  <c r="M261" i="29"/>
  <c r="M259" i="29"/>
  <c r="F258" i="29"/>
  <c r="M258" i="29"/>
  <c r="M256" i="29"/>
  <c r="M255" i="29"/>
  <c r="I70" i="29"/>
  <c r="H70" i="29"/>
  <c r="F71" i="29"/>
  <c r="F72" i="29"/>
  <c r="F73" i="29"/>
  <c r="F70" i="29"/>
  <c r="M70" i="29"/>
  <c r="O70" i="29"/>
  <c r="F74" i="29"/>
  <c r="F80" i="29"/>
  <c r="F82" i="29"/>
  <c r="F83" i="29"/>
  <c r="F86" i="29"/>
  <c r="F89" i="29"/>
  <c r="F90" i="29"/>
  <c r="F92" i="29"/>
  <c r="F93" i="29"/>
  <c r="F94" i="29"/>
  <c r="F102" i="29"/>
  <c r="F103" i="29"/>
  <c r="F104" i="29"/>
  <c r="F105" i="29"/>
  <c r="F106" i="29"/>
  <c r="F107" i="29"/>
  <c r="F109" i="29"/>
  <c r="F110" i="29"/>
  <c r="E70" i="29"/>
  <c r="D70" i="29"/>
  <c r="E767" i="7"/>
  <c r="O175" i="7"/>
  <c r="F49" i="29"/>
  <c r="M49" i="29"/>
  <c r="O49" i="29"/>
  <c r="O142" i="7"/>
  <c r="P142" i="7"/>
  <c r="O149" i="7"/>
  <c r="P149" i="7"/>
  <c r="O148" i="7"/>
  <c r="P148" i="7"/>
  <c r="M132" i="29"/>
  <c r="M133" i="29"/>
  <c r="M134" i="29"/>
  <c r="O133" i="7"/>
  <c r="P133" i="7"/>
  <c r="O614" i="7"/>
  <c r="P614" i="7"/>
  <c r="H714" i="7"/>
  <c r="O714" i="7"/>
  <c r="P714" i="7"/>
  <c r="O711" i="7"/>
  <c r="P711" i="7"/>
  <c r="O442" i="7"/>
  <c r="P442" i="7"/>
  <c r="H465" i="7"/>
  <c r="O465" i="7"/>
  <c r="O501" i="7"/>
  <c r="O66" i="7"/>
  <c r="P66" i="7"/>
  <c r="O65" i="7"/>
  <c r="P65" i="7"/>
  <c r="O64" i="7"/>
  <c r="P64" i="7"/>
  <c r="O63" i="7"/>
  <c r="P63" i="7"/>
  <c r="O62" i="7"/>
  <c r="P62" i="7"/>
  <c r="O525" i="7"/>
  <c r="P525" i="7"/>
  <c r="O386" i="7"/>
  <c r="P386" i="7"/>
  <c r="O384" i="7"/>
  <c r="P384" i="7"/>
  <c r="O383" i="7"/>
  <c r="P383" i="7"/>
  <c r="O379" i="7"/>
  <c r="P379" i="7"/>
  <c r="O380" i="7"/>
  <c r="O617" i="7"/>
  <c r="P617" i="7"/>
  <c r="C22" i="29"/>
  <c r="O751" i="7"/>
  <c r="P751" i="7"/>
  <c r="O276" i="7"/>
  <c r="P276" i="7"/>
  <c r="O412" i="7"/>
  <c r="P412" i="7"/>
  <c r="O413" i="7"/>
  <c r="P413" i="7"/>
  <c r="O411" i="7"/>
  <c r="I267" i="29"/>
  <c r="H267" i="29"/>
  <c r="E267" i="29"/>
  <c r="D267" i="29"/>
  <c r="O690" i="7"/>
  <c r="P690" i="7"/>
  <c r="L624" i="7"/>
  <c r="O255" i="7"/>
  <c r="P255" i="7"/>
  <c r="M344" i="29"/>
  <c r="O344" i="29"/>
  <c r="O750" i="7"/>
  <c r="P750" i="7"/>
  <c r="P749" i="7"/>
  <c r="O254" i="7"/>
  <c r="P254" i="7"/>
  <c r="M343" i="29"/>
  <c r="O343" i="29"/>
  <c r="O256" i="7"/>
  <c r="P256" i="7"/>
  <c r="H624" i="7"/>
  <c r="O624" i="7"/>
  <c r="P624" i="7"/>
  <c r="O319" i="7"/>
  <c r="P319" i="7"/>
  <c r="M407" i="29"/>
  <c r="O407" i="29"/>
  <c r="M403" i="29"/>
  <c r="M164" i="29"/>
  <c r="O164" i="29"/>
  <c r="O677" i="7"/>
  <c r="P677" i="7"/>
  <c r="M176" i="29"/>
  <c r="O176" i="29"/>
  <c r="M456" i="29"/>
  <c r="H625" i="7"/>
  <c r="O625" i="7"/>
  <c r="P625" i="7"/>
  <c r="H623" i="7"/>
  <c r="O623" i="7"/>
  <c r="F295" i="29"/>
  <c r="F294" i="29"/>
  <c r="M295" i="29"/>
  <c r="O295" i="29"/>
  <c r="E316" i="7"/>
  <c r="H171" i="29"/>
  <c r="E171" i="29"/>
  <c r="D171" i="29"/>
  <c r="O145" i="7"/>
  <c r="P145" i="7"/>
  <c r="M129" i="29"/>
  <c r="O172" i="7"/>
  <c r="O173" i="7"/>
  <c r="P173" i="7"/>
  <c r="O622" i="7"/>
  <c r="P622" i="7"/>
  <c r="O22" i="7"/>
  <c r="O759" i="7"/>
  <c r="O222" i="7"/>
  <c r="O137" i="7"/>
  <c r="N222" i="7"/>
  <c r="N759" i="7"/>
  <c r="M759" i="7"/>
  <c r="L759" i="7"/>
  <c r="K759" i="7"/>
  <c r="J759" i="7"/>
  <c r="I759" i="7"/>
  <c r="H759" i="7"/>
  <c r="G759" i="7"/>
  <c r="F759" i="7"/>
  <c r="E759" i="7"/>
  <c r="C412" i="29"/>
  <c r="E324" i="7"/>
  <c r="E327" i="7"/>
  <c r="E326" i="7"/>
  <c r="E322" i="7"/>
  <c r="E321" i="7"/>
  <c r="E318" i="7"/>
  <c r="C410" i="29"/>
  <c r="C409" i="29"/>
  <c r="C406" i="29"/>
  <c r="C405" i="29"/>
  <c r="C404" i="29"/>
  <c r="C401" i="29"/>
  <c r="M131" i="29"/>
  <c r="O141" i="7"/>
  <c r="O240" i="7"/>
  <c r="P240" i="7"/>
  <c r="H482" i="7"/>
  <c r="O482" i="7"/>
  <c r="C273" i="29"/>
  <c r="N547" i="7"/>
  <c r="I537" i="7"/>
  <c r="L537" i="7"/>
  <c r="N537" i="7"/>
  <c r="K537" i="7"/>
  <c r="J537" i="7"/>
  <c r="G537" i="7"/>
  <c r="N535" i="7"/>
  <c r="K535" i="7"/>
  <c r="J535" i="7"/>
  <c r="G535" i="7"/>
  <c r="I533" i="7"/>
  <c r="L533" i="7"/>
  <c r="N533" i="7"/>
  <c r="K533" i="7"/>
  <c r="J533" i="7"/>
  <c r="G533" i="7"/>
  <c r="I528" i="7"/>
  <c r="L528" i="7"/>
  <c r="N528" i="7"/>
  <c r="K528" i="7"/>
  <c r="J528" i="7"/>
  <c r="G528" i="7"/>
  <c r="N485" i="7"/>
  <c r="L376" i="7"/>
  <c r="N376" i="7"/>
  <c r="E353" i="7"/>
  <c r="I353" i="7"/>
  <c r="L353" i="7"/>
  <c r="N353" i="7"/>
  <c r="K353" i="7"/>
  <c r="J353" i="7"/>
  <c r="G353" i="7"/>
  <c r="F353" i="7"/>
  <c r="E341" i="7"/>
  <c r="G341" i="7"/>
  <c r="F341" i="7"/>
  <c r="N309" i="7"/>
  <c r="N306" i="7"/>
  <c r="N305" i="7"/>
  <c r="N304" i="7"/>
  <c r="N302" i="7"/>
  <c r="N300" i="7"/>
  <c r="N299" i="7"/>
  <c r="N296" i="7"/>
  <c r="N294" i="7"/>
  <c r="N291" i="7"/>
  <c r="I286" i="7"/>
  <c r="L285" i="7"/>
  <c r="E274" i="7"/>
  <c r="I274" i="7"/>
  <c r="L274" i="7"/>
  <c r="N274" i="7"/>
  <c r="K274" i="7"/>
  <c r="J274" i="7"/>
  <c r="G274" i="7"/>
  <c r="F274" i="7"/>
  <c r="D182" i="29"/>
  <c r="D207" i="29"/>
  <c r="D290" i="29"/>
  <c r="D31" i="29"/>
  <c r="D32" i="29"/>
  <c r="D33" i="29"/>
  <c r="D30" i="29"/>
  <c r="D170" i="29"/>
  <c r="D201" i="29"/>
  <c r="D226" i="29"/>
  <c r="D299" i="29"/>
  <c r="D298" i="29"/>
  <c r="D316" i="29"/>
  <c r="E182" i="29"/>
  <c r="E207" i="29"/>
  <c r="E290" i="29"/>
  <c r="E31" i="29"/>
  <c r="E30" i="29"/>
  <c r="E335" i="29"/>
  <c r="E473" i="29"/>
  <c r="E32" i="29"/>
  <c r="E33" i="29"/>
  <c r="E170" i="29"/>
  <c r="E201" i="29"/>
  <c r="E226" i="29"/>
  <c r="E299" i="29"/>
  <c r="E298" i="29"/>
  <c r="E316" i="29"/>
  <c r="H182" i="29"/>
  <c r="H207" i="29"/>
  <c r="H30" i="29"/>
  <c r="H170" i="29"/>
  <c r="H201" i="29"/>
  <c r="H226" i="29"/>
  <c r="H245" i="29"/>
  <c r="H254" i="29"/>
  <c r="H290" i="29"/>
  <c r="H299" i="29"/>
  <c r="H298" i="29"/>
  <c r="H311" i="29"/>
  <c r="H310" i="29"/>
  <c r="H307" i="29"/>
  <c r="H335" i="29"/>
  <c r="H473" i="29"/>
  <c r="I182" i="29"/>
  <c r="I207" i="29"/>
  <c r="I30" i="29"/>
  <c r="I170" i="29"/>
  <c r="I201" i="29"/>
  <c r="I226" i="29"/>
  <c r="I245" i="29"/>
  <c r="I254" i="29"/>
  <c r="I290" i="29"/>
  <c r="I299" i="29"/>
  <c r="I298" i="29"/>
  <c r="I311" i="29"/>
  <c r="I310" i="29"/>
  <c r="I307" i="29"/>
  <c r="I335" i="29"/>
  <c r="I473" i="29"/>
  <c r="C422" i="29"/>
  <c r="C478" i="29"/>
  <c r="M478" i="29"/>
  <c r="K397" i="29"/>
  <c r="L397" i="29"/>
  <c r="K375" i="29"/>
  <c r="L375" i="29"/>
  <c r="O476" i="7"/>
  <c r="P476" i="7"/>
  <c r="J368" i="29"/>
  <c r="G369" i="29"/>
  <c r="H297" i="7"/>
  <c r="O297" i="7"/>
  <c r="P297" i="7"/>
  <c r="F382" i="29"/>
  <c r="M382" i="29"/>
  <c r="O382" i="29"/>
  <c r="F383" i="29"/>
  <c r="M383" i="29"/>
  <c r="O383" i="29"/>
  <c r="K372" i="29"/>
  <c r="L372" i="29"/>
  <c r="K378" i="29"/>
  <c r="L378" i="29"/>
  <c r="F331" i="29"/>
  <c r="M331" i="29"/>
  <c r="K384" i="29"/>
  <c r="L384" i="29"/>
  <c r="F376" i="29"/>
  <c r="M376" i="29"/>
  <c r="O376" i="29"/>
  <c r="H305" i="7"/>
  <c r="H304" i="7"/>
  <c r="H303" i="7"/>
  <c r="H302" i="7"/>
  <c r="H301" i="7"/>
  <c r="H300" i="7"/>
  <c r="F397" i="29"/>
  <c r="M397" i="29"/>
  <c r="O397" i="29"/>
  <c r="K395" i="29"/>
  <c r="L395" i="29"/>
  <c r="K396" i="29"/>
  <c r="L396" i="29"/>
  <c r="K385" i="29"/>
  <c r="L385" i="29"/>
  <c r="F395" i="29"/>
  <c r="M395" i="29"/>
  <c r="O395" i="29"/>
  <c r="F386" i="29"/>
  <c r="M386" i="29"/>
  <c r="O386" i="29"/>
  <c r="O403" i="29"/>
  <c r="M402" i="29"/>
  <c r="O402" i="29"/>
  <c r="F368" i="29"/>
  <c r="H310" i="7"/>
  <c r="H309" i="7"/>
  <c r="H308" i="7"/>
  <c r="K390" i="29"/>
  <c r="L390" i="29"/>
  <c r="O541" i="7"/>
  <c r="O478" i="7"/>
  <c r="P478" i="7"/>
  <c r="O477" i="7"/>
  <c r="P477" i="7"/>
  <c r="O446" i="7"/>
  <c r="O275" i="7"/>
  <c r="P275" i="7"/>
  <c r="O261" i="7"/>
  <c r="P261" i="7"/>
  <c r="O259" i="7"/>
  <c r="P259" i="7"/>
  <c r="O257" i="7"/>
  <c r="P257" i="7"/>
  <c r="M365" i="29"/>
  <c r="M428" i="29"/>
  <c r="O428" i="29"/>
  <c r="M341" i="29"/>
  <c r="O341" i="29"/>
  <c r="M340" i="29"/>
  <c r="O340" i="29"/>
  <c r="M339" i="29"/>
  <c r="O339" i="29"/>
  <c r="F249" i="29"/>
  <c r="M249" i="29"/>
  <c r="O249" i="29"/>
  <c r="F248" i="29"/>
  <c r="F220" i="29"/>
  <c r="M220" i="29"/>
  <c r="O220" i="29"/>
  <c r="F219" i="29"/>
  <c r="M219" i="29"/>
  <c r="O219" i="29"/>
  <c r="O38" i="7"/>
  <c r="P38" i="7"/>
  <c r="O30" i="7"/>
  <c r="P30" i="7"/>
  <c r="O167" i="7"/>
  <c r="O168" i="7"/>
  <c r="P168" i="7"/>
  <c r="C275" i="29"/>
  <c r="M160" i="29"/>
  <c r="O160" i="29"/>
  <c r="F56" i="29"/>
  <c r="O166" i="7"/>
  <c r="P166" i="7"/>
  <c r="H274" i="7"/>
  <c r="O246" i="7"/>
  <c r="P246" i="7"/>
  <c r="O356" i="7"/>
  <c r="P356" i="7"/>
  <c r="O355" i="7"/>
  <c r="P355" i="7"/>
  <c r="O354" i="7"/>
  <c r="P354" i="7"/>
  <c r="M442" i="29"/>
  <c r="O442" i="29"/>
  <c r="M441" i="29"/>
  <c r="O441" i="29"/>
  <c r="M440" i="29"/>
  <c r="O440" i="29"/>
  <c r="E649" i="7"/>
  <c r="N649" i="7"/>
  <c r="L478" i="29"/>
  <c r="L477" i="29"/>
  <c r="L476" i="29"/>
  <c r="L447" i="29"/>
  <c r="L38" i="29"/>
  <c r="L22" i="29"/>
  <c r="C477" i="29"/>
  <c r="C476" i="29"/>
  <c r="C311" i="29"/>
  <c r="F411" i="29"/>
  <c r="M411" i="29"/>
  <c r="O411" i="29"/>
  <c r="M368" i="29"/>
  <c r="O368" i="29"/>
  <c r="P218" i="7"/>
  <c r="O220" i="7"/>
  <c r="P220" i="7"/>
  <c r="O219" i="7"/>
  <c r="P219" i="7"/>
  <c r="O305" i="7"/>
  <c r="P305" i="7"/>
  <c r="O304" i="7"/>
  <c r="P304" i="7"/>
  <c r="O303" i="7"/>
  <c r="P303" i="7"/>
  <c r="O302" i="7"/>
  <c r="P302" i="7"/>
  <c r="F400" i="29"/>
  <c r="M400" i="29"/>
  <c r="O400" i="29"/>
  <c r="F399" i="29"/>
  <c r="M399" i="29"/>
  <c r="O399" i="29"/>
  <c r="F398" i="29"/>
  <c r="M398" i="29"/>
  <c r="O398" i="29"/>
  <c r="F396" i="29"/>
  <c r="M396" i="29"/>
  <c r="O396" i="29"/>
  <c r="P436" i="7"/>
  <c r="P437" i="7"/>
  <c r="O434" i="7"/>
  <c r="P434" i="7"/>
  <c r="F388" i="29"/>
  <c r="M388" i="29"/>
  <c r="O388" i="29"/>
  <c r="H295" i="7"/>
  <c r="O295" i="7"/>
  <c r="P295" i="7"/>
  <c r="H294" i="7"/>
  <c r="O294" i="7"/>
  <c r="P294" i="7"/>
  <c r="H293" i="7"/>
  <c r="O293" i="7"/>
  <c r="P293" i="7"/>
  <c r="H292" i="7"/>
  <c r="O292" i="7"/>
  <c r="P292" i="7"/>
  <c r="H291" i="7"/>
  <c r="O291" i="7"/>
  <c r="P291" i="7"/>
  <c r="H290" i="7"/>
  <c r="O290" i="7"/>
  <c r="P290" i="7"/>
  <c r="H289" i="7"/>
  <c r="O289" i="7"/>
  <c r="P289" i="7"/>
  <c r="H288" i="7"/>
  <c r="O288" i="7"/>
  <c r="P288" i="7"/>
  <c r="F394" i="29"/>
  <c r="M394" i="29"/>
  <c r="O394" i="29"/>
  <c r="F393" i="29"/>
  <c r="M393" i="29"/>
  <c r="O393" i="29"/>
  <c r="F392" i="29"/>
  <c r="M392" i="29"/>
  <c r="O392" i="29"/>
  <c r="F371" i="29"/>
  <c r="M371" i="29"/>
  <c r="O371" i="29"/>
  <c r="H285" i="7"/>
  <c r="M210" i="29"/>
  <c r="O210" i="29"/>
  <c r="O689" i="7"/>
  <c r="P689" i="7"/>
  <c r="O500" i="7"/>
  <c r="P500" i="7"/>
  <c r="F319" i="29"/>
  <c r="M319" i="29"/>
  <c r="O319" i="29"/>
  <c r="M73" i="29"/>
  <c r="O73" i="29"/>
  <c r="O426" i="7"/>
  <c r="O407" i="7"/>
  <c r="O170" i="7"/>
  <c r="P170" i="7"/>
  <c r="H619" i="7"/>
  <c r="O619" i="7"/>
  <c r="H557" i="7"/>
  <c r="O557" i="7"/>
  <c r="H574" i="7"/>
  <c r="H573" i="7"/>
  <c r="O573" i="7"/>
  <c r="P573" i="7"/>
  <c r="H572" i="7"/>
  <c r="H571" i="7"/>
  <c r="H570" i="7"/>
  <c r="O571" i="7"/>
  <c r="P571" i="7"/>
  <c r="O428" i="7"/>
  <c r="O429" i="7"/>
  <c r="P429" i="7"/>
  <c r="O574" i="7"/>
  <c r="P574" i="7"/>
  <c r="O572" i="7"/>
  <c r="P572" i="7"/>
  <c r="O570" i="7"/>
  <c r="F369" i="29"/>
  <c r="F370" i="29"/>
  <c r="F372" i="29"/>
  <c r="F373" i="29"/>
  <c r="F379" i="29"/>
  <c r="F374" i="29"/>
  <c r="F375" i="29"/>
  <c r="F377" i="29"/>
  <c r="F378" i="29"/>
  <c r="F387" i="29"/>
  <c r="K228" i="29"/>
  <c r="K247" i="29"/>
  <c r="K364" i="29"/>
  <c r="K422" i="29"/>
  <c r="K478" i="29"/>
  <c r="J478" i="29"/>
  <c r="I422" i="29"/>
  <c r="I478" i="29"/>
  <c r="H422" i="29"/>
  <c r="H478" i="29"/>
  <c r="F21" i="29"/>
  <c r="F43" i="29"/>
  <c r="F228" i="29"/>
  <c r="F247" i="29"/>
  <c r="F292" i="29"/>
  <c r="F309" i="29"/>
  <c r="F364" i="29"/>
  <c r="F423" i="29"/>
  <c r="F425" i="29"/>
  <c r="M425" i="29"/>
  <c r="O425" i="29"/>
  <c r="F426" i="29"/>
  <c r="E422" i="29"/>
  <c r="E478" i="29"/>
  <c r="D422" i="29"/>
  <c r="D478" i="29"/>
  <c r="H286" i="7"/>
  <c r="H287" i="7"/>
  <c r="H296" i="7"/>
  <c r="H298" i="7"/>
  <c r="H299" i="7"/>
  <c r="H306" i="7"/>
  <c r="H307" i="7"/>
  <c r="H313" i="7"/>
  <c r="M422" i="29"/>
  <c r="O422" i="29"/>
  <c r="O487" i="7"/>
  <c r="P487" i="7"/>
  <c r="O458" i="7"/>
  <c r="P458" i="7"/>
  <c r="O433" i="7"/>
  <c r="P433" i="7"/>
  <c r="O188" i="7"/>
  <c r="P188" i="7"/>
  <c r="O77" i="7"/>
  <c r="P77" i="7"/>
  <c r="O134" i="7"/>
  <c r="P134" i="7"/>
  <c r="O232" i="7"/>
  <c r="P232" i="7"/>
  <c r="O247" i="7"/>
  <c r="P247" i="7"/>
  <c r="O615" i="7"/>
  <c r="P615" i="7"/>
  <c r="O509" i="7"/>
  <c r="P509" i="7"/>
  <c r="O510" i="7"/>
  <c r="P510" i="7"/>
  <c r="O310" i="7"/>
  <c r="P310" i="7"/>
  <c r="O309" i="7"/>
  <c r="P309" i="7"/>
  <c r="O308" i="7"/>
  <c r="P308" i="7"/>
  <c r="O307" i="7"/>
  <c r="P307" i="7"/>
  <c r="O306" i="7"/>
  <c r="P306" i="7"/>
  <c r="O301" i="7"/>
  <c r="P301" i="7"/>
  <c r="O300" i="7"/>
  <c r="P300" i="7"/>
  <c r="O299" i="7"/>
  <c r="P299" i="7"/>
  <c r="O298" i="7"/>
  <c r="P298" i="7"/>
  <c r="O296" i="7"/>
  <c r="P296" i="7"/>
  <c r="O287" i="7"/>
  <c r="P287" i="7"/>
  <c r="O286" i="7"/>
  <c r="P286" i="7"/>
  <c r="O285" i="7"/>
  <c r="P285" i="7"/>
  <c r="H284" i="7"/>
  <c r="O284" i="7"/>
  <c r="M378" i="29"/>
  <c r="O378" i="29"/>
  <c r="M377" i="29"/>
  <c r="O377" i="29"/>
  <c r="M375" i="29"/>
  <c r="O375" i="29"/>
  <c r="M374" i="29"/>
  <c r="O374" i="29"/>
  <c r="H483" i="7"/>
  <c r="O483" i="7"/>
  <c r="P483" i="7"/>
  <c r="M379" i="29"/>
  <c r="O379" i="29"/>
  <c r="M373" i="29"/>
  <c r="O373" i="29"/>
  <c r="M372" i="29"/>
  <c r="O372" i="29"/>
  <c r="M370" i="29"/>
  <c r="O370" i="29"/>
  <c r="M369" i="29"/>
  <c r="O369" i="29"/>
  <c r="K476" i="29"/>
  <c r="J476" i="29"/>
  <c r="I476" i="29"/>
  <c r="H476" i="29"/>
  <c r="G476" i="29"/>
  <c r="F41" i="29"/>
  <c r="F185" i="29"/>
  <c r="F209" i="29"/>
  <c r="F271" i="29"/>
  <c r="F476" i="29"/>
  <c r="E476" i="29"/>
  <c r="D476" i="29"/>
  <c r="F384" i="29"/>
  <c r="F385" i="29"/>
  <c r="F390" i="29"/>
  <c r="F391" i="29"/>
  <c r="M292" i="29"/>
  <c r="O292" i="29"/>
  <c r="F291" i="29"/>
  <c r="M291" i="29"/>
  <c r="F293" i="29"/>
  <c r="M293" i="29"/>
  <c r="H311" i="7"/>
  <c r="H312" i="7"/>
  <c r="H353" i="7"/>
  <c r="H224" i="7"/>
  <c r="H225" i="7"/>
  <c r="H228" i="7"/>
  <c r="H229" i="7"/>
  <c r="H248" i="7"/>
  <c r="H262" i="7"/>
  <c r="H265" i="7"/>
  <c r="H266" i="7"/>
  <c r="H267" i="7"/>
  <c r="H314" i="7"/>
  <c r="H315" i="7"/>
  <c r="H316" i="7"/>
  <c r="H317" i="7"/>
  <c r="H318" i="7"/>
  <c r="H320" i="7"/>
  <c r="H321" i="7"/>
  <c r="H322" i="7"/>
  <c r="H324" i="7"/>
  <c r="H325" i="7"/>
  <c r="H326" i="7"/>
  <c r="H327" i="7"/>
  <c r="H330" i="7"/>
  <c r="H337" i="7"/>
  <c r="H338" i="7"/>
  <c r="H339" i="7"/>
  <c r="H349" i="7"/>
  <c r="H358" i="7"/>
  <c r="H361" i="7"/>
  <c r="H372" i="7"/>
  <c r="H373" i="7"/>
  <c r="H376" i="7"/>
  <c r="H377" i="7"/>
  <c r="O311" i="7"/>
  <c r="P311" i="7"/>
  <c r="K409" i="29"/>
  <c r="F359" i="29"/>
  <c r="F360" i="29"/>
  <c r="F366" i="29"/>
  <c r="F380" i="29"/>
  <c r="F406" i="29"/>
  <c r="F408" i="29"/>
  <c r="F409" i="29"/>
  <c r="F410" i="29"/>
  <c r="M410" i="29"/>
  <c r="O410" i="29"/>
  <c r="F412" i="29"/>
  <c r="F414" i="29"/>
  <c r="F415" i="29"/>
  <c r="F421" i="29"/>
  <c r="F424" i="29"/>
  <c r="F427" i="29"/>
  <c r="F445" i="29"/>
  <c r="F446" i="29"/>
  <c r="J447" i="29"/>
  <c r="F447" i="29"/>
  <c r="F448" i="29"/>
  <c r="F449" i="29"/>
  <c r="F450" i="29"/>
  <c r="F451" i="29"/>
  <c r="F452" i="29"/>
  <c r="F454" i="29"/>
  <c r="F458" i="29"/>
  <c r="F459" i="29"/>
  <c r="F464" i="29"/>
  <c r="F466" i="29"/>
  <c r="F467" i="29"/>
  <c r="F469" i="29"/>
  <c r="F471" i="29"/>
  <c r="F472" i="29"/>
  <c r="M384" i="29"/>
  <c r="O384" i="29"/>
  <c r="F246" i="29"/>
  <c r="M246" i="29"/>
  <c r="K246" i="29"/>
  <c r="M247" i="29"/>
  <c r="O247" i="29"/>
  <c r="M228" i="29"/>
  <c r="O228" i="29"/>
  <c r="O457" i="7"/>
  <c r="P457" i="7"/>
  <c r="F308" i="29"/>
  <c r="M308" i="29"/>
  <c r="M309" i="29"/>
  <c r="O309" i="29"/>
  <c r="O312" i="7"/>
  <c r="P312" i="7"/>
  <c r="O396" i="7"/>
  <c r="P396" i="7"/>
  <c r="M385" i="29"/>
  <c r="O385" i="29"/>
  <c r="O326" i="7"/>
  <c r="P326" i="7"/>
  <c r="O325" i="7"/>
  <c r="P325" i="7"/>
  <c r="O323" i="7"/>
  <c r="M405" i="29"/>
  <c r="O405" i="29"/>
  <c r="M404" i="29"/>
  <c r="O404" i="29"/>
  <c r="M401" i="29"/>
  <c r="O401" i="29"/>
  <c r="M21" i="29"/>
  <c r="O21" i="29"/>
  <c r="M423" i="29"/>
  <c r="O423" i="29"/>
  <c r="O366" i="7"/>
  <c r="P366" i="7"/>
  <c r="M462" i="29"/>
  <c r="O462" i="29"/>
  <c r="O314" i="7"/>
  <c r="P314" i="7"/>
  <c r="M389" i="29"/>
  <c r="O389" i="29"/>
  <c r="M227" i="29"/>
  <c r="O316" i="7"/>
  <c r="P316" i="7"/>
  <c r="O315" i="7"/>
  <c r="P315" i="7"/>
  <c r="M391" i="29"/>
  <c r="O391" i="29"/>
  <c r="M390" i="29"/>
  <c r="O390" i="29"/>
  <c r="O747" i="7"/>
  <c r="P747" i="7"/>
  <c r="O597" i="7"/>
  <c r="P597" i="7"/>
  <c r="O596" i="7"/>
  <c r="P596" i="7"/>
  <c r="O595" i="7"/>
  <c r="P595" i="7"/>
  <c r="M289" i="29"/>
  <c r="O289" i="29"/>
  <c r="O122" i="7"/>
  <c r="P122" i="7"/>
  <c r="O748" i="7"/>
  <c r="O317" i="7"/>
  <c r="P317" i="7"/>
  <c r="M448" i="29"/>
  <c r="O448" i="29"/>
  <c r="M274" i="29"/>
  <c r="O274" i="29"/>
  <c r="M287" i="29"/>
  <c r="O287" i="29"/>
  <c r="M286" i="29"/>
  <c r="O511" i="7"/>
  <c r="P511" i="7"/>
  <c r="O169" i="7"/>
  <c r="O158" i="7"/>
  <c r="O165" i="7"/>
  <c r="O151" i="7"/>
  <c r="O143" i="7"/>
  <c r="O139" i="7"/>
  <c r="O140" i="7"/>
  <c r="O146" i="7"/>
  <c r="O147" i="7"/>
  <c r="O150" i="7"/>
  <c r="O152" i="7"/>
  <c r="O153" i="7"/>
  <c r="O154" i="7"/>
  <c r="O155" i="7"/>
  <c r="O156" i="7"/>
  <c r="O171" i="7"/>
  <c r="O174" i="7"/>
  <c r="O176" i="7"/>
  <c r="O177" i="7"/>
  <c r="O178" i="7"/>
  <c r="O179" i="7"/>
  <c r="O180" i="7"/>
  <c r="O181" i="7"/>
  <c r="O182" i="7"/>
  <c r="O183" i="7"/>
  <c r="O184" i="7"/>
  <c r="O187" i="7"/>
  <c r="O189" i="7"/>
  <c r="P746" i="7"/>
  <c r="J477" i="29"/>
  <c r="I477" i="29"/>
  <c r="H477" i="29"/>
  <c r="G477" i="29"/>
  <c r="E477" i="29"/>
  <c r="D477" i="29"/>
  <c r="M454" i="29"/>
  <c r="O454" i="29"/>
  <c r="M452" i="29"/>
  <c r="O452" i="29"/>
  <c r="M451" i="29"/>
  <c r="O451" i="29"/>
  <c r="M450" i="29"/>
  <c r="O450" i="29"/>
  <c r="M449" i="29"/>
  <c r="O449" i="29"/>
  <c r="M447" i="29"/>
  <c r="O447" i="29"/>
  <c r="M446" i="29"/>
  <c r="O446" i="29"/>
  <c r="M445" i="29"/>
  <c r="M444" i="29"/>
  <c r="O444" i="29"/>
  <c r="O681" i="7"/>
  <c r="M285" i="29"/>
  <c r="M288" i="29"/>
  <c r="O288" i="29"/>
  <c r="K477" i="29"/>
  <c r="F333" i="29"/>
  <c r="M333" i="29"/>
  <c r="O333" i="29"/>
  <c r="H682" i="7"/>
  <c r="O682" i="7"/>
  <c r="H680" i="7"/>
  <c r="O680" i="7"/>
  <c r="H679" i="7"/>
  <c r="O679" i="7"/>
  <c r="O327" i="7"/>
  <c r="P327" i="7"/>
  <c r="O324" i="7"/>
  <c r="P324" i="7"/>
  <c r="O322" i="7"/>
  <c r="P322" i="7"/>
  <c r="O321" i="7"/>
  <c r="P321" i="7"/>
  <c r="O320" i="7"/>
  <c r="P320" i="7"/>
  <c r="O318" i="7"/>
  <c r="P318" i="7"/>
  <c r="M270" i="29"/>
  <c r="O270" i="29"/>
  <c r="M269" i="29"/>
  <c r="M268" i="29"/>
  <c r="F186" i="29"/>
  <c r="M186" i="29"/>
  <c r="O186" i="29"/>
  <c r="M114" i="29"/>
  <c r="O479" i="29"/>
  <c r="F477" i="29"/>
  <c r="M477" i="29"/>
  <c r="O477" i="29"/>
  <c r="M476" i="29"/>
  <c r="P151" i="7"/>
  <c r="F182" i="29"/>
  <c r="F207" i="29"/>
  <c r="F316" i="29"/>
  <c r="K412" i="29"/>
  <c r="F216" i="29"/>
  <c r="M209" i="29"/>
  <c r="O209" i="29"/>
  <c r="M113" i="29"/>
  <c r="H456" i="7"/>
  <c r="O456" i="7"/>
  <c r="P456" i="7"/>
  <c r="M153" i="29"/>
  <c r="O153" i="29"/>
  <c r="O313" i="7"/>
  <c r="P313" i="7"/>
  <c r="M366" i="29"/>
  <c r="M387" i="29"/>
  <c r="O387" i="29"/>
  <c r="M380" i="29"/>
  <c r="O380" i="29"/>
  <c r="F54" i="29"/>
  <c r="L765" i="7"/>
  <c r="E311" i="29"/>
  <c r="D311" i="29"/>
  <c r="O25" i="7"/>
  <c r="P25" i="7"/>
  <c r="O483" i="29"/>
  <c r="O482" i="29"/>
  <c r="O481" i="29"/>
  <c r="O480" i="29"/>
  <c r="M472" i="29"/>
  <c r="O472" i="29"/>
  <c r="M471" i="29"/>
  <c r="O471" i="29"/>
  <c r="M470" i="29"/>
  <c r="O470" i="29"/>
  <c r="M469" i="29"/>
  <c r="O469" i="29"/>
  <c r="M468" i="29"/>
  <c r="O468" i="29"/>
  <c r="M467" i="29"/>
  <c r="O467" i="29"/>
  <c r="M466" i="29"/>
  <c r="O466" i="29"/>
  <c r="M465" i="29"/>
  <c r="O465" i="29"/>
  <c r="M464" i="29"/>
  <c r="O464" i="29"/>
  <c r="M463" i="29"/>
  <c r="O463" i="29"/>
  <c r="M461" i="29"/>
  <c r="O461" i="29"/>
  <c r="M460" i="29"/>
  <c r="O460" i="29"/>
  <c r="M459" i="29"/>
  <c r="O459" i="29"/>
  <c r="M458" i="29"/>
  <c r="O458" i="29"/>
  <c r="M457" i="29"/>
  <c r="O457" i="29"/>
  <c r="O456" i="29"/>
  <c r="M455" i="29"/>
  <c r="O455" i="29"/>
  <c r="M443" i="29"/>
  <c r="O443" i="29"/>
  <c r="M439" i="29"/>
  <c r="O439" i="29"/>
  <c r="M438" i="29"/>
  <c r="O438" i="29"/>
  <c r="M437" i="29"/>
  <c r="O437" i="29"/>
  <c r="M436" i="29"/>
  <c r="O436" i="29"/>
  <c r="M434" i="29"/>
  <c r="O434" i="29"/>
  <c r="M433" i="29"/>
  <c r="O433" i="29"/>
  <c r="M432" i="29"/>
  <c r="O432" i="29"/>
  <c r="M431" i="29"/>
  <c r="O431" i="29"/>
  <c r="M427" i="29"/>
  <c r="O427" i="29"/>
  <c r="M426" i="29"/>
  <c r="O426" i="29"/>
  <c r="M424" i="29"/>
  <c r="O424" i="29"/>
  <c r="M421" i="29"/>
  <c r="M420" i="29"/>
  <c r="O420" i="29"/>
  <c r="M419" i="29"/>
  <c r="O419" i="29"/>
  <c r="M418" i="29"/>
  <c r="O418" i="29"/>
  <c r="M417" i="29"/>
  <c r="O417" i="29"/>
  <c r="M416" i="29"/>
  <c r="O416" i="29"/>
  <c r="M415" i="29"/>
  <c r="O415" i="29"/>
  <c r="M414" i="29"/>
  <c r="O414" i="29"/>
  <c r="M413" i="29"/>
  <c r="O413" i="29"/>
  <c r="M412" i="29"/>
  <c r="O412" i="29"/>
  <c r="M409" i="29"/>
  <c r="O409" i="29"/>
  <c r="M408" i="29"/>
  <c r="O408" i="29"/>
  <c r="M406" i="29"/>
  <c r="O406" i="29"/>
  <c r="O365" i="29"/>
  <c r="M364" i="29"/>
  <c r="O364" i="29"/>
  <c r="M362" i="29"/>
  <c r="O362" i="29"/>
  <c r="M361" i="29"/>
  <c r="O361" i="29"/>
  <c r="M360" i="29"/>
  <c r="O360" i="29"/>
  <c r="M359" i="29"/>
  <c r="O359" i="29"/>
  <c r="M358" i="29"/>
  <c r="O358" i="29"/>
  <c r="M357" i="29"/>
  <c r="O357" i="29"/>
  <c r="M356" i="29"/>
  <c r="O356" i="29"/>
  <c r="M355" i="29"/>
  <c r="O355" i="29"/>
  <c r="M354" i="29"/>
  <c r="O354" i="29"/>
  <c r="M353" i="29"/>
  <c r="O353" i="29"/>
  <c r="M352" i="29"/>
  <c r="O352" i="29"/>
  <c r="M351" i="29"/>
  <c r="O351" i="29"/>
  <c r="M350" i="29"/>
  <c r="O350" i="29"/>
  <c r="F349" i="29"/>
  <c r="M349" i="29"/>
  <c r="O349" i="29"/>
  <c r="O348" i="29"/>
  <c r="F347" i="29"/>
  <c r="M347" i="29"/>
  <c r="O347" i="29"/>
  <c r="F346" i="29"/>
  <c r="M346" i="29"/>
  <c r="O346" i="29"/>
  <c r="M345" i="29"/>
  <c r="O345" i="29"/>
  <c r="M342" i="29"/>
  <c r="O342" i="29"/>
  <c r="O337" i="29"/>
  <c r="O336" i="29"/>
  <c r="F334" i="29"/>
  <c r="M334" i="29"/>
  <c r="O334" i="29"/>
  <c r="O331" i="29"/>
  <c r="M330" i="29"/>
  <c r="O330" i="29"/>
  <c r="F329" i="29"/>
  <c r="M329" i="29"/>
  <c r="O329" i="29"/>
  <c r="F328" i="29"/>
  <c r="M328" i="29"/>
  <c r="O328" i="29"/>
  <c r="F327" i="29"/>
  <c r="M327" i="29"/>
  <c r="O327" i="29"/>
  <c r="F326" i="29"/>
  <c r="M326" i="29"/>
  <c r="O326" i="29"/>
  <c r="M325" i="29"/>
  <c r="O325" i="29"/>
  <c r="F324" i="29"/>
  <c r="M324" i="29"/>
  <c r="O324" i="29"/>
  <c r="F323" i="29"/>
  <c r="M323" i="29"/>
  <c r="O323" i="29"/>
  <c r="M322" i="29"/>
  <c r="O322" i="29"/>
  <c r="F320" i="29"/>
  <c r="M320" i="29"/>
  <c r="O320" i="29"/>
  <c r="F318" i="29"/>
  <c r="M318" i="29"/>
  <c r="O318" i="29"/>
  <c r="F317" i="29"/>
  <c r="M317" i="29"/>
  <c r="O317" i="29"/>
  <c r="F315" i="29"/>
  <c r="M315" i="29"/>
  <c r="O315" i="29"/>
  <c r="M314" i="29"/>
  <c r="O314" i="29"/>
  <c r="F313" i="29"/>
  <c r="M313" i="29"/>
  <c r="O313" i="29"/>
  <c r="F312" i="29"/>
  <c r="M312" i="29"/>
  <c r="O312" i="29"/>
  <c r="F311" i="29"/>
  <c r="M311" i="29"/>
  <c r="O311" i="29"/>
  <c r="F310" i="29"/>
  <c r="M310" i="29"/>
  <c r="F307" i="29"/>
  <c r="M307" i="29"/>
  <c r="O307" i="29"/>
  <c r="F306" i="29"/>
  <c r="M306" i="29"/>
  <c r="O306" i="29"/>
  <c r="F305" i="29"/>
  <c r="M305" i="29"/>
  <c r="O305" i="29"/>
  <c r="F304" i="29"/>
  <c r="M304" i="29"/>
  <c r="O304" i="29"/>
  <c r="M303" i="29"/>
  <c r="O303" i="29"/>
  <c r="F302" i="29"/>
  <c r="M302" i="29"/>
  <c r="O302" i="29"/>
  <c r="F301" i="29"/>
  <c r="M301" i="29"/>
  <c r="O301" i="29"/>
  <c r="F300" i="29"/>
  <c r="M300" i="29"/>
  <c r="F299" i="29"/>
  <c r="M299" i="29"/>
  <c r="O299" i="29"/>
  <c r="F298" i="29"/>
  <c r="M298" i="29"/>
  <c r="O298" i="29"/>
  <c r="F297" i="29"/>
  <c r="M297" i="29"/>
  <c r="O297" i="29"/>
  <c r="F296" i="29"/>
  <c r="M296" i="29"/>
  <c r="O296" i="29"/>
  <c r="O293" i="29"/>
  <c r="F290" i="29"/>
  <c r="M290" i="29"/>
  <c r="O290" i="29"/>
  <c r="F284" i="29"/>
  <c r="M284" i="29"/>
  <c r="F283" i="29"/>
  <c r="M283" i="29"/>
  <c r="F282" i="29"/>
  <c r="M282" i="29"/>
  <c r="F281" i="29"/>
  <c r="M281" i="29"/>
  <c r="O281" i="29"/>
  <c r="F280" i="29"/>
  <c r="M280" i="29"/>
  <c r="O280" i="29"/>
  <c r="F279" i="29"/>
  <c r="M279" i="29"/>
  <c r="O279" i="29"/>
  <c r="F278" i="29"/>
  <c r="M278" i="29"/>
  <c r="O278" i="29"/>
  <c r="F277" i="29"/>
  <c r="M277" i="29"/>
  <c r="O277" i="29"/>
  <c r="M276" i="29"/>
  <c r="O276" i="29"/>
  <c r="F275" i="29"/>
  <c r="M275" i="29"/>
  <c r="O275" i="29"/>
  <c r="F273" i="29"/>
  <c r="M273" i="29"/>
  <c r="O273" i="29"/>
  <c r="F272" i="29"/>
  <c r="M272" i="29"/>
  <c r="M271" i="29"/>
  <c r="O271" i="29"/>
  <c r="F267" i="29"/>
  <c r="M267" i="29"/>
  <c r="O267" i="29"/>
  <c r="F266" i="29"/>
  <c r="M266" i="29"/>
  <c r="F263" i="29"/>
  <c r="M263" i="29"/>
  <c r="O263" i="29"/>
  <c r="F260" i="29"/>
  <c r="M260" i="29"/>
  <c r="O260" i="29"/>
  <c r="F257" i="29"/>
  <c r="M257" i="29"/>
  <c r="O257" i="29"/>
  <c r="M254" i="29"/>
  <c r="O254" i="29"/>
  <c r="M253" i="29"/>
  <c r="O253" i="29"/>
  <c r="F252" i="29"/>
  <c r="M252" i="29"/>
  <c r="O252" i="29"/>
  <c r="F251" i="29"/>
  <c r="M251" i="29"/>
  <c r="O251" i="29"/>
  <c r="F250" i="29"/>
  <c r="M250" i="29"/>
  <c r="O250" i="29"/>
  <c r="M248" i="29"/>
  <c r="O248" i="29"/>
  <c r="F245" i="29"/>
  <c r="M245" i="29"/>
  <c r="O245" i="29"/>
  <c r="F244" i="29"/>
  <c r="M244" i="29"/>
  <c r="O244" i="29"/>
  <c r="F243" i="29"/>
  <c r="M243" i="29"/>
  <c r="O243" i="29"/>
  <c r="F242" i="29"/>
  <c r="M242" i="29"/>
  <c r="O242" i="29"/>
  <c r="F241" i="29"/>
  <c r="M241" i="29"/>
  <c r="O241" i="29"/>
  <c r="F240" i="29"/>
  <c r="M240" i="29"/>
  <c r="O240" i="29"/>
  <c r="F239" i="29"/>
  <c r="M239" i="29"/>
  <c r="O239" i="29"/>
  <c r="F238" i="29"/>
  <c r="M238" i="29"/>
  <c r="O238" i="29"/>
  <c r="F237" i="29"/>
  <c r="M237" i="29"/>
  <c r="O237" i="29"/>
  <c r="F236" i="29"/>
  <c r="M236" i="29"/>
  <c r="O236" i="29"/>
  <c r="F235" i="29"/>
  <c r="M235" i="29"/>
  <c r="O235" i="29"/>
  <c r="F234" i="29"/>
  <c r="M234" i="29"/>
  <c r="O234" i="29"/>
  <c r="M233" i="29"/>
  <c r="O233" i="29"/>
  <c r="F232" i="29"/>
  <c r="M232" i="29"/>
  <c r="O232" i="29"/>
  <c r="F231" i="29"/>
  <c r="M231" i="29"/>
  <c r="O231" i="29"/>
  <c r="F230" i="29"/>
  <c r="M230" i="29"/>
  <c r="O230" i="29"/>
  <c r="M229" i="29"/>
  <c r="O229" i="29"/>
  <c r="F226" i="29"/>
  <c r="M226" i="29"/>
  <c r="O226" i="29"/>
  <c r="F225" i="29"/>
  <c r="M225" i="29"/>
  <c r="O225" i="29"/>
  <c r="F224" i="29"/>
  <c r="M224" i="29"/>
  <c r="O224" i="29"/>
  <c r="F223" i="29"/>
  <c r="M223" i="29"/>
  <c r="O223" i="29"/>
  <c r="F222" i="29"/>
  <c r="M222" i="29"/>
  <c r="O222" i="29"/>
  <c r="F221" i="29"/>
  <c r="M221" i="29"/>
  <c r="O221" i="29"/>
  <c r="F218" i="29"/>
  <c r="M218" i="29"/>
  <c r="O218" i="29"/>
  <c r="F217" i="29"/>
  <c r="M217" i="29"/>
  <c r="O217" i="29"/>
  <c r="M216" i="29"/>
  <c r="O216" i="29"/>
  <c r="F215" i="29"/>
  <c r="M215" i="29"/>
  <c r="O215" i="29"/>
  <c r="F214" i="29"/>
  <c r="M214" i="29"/>
  <c r="O214" i="29"/>
  <c r="F213" i="29"/>
  <c r="M213" i="29"/>
  <c r="O213" i="29"/>
  <c r="F212" i="29"/>
  <c r="M212" i="29"/>
  <c r="O212" i="29"/>
  <c r="F211" i="29"/>
  <c r="M211" i="29"/>
  <c r="O211" i="29"/>
  <c r="F208" i="29"/>
  <c r="M208" i="29"/>
  <c r="M207" i="29"/>
  <c r="O207" i="29"/>
  <c r="F206" i="29"/>
  <c r="M206" i="29"/>
  <c r="O206" i="29"/>
  <c r="F205" i="29"/>
  <c r="M205" i="29"/>
  <c r="O205" i="29"/>
  <c r="F204" i="29"/>
  <c r="M204" i="29"/>
  <c r="O204" i="29"/>
  <c r="F203" i="29"/>
  <c r="M203" i="29"/>
  <c r="O203" i="29"/>
  <c r="F202" i="29"/>
  <c r="M202" i="29"/>
  <c r="O202" i="29"/>
  <c r="F201" i="29"/>
  <c r="M201" i="29"/>
  <c r="O201" i="29"/>
  <c r="F200" i="29"/>
  <c r="M200" i="29"/>
  <c r="O200" i="29"/>
  <c r="F199" i="29"/>
  <c r="M199" i="29"/>
  <c r="O199" i="29"/>
  <c r="F198" i="29"/>
  <c r="M198" i="29"/>
  <c r="O198" i="29"/>
  <c r="F197" i="29"/>
  <c r="M197" i="29"/>
  <c r="O197" i="29"/>
  <c r="F196" i="29"/>
  <c r="M196" i="29"/>
  <c r="O196" i="29"/>
  <c r="F195" i="29"/>
  <c r="M195" i="29"/>
  <c r="O195" i="29"/>
  <c r="F194" i="29"/>
  <c r="M194" i="29"/>
  <c r="O194" i="29"/>
  <c r="F193" i="29"/>
  <c r="M193" i="29"/>
  <c r="O193" i="29"/>
  <c r="F192" i="29"/>
  <c r="M192" i="29"/>
  <c r="O192" i="29"/>
  <c r="F191" i="29"/>
  <c r="M191" i="29"/>
  <c r="O191" i="29"/>
  <c r="F190" i="29"/>
  <c r="M190" i="29"/>
  <c r="O190" i="29"/>
  <c r="F189" i="29"/>
  <c r="M189" i="29"/>
  <c r="O189" i="29"/>
  <c r="F188" i="29"/>
  <c r="M188" i="29"/>
  <c r="O188" i="29"/>
  <c r="M187" i="29"/>
  <c r="O187" i="29"/>
  <c r="M185" i="29"/>
  <c r="F184" i="29"/>
  <c r="M184" i="29"/>
  <c r="F183" i="29"/>
  <c r="M183" i="29"/>
  <c r="O183" i="29"/>
  <c r="M182" i="29"/>
  <c r="O182" i="29"/>
  <c r="F181" i="29"/>
  <c r="M181" i="29"/>
  <c r="O181" i="29"/>
  <c r="F180" i="29"/>
  <c r="M180" i="29"/>
  <c r="O180" i="29"/>
  <c r="F179" i="29"/>
  <c r="M179" i="29"/>
  <c r="O179" i="29"/>
  <c r="F178" i="29"/>
  <c r="M178" i="29"/>
  <c r="O178" i="29"/>
  <c r="F177" i="29"/>
  <c r="M177" i="29"/>
  <c r="O177" i="29"/>
  <c r="M175" i="29"/>
  <c r="O175" i="29"/>
  <c r="F174" i="29"/>
  <c r="M174" i="29"/>
  <c r="O174" i="29"/>
  <c r="F173" i="29"/>
  <c r="M173" i="29"/>
  <c r="O173" i="29"/>
  <c r="F172" i="29"/>
  <c r="M172" i="29"/>
  <c r="O172" i="29"/>
  <c r="F171" i="29"/>
  <c r="M171" i="29"/>
  <c r="O171" i="29"/>
  <c r="F170" i="29"/>
  <c r="M170" i="29"/>
  <c r="O170" i="29"/>
  <c r="M169" i="29"/>
  <c r="O169" i="29"/>
  <c r="M168" i="29"/>
  <c r="O168" i="29"/>
  <c r="M167" i="29"/>
  <c r="O167" i="29"/>
  <c r="M166" i="29"/>
  <c r="O166" i="29"/>
  <c r="M165" i="29"/>
  <c r="O165" i="29"/>
  <c r="M162" i="29"/>
  <c r="O162" i="29"/>
  <c r="M161" i="29"/>
  <c r="O161" i="29"/>
  <c r="M159" i="29"/>
  <c r="O159" i="29"/>
  <c r="M158" i="29"/>
  <c r="O158" i="29"/>
  <c r="M157" i="29"/>
  <c r="O157" i="29"/>
  <c r="M156" i="29"/>
  <c r="O156" i="29"/>
  <c r="M155" i="29"/>
  <c r="O155" i="29"/>
  <c r="M154" i="29"/>
  <c r="O154" i="29"/>
  <c r="M152" i="29"/>
  <c r="O152" i="29"/>
  <c r="M151" i="29"/>
  <c r="O151" i="29"/>
  <c r="M150" i="29"/>
  <c r="O150" i="29"/>
  <c r="M149" i="29"/>
  <c r="O149" i="29"/>
  <c r="M148" i="29"/>
  <c r="O148" i="29"/>
  <c r="M147" i="29"/>
  <c r="O147" i="29"/>
  <c r="M146" i="29"/>
  <c r="O146" i="29"/>
  <c r="M145" i="29"/>
  <c r="O145" i="29"/>
  <c r="M144" i="29"/>
  <c r="O144" i="29"/>
  <c r="M143" i="29"/>
  <c r="O143" i="29"/>
  <c r="M142" i="29"/>
  <c r="O142" i="29"/>
  <c r="M141" i="29"/>
  <c r="O141" i="29"/>
  <c r="M140" i="29"/>
  <c r="O140" i="29"/>
  <c r="M139" i="29"/>
  <c r="O139" i="29"/>
  <c r="M138" i="29"/>
  <c r="O138" i="29"/>
  <c r="M137" i="29"/>
  <c r="O137" i="29"/>
  <c r="M136" i="29"/>
  <c r="O136" i="29"/>
  <c r="M135" i="29"/>
  <c r="O135" i="29"/>
  <c r="M130" i="29"/>
  <c r="M128" i="29"/>
  <c r="M127" i="29"/>
  <c r="O127" i="29"/>
  <c r="M126" i="29"/>
  <c r="O126" i="29"/>
  <c r="M125" i="29"/>
  <c r="O125" i="29"/>
  <c r="M124" i="29"/>
  <c r="O124" i="29"/>
  <c r="M123" i="29"/>
  <c r="O123" i="29"/>
  <c r="M122" i="29"/>
  <c r="O122" i="29"/>
  <c r="M121" i="29"/>
  <c r="O121" i="29"/>
  <c r="M120" i="29"/>
  <c r="O120" i="29"/>
  <c r="M119" i="29"/>
  <c r="O119" i="29"/>
  <c r="M118" i="29"/>
  <c r="O118" i="29"/>
  <c r="M117" i="29"/>
  <c r="O117" i="29"/>
  <c r="M116" i="29"/>
  <c r="O116" i="29"/>
  <c r="M115" i="29"/>
  <c r="O115" i="29"/>
  <c r="M112" i="29"/>
  <c r="M111" i="29"/>
  <c r="O111" i="29"/>
  <c r="M110" i="29"/>
  <c r="O110" i="29"/>
  <c r="M109" i="29"/>
  <c r="O109" i="29"/>
  <c r="M108" i="29"/>
  <c r="O108" i="29"/>
  <c r="M107" i="29"/>
  <c r="O107" i="29"/>
  <c r="M106" i="29"/>
  <c r="O106" i="29"/>
  <c r="M105" i="29"/>
  <c r="O105" i="29"/>
  <c r="M104" i="29"/>
  <c r="O104" i="29"/>
  <c r="M103" i="29"/>
  <c r="O103" i="29"/>
  <c r="M102" i="29"/>
  <c r="O102" i="29"/>
  <c r="M97" i="29"/>
  <c r="O97" i="29"/>
  <c r="M96" i="29"/>
  <c r="O96" i="29"/>
  <c r="M95" i="29"/>
  <c r="O95" i="29"/>
  <c r="M94" i="29"/>
  <c r="O94" i="29"/>
  <c r="M93" i="29"/>
  <c r="O93" i="29"/>
  <c r="M92" i="29"/>
  <c r="O92" i="29"/>
  <c r="M91" i="29"/>
  <c r="O91" i="29"/>
  <c r="M90" i="29"/>
  <c r="O90" i="29"/>
  <c r="M89" i="29"/>
  <c r="O89" i="29"/>
  <c r="M88" i="29"/>
  <c r="O88" i="29"/>
  <c r="M87" i="29"/>
  <c r="O87" i="29"/>
  <c r="M86" i="29"/>
  <c r="O86" i="29"/>
  <c r="M85" i="29"/>
  <c r="O85" i="29"/>
  <c r="M84" i="29"/>
  <c r="O84" i="29"/>
  <c r="M83" i="29"/>
  <c r="O83" i="29"/>
  <c r="M82" i="29"/>
  <c r="O82" i="29"/>
  <c r="M81" i="29"/>
  <c r="O81" i="29"/>
  <c r="M80" i="29"/>
  <c r="O80" i="29"/>
  <c r="M79" i="29"/>
  <c r="O79" i="29"/>
  <c r="M74" i="29"/>
  <c r="O74" i="29"/>
  <c r="M72" i="29"/>
  <c r="M71" i="29"/>
  <c r="F69" i="29"/>
  <c r="M69" i="29"/>
  <c r="O69" i="29"/>
  <c r="F68" i="29"/>
  <c r="M68" i="29"/>
  <c r="O68" i="29"/>
  <c r="F67" i="29"/>
  <c r="M67" i="29"/>
  <c r="O67" i="29"/>
  <c r="F66" i="29"/>
  <c r="M66" i="29"/>
  <c r="O66" i="29"/>
  <c r="F65" i="29"/>
  <c r="M65" i="29"/>
  <c r="O65" i="29"/>
  <c r="F64" i="29"/>
  <c r="M64" i="29"/>
  <c r="O64" i="29"/>
  <c r="F63" i="29"/>
  <c r="M63" i="29"/>
  <c r="O63" i="29"/>
  <c r="F62" i="29"/>
  <c r="M62" i="29"/>
  <c r="O62" i="29"/>
  <c r="F61" i="29"/>
  <c r="M61" i="29"/>
  <c r="O61" i="29"/>
  <c r="F60" i="29"/>
  <c r="M60" i="29"/>
  <c r="O60" i="29"/>
  <c r="F59" i="29"/>
  <c r="M59" i="29"/>
  <c r="O59" i="29"/>
  <c r="F58" i="29"/>
  <c r="M58" i="29"/>
  <c r="O58" i="29"/>
  <c r="F57" i="29"/>
  <c r="M57" i="29"/>
  <c r="O57" i="29"/>
  <c r="M56" i="29"/>
  <c r="O56" i="29"/>
  <c r="M55" i="29"/>
  <c r="O55" i="29"/>
  <c r="M54" i="29"/>
  <c r="O54" i="29"/>
  <c r="F53" i="29"/>
  <c r="M53" i="29"/>
  <c r="O53" i="29"/>
  <c r="F52" i="29"/>
  <c r="M52" i="29"/>
  <c r="O52" i="29"/>
  <c r="F51" i="29"/>
  <c r="M51" i="29"/>
  <c r="O51" i="29"/>
  <c r="F50" i="29"/>
  <c r="M50" i="29"/>
  <c r="O50" i="29"/>
  <c r="F48" i="29"/>
  <c r="M48" i="29"/>
  <c r="O48" i="29"/>
  <c r="F47" i="29"/>
  <c r="M47" i="29"/>
  <c r="O47" i="29"/>
  <c r="F46" i="29"/>
  <c r="M46" i="29"/>
  <c r="O46" i="29"/>
  <c r="F45" i="29"/>
  <c r="M45" i="29"/>
  <c r="O45" i="29"/>
  <c r="F44" i="29"/>
  <c r="M44" i="29"/>
  <c r="O44" i="29"/>
  <c r="M43" i="29"/>
  <c r="F42" i="29"/>
  <c r="M42" i="29"/>
  <c r="M41" i="29"/>
  <c r="F40" i="29"/>
  <c r="M40" i="29"/>
  <c r="M39" i="29"/>
  <c r="O39" i="29"/>
  <c r="M38" i="29"/>
  <c r="O38" i="29"/>
  <c r="F37" i="29"/>
  <c r="M37" i="29"/>
  <c r="O37" i="29"/>
  <c r="F36" i="29"/>
  <c r="M36" i="29"/>
  <c r="O36" i="29"/>
  <c r="F35" i="29"/>
  <c r="M35" i="29"/>
  <c r="O35" i="29"/>
  <c r="F34" i="29"/>
  <c r="M34" i="29"/>
  <c r="O34" i="29"/>
  <c r="F33" i="29"/>
  <c r="M33" i="29"/>
  <c r="O33" i="29"/>
  <c r="F32" i="29"/>
  <c r="M32" i="29"/>
  <c r="O32" i="29"/>
  <c r="F31" i="29"/>
  <c r="M31" i="29"/>
  <c r="O31" i="29"/>
  <c r="F30" i="29"/>
  <c r="M30" i="29"/>
  <c r="O30" i="29"/>
  <c r="F29" i="29"/>
  <c r="M29" i="29"/>
  <c r="O29" i="29"/>
  <c r="F28" i="29"/>
  <c r="M28" i="29"/>
  <c r="F27" i="29"/>
  <c r="M27" i="29"/>
  <c r="O27" i="29"/>
  <c r="F26" i="29"/>
  <c r="M26" i="29"/>
  <c r="O26" i="29"/>
  <c r="F25" i="29"/>
  <c r="M25" i="29"/>
  <c r="O25" i="29"/>
  <c r="F24" i="29"/>
  <c r="M24" i="29"/>
  <c r="O24" i="29"/>
  <c r="F23" i="29"/>
  <c r="M23" i="29"/>
  <c r="O23" i="29"/>
  <c r="G22" i="29"/>
  <c r="J22" i="29"/>
  <c r="F22" i="29"/>
  <c r="M22" i="29"/>
  <c r="P184" i="7"/>
  <c r="H561" i="7"/>
  <c r="O561" i="7"/>
  <c r="P561" i="7"/>
  <c r="O365" i="7"/>
  <c r="P365" i="7"/>
  <c r="O278" i="7"/>
  <c r="P278" i="7"/>
  <c r="O435" i="7"/>
  <c r="P435" i="7"/>
  <c r="P189" i="7"/>
  <c r="O131" i="7"/>
  <c r="P131" i="7"/>
  <c r="O74" i="7"/>
  <c r="P74" i="7"/>
  <c r="O550" i="7"/>
  <c r="P550" i="7"/>
  <c r="O678" i="7"/>
  <c r="P678" i="7"/>
  <c r="Q678" i="7"/>
  <c r="O135" i="7"/>
  <c r="P135" i="7"/>
  <c r="O75" i="7"/>
  <c r="P75" i="7"/>
  <c r="O72" i="7"/>
  <c r="P72" i="7"/>
  <c r="O554" i="7"/>
  <c r="O559" i="7"/>
  <c r="O565" i="7"/>
  <c r="O575" i="7"/>
  <c r="O569" i="7"/>
  <c r="O562" i="7"/>
  <c r="O566" i="7"/>
  <c r="O568" i="7"/>
  <c r="P568" i="7"/>
  <c r="O621" i="7"/>
  <c r="O283" i="7"/>
  <c r="P283" i="7"/>
  <c r="N298" i="29"/>
  <c r="N297" i="29"/>
  <c r="P890" i="7"/>
  <c r="P889" i="7"/>
  <c r="P888" i="7"/>
  <c r="P887" i="7"/>
  <c r="P886" i="7"/>
  <c r="P885" i="7"/>
  <c r="P884" i="7"/>
  <c r="P883" i="7"/>
  <c r="P882" i="7"/>
  <c r="P881" i="7"/>
  <c r="P880" i="7"/>
  <c r="P879" i="7"/>
  <c r="P878" i="7"/>
  <c r="P877" i="7"/>
  <c r="P876" i="7"/>
  <c r="P875" i="7"/>
  <c r="P874" i="7"/>
  <c r="P873" i="7"/>
  <c r="P872" i="7"/>
  <c r="P871" i="7"/>
  <c r="P870" i="7"/>
  <c r="P869" i="7"/>
  <c r="P868" i="7"/>
  <c r="P867" i="7"/>
  <c r="P866" i="7"/>
  <c r="P865" i="7"/>
  <c r="P864" i="7"/>
  <c r="P863" i="7"/>
  <c r="P862" i="7"/>
  <c r="P861" i="7"/>
  <c r="P860" i="7"/>
  <c r="P859" i="7"/>
  <c r="P858" i="7"/>
  <c r="P857" i="7"/>
  <c r="P856" i="7"/>
  <c r="P855" i="7"/>
  <c r="P854" i="7"/>
  <c r="P853" i="7"/>
  <c r="P852" i="7"/>
  <c r="P851" i="7"/>
  <c r="P850" i="7"/>
  <c r="P849" i="7"/>
  <c r="P848" i="7"/>
  <c r="P847" i="7"/>
  <c r="P846" i="7"/>
  <c r="P845" i="7"/>
  <c r="P844" i="7"/>
  <c r="P843" i="7"/>
  <c r="P842" i="7"/>
  <c r="P841" i="7"/>
  <c r="P840" i="7"/>
  <c r="P839" i="7"/>
  <c r="P838" i="7"/>
  <c r="P837" i="7"/>
  <c r="P836" i="7"/>
  <c r="P835" i="7"/>
  <c r="P834" i="7"/>
  <c r="P833" i="7"/>
  <c r="P832" i="7"/>
  <c r="P831" i="7"/>
  <c r="P830" i="7"/>
  <c r="P829" i="7"/>
  <c r="P828" i="7"/>
  <c r="P827" i="7"/>
  <c r="P826" i="7"/>
  <c r="P825" i="7"/>
  <c r="P824" i="7"/>
  <c r="P823" i="7"/>
  <c r="P822" i="7"/>
  <c r="P821" i="7"/>
  <c r="P820" i="7"/>
  <c r="P819" i="7"/>
  <c r="P818" i="7"/>
  <c r="P817" i="7"/>
  <c r="P816" i="7"/>
  <c r="P815" i="7"/>
  <c r="P814" i="7"/>
  <c r="P813" i="7"/>
  <c r="P812" i="7"/>
  <c r="P811" i="7"/>
  <c r="P810" i="7"/>
  <c r="P809" i="7"/>
  <c r="P808" i="7"/>
  <c r="P807" i="7"/>
  <c r="P806" i="7"/>
  <c r="P805" i="7"/>
  <c r="P804" i="7"/>
  <c r="P803" i="7"/>
  <c r="P802" i="7"/>
  <c r="P801" i="7"/>
  <c r="P800" i="7"/>
  <c r="P799" i="7"/>
  <c r="P798" i="7"/>
  <c r="P797" i="7"/>
  <c r="P796" i="7"/>
  <c r="P795" i="7"/>
  <c r="P794" i="7"/>
  <c r="P793" i="7"/>
  <c r="P792" i="7"/>
  <c r="H547" i="7"/>
  <c r="O789" i="7"/>
  <c r="P790" i="7"/>
  <c r="P789" i="7"/>
  <c r="P788" i="7"/>
  <c r="O781" i="7"/>
  <c r="O769" i="7"/>
  <c r="O773" i="7"/>
  <c r="O771" i="7"/>
  <c r="O775" i="7"/>
  <c r="O776" i="7"/>
  <c r="P776" i="7"/>
  <c r="Z776" i="7"/>
  <c r="AJ776" i="7"/>
  <c r="O779" i="7"/>
  <c r="O767" i="7"/>
  <c r="O787" i="7"/>
  <c r="P787" i="7"/>
  <c r="O772" i="7"/>
  <c r="O777" i="7"/>
  <c r="O778" i="7"/>
  <c r="O780" i="7"/>
  <c r="P780" i="7"/>
  <c r="Z780" i="7"/>
  <c r="AJ780" i="7"/>
  <c r="O782" i="7"/>
  <c r="O783" i="7"/>
  <c r="O784" i="7"/>
  <c r="O785" i="7"/>
  <c r="O768" i="7"/>
  <c r="O770" i="7"/>
  <c r="P770" i="7"/>
  <c r="O774" i="7"/>
  <c r="O786" i="7"/>
  <c r="P786" i="7"/>
  <c r="P785" i="7"/>
  <c r="P784" i="7"/>
  <c r="P783" i="7"/>
  <c r="P782" i="7"/>
  <c r="P781" i="7"/>
  <c r="P779" i="7"/>
  <c r="P778" i="7"/>
  <c r="P777" i="7"/>
  <c r="P775" i="7"/>
  <c r="P774" i="7"/>
  <c r="P773" i="7"/>
  <c r="P772" i="7"/>
  <c r="P771" i="7"/>
  <c r="P769" i="7"/>
  <c r="P768" i="7"/>
  <c r="P767" i="7"/>
  <c r="P764" i="7"/>
  <c r="P763" i="7"/>
  <c r="O757" i="7"/>
  <c r="P757" i="7"/>
  <c r="P756" i="7"/>
  <c r="O755" i="7"/>
  <c r="P755" i="7"/>
  <c r="P754" i="7"/>
  <c r="O745" i="7"/>
  <c r="P745" i="7"/>
  <c r="P744" i="7"/>
  <c r="O743" i="7"/>
  <c r="P743" i="7"/>
  <c r="H742" i="7"/>
  <c r="O742" i="7"/>
  <c r="P742" i="7"/>
  <c r="P741" i="7"/>
  <c r="O740" i="7"/>
  <c r="P740" i="7"/>
  <c r="H739" i="7"/>
  <c r="O739" i="7"/>
  <c r="P739" i="7"/>
  <c r="O738" i="7"/>
  <c r="P738" i="7"/>
  <c r="O737" i="7"/>
  <c r="P737" i="7"/>
  <c r="P736" i="7"/>
  <c r="O735" i="7"/>
  <c r="P735" i="7"/>
  <c r="O734" i="7"/>
  <c r="P734" i="7"/>
  <c r="O733" i="7"/>
  <c r="P733" i="7"/>
  <c r="P732" i="7"/>
  <c r="O731" i="7"/>
  <c r="P731" i="7"/>
  <c r="O730" i="7"/>
  <c r="P730" i="7"/>
  <c r="P729" i="7"/>
  <c r="O728" i="7"/>
  <c r="P728" i="7"/>
  <c r="P727" i="7"/>
  <c r="O726" i="7"/>
  <c r="P726" i="7"/>
  <c r="O725" i="7"/>
  <c r="P725" i="7"/>
  <c r="H724" i="7"/>
  <c r="O724" i="7"/>
  <c r="P724" i="7"/>
  <c r="O723" i="7"/>
  <c r="P723" i="7"/>
  <c r="O722" i="7"/>
  <c r="P722" i="7"/>
  <c r="O721" i="7"/>
  <c r="P721" i="7"/>
  <c r="O720" i="7"/>
  <c r="P720" i="7"/>
  <c r="O719" i="7"/>
  <c r="P719" i="7"/>
  <c r="P718" i="7"/>
  <c r="O716" i="7"/>
  <c r="P716" i="7"/>
  <c r="O715" i="7"/>
  <c r="P715" i="7"/>
  <c r="O710" i="7"/>
  <c r="P710" i="7"/>
  <c r="O709" i="7"/>
  <c r="P709" i="7"/>
  <c r="O708" i="7"/>
  <c r="P708" i="7"/>
  <c r="O707" i="7"/>
  <c r="P707" i="7"/>
  <c r="H705" i="7"/>
  <c r="O705" i="7"/>
  <c r="P705" i="7"/>
  <c r="O703" i="7"/>
  <c r="P703" i="7"/>
  <c r="P702" i="7"/>
  <c r="O701" i="7"/>
  <c r="P701" i="7"/>
  <c r="O700" i="7"/>
  <c r="H699" i="7"/>
  <c r="O699" i="7"/>
  <c r="O694" i="7"/>
  <c r="P694" i="7"/>
  <c r="H693" i="7"/>
  <c r="O693" i="7"/>
  <c r="P693" i="7"/>
  <c r="H692" i="7"/>
  <c r="O692" i="7"/>
  <c r="P692" i="7"/>
  <c r="O691" i="7"/>
  <c r="P691" i="7"/>
  <c r="O688" i="7"/>
  <c r="P688" i="7"/>
  <c r="O683" i="7"/>
  <c r="P683" i="7"/>
  <c r="O676" i="7"/>
  <c r="P676" i="7"/>
  <c r="O675" i="7"/>
  <c r="P675" i="7"/>
  <c r="O672" i="7"/>
  <c r="P672" i="7"/>
  <c r="O671" i="7"/>
  <c r="P671" i="7"/>
  <c r="O670" i="7"/>
  <c r="P670" i="7"/>
  <c r="O669" i="7"/>
  <c r="P669" i="7"/>
  <c r="P668" i="7"/>
  <c r="H667" i="7"/>
  <c r="O667" i="7"/>
  <c r="P667" i="7"/>
  <c r="P666" i="7"/>
  <c r="H665" i="7"/>
  <c r="O665" i="7"/>
  <c r="P665" i="7"/>
  <c r="P664" i="7"/>
  <c r="H663" i="7"/>
  <c r="O663" i="7"/>
  <c r="P663" i="7"/>
  <c r="P662" i="7"/>
  <c r="H661" i="7"/>
  <c r="O661" i="7"/>
  <c r="P661" i="7"/>
  <c r="P660" i="7"/>
  <c r="H659" i="7"/>
  <c r="O659" i="7"/>
  <c r="P659" i="7"/>
  <c r="P658" i="7"/>
  <c r="H657" i="7"/>
  <c r="O657" i="7"/>
  <c r="P657" i="7"/>
  <c r="P656" i="7"/>
  <c r="H655" i="7"/>
  <c r="O655" i="7"/>
  <c r="P655" i="7"/>
  <c r="P654" i="7"/>
  <c r="H653" i="7"/>
  <c r="O653" i="7"/>
  <c r="P653" i="7"/>
  <c r="P652" i="7"/>
  <c r="O651" i="7"/>
  <c r="P651" i="7"/>
  <c r="H650" i="7"/>
  <c r="O650" i="7"/>
  <c r="P650" i="7"/>
  <c r="I649" i="7"/>
  <c r="L649" i="7"/>
  <c r="H649" i="7"/>
  <c r="O649" i="7"/>
  <c r="P649" i="7"/>
  <c r="H648" i="7"/>
  <c r="O648" i="7"/>
  <c r="P648" i="7"/>
  <c r="P647" i="7"/>
  <c r="H646" i="7"/>
  <c r="O646" i="7"/>
  <c r="P646" i="7"/>
  <c r="P645" i="7"/>
  <c r="H644" i="7"/>
  <c r="O644" i="7"/>
  <c r="P644" i="7"/>
  <c r="P643" i="7"/>
  <c r="H642" i="7"/>
  <c r="O642" i="7"/>
  <c r="P642" i="7"/>
  <c r="P641" i="7"/>
  <c r="H640" i="7"/>
  <c r="O640" i="7"/>
  <c r="P640" i="7"/>
  <c r="P639" i="7"/>
  <c r="H638" i="7"/>
  <c r="O638" i="7"/>
  <c r="P638" i="7"/>
  <c r="P637" i="7"/>
  <c r="H636" i="7"/>
  <c r="O636" i="7"/>
  <c r="P636" i="7"/>
  <c r="P635" i="7"/>
  <c r="H634" i="7"/>
  <c r="O634" i="7"/>
  <c r="P634" i="7"/>
  <c r="P633" i="7"/>
  <c r="H632" i="7"/>
  <c r="O632" i="7"/>
  <c r="P632" i="7"/>
  <c r="P631" i="7"/>
  <c r="O630" i="7"/>
  <c r="P630" i="7"/>
  <c r="O629" i="7"/>
  <c r="P629" i="7"/>
  <c r="O620" i="7"/>
  <c r="P620" i="7"/>
  <c r="O618" i="7"/>
  <c r="P618" i="7"/>
  <c r="O616" i="7"/>
  <c r="P616" i="7"/>
  <c r="O612" i="7"/>
  <c r="P612" i="7"/>
  <c r="O611" i="7"/>
  <c r="P611" i="7"/>
  <c r="O610" i="7"/>
  <c r="P610" i="7"/>
  <c r="O609" i="7"/>
  <c r="P609" i="7"/>
  <c r="O608" i="7"/>
  <c r="P608" i="7"/>
  <c r="O607" i="7"/>
  <c r="P607" i="7"/>
  <c r="O606" i="7"/>
  <c r="P606" i="7"/>
  <c r="O605" i="7"/>
  <c r="P605" i="7"/>
  <c r="O604" i="7"/>
  <c r="P604" i="7"/>
  <c r="O603" i="7"/>
  <c r="P603" i="7"/>
  <c r="O602" i="7"/>
  <c r="P602" i="7"/>
  <c r="O599" i="7"/>
  <c r="P599" i="7"/>
  <c r="P598" i="7"/>
  <c r="O593" i="7"/>
  <c r="P593" i="7"/>
  <c r="P592" i="7"/>
  <c r="P591" i="7"/>
  <c r="O590" i="7"/>
  <c r="P590" i="7"/>
  <c r="P589" i="7"/>
  <c r="O588" i="7"/>
  <c r="P588" i="7"/>
  <c r="O587" i="7"/>
  <c r="P587" i="7"/>
  <c r="O586" i="7"/>
  <c r="P586" i="7"/>
  <c r="O585" i="7"/>
  <c r="P585" i="7"/>
  <c r="O584" i="7"/>
  <c r="P584" i="7"/>
  <c r="O583" i="7"/>
  <c r="P583" i="7"/>
  <c r="P582" i="7"/>
  <c r="O581" i="7"/>
  <c r="P581" i="7"/>
  <c r="P580" i="7"/>
  <c r="O579" i="7"/>
  <c r="P579" i="7"/>
  <c r="P578" i="7"/>
  <c r="H577" i="7"/>
  <c r="O577" i="7"/>
  <c r="P577" i="7"/>
  <c r="P576" i="7"/>
  <c r="P575" i="7"/>
  <c r="P569" i="7"/>
  <c r="H567" i="7"/>
  <c r="O567" i="7"/>
  <c r="P567" i="7"/>
  <c r="P566" i="7"/>
  <c r="P565" i="7"/>
  <c r="H564" i="7"/>
  <c r="O564" i="7"/>
  <c r="P564" i="7"/>
  <c r="H563" i="7"/>
  <c r="O563" i="7"/>
  <c r="P563" i="7"/>
  <c r="P562" i="7"/>
  <c r="H560" i="7"/>
  <c r="O560" i="7"/>
  <c r="P560" i="7"/>
  <c r="P559" i="7"/>
  <c r="H558" i="7"/>
  <c r="O558" i="7"/>
  <c r="H556" i="7"/>
  <c r="O556" i="7"/>
  <c r="P554" i="7"/>
  <c r="H552" i="7"/>
  <c r="O552" i="7"/>
  <c r="P552" i="7"/>
  <c r="H551" i="7"/>
  <c r="O551" i="7"/>
  <c r="P551" i="7"/>
  <c r="O549" i="7"/>
  <c r="P549" i="7"/>
  <c r="O548" i="7"/>
  <c r="P548" i="7"/>
  <c r="O547" i="7"/>
  <c r="P547" i="7"/>
  <c r="O546" i="7"/>
  <c r="P546" i="7"/>
  <c r="O545" i="7"/>
  <c r="P545" i="7"/>
  <c r="H544" i="7"/>
  <c r="O544" i="7"/>
  <c r="P544" i="7"/>
  <c r="H543" i="7"/>
  <c r="O543" i="7"/>
  <c r="P543" i="7"/>
  <c r="O542" i="7"/>
  <c r="P542" i="7"/>
  <c r="P541" i="7"/>
  <c r="O539" i="7"/>
  <c r="P539" i="7"/>
  <c r="H538" i="7"/>
  <c r="O538" i="7"/>
  <c r="P538" i="7"/>
  <c r="H537" i="7"/>
  <c r="O537" i="7"/>
  <c r="P537" i="7"/>
  <c r="H536" i="7"/>
  <c r="O536" i="7"/>
  <c r="P536" i="7"/>
  <c r="H533" i="7"/>
  <c r="O533" i="7"/>
  <c r="O532" i="7"/>
  <c r="P532" i="7"/>
  <c r="O530" i="7"/>
  <c r="P530" i="7"/>
  <c r="O529" i="7"/>
  <c r="P529" i="7"/>
  <c r="H528" i="7"/>
  <c r="O528" i="7"/>
  <c r="P528" i="7"/>
  <c r="H527" i="7"/>
  <c r="O527" i="7"/>
  <c r="P527" i="7"/>
  <c r="O526" i="7"/>
  <c r="P526" i="7"/>
  <c r="O524" i="7"/>
  <c r="P524" i="7"/>
  <c r="O523" i="7"/>
  <c r="P523" i="7"/>
  <c r="O522" i="7"/>
  <c r="P522" i="7"/>
  <c r="O521" i="7"/>
  <c r="P521" i="7"/>
  <c r="O520" i="7"/>
  <c r="P520" i="7"/>
  <c r="O519" i="7"/>
  <c r="P519" i="7"/>
  <c r="O518" i="7"/>
  <c r="P518" i="7"/>
  <c r="P517" i="7"/>
  <c r="O516" i="7"/>
  <c r="P516" i="7"/>
  <c r="O515" i="7"/>
  <c r="P515" i="7"/>
  <c r="O514" i="7"/>
  <c r="P514" i="7"/>
  <c r="O513" i="7"/>
  <c r="P513" i="7"/>
  <c r="O512" i="7"/>
  <c r="P512" i="7"/>
  <c r="O507" i="7"/>
  <c r="P507" i="7"/>
  <c r="O506" i="7"/>
  <c r="P506" i="7"/>
  <c r="O505" i="7"/>
  <c r="P505" i="7"/>
  <c r="O504" i="7"/>
  <c r="P504" i="7"/>
  <c r="O503" i="7"/>
  <c r="P503" i="7"/>
  <c r="P501" i="7"/>
  <c r="O499" i="7"/>
  <c r="P499" i="7"/>
  <c r="O498" i="7"/>
  <c r="P498" i="7"/>
  <c r="O497" i="7"/>
  <c r="P497" i="7"/>
  <c r="O496" i="7"/>
  <c r="P496" i="7"/>
  <c r="O495" i="7"/>
  <c r="P495" i="7"/>
  <c r="O494" i="7"/>
  <c r="P494" i="7"/>
  <c r="O493" i="7"/>
  <c r="P493" i="7"/>
  <c r="O492" i="7"/>
  <c r="P492" i="7"/>
  <c r="O491" i="7"/>
  <c r="P491" i="7"/>
  <c r="O490" i="7"/>
  <c r="P490" i="7"/>
  <c r="O489" i="7"/>
  <c r="P489" i="7"/>
  <c r="O486" i="7"/>
  <c r="P486" i="7"/>
  <c r="H485" i="7"/>
  <c r="O485" i="7"/>
  <c r="P485" i="7"/>
  <c r="H484" i="7"/>
  <c r="O484" i="7"/>
  <c r="P484" i="7"/>
  <c r="O481" i="7"/>
  <c r="P481" i="7"/>
  <c r="O480" i="7"/>
  <c r="P480" i="7"/>
  <c r="O479" i="7"/>
  <c r="P479" i="7"/>
  <c r="O475" i="7"/>
  <c r="P475" i="7"/>
  <c r="O474" i="7"/>
  <c r="P474" i="7"/>
  <c r="O473" i="7"/>
  <c r="P473" i="7"/>
  <c r="O472" i="7"/>
  <c r="P472" i="7"/>
  <c r="O471" i="7"/>
  <c r="P471" i="7"/>
  <c r="O470" i="7"/>
  <c r="P470" i="7"/>
  <c r="O469" i="7"/>
  <c r="P469" i="7"/>
  <c r="O468" i="7"/>
  <c r="P468" i="7"/>
  <c r="O467" i="7"/>
  <c r="P467" i="7"/>
  <c r="H466" i="7"/>
  <c r="O466" i="7"/>
  <c r="P466" i="7"/>
  <c r="O464" i="7"/>
  <c r="P464" i="7"/>
  <c r="O459" i="7"/>
  <c r="P459" i="7"/>
  <c r="O455" i="7"/>
  <c r="P455" i="7"/>
  <c r="O454" i="7"/>
  <c r="P454" i="7"/>
  <c r="P453" i="7"/>
  <c r="O452" i="7"/>
  <c r="P452" i="7"/>
  <c r="H451" i="7"/>
  <c r="O451" i="7"/>
  <c r="P451" i="7"/>
  <c r="O450" i="7"/>
  <c r="P450" i="7"/>
  <c r="O449" i="7"/>
  <c r="P449" i="7"/>
  <c r="O448" i="7"/>
  <c r="P448" i="7"/>
  <c r="O447" i="7"/>
  <c r="P447" i="7"/>
  <c r="P446" i="7"/>
  <c r="O445" i="7"/>
  <c r="P445" i="7"/>
  <c r="P444" i="7"/>
  <c r="O443" i="7"/>
  <c r="P443" i="7"/>
  <c r="O441" i="7"/>
  <c r="P441" i="7"/>
  <c r="O440" i="7"/>
  <c r="P440" i="7"/>
  <c r="O439" i="7"/>
  <c r="P439" i="7"/>
  <c r="P438" i="7"/>
  <c r="O432" i="7"/>
  <c r="P432" i="7"/>
  <c r="O431" i="7"/>
  <c r="P431" i="7"/>
  <c r="O430" i="7"/>
  <c r="P430" i="7"/>
  <c r="O427" i="7"/>
  <c r="P427" i="7"/>
  <c r="O425" i="7"/>
  <c r="P425" i="7"/>
  <c r="O424" i="7"/>
  <c r="P424" i="7"/>
  <c r="O423" i="7"/>
  <c r="P423" i="7"/>
  <c r="O422" i="7"/>
  <c r="P422" i="7"/>
  <c r="O421" i="7"/>
  <c r="P421" i="7"/>
  <c r="O420" i="7"/>
  <c r="P420" i="7"/>
  <c r="O419" i="7"/>
  <c r="P419" i="7"/>
  <c r="O418" i="7"/>
  <c r="P418" i="7"/>
  <c r="O417" i="7"/>
  <c r="P417" i="7"/>
  <c r="O416" i="7"/>
  <c r="P416" i="7"/>
  <c r="O415" i="7"/>
  <c r="P415" i="7"/>
  <c r="O414" i="7"/>
  <c r="P414" i="7"/>
  <c r="P411" i="7"/>
  <c r="O410" i="7"/>
  <c r="P410" i="7"/>
  <c r="O409" i="7"/>
  <c r="P409" i="7"/>
  <c r="O408" i="7"/>
  <c r="P408" i="7"/>
  <c r="O406" i="7"/>
  <c r="P406" i="7"/>
  <c r="O405" i="7"/>
  <c r="P405" i="7"/>
  <c r="O404" i="7"/>
  <c r="P404" i="7"/>
  <c r="O403" i="7"/>
  <c r="P403" i="7"/>
  <c r="O402" i="7"/>
  <c r="P402" i="7"/>
  <c r="O401" i="7"/>
  <c r="P401" i="7"/>
  <c r="O399" i="7"/>
  <c r="P399" i="7"/>
  <c r="P398" i="7"/>
  <c r="O397" i="7"/>
  <c r="P397" i="7"/>
  <c r="O395" i="7"/>
  <c r="P395" i="7"/>
  <c r="O394" i="7"/>
  <c r="P394" i="7"/>
  <c r="P393" i="7"/>
  <c r="O391" i="7"/>
  <c r="P391" i="7"/>
  <c r="O390" i="7"/>
  <c r="P390" i="7"/>
  <c r="O387" i="7"/>
  <c r="P387" i="7"/>
  <c r="O385" i="7"/>
  <c r="P385" i="7"/>
  <c r="O381" i="7"/>
  <c r="P381" i="7"/>
  <c r="P380" i="7"/>
  <c r="O377" i="7"/>
  <c r="P377" i="7"/>
  <c r="O376" i="7"/>
  <c r="P376" i="7"/>
  <c r="O375" i="7"/>
  <c r="P375" i="7"/>
  <c r="O374" i="7"/>
  <c r="P374" i="7"/>
  <c r="O373" i="7"/>
  <c r="P373" i="7"/>
  <c r="O372" i="7"/>
  <c r="P372" i="7"/>
  <c r="O371" i="7"/>
  <c r="P371" i="7"/>
  <c r="O370" i="7"/>
  <c r="P370" i="7"/>
  <c r="O369" i="7"/>
  <c r="P369" i="7"/>
  <c r="O368" i="7"/>
  <c r="P368" i="7"/>
  <c r="O367" i="7"/>
  <c r="P367" i="7"/>
  <c r="O364" i="7"/>
  <c r="P364" i="7"/>
  <c r="O363" i="7"/>
  <c r="P363" i="7"/>
  <c r="O362" i="7"/>
  <c r="P362" i="7"/>
  <c r="O361" i="7"/>
  <c r="P361" i="7"/>
  <c r="O360" i="7"/>
  <c r="P360" i="7"/>
  <c r="O359" i="7"/>
  <c r="P359" i="7"/>
  <c r="O358" i="7"/>
  <c r="P358" i="7"/>
  <c r="O357" i="7"/>
  <c r="P357" i="7"/>
  <c r="O353" i="7"/>
  <c r="P353" i="7"/>
  <c r="O352" i="7"/>
  <c r="P352" i="7"/>
  <c r="O351" i="7"/>
  <c r="P351" i="7"/>
  <c r="O350" i="7"/>
  <c r="P350" i="7"/>
  <c r="O349" i="7"/>
  <c r="P349" i="7"/>
  <c r="O348" i="7"/>
  <c r="P348" i="7"/>
  <c r="O347" i="7"/>
  <c r="P347" i="7"/>
  <c r="O346" i="7"/>
  <c r="P346" i="7"/>
  <c r="O345" i="7"/>
  <c r="P345" i="7"/>
  <c r="O344" i="7"/>
  <c r="P344" i="7"/>
  <c r="O343" i="7"/>
  <c r="P343" i="7"/>
  <c r="P342" i="7"/>
  <c r="O341" i="7"/>
  <c r="P341" i="7"/>
  <c r="O340" i="7"/>
  <c r="P340" i="7"/>
  <c r="O339" i="7"/>
  <c r="P339" i="7"/>
  <c r="O338" i="7"/>
  <c r="P338" i="7"/>
  <c r="O337" i="7"/>
  <c r="P337" i="7"/>
  <c r="O336" i="7"/>
  <c r="P336" i="7"/>
  <c r="O335" i="7"/>
  <c r="P335" i="7"/>
  <c r="O334" i="7"/>
  <c r="P334" i="7"/>
  <c r="O333" i="7"/>
  <c r="P333" i="7"/>
  <c r="O332" i="7"/>
  <c r="P332" i="7"/>
  <c r="O331" i="7"/>
  <c r="P331" i="7"/>
  <c r="O330" i="7"/>
  <c r="P330" i="7"/>
  <c r="O329" i="7"/>
  <c r="P329" i="7"/>
  <c r="O328" i="7"/>
  <c r="P328" i="7"/>
  <c r="O282" i="7"/>
  <c r="P282" i="7"/>
  <c r="O281" i="7"/>
  <c r="P281" i="7"/>
  <c r="O280" i="7"/>
  <c r="P280" i="7"/>
  <c r="O279" i="7"/>
  <c r="P279" i="7"/>
  <c r="O277" i="7"/>
  <c r="P277" i="7"/>
  <c r="O274" i="7"/>
  <c r="P274" i="7"/>
  <c r="O273" i="7"/>
  <c r="P273" i="7"/>
  <c r="O272" i="7"/>
  <c r="P272" i="7"/>
  <c r="O271" i="7"/>
  <c r="P271" i="7"/>
  <c r="O270" i="7"/>
  <c r="P270" i="7"/>
  <c r="O269" i="7"/>
  <c r="P269" i="7"/>
  <c r="O268" i="7"/>
  <c r="P268" i="7"/>
  <c r="O267" i="7"/>
  <c r="P267" i="7"/>
  <c r="O266" i="7"/>
  <c r="P266" i="7"/>
  <c r="O264" i="7"/>
  <c r="P264" i="7"/>
  <c r="O263" i="7"/>
  <c r="P263" i="7"/>
  <c r="O262" i="7"/>
  <c r="P262" i="7"/>
  <c r="O260" i="7"/>
  <c r="P260" i="7"/>
  <c r="O258" i="7"/>
  <c r="P258" i="7"/>
  <c r="O253" i="7"/>
  <c r="P253" i="7"/>
  <c r="O252" i="7"/>
  <c r="P252" i="7"/>
  <c r="O251" i="7"/>
  <c r="P251" i="7"/>
  <c r="O250" i="7"/>
  <c r="P250" i="7"/>
  <c r="O249" i="7"/>
  <c r="P249" i="7"/>
  <c r="O248" i="7"/>
  <c r="P248" i="7"/>
  <c r="O245" i="7"/>
  <c r="P245" i="7"/>
  <c r="O244" i="7"/>
  <c r="P244" i="7"/>
  <c r="O243" i="7"/>
  <c r="P243" i="7"/>
  <c r="O231" i="7"/>
  <c r="P231" i="7"/>
  <c r="O230" i="7"/>
  <c r="P230" i="7"/>
  <c r="O229" i="7"/>
  <c r="P229" i="7"/>
  <c r="O228" i="7"/>
  <c r="P228" i="7"/>
  <c r="O227" i="7"/>
  <c r="P227" i="7"/>
  <c r="O226" i="7"/>
  <c r="P226" i="7"/>
  <c r="O225" i="7"/>
  <c r="P225" i="7"/>
  <c r="O224" i="7"/>
  <c r="P224" i="7"/>
  <c r="O223" i="7"/>
  <c r="P223" i="7"/>
  <c r="H217" i="7"/>
  <c r="O217" i="7"/>
  <c r="P217" i="7"/>
  <c r="H216" i="7"/>
  <c r="O216" i="7"/>
  <c r="P216" i="7"/>
  <c r="O215" i="7"/>
  <c r="P215" i="7"/>
  <c r="O214" i="7"/>
  <c r="P214" i="7"/>
  <c r="H213" i="7"/>
  <c r="O213" i="7"/>
  <c r="P213" i="7"/>
  <c r="H212" i="7"/>
  <c r="O212" i="7"/>
  <c r="P212" i="7"/>
  <c r="O207" i="7"/>
  <c r="P207" i="7"/>
  <c r="O206" i="7"/>
  <c r="P206" i="7"/>
  <c r="H205" i="7"/>
  <c r="O205" i="7"/>
  <c r="P205" i="7"/>
  <c r="O204" i="7"/>
  <c r="P204" i="7"/>
  <c r="P201" i="7"/>
  <c r="P200" i="7"/>
  <c r="P187" i="7"/>
  <c r="P183" i="7"/>
  <c r="P182" i="7"/>
  <c r="P181" i="7"/>
  <c r="P180" i="7"/>
  <c r="P179" i="7"/>
  <c r="P178" i="7"/>
  <c r="P177" i="7"/>
  <c r="P176" i="7"/>
  <c r="P175" i="7"/>
  <c r="P174" i="7"/>
  <c r="P171" i="7"/>
  <c r="P169" i="7"/>
  <c r="P165" i="7"/>
  <c r="P158" i="7"/>
  <c r="P156" i="7"/>
  <c r="P155" i="7"/>
  <c r="P154" i="7"/>
  <c r="P153" i="7"/>
  <c r="P152" i="7"/>
  <c r="P150" i="7"/>
  <c r="P147" i="7"/>
  <c r="P146" i="7"/>
  <c r="P143" i="7"/>
  <c r="P140" i="7"/>
  <c r="P139" i="7"/>
  <c r="O129" i="7"/>
  <c r="P129" i="7"/>
  <c r="O128" i="7"/>
  <c r="P128" i="7"/>
  <c r="O127" i="7"/>
  <c r="P127" i="7"/>
  <c r="O126" i="7"/>
  <c r="P126" i="7"/>
  <c r="O125" i="7"/>
  <c r="P125" i="7"/>
  <c r="O124" i="7"/>
  <c r="P124" i="7"/>
  <c r="O123" i="7"/>
  <c r="P123" i="7"/>
  <c r="O121" i="7"/>
  <c r="P121" i="7"/>
  <c r="O120" i="7"/>
  <c r="P120" i="7"/>
  <c r="O115" i="7"/>
  <c r="P115" i="7"/>
  <c r="O114" i="7"/>
  <c r="P114" i="7"/>
  <c r="O113" i="7"/>
  <c r="P113" i="7"/>
  <c r="O112" i="7"/>
  <c r="P112" i="7"/>
  <c r="O111" i="7"/>
  <c r="P111" i="7"/>
  <c r="O110" i="7"/>
  <c r="P110" i="7"/>
  <c r="O109" i="7"/>
  <c r="P109" i="7"/>
  <c r="O108" i="7"/>
  <c r="P108" i="7"/>
  <c r="O107" i="7"/>
  <c r="P107" i="7"/>
  <c r="O106" i="7"/>
  <c r="P106" i="7"/>
  <c r="O105" i="7"/>
  <c r="P105" i="7"/>
  <c r="O104" i="7"/>
  <c r="P104" i="7"/>
  <c r="O103" i="7"/>
  <c r="P103" i="7"/>
  <c r="O101" i="7"/>
  <c r="P101" i="7"/>
  <c r="O100" i="7"/>
  <c r="P100" i="7"/>
  <c r="O99" i="7"/>
  <c r="P99" i="7"/>
  <c r="O98" i="7"/>
  <c r="P98" i="7"/>
  <c r="O96" i="7"/>
  <c r="P96" i="7"/>
  <c r="O95" i="7"/>
  <c r="P95" i="7"/>
  <c r="O94" i="7"/>
  <c r="P94" i="7"/>
  <c r="O93" i="7"/>
  <c r="P93" i="7"/>
  <c r="O92" i="7"/>
  <c r="P92" i="7"/>
  <c r="O91" i="7"/>
  <c r="P91" i="7"/>
  <c r="O90" i="7"/>
  <c r="P90" i="7"/>
  <c r="O88" i="7"/>
  <c r="P88" i="7"/>
  <c r="O87" i="7"/>
  <c r="P87" i="7"/>
  <c r="O86" i="7"/>
  <c r="P86" i="7"/>
  <c r="O85" i="7"/>
  <c r="P85" i="7"/>
  <c r="O84" i="7"/>
  <c r="P84" i="7"/>
  <c r="O83" i="7"/>
  <c r="P83" i="7"/>
  <c r="O82" i="7"/>
  <c r="P82" i="7"/>
  <c r="O81" i="7"/>
  <c r="P81" i="7"/>
  <c r="O80" i="7"/>
  <c r="P80" i="7"/>
  <c r="O79" i="7"/>
  <c r="P79" i="7"/>
  <c r="P78" i="7"/>
  <c r="O73" i="7"/>
  <c r="P73" i="7"/>
  <c r="O71" i="7"/>
  <c r="P71" i="7"/>
  <c r="O70" i="7"/>
  <c r="P70" i="7"/>
  <c r="O69" i="7"/>
  <c r="P69" i="7"/>
  <c r="O68" i="7"/>
  <c r="P68" i="7"/>
  <c r="O67" i="7"/>
  <c r="P67" i="7"/>
  <c r="O61" i="7"/>
  <c r="P61" i="7"/>
  <c r="O60" i="7"/>
  <c r="P60" i="7"/>
  <c r="O59" i="7"/>
  <c r="P59" i="7"/>
  <c r="O58" i="7"/>
  <c r="P58" i="7"/>
  <c r="O57" i="7"/>
  <c r="P57" i="7"/>
  <c r="O56" i="7"/>
  <c r="P56" i="7"/>
  <c r="O55" i="7"/>
  <c r="P55" i="7"/>
  <c r="O54" i="7"/>
  <c r="P54" i="7"/>
  <c r="O53" i="7"/>
  <c r="P53" i="7"/>
  <c r="O52" i="7"/>
  <c r="P52" i="7"/>
  <c r="O51" i="7"/>
  <c r="P51" i="7"/>
  <c r="O50" i="7"/>
  <c r="P50" i="7"/>
  <c r="O49" i="7"/>
  <c r="P49" i="7"/>
  <c r="O48" i="7"/>
  <c r="P48" i="7"/>
  <c r="O47" i="7"/>
  <c r="P47" i="7"/>
  <c r="O46" i="7"/>
  <c r="P46" i="7"/>
  <c r="O45" i="7"/>
  <c r="P45" i="7"/>
  <c r="O44" i="7"/>
  <c r="P44" i="7"/>
  <c r="O43" i="7"/>
  <c r="P43" i="7"/>
  <c r="O42" i="7"/>
  <c r="P42" i="7"/>
  <c r="O41" i="7"/>
  <c r="P41" i="7"/>
  <c r="O40" i="7"/>
  <c r="P40" i="7"/>
  <c r="O39" i="7"/>
  <c r="P39" i="7"/>
  <c r="O37" i="7"/>
  <c r="P37" i="7"/>
  <c r="O36" i="7"/>
  <c r="P36" i="7"/>
  <c r="O35" i="7"/>
  <c r="P35" i="7"/>
  <c r="O34" i="7"/>
  <c r="P34" i="7"/>
  <c r="O33" i="7"/>
  <c r="P33" i="7"/>
  <c r="O32" i="7"/>
  <c r="P32" i="7"/>
  <c r="O31" i="7"/>
  <c r="P31" i="7"/>
  <c r="O29" i="7"/>
  <c r="P29" i="7"/>
  <c r="O28" i="7"/>
  <c r="P28" i="7"/>
  <c r="O27" i="7"/>
  <c r="P27" i="7"/>
  <c r="O26" i="7"/>
  <c r="P26" i="7"/>
  <c r="O24" i="7"/>
  <c r="P24" i="7"/>
  <c r="O23" i="7"/>
  <c r="P23" i="7"/>
  <c r="O21" i="7"/>
  <c r="P21" i="7"/>
  <c r="O265" i="7"/>
  <c r="P1040" i="7"/>
  <c r="P1039" i="7"/>
  <c r="P1038" i="7"/>
  <c r="P1037" i="7"/>
  <c r="P1036" i="7"/>
  <c r="P1035" i="7"/>
  <c r="P1034" i="7"/>
  <c r="P1033" i="7"/>
  <c r="P1032" i="7"/>
  <c r="P1031" i="7"/>
  <c r="P1030" i="7"/>
  <c r="P1029" i="7"/>
  <c r="P1028" i="7"/>
  <c r="P1027" i="7"/>
  <c r="P1026" i="7"/>
  <c r="P1025" i="7"/>
  <c r="P1024" i="7"/>
  <c r="P1023" i="7"/>
  <c r="P1022" i="7"/>
  <c r="P1021" i="7"/>
  <c r="P1020" i="7"/>
  <c r="P1019" i="7"/>
  <c r="P1018" i="7"/>
  <c r="P1017" i="7"/>
  <c r="P1016" i="7"/>
  <c r="P1015" i="7"/>
  <c r="P1014" i="7"/>
  <c r="P1013" i="7"/>
  <c r="P1012" i="7"/>
  <c r="P1011" i="7"/>
  <c r="P1010" i="7"/>
  <c r="P1009" i="7"/>
  <c r="P1008" i="7"/>
  <c r="P1007" i="7"/>
  <c r="P1006" i="7"/>
  <c r="P1005" i="7"/>
  <c r="P1004" i="7"/>
  <c r="P1003" i="7"/>
  <c r="P1002" i="7"/>
  <c r="P1001" i="7"/>
  <c r="P1000" i="7"/>
  <c r="P999" i="7"/>
  <c r="P998" i="7"/>
  <c r="P997" i="7"/>
  <c r="P996" i="7"/>
  <c r="P995" i="7"/>
  <c r="P994" i="7"/>
  <c r="P993" i="7"/>
  <c r="P992" i="7"/>
  <c r="P991" i="7"/>
  <c r="P990" i="7"/>
  <c r="P989" i="7"/>
  <c r="P988" i="7"/>
  <c r="P987" i="7"/>
  <c r="P986" i="7"/>
  <c r="P985" i="7"/>
  <c r="P984" i="7"/>
  <c r="P983" i="7"/>
  <c r="P982" i="7"/>
  <c r="P981" i="7"/>
  <c r="P980" i="7"/>
  <c r="P979" i="7"/>
  <c r="P978" i="7"/>
  <c r="P977" i="7"/>
  <c r="P976" i="7"/>
  <c r="P975" i="7"/>
  <c r="P974" i="7"/>
  <c r="P973" i="7"/>
  <c r="P972" i="7"/>
  <c r="P971" i="7"/>
  <c r="P970" i="7"/>
  <c r="P969" i="7"/>
  <c r="P968" i="7"/>
  <c r="P967" i="7"/>
  <c r="P966" i="7"/>
  <c r="P965" i="7"/>
  <c r="P964" i="7"/>
  <c r="P963" i="7"/>
  <c r="P962" i="7"/>
  <c r="P961" i="7"/>
  <c r="P960" i="7"/>
  <c r="P959" i="7"/>
  <c r="P958" i="7"/>
  <c r="P957" i="7"/>
  <c r="P956" i="7"/>
  <c r="P955" i="7"/>
  <c r="P954" i="7"/>
  <c r="P953" i="7"/>
  <c r="P952" i="7"/>
  <c r="P951" i="7"/>
  <c r="P950" i="7"/>
  <c r="P949" i="7"/>
  <c r="P948" i="7"/>
  <c r="P947" i="7"/>
  <c r="P946" i="7"/>
  <c r="P945" i="7"/>
  <c r="P944" i="7"/>
  <c r="P943" i="7"/>
  <c r="P942" i="7"/>
  <c r="P941" i="7"/>
  <c r="P940" i="7"/>
  <c r="P939" i="7"/>
  <c r="P938" i="7"/>
  <c r="P937" i="7"/>
  <c r="P936" i="7"/>
  <c r="P935" i="7"/>
  <c r="P934" i="7"/>
  <c r="P933" i="7"/>
  <c r="P932" i="7"/>
  <c r="P931" i="7"/>
  <c r="P930" i="7"/>
  <c r="P929" i="7"/>
  <c r="P928" i="7"/>
  <c r="P927" i="7"/>
  <c r="P926" i="7"/>
  <c r="P925" i="7"/>
  <c r="P924" i="7"/>
  <c r="P923" i="7"/>
  <c r="P922" i="7"/>
  <c r="P921" i="7"/>
  <c r="P920" i="7"/>
  <c r="P919" i="7"/>
  <c r="P918" i="7"/>
  <c r="P917" i="7"/>
  <c r="P916" i="7"/>
  <c r="P915" i="7"/>
  <c r="P914" i="7"/>
  <c r="P913" i="7"/>
  <c r="P912" i="7"/>
  <c r="P911" i="7"/>
  <c r="P910" i="7"/>
  <c r="P909" i="7"/>
  <c r="P908" i="7"/>
  <c r="P907" i="7"/>
  <c r="P906" i="7"/>
  <c r="P905" i="7"/>
  <c r="P904" i="7"/>
  <c r="P903" i="7"/>
  <c r="P902" i="7"/>
  <c r="P901" i="7"/>
  <c r="P900" i="7"/>
  <c r="P899" i="7"/>
  <c r="P898" i="7"/>
  <c r="P897" i="7"/>
  <c r="P896" i="7"/>
  <c r="P895" i="7"/>
  <c r="P894" i="7"/>
  <c r="P893" i="7"/>
  <c r="P892" i="7"/>
  <c r="P891" i="7"/>
  <c r="E347" i="29"/>
  <c r="D216" i="7"/>
  <c r="M19" i="29"/>
  <c r="O19" i="29"/>
  <c r="F649" i="7"/>
  <c r="G649" i="7"/>
  <c r="D22" i="29"/>
  <c r="E22" i="29"/>
  <c r="D244" i="7"/>
  <c r="D364" i="7"/>
  <c r="D363" i="7"/>
  <c r="D348" i="7"/>
  <c r="R20" i="7"/>
  <c r="R78" i="7"/>
  <c r="R136" i="7"/>
  <c r="D262" i="7"/>
  <c r="D346" i="7"/>
  <c r="D347" i="7"/>
  <c r="D369" i="7"/>
  <c r="R398" i="7"/>
  <c r="R444" i="7"/>
  <c r="R484" i="7"/>
  <c r="R488" i="7"/>
  <c r="R517" i="7"/>
  <c r="AA523" i="7"/>
  <c r="AA524" i="7"/>
  <c r="AA517" i="7"/>
  <c r="AB517" i="7"/>
  <c r="AC517" i="7"/>
  <c r="AA527" i="7"/>
  <c r="R528" i="7"/>
  <c r="R533" i="7"/>
  <c r="R535" i="7"/>
  <c r="R537" i="7"/>
  <c r="R540" i="7"/>
  <c r="R553" i="7"/>
  <c r="R562" i="7"/>
  <c r="R577" i="7"/>
  <c r="R578" i="7"/>
  <c r="AB599" i="7"/>
  <c r="J649" i="7"/>
  <c r="K649" i="7"/>
  <c r="Q758" i="7"/>
  <c r="S765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6" i="7"/>
  <c r="R767" i="7"/>
  <c r="R768" i="7"/>
  <c r="R769" i="7"/>
  <c r="R770" i="7"/>
  <c r="R771" i="7"/>
  <c r="R772" i="7"/>
  <c r="R787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66" i="7"/>
  <c r="T767" i="7"/>
  <c r="T768" i="7"/>
  <c r="T769" i="7"/>
  <c r="T770" i="7"/>
  <c r="T771" i="7"/>
  <c r="T772" i="7"/>
  <c r="T787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U767" i="7"/>
  <c r="U768" i="7"/>
  <c r="U769" i="7"/>
  <c r="U770" i="7"/>
  <c r="U771" i="7"/>
  <c r="U772" i="7"/>
  <c r="U773" i="7"/>
  <c r="U774" i="7"/>
  <c r="U775" i="7"/>
  <c r="U776" i="7"/>
  <c r="U777" i="7"/>
  <c r="U778" i="7"/>
  <c r="U779" i="7"/>
  <c r="U780" i="7"/>
  <c r="U781" i="7"/>
  <c r="U782" i="7"/>
  <c r="U783" i="7"/>
  <c r="U784" i="7"/>
  <c r="U785" i="7"/>
  <c r="U786" i="7"/>
  <c r="U787" i="7"/>
  <c r="V767" i="7"/>
  <c r="V768" i="7"/>
  <c r="V769" i="7"/>
  <c r="V770" i="7"/>
  <c r="V771" i="7"/>
  <c r="V772" i="7"/>
  <c r="V787" i="7"/>
  <c r="V773" i="7"/>
  <c r="V774" i="7"/>
  <c r="V775" i="7"/>
  <c r="V776" i="7"/>
  <c r="V777" i="7"/>
  <c r="V778" i="7"/>
  <c r="V779" i="7"/>
  <c r="V780" i="7"/>
  <c r="V781" i="7"/>
  <c r="V782" i="7"/>
  <c r="V783" i="7"/>
  <c r="V784" i="7"/>
  <c r="V785" i="7"/>
  <c r="V786" i="7"/>
  <c r="W767" i="7"/>
  <c r="W768" i="7"/>
  <c r="W769" i="7"/>
  <c r="W770" i="7"/>
  <c r="W771" i="7"/>
  <c r="W772" i="7"/>
  <c r="W773" i="7"/>
  <c r="W774" i="7"/>
  <c r="W775" i="7"/>
  <c r="W776" i="7"/>
  <c r="W777" i="7"/>
  <c r="W778" i="7"/>
  <c r="W779" i="7"/>
  <c r="W780" i="7"/>
  <c r="W781" i="7"/>
  <c r="W782" i="7"/>
  <c r="W783" i="7"/>
  <c r="W784" i="7"/>
  <c r="W785" i="7"/>
  <c r="W786" i="7"/>
  <c r="W787" i="7"/>
  <c r="X767" i="7"/>
  <c r="X768" i="7"/>
  <c r="X769" i="7"/>
  <c r="X770" i="7"/>
  <c r="X771" i="7"/>
  <c r="X772" i="7"/>
  <c r="X787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F767" i="7"/>
  <c r="G767" i="7"/>
  <c r="AB767" i="7"/>
  <c r="H767" i="7"/>
  <c r="I767" i="7"/>
  <c r="J767" i="7"/>
  <c r="K767" i="7"/>
  <c r="L767" i="7"/>
  <c r="M767" i="7"/>
  <c r="Y767" i="7"/>
  <c r="Z767" i="7"/>
  <c r="AJ767" i="7"/>
  <c r="AC767" i="7"/>
  <c r="AD767" i="7"/>
  <c r="AE767" i="7"/>
  <c r="AF767" i="7"/>
  <c r="AG767" i="7"/>
  <c r="AH767" i="7"/>
  <c r="AI767" i="7"/>
  <c r="AM767" i="7"/>
  <c r="AN767" i="7"/>
  <c r="AO767" i="7"/>
  <c r="E768" i="7"/>
  <c r="F768" i="7"/>
  <c r="AA768" i="7"/>
  <c r="AK768" i="7"/>
  <c r="G768" i="7"/>
  <c r="L768" i="7"/>
  <c r="Y768" i="7"/>
  <c r="Z768" i="7"/>
  <c r="AJ768" i="7"/>
  <c r="AB768" i="7"/>
  <c r="AL768" i="7"/>
  <c r="AC768" i="7"/>
  <c r="AH768" i="7"/>
  <c r="AM768" i="7"/>
  <c r="E769" i="7"/>
  <c r="F769" i="7"/>
  <c r="G769" i="7"/>
  <c r="H769" i="7"/>
  <c r="AD769" i="7"/>
  <c r="AN769" i="7"/>
  <c r="I769" i="7"/>
  <c r="J769" i="7"/>
  <c r="AF769" i="7"/>
  <c r="K769" i="7"/>
  <c r="L769" i="7"/>
  <c r="AH769" i="7"/>
  <c r="M769" i="7"/>
  <c r="Y769" i="7"/>
  <c r="Z769" i="7"/>
  <c r="AA769" i="7"/>
  <c r="AB769" i="7"/>
  <c r="AC769" i="7"/>
  <c r="AE769" i="7"/>
  <c r="AG769" i="7"/>
  <c r="AI769" i="7"/>
  <c r="AJ769" i="7"/>
  <c r="AK769" i="7"/>
  <c r="AL769" i="7"/>
  <c r="AM769" i="7"/>
  <c r="AO769" i="7"/>
  <c r="E770" i="7"/>
  <c r="F770" i="7"/>
  <c r="G770" i="7"/>
  <c r="H770" i="7"/>
  <c r="AD770" i="7"/>
  <c r="AN770" i="7"/>
  <c r="I770" i="7"/>
  <c r="J770" i="7"/>
  <c r="AF770" i="7"/>
  <c r="K770" i="7"/>
  <c r="L770" i="7"/>
  <c r="AH770" i="7"/>
  <c r="M770" i="7"/>
  <c r="Y770" i="7"/>
  <c r="AA770" i="7"/>
  <c r="AB770" i="7"/>
  <c r="AC770" i="7"/>
  <c r="AE770" i="7"/>
  <c r="AG770" i="7"/>
  <c r="AI770" i="7"/>
  <c r="AL770" i="7"/>
  <c r="AM770" i="7"/>
  <c r="AO770" i="7"/>
  <c r="E771" i="7"/>
  <c r="D771" i="7"/>
  <c r="F771" i="7"/>
  <c r="G771" i="7"/>
  <c r="H771" i="7"/>
  <c r="I771" i="7"/>
  <c r="AE771" i="7"/>
  <c r="AO771" i="7"/>
  <c r="J771" i="7"/>
  <c r="K771" i="7"/>
  <c r="AG771" i="7"/>
  <c r="L771" i="7"/>
  <c r="M771" i="7"/>
  <c r="AI771" i="7"/>
  <c r="Y771" i="7"/>
  <c r="Z771" i="7"/>
  <c r="AA771" i="7"/>
  <c r="AB771" i="7"/>
  <c r="AC771" i="7"/>
  <c r="AD771" i="7"/>
  <c r="AF771" i="7"/>
  <c r="AH771" i="7"/>
  <c r="AJ771" i="7"/>
  <c r="AK771" i="7"/>
  <c r="AL771" i="7"/>
  <c r="AM771" i="7"/>
  <c r="AN771" i="7"/>
  <c r="E772" i="7"/>
  <c r="Y772" i="7"/>
  <c r="F772" i="7"/>
  <c r="G772" i="7"/>
  <c r="H772" i="7"/>
  <c r="I772" i="7"/>
  <c r="AE772" i="7"/>
  <c r="AO772" i="7"/>
  <c r="J772" i="7"/>
  <c r="K772" i="7"/>
  <c r="AG772" i="7"/>
  <c r="L772" i="7"/>
  <c r="M772" i="7"/>
  <c r="AI772" i="7"/>
  <c r="Z772" i="7"/>
  <c r="AA772" i="7"/>
  <c r="AB772" i="7"/>
  <c r="AC772" i="7"/>
  <c r="AD772" i="7"/>
  <c r="AF772" i="7"/>
  <c r="AH772" i="7"/>
  <c r="AJ772" i="7"/>
  <c r="AK772" i="7"/>
  <c r="AL772" i="7"/>
  <c r="AM772" i="7"/>
  <c r="AN772" i="7"/>
  <c r="E773" i="7"/>
  <c r="Y773" i="7"/>
  <c r="F773" i="7"/>
  <c r="G773" i="7"/>
  <c r="H773" i="7"/>
  <c r="I773" i="7"/>
  <c r="AE773" i="7"/>
  <c r="AO773" i="7"/>
  <c r="J773" i="7"/>
  <c r="K773" i="7"/>
  <c r="AG773" i="7"/>
  <c r="L773" i="7"/>
  <c r="M773" i="7"/>
  <c r="AI773" i="7"/>
  <c r="Z773" i="7"/>
  <c r="AA773" i="7"/>
  <c r="AB773" i="7"/>
  <c r="AC773" i="7"/>
  <c r="AD773" i="7"/>
  <c r="AF773" i="7"/>
  <c r="AH773" i="7"/>
  <c r="AJ773" i="7"/>
  <c r="AK773" i="7"/>
  <c r="AL773" i="7"/>
  <c r="AM773" i="7"/>
  <c r="AN773" i="7"/>
  <c r="E774" i="7"/>
  <c r="Y774" i="7"/>
  <c r="F774" i="7"/>
  <c r="G774" i="7"/>
  <c r="H774" i="7"/>
  <c r="I774" i="7"/>
  <c r="AE774" i="7"/>
  <c r="AO774" i="7"/>
  <c r="J774" i="7"/>
  <c r="K774" i="7"/>
  <c r="AG774" i="7"/>
  <c r="L774" i="7"/>
  <c r="M774" i="7"/>
  <c r="AI774" i="7"/>
  <c r="Z774" i="7"/>
  <c r="AA774" i="7"/>
  <c r="AB774" i="7"/>
  <c r="AC774" i="7"/>
  <c r="AD774" i="7"/>
  <c r="AF774" i="7"/>
  <c r="AH774" i="7"/>
  <c r="AJ774" i="7"/>
  <c r="AK774" i="7"/>
  <c r="AL774" i="7"/>
  <c r="AM774" i="7"/>
  <c r="AN774" i="7"/>
  <c r="E775" i="7"/>
  <c r="Y775" i="7"/>
  <c r="F775" i="7"/>
  <c r="G775" i="7"/>
  <c r="H775" i="7"/>
  <c r="I775" i="7"/>
  <c r="AE775" i="7"/>
  <c r="AO775" i="7"/>
  <c r="J775" i="7"/>
  <c r="K775" i="7"/>
  <c r="AG775" i="7"/>
  <c r="L775" i="7"/>
  <c r="M775" i="7"/>
  <c r="AI775" i="7"/>
  <c r="Z775" i="7"/>
  <c r="AA775" i="7"/>
  <c r="AB775" i="7"/>
  <c r="AC775" i="7"/>
  <c r="AD775" i="7"/>
  <c r="AF775" i="7"/>
  <c r="AH775" i="7"/>
  <c r="AJ775" i="7"/>
  <c r="AK775" i="7"/>
  <c r="AL775" i="7"/>
  <c r="AM775" i="7"/>
  <c r="AN775" i="7"/>
  <c r="E776" i="7"/>
  <c r="D776" i="7"/>
  <c r="F776" i="7"/>
  <c r="G776" i="7"/>
  <c r="H776" i="7"/>
  <c r="AD776" i="7"/>
  <c r="AN776" i="7"/>
  <c r="I776" i="7"/>
  <c r="J776" i="7"/>
  <c r="AF776" i="7"/>
  <c r="K776" i="7"/>
  <c r="L776" i="7"/>
  <c r="AH776" i="7"/>
  <c r="M776" i="7"/>
  <c r="Y776" i="7"/>
  <c r="AA776" i="7"/>
  <c r="AB776" i="7"/>
  <c r="AC776" i="7"/>
  <c r="AE776" i="7"/>
  <c r="AG776" i="7"/>
  <c r="AI776" i="7"/>
  <c r="AK776" i="7"/>
  <c r="AL776" i="7"/>
  <c r="AM776" i="7"/>
  <c r="AO776" i="7"/>
  <c r="E777" i="7"/>
  <c r="F777" i="7"/>
  <c r="G777" i="7"/>
  <c r="H777" i="7"/>
  <c r="AD777" i="7"/>
  <c r="AN777" i="7"/>
  <c r="I777" i="7"/>
  <c r="J777" i="7"/>
  <c r="AF777" i="7"/>
  <c r="K777" i="7"/>
  <c r="L777" i="7"/>
  <c r="AH777" i="7"/>
  <c r="M777" i="7"/>
  <c r="Y777" i="7"/>
  <c r="AI777" i="7"/>
  <c r="Z777" i="7"/>
  <c r="AA777" i="7"/>
  <c r="AK777" i="7"/>
  <c r="AB777" i="7"/>
  <c r="AC777" i="7"/>
  <c r="AM777" i="7"/>
  <c r="AE777" i="7"/>
  <c r="AG777" i="7"/>
  <c r="AJ777" i="7"/>
  <c r="AL777" i="7"/>
  <c r="AO777" i="7"/>
  <c r="E778" i="7"/>
  <c r="F778" i="7"/>
  <c r="G778" i="7"/>
  <c r="H778" i="7"/>
  <c r="AD778" i="7"/>
  <c r="AN778" i="7"/>
  <c r="I778" i="7"/>
  <c r="J778" i="7"/>
  <c r="AF778" i="7"/>
  <c r="K778" i="7"/>
  <c r="L778" i="7"/>
  <c r="AH778" i="7"/>
  <c r="M778" i="7"/>
  <c r="Y778" i="7"/>
  <c r="AI778" i="7"/>
  <c r="Z778" i="7"/>
  <c r="AA778" i="7"/>
  <c r="AK778" i="7"/>
  <c r="AB778" i="7"/>
  <c r="AC778" i="7"/>
  <c r="AM778" i="7"/>
  <c r="AE778" i="7"/>
  <c r="AG778" i="7"/>
  <c r="AJ778" i="7"/>
  <c r="AL778" i="7"/>
  <c r="AO778" i="7"/>
  <c r="E779" i="7"/>
  <c r="F779" i="7"/>
  <c r="G779" i="7"/>
  <c r="H779" i="7"/>
  <c r="AD779" i="7"/>
  <c r="AN779" i="7"/>
  <c r="I779" i="7"/>
  <c r="J779" i="7"/>
  <c r="AF779" i="7"/>
  <c r="K779" i="7"/>
  <c r="L779" i="7"/>
  <c r="AH779" i="7"/>
  <c r="M779" i="7"/>
  <c r="Y779" i="7"/>
  <c r="AI779" i="7"/>
  <c r="Z779" i="7"/>
  <c r="AA779" i="7"/>
  <c r="AK779" i="7"/>
  <c r="AB779" i="7"/>
  <c r="AC779" i="7"/>
  <c r="AM779" i="7"/>
  <c r="AE779" i="7"/>
  <c r="AG779" i="7"/>
  <c r="AJ779" i="7"/>
  <c r="AL779" i="7"/>
  <c r="AO779" i="7"/>
  <c r="E780" i="7"/>
  <c r="F780" i="7"/>
  <c r="AA780" i="7"/>
  <c r="AK780" i="7"/>
  <c r="G780" i="7"/>
  <c r="H780" i="7"/>
  <c r="AD780" i="7"/>
  <c r="AN780" i="7"/>
  <c r="I780" i="7"/>
  <c r="J780" i="7"/>
  <c r="AF780" i="7"/>
  <c r="K780" i="7"/>
  <c r="L780" i="7"/>
  <c r="AH780" i="7"/>
  <c r="M780" i="7"/>
  <c r="Y780" i="7"/>
  <c r="AB780" i="7"/>
  <c r="AC780" i="7"/>
  <c r="AE780" i="7"/>
  <c r="AG780" i="7"/>
  <c r="AI780" i="7"/>
  <c r="AL780" i="7"/>
  <c r="AM780" i="7"/>
  <c r="AO780" i="7"/>
  <c r="E781" i="7"/>
  <c r="F781" i="7"/>
  <c r="G781" i="7"/>
  <c r="H781" i="7"/>
  <c r="AD781" i="7"/>
  <c r="AN781" i="7"/>
  <c r="I781" i="7"/>
  <c r="J781" i="7"/>
  <c r="AF781" i="7"/>
  <c r="K781" i="7"/>
  <c r="L781" i="7"/>
  <c r="AH781" i="7"/>
  <c r="M781" i="7"/>
  <c r="Y781" i="7"/>
  <c r="Z781" i="7"/>
  <c r="AA781" i="7"/>
  <c r="AB781" i="7"/>
  <c r="AC781" i="7"/>
  <c r="AE781" i="7"/>
  <c r="AG781" i="7"/>
  <c r="AI781" i="7"/>
  <c r="AJ781" i="7"/>
  <c r="AK781" i="7"/>
  <c r="AL781" i="7"/>
  <c r="AM781" i="7"/>
  <c r="AO781" i="7"/>
  <c r="E782" i="7"/>
  <c r="F782" i="7"/>
  <c r="G782" i="7"/>
  <c r="H782" i="7"/>
  <c r="AD782" i="7"/>
  <c r="AN782" i="7"/>
  <c r="I782" i="7"/>
  <c r="J782" i="7"/>
  <c r="AF782" i="7"/>
  <c r="K782" i="7"/>
  <c r="L782" i="7"/>
  <c r="AH782" i="7"/>
  <c r="M782" i="7"/>
  <c r="Y782" i="7"/>
  <c r="Z782" i="7"/>
  <c r="AA782" i="7"/>
  <c r="AB782" i="7"/>
  <c r="AC782" i="7"/>
  <c r="AE782" i="7"/>
  <c r="AG782" i="7"/>
  <c r="AI782" i="7"/>
  <c r="AJ782" i="7"/>
  <c r="AK782" i="7"/>
  <c r="AL782" i="7"/>
  <c r="AM782" i="7"/>
  <c r="AO782" i="7"/>
  <c r="E783" i="7"/>
  <c r="F783" i="7"/>
  <c r="G783" i="7"/>
  <c r="H783" i="7"/>
  <c r="AD783" i="7"/>
  <c r="AN783" i="7"/>
  <c r="I783" i="7"/>
  <c r="J783" i="7"/>
  <c r="AF783" i="7"/>
  <c r="K783" i="7"/>
  <c r="L783" i="7"/>
  <c r="AH783" i="7"/>
  <c r="M783" i="7"/>
  <c r="Y783" i="7"/>
  <c r="Z783" i="7"/>
  <c r="AA783" i="7"/>
  <c r="AB783" i="7"/>
  <c r="AC783" i="7"/>
  <c r="AE783" i="7"/>
  <c r="AG783" i="7"/>
  <c r="AI783" i="7"/>
  <c r="AJ783" i="7"/>
  <c r="AK783" i="7"/>
  <c r="AL783" i="7"/>
  <c r="AM783" i="7"/>
  <c r="AO783" i="7"/>
  <c r="E784" i="7"/>
  <c r="F784" i="7"/>
  <c r="G784" i="7"/>
  <c r="H784" i="7"/>
  <c r="AD784" i="7"/>
  <c r="AN784" i="7"/>
  <c r="I784" i="7"/>
  <c r="J784" i="7"/>
  <c r="AF784" i="7"/>
  <c r="K784" i="7"/>
  <c r="L784" i="7"/>
  <c r="AH784" i="7"/>
  <c r="M784" i="7"/>
  <c r="Y784" i="7"/>
  <c r="Z784" i="7"/>
  <c r="AA784" i="7"/>
  <c r="AB784" i="7"/>
  <c r="AC784" i="7"/>
  <c r="AE784" i="7"/>
  <c r="AG784" i="7"/>
  <c r="AI784" i="7"/>
  <c r="AJ784" i="7"/>
  <c r="AK784" i="7"/>
  <c r="AL784" i="7"/>
  <c r="AM784" i="7"/>
  <c r="AO784" i="7"/>
  <c r="E785" i="7"/>
  <c r="F785" i="7"/>
  <c r="F787" i="7"/>
  <c r="G785" i="7"/>
  <c r="H785" i="7"/>
  <c r="I785" i="7"/>
  <c r="J785" i="7"/>
  <c r="J787" i="7"/>
  <c r="J791" i="7"/>
  <c r="K785" i="7"/>
  <c r="L785" i="7"/>
  <c r="M785" i="7"/>
  <c r="Y785" i="7"/>
  <c r="AI785" i="7"/>
  <c r="AI787" i="7"/>
  <c r="Z785" i="7"/>
  <c r="AB785" i="7"/>
  <c r="AB787" i="7"/>
  <c r="AL787" i="7"/>
  <c r="AC785" i="7"/>
  <c r="AD785" i="7"/>
  <c r="AE785" i="7"/>
  <c r="AF785" i="7"/>
  <c r="AG785" i="7"/>
  <c r="AH785" i="7"/>
  <c r="AH787" i="7"/>
  <c r="AJ785" i="7"/>
  <c r="AM785" i="7"/>
  <c r="AN785" i="7"/>
  <c r="AO785" i="7"/>
  <c r="E786" i="7"/>
  <c r="Y786" i="7"/>
  <c r="F786" i="7"/>
  <c r="G786" i="7"/>
  <c r="H786" i="7"/>
  <c r="I786" i="7"/>
  <c r="AE786" i="7"/>
  <c r="AO786" i="7"/>
  <c r="J786" i="7"/>
  <c r="K786" i="7"/>
  <c r="AG786" i="7"/>
  <c r="L786" i="7"/>
  <c r="M786" i="7"/>
  <c r="AI786" i="7"/>
  <c r="Z786" i="7"/>
  <c r="AA786" i="7"/>
  <c r="AB786" i="7"/>
  <c r="AC786" i="7"/>
  <c r="AD786" i="7"/>
  <c r="AF786" i="7"/>
  <c r="AH786" i="7"/>
  <c r="AJ786" i="7"/>
  <c r="AK786" i="7"/>
  <c r="AL786" i="7"/>
  <c r="AM786" i="7"/>
  <c r="AN786" i="7"/>
  <c r="E787" i="7"/>
  <c r="G787" i="7"/>
  <c r="H704" i="7"/>
  <c r="H768" i="7"/>
  <c r="AD768" i="7"/>
  <c r="AN768" i="7"/>
  <c r="H787" i="7"/>
  <c r="I768" i="7"/>
  <c r="AE768" i="7"/>
  <c r="AO768" i="7"/>
  <c r="I787" i="7"/>
  <c r="J768" i="7"/>
  <c r="AF768" i="7"/>
  <c r="K768" i="7"/>
  <c r="AG768" i="7"/>
  <c r="K787" i="7"/>
  <c r="L787" i="7"/>
  <c r="L791" i="7"/>
  <c r="M768" i="7"/>
  <c r="M787" i="7"/>
  <c r="Z787" i="7"/>
  <c r="AC787" i="7"/>
  <c r="AM787" i="7"/>
  <c r="AD787" i="7"/>
  <c r="AE787" i="7"/>
  <c r="AO787" i="7"/>
  <c r="AF787" i="7"/>
  <c r="AG787" i="7"/>
  <c r="AI768" i="7"/>
  <c r="AJ787" i="7"/>
  <c r="AN787" i="7"/>
  <c r="E788" i="7"/>
  <c r="F789" i="7"/>
  <c r="G789" i="7"/>
  <c r="K789" i="7"/>
  <c r="F791" i="7"/>
  <c r="G791" i="7"/>
  <c r="H791" i="7"/>
  <c r="K791" i="7"/>
  <c r="R791" i="7"/>
  <c r="S791" i="7"/>
  <c r="T791" i="7"/>
  <c r="U791" i="7"/>
  <c r="V791" i="7"/>
  <c r="W791" i="7"/>
  <c r="X791" i="7"/>
  <c r="N19" i="29"/>
  <c r="H22" i="29"/>
  <c r="I22" i="29"/>
  <c r="K22" i="29"/>
  <c r="N22" i="29"/>
  <c r="N23" i="29"/>
  <c r="N24" i="29"/>
  <c r="N25" i="29"/>
  <c r="N26" i="29"/>
  <c r="N29" i="29"/>
  <c r="N30" i="29"/>
  <c r="N31" i="29"/>
  <c r="N32" i="29"/>
  <c r="N33" i="29"/>
  <c r="N34" i="29"/>
  <c r="N35" i="29"/>
  <c r="N36" i="29"/>
  <c r="N37" i="29"/>
  <c r="N38" i="29"/>
  <c r="N39" i="29"/>
  <c r="N111" i="29"/>
  <c r="N117" i="29"/>
  <c r="N120" i="29"/>
  <c r="N124" i="29"/>
  <c r="N125" i="29"/>
  <c r="N126" i="29"/>
  <c r="N127" i="29"/>
  <c r="N128" i="29"/>
  <c r="N130" i="29"/>
  <c r="N135" i="29"/>
  <c r="N136" i="29"/>
  <c r="N137" i="29"/>
  <c r="N140" i="29"/>
  <c r="N142" i="29"/>
  <c r="N144" i="29"/>
  <c r="N145" i="29"/>
  <c r="N146" i="29"/>
  <c r="N147" i="29"/>
  <c r="N148" i="29"/>
  <c r="N150" i="29"/>
  <c r="N152" i="29"/>
  <c r="N154" i="29"/>
  <c r="N155" i="29"/>
  <c r="N156" i="29"/>
  <c r="N157" i="29"/>
  <c r="N158" i="29"/>
  <c r="N161" i="29"/>
  <c r="N162" i="29"/>
  <c r="N165" i="29"/>
  <c r="N166" i="29"/>
  <c r="N168" i="29"/>
  <c r="N170" i="29"/>
  <c r="N171" i="29"/>
  <c r="N175" i="29"/>
  <c r="N177" i="29"/>
  <c r="N182" i="29"/>
  <c r="N184" i="29"/>
  <c r="N185" i="29"/>
  <c r="N187" i="29"/>
  <c r="N210" i="29"/>
  <c r="N229" i="29"/>
  <c r="N233" i="29"/>
  <c r="N234" i="29"/>
  <c r="N235" i="29"/>
  <c r="N250" i="29"/>
  <c r="N253" i="29"/>
  <c r="N265" i="29"/>
  <c r="N276" i="29"/>
  <c r="N281" i="29"/>
  <c r="N293" i="29"/>
  <c r="N299" i="29"/>
  <c r="N300" i="29"/>
  <c r="N303" i="29"/>
  <c r="N304" i="29"/>
  <c r="N307" i="29"/>
  <c r="N311" i="29"/>
  <c r="N312" i="29"/>
  <c r="N313" i="29"/>
  <c r="N314" i="29"/>
  <c r="N315" i="29"/>
  <c r="N319" i="29"/>
  <c r="N320" i="29"/>
  <c r="N322" i="29"/>
  <c r="N323" i="29"/>
  <c r="N346" i="29"/>
  <c r="N347" i="29"/>
  <c r="N348" i="29"/>
  <c r="N349" i="29"/>
  <c r="N353" i="29"/>
  <c r="N356" i="29"/>
  <c r="N360" i="29"/>
  <c r="N365" i="29"/>
  <c r="N408" i="29"/>
  <c r="N412" i="29"/>
  <c r="N416" i="29"/>
  <c r="N417" i="29"/>
  <c r="N477" i="29"/>
  <c r="N478" i="29"/>
  <c r="F495" i="29"/>
  <c r="F497" i="29"/>
  <c r="K497" i="29"/>
  <c r="F498" i="29"/>
  <c r="C501" i="29"/>
  <c r="C504" i="29"/>
  <c r="M505" i="29"/>
  <c r="M507" i="29"/>
  <c r="O706" i="7"/>
  <c r="P706" i="7"/>
  <c r="O704" i="7"/>
  <c r="P687" i="7"/>
  <c r="F321" i="29"/>
  <c r="M321" i="29"/>
  <c r="O321" i="29"/>
  <c r="M316" i="29"/>
  <c r="O316" i="29"/>
  <c r="N321" i="29"/>
  <c r="K498" i="29"/>
  <c r="D347" i="29"/>
  <c r="Q767" i="7"/>
  <c r="Q785" i="7"/>
  <c r="Q787" i="7"/>
  <c r="Q791" i="7"/>
  <c r="AA767" i="7"/>
  <c r="AK767" i="7"/>
  <c r="AL767" i="7"/>
  <c r="AA785" i="7"/>
  <c r="AK785" i="7"/>
  <c r="AL785" i="7"/>
  <c r="AA787" i="7"/>
  <c r="AK787" i="7"/>
  <c r="Y787" i="7"/>
  <c r="Z770" i="7"/>
  <c r="AJ770" i="7"/>
  <c r="AK770" i="7"/>
  <c r="O28" i="29"/>
  <c r="N28" i="29"/>
  <c r="I486" i="29"/>
  <c r="K765" i="7"/>
  <c r="I509" i="29"/>
  <c r="G765" i="7"/>
  <c r="F16" i="52"/>
  <c r="F87" i="52"/>
  <c r="F240" i="56"/>
  <c r="F310" i="56"/>
  <c r="D347" i="56"/>
  <c r="G312" i="56"/>
  <c r="H312" i="56"/>
  <c r="J765" i="7"/>
  <c r="D335" i="29"/>
  <c r="D473" i="29"/>
  <c r="E16" i="52"/>
  <c r="E87" i="52"/>
  <c r="G17" i="52"/>
  <c r="H17" i="52"/>
  <c r="E240" i="56"/>
  <c r="E310" i="56"/>
  <c r="G241" i="56"/>
  <c r="D240" i="56"/>
  <c r="D335" i="56"/>
  <c r="G339" i="56"/>
  <c r="H339" i="56"/>
  <c r="P748" i="7"/>
  <c r="I162" i="55"/>
  <c r="L34" i="51"/>
  <c r="N34" i="51"/>
  <c r="O34" i="51"/>
  <c r="G242" i="56"/>
  <c r="G123" i="56"/>
  <c r="H123" i="56"/>
  <c r="K31" i="51"/>
  <c r="C29" i="51"/>
  <c r="N19" i="51"/>
  <c r="G758" i="7"/>
  <c r="O553" i="7"/>
  <c r="P553" i="7"/>
  <c r="M28" i="51"/>
  <c r="F347" i="56"/>
  <c r="E136" i="7"/>
  <c r="I758" i="7"/>
  <c r="L19" i="51"/>
  <c r="L36" i="51"/>
  <c r="L37" i="51"/>
  <c r="G335" i="29"/>
  <c r="D16" i="52"/>
  <c r="U776" i="57"/>
  <c r="AE776" i="57"/>
  <c r="K785" i="57"/>
  <c r="AF776" i="57"/>
  <c r="T780" i="57"/>
  <c r="AD780" i="57"/>
  <c r="G125" i="52"/>
  <c r="G126" i="52"/>
  <c r="D126" i="52"/>
  <c r="D81" i="56"/>
  <c r="G85" i="56"/>
  <c r="H85" i="56"/>
  <c r="D52" i="56"/>
  <c r="G52" i="56"/>
  <c r="H52" i="56"/>
  <c r="G55" i="56"/>
  <c r="H55" i="56"/>
  <c r="D45" i="56"/>
  <c r="G48" i="56"/>
  <c r="H48" i="56"/>
  <c r="C335" i="29"/>
  <c r="K758" i="7"/>
  <c r="N20" i="7"/>
  <c r="O488" i="7"/>
  <c r="P488" i="7"/>
  <c r="O540" i="7"/>
  <c r="P540" i="7"/>
  <c r="H20" i="7"/>
  <c r="E335" i="56"/>
  <c r="E347" i="56"/>
  <c r="E348" i="56"/>
  <c r="E350" i="56"/>
  <c r="M36" i="51"/>
  <c r="M37" i="51"/>
  <c r="K335" i="29"/>
  <c r="K473" i="29"/>
  <c r="F234" i="56"/>
  <c r="E219" i="55"/>
  <c r="F758" i="7"/>
  <c r="H460" i="7"/>
  <c r="O460" i="7"/>
  <c r="P460" i="7"/>
  <c r="E14" i="56"/>
  <c r="E155" i="56"/>
  <c r="E234" i="56"/>
  <c r="G36" i="56"/>
  <c r="H36" i="56"/>
  <c r="O20" i="7"/>
  <c r="E758" i="7"/>
  <c r="Q764" i="57"/>
  <c r="Q789" i="57"/>
  <c r="U780" i="57"/>
  <c r="AE780" i="57"/>
  <c r="AF780" i="57"/>
  <c r="J785" i="57"/>
  <c r="T776" i="57"/>
  <c r="AD776" i="57"/>
  <c r="H626" i="7"/>
  <c r="H138" i="7"/>
  <c r="O138" i="7"/>
  <c r="P138" i="7"/>
  <c r="AD782" i="57"/>
  <c r="AG781" i="57"/>
  <c r="AD778" i="57"/>
  <c r="AG777" i="57"/>
  <c r="AD771" i="57"/>
  <c r="AD769" i="57"/>
  <c r="N785" i="57"/>
  <c r="X765" i="57"/>
  <c r="AH770" i="57"/>
  <c r="AF777" i="57"/>
  <c r="AF770" i="57"/>
  <c r="AF767" i="57"/>
  <c r="AE782" i="57"/>
  <c r="O785" i="57"/>
  <c r="AH781" i="57"/>
  <c r="AH779" i="57"/>
  <c r="AH777" i="57"/>
  <c r="AH775" i="57"/>
  <c r="M785" i="57"/>
  <c r="W766" i="57"/>
  <c r="AG766" i="57"/>
  <c r="L785" i="57"/>
  <c r="V765" i="57"/>
  <c r="V785" i="57"/>
  <c r="AF772" i="57"/>
  <c r="AF783" i="57"/>
  <c r="AF765" i="57"/>
  <c r="AE778" i="57"/>
  <c r="AE774" i="57"/>
  <c r="AE768" i="57"/>
  <c r="AE769" i="57"/>
  <c r="P764" i="57"/>
  <c r="J764" i="57"/>
  <c r="H552" i="57"/>
  <c r="I552" i="57"/>
  <c r="H693" i="57"/>
  <c r="I693" i="57"/>
  <c r="M613" i="7"/>
  <c r="H613" i="57"/>
  <c r="I613" i="57"/>
  <c r="M718" i="7"/>
  <c r="H716" i="57"/>
  <c r="I716" i="57"/>
  <c r="H719" i="57"/>
  <c r="I719" i="57"/>
  <c r="H199" i="7"/>
  <c r="O199" i="7"/>
  <c r="P199" i="7"/>
  <c r="M199" i="7"/>
  <c r="G209" i="55"/>
  <c r="H221" i="7"/>
  <c r="O221" i="7"/>
  <c r="P221" i="7"/>
  <c r="M749" i="7"/>
  <c r="H747" i="57"/>
  <c r="I747" i="57"/>
  <c r="H749" i="57"/>
  <c r="I749" i="57"/>
  <c r="M200" i="7"/>
  <c r="H200" i="57"/>
  <c r="I200" i="57"/>
  <c r="M78" i="7"/>
  <c r="D36" i="51"/>
  <c r="D37" i="51"/>
  <c r="F221" i="7"/>
  <c r="J221" i="7"/>
  <c r="J758" i="7"/>
  <c r="S43" i="53"/>
  <c r="Q47" i="53"/>
  <c r="Q52" i="53"/>
  <c r="S51" i="53"/>
  <c r="M382" i="7"/>
  <c r="L191" i="29"/>
  <c r="M239" i="7"/>
  <c r="L221" i="7"/>
  <c r="L758" i="7"/>
  <c r="R133" i="7"/>
  <c r="H382" i="7"/>
  <c r="J762" i="7"/>
  <c r="J760" i="7"/>
  <c r="J766" i="7"/>
  <c r="V765" i="7"/>
  <c r="V766" i="7"/>
  <c r="H504" i="29"/>
  <c r="H509" i="29"/>
  <c r="H486" i="29"/>
  <c r="H496" i="29"/>
  <c r="J509" i="29"/>
  <c r="L762" i="7"/>
  <c r="L760" i="7"/>
  <c r="J496" i="29"/>
  <c r="J486" i="29"/>
  <c r="L764" i="7"/>
  <c r="X765" i="7"/>
  <c r="X766" i="7"/>
  <c r="L766" i="7"/>
  <c r="J504" i="29"/>
  <c r="H378" i="7"/>
  <c r="O378" i="7"/>
  <c r="P378" i="7"/>
  <c r="O382" i="7"/>
  <c r="P382" i="7"/>
  <c r="M221" i="7"/>
  <c r="H221" i="57"/>
  <c r="I221" i="57"/>
  <c r="H239" i="57"/>
  <c r="I239" i="57"/>
  <c r="M378" i="7"/>
  <c r="H378" i="57"/>
  <c r="I378" i="57"/>
  <c r="H382" i="57"/>
  <c r="I382" i="57"/>
  <c r="H199" i="57"/>
  <c r="I199" i="57"/>
  <c r="N199" i="7"/>
  <c r="N196" i="7"/>
  <c r="AG785" i="57"/>
  <c r="L789" i="57"/>
  <c r="L764" i="57"/>
  <c r="M764" i="57"/>
  <c r="M789" i="57"/>
  <c r="N764" i="57"/>
  <c r="N789" i="57"/>
  <c r="H613" i="7"/>
  <c r="O613" i="7"/>
  <c r="P613" i="7"/>
  <c r="O626" i="7"/>
  <c r="P626" i="7"/>
  <c r="AE785" i="57"/>
  <c r="J789" i="57"/>
  <c r="E760" i="7"/>
  <c r="E789" i="7"/>
  <c r="F762" i="7"/>
  <c r="F760" i="7"/>
  <c r="Q765" i="7"/>
  <c r="Q766" i="7"/>
  <c r="G473" i="29"/>
  <c r="F335" i="29"/>
  <c r="I760" i="7"/>
  <c r="U765" i="7"/>
  <c r="U766" i="7"/>
  <c r="G504" i="29"/>
  <c r="G760" i="7"/>
  <c r="R765" i="7"/>
  <c r="R766" i="7"/>
  <c r="G766" i="7"/>
  <c r="I789" i="7"/>
  <c r="I791" i="7"/>
  <c r="C28" i="51"/>
  <c r="C36" i="51"/>
  <c r="C37" i="51"/>
  <c r="F29" i="51"/>
  <c r="F28" i="51"/>
  <c r="F36" i="51"/>
  <c r="F37" i="51"/>
  <c r="G240" i="56"/>
  <c r="I240" i="56"/>
  <c r="D310" i="56"/>
  <c r="G310" i="56"/>
  <c r="H310" i="56"/>
  <c r="F765" i="7"/>
  <c r="F764" i="7"/>
  <c r="D509" i="29"/>
  <c r="D496" i="29"/>
  <c r="D486" i="29"/>
  <c r="J764" i="7"/>
  <c r="G347" i="56"/>
  <c r="E509" i="29"/>
  <c r="E496" i="29"/>
  <c r="S47" i="53"/>
  <c r="T49" i="53"/>
  <c r="N382" i="7"/>
  <c r="N378" i="7"/>
  <c r="N758" i="7"/>
  <c r="L182" i="29"/>
  <c r="L335" i="29"/>
  <c r="L473" i="29"/>
  <c r="S53" i="53"/>
  <c r="S52" i="53"/>
  <c r="H78" i="57"/>
  <c r="M196" i="7"/>
  <c r="H196" i="57"/>
  <c r="I196" i="57"/>
  <c r="G219" i="55"/>
  <c r="G227" i="55"/>
  <c r="H209" i="55"/>
  <c r="H196" i="7"/>
  <c r="O196" i="7"/>
  <c r="P196" i="7"/>
  <c r="O764" i="57"/>
  <c r="O789" i="57"/>
  <c r="AH765" i="57"/>
  <c r="X785" i="57"/>
  <c r="AH785" i="57"/>
  <c r="P20" i="7"/>
  <c r="H219" i="55"/>
  <c r="E227" i="55"/>
  <c r="M765" i="7"/>
  <c r="K760" i="7"/>
  <c r="K762" i="7"/>
  <c r="W765" i="7"/>
  <c r="W766" i="7"/>
  <c r="I504" i="29"/>
  <c r="K766" i="7"/>
  <c r="C473" i="29"/>
  <c r="M335" i="29"/>
  <c r="O335" i="29"/>
  <c r="G45" i="56"/>
  <c r="H45" i="56"/>
  <c r="D14" i="56"/>
  <c r="D80" i="56"/>
  <c r="G80" i="56"/>
  <c r="H80" i="56"/>
  <c r="G81" i="56"/>
  <c r="H81" i="56"/>
  <c r="K764" i="57"/>
  <c r="AF785" i="57"/>
  <c r="K789" i="57"/>
  <c r="D87" i="52"/>
  <c r="G87" i="52"/>
  <c r="G16" i="52"/>
  <c r="I16" i="52"/>
  <c r="H136" i="7"/>
  <c r="O136" i="7"/>
  <c r="F348" i="56"/>
  <c r="N31" i="51"/>
  <c r="K29" i="51"/>
  <c r="K28" i="51"/>
  <c r="K36" i="51"/>
  <c r="K37" i="51"/>
  <c r="G335" i="56"/>
  <c r="H335" i="56"/>
  <c r="E486" i="29"/>
  <c r="G764" i="7"/>
  <c r="K764" i="7"/>
  <c r="I496" i="29"/>
  <c r="P136" i="7"/>
  <c r="O758" i="7"/>
  <c r="G14" i="56"/>
  <c r="H14" i="56"/>
  <c r="D155" i="56"/>
  <c r="I209" i="55"/>
  <c r="K219" i="55"/>
  <c r="I78" i="57"/>
  <c r="H756" i="57"/>
  <c r="I756" i="57"/>
  <c r="F473" i="29"/>
  <c r="G496" i="29"/>
  <c r="G486" i="29"/>
  <c r="I765" i="7"/>
  <c r="G509" i="29"/>
  <c r="F766" i="7"/>
  <c r="D789" i="7"/>
  <c r="D790" i="7"/>
  <c r="E791" i="7"/>
  <c r="N29" i="51"/>
  <c r="O31" i="51"/>
  <c r="F354" i="56"/>
  <c r="F350" i="56"/>
  <c r="M473" i="29"/>
  <c r="C496" i="29"/>
  <c r="C486" i="29"/>
  <c r="E765" i="7"/>
  <c r="C509" i="29"/>
  <c r="H758" i="7"/>
  <c r="M764" i="7"/>
  <c r="H224" i="55"/>
  <c r="H227" i="55"/>
  <c r="M758" i="7"/>
  <c r="L496" i="29"/>
  <c r="L486" i="29"/>
  <c r="L509" i="29"/>
  <c r="L506" i="29"/>
  <c r="H347" i="56"/>
  <c r="I762" i="7"/>
  <c r="E762" i="7"/>
  <c r="O765" i="7"/>
  <c r="M509" i="29"/>
  <c r="M496" i="29"/>
  <c r="M486" i="29"/>
  <c r="O473" i="29"/>
  <c r="N28" i="51"/>
  <c r="N36" i="51"/>
  <c r="N37" i="51"/>
  <c r="O29" i="51"/>
  <c r="H765" i="7"/>
  <c r="H764" i="7"/>
  <c r="F509" i="29"/>
  <c r="F496" i="29"/>
  <c r="F486" i="29"/>
  <c r="E354" i="56"/>
  <c r="M760" i="7"/>
  <c r="M762" i="7"/>
  <c r="M766" i="7"/>
  <c r="K504" i="29"/>
  <c r="K496" i="29"/>
  <c r="K486" i="29"/>
  <c r="K509" i="29"/>
  <c r="H762" i="7"/>
  <c r="H760" i="7"/>
  <c r="H766" i="7"/>
  <c r="T765" i="7"/>
  <c r="T766" i="7"/>
  <c r="F504" i="29"/>
  <c r="M789" i="7"/>
  <c r="E764" i="7"/>
  <c r="E766" i="7"/>
  <c r="I764" i="7"/>
  <c r="I766" i="7"/>
  <c r="D234" i="56"/>
  <c r="G155" i="56"/>
  <c r="H155" i="56"/>
  <c r="O762" i="7"/>
  <c r="P762" i="7"/>
  <c r="O760" i="7"/>
  <c r="P758" i="7"/>
  <c r="O791" i="7"/>
  <c r="P791" i="7"/>
  <c r="M791" i="7"/>
  <c r="O766" i="7"/>
  <c r="P766" i="7"/>
  <c r="P765" i="7"/>
  <c r="G234" i="56"/>
  <c r="J231" i="56"/>
  <c r="D348" i="56"/>
  <c r="D350" i="56"/>
  <c r="D354" i="56"/>
  <c r="H234" i="56"/>
  <c r="G348" i="56"/>
  <c r="G354" i="56"/>
  <c r="G350" i="56"/>
</calcChain>
</file>

<file path=xl/comments1.xml><?xml version="1.0" encoding="utf-8"?>
<comments xmlns="http://schemas.openxmlformats.org/spreadsheetml/2006/main">
  <authors>
    <author>budget-tanya</author>
  </authors>
  <commentList>
    <comment ref="E59" authorId="0">
      <text>
        <r>
          <rPr>
            <b/>
            <sz val="9"/>
            <color indexed="81"/>
            <rFont val="Tahoma"/>
            <charset val="204"/>
          </rPr>
          <t>budget-tanya:</t>
        </r>
        <r>
          <rPr>
            <sz val="9"/>
            <color indexed="81"/>
            <rFont val="Tahoma"/>
            <charset val="204"/>
          </rPr>
          <t xml:space="preserve">
дор-12000000,                 природоохоронні- 10000000</t>
        </r>
      </text>
    </comment>
  </commentList>
</comments>
</file>

<file path=xl/sharedStrings.xml><?xml version="1.0" encoding="utf-8"?>
<sst xmlns="http://schemas.openxmlformats.org/spreadsheetml/2006/main" count="4386" uniqueCount="1639">
  <si>
    <t>Регіональна програма формування екологічної мережі Львівської області на 2007-2015 роки</t>
  </si>
  <si>
    <t>Програма забезпечення діяльності регіональних ландшафтних парків області на 2011-2013 роки</t>
  </si>
  <si>
    <t>Програма проведення обласного конкурсу мікропроектів місцевого розвитку на 2011-2015 роки</t>
  </si>
  <si>
    <t>Програма промислового використання місцевих  природних і супутніх джерел енергії</t>
  </si>
  <si>
    <t>001</t>
  </si>
  <si>
    <t>Програма щодо організації та проведення протокольних і масових заходів</t>
  </si>
  <si>
    <t>"Міжнародне співробітництво" на 2013-2015 роки</t>
  </si>
  <si>
    <t>Регіональна програма з міжнародного та транскордонного співробітництва, європейської інтеграції на 2012-2014 роки</t>
  </si>
  <si>
    <t>Регіональна програма співпраці із закордонними українцями, трудовими мігрантами та реемігрантами на 2013 - 2015 роки</t>
  </si>
  <si>
    <t>"Туризм Львівщини" на 2013-2015 роки</t>
  </si>
  <si>
    <t>Програма енергозбереження для бюджетної сфери Львівщини на 2010-2015 роки</t>
  </si>
  <si>
    <t>Програма з проведення бюджетного моніторингу та вдосконалення показників оцінювання ефективності використання бюджетних коштів</t>
  </si>
  <si>
    <t>Програма виплати одноразової адресної  допомоги малозабезпеченим громадянам області за розпорядженнями голови обласної ради</t>
  </si>
  <si>
    <t>"Дороги Львівщини" на 2013-2015 роки</t>
  </si>
  <si>
    <t>Програма з будівництва, реконструкції, ремонту та утримання автомобільних доріг Львівської області на 2013-2015 роки</t>
  </si>
  <si>
    <t>Комплексна програма соціального захисту окремих категорій громадян Львівської області в частині виплати адресної грошової допомоги ветеранам УПА, в тому числі компенсаційні виплати на пільговий проїзд на міжміських внутрішньообласних маршрутах</t>
  </si>
  <si>
    <t>Комплексна програма соціальної підтримки окремих категорій громадян Львівської області в частині відшкодування витрат на поховання учасників національно - визвольних змагань</t>
  </si>
  <si>
    <t>Програма з надання одноразової адресної допомоги найбільш незахищеним громадянам, реабілітованим за ст. 3 Закону України "Про реабілітацію жертв політичних репресій на Україні" та потерпілим від політичних репресій (дітям політв"язнів)</t>
  </si>
  <si>
    <t>Програма фінансової підтримки підприємств агропромислового комплексу через механізм здешевлення кредитів на 2012 рік</t>
  </si>
  <si>
    <t>Програма розроблення містобудівної документації у Львівській області на 2011-2015 роки</t>
  </si>
  <si>
    <t>Програма розвитку молочного і м"ясного скотарства та свинарства на 2011 рік</t>
  </si>
  <si>
    <t>Програма розвитку земельних відносин у Львівській області на 2011-2015 роки</t>
  </si>
  <si>
    <t>заходи з підготовки до продажу майна обласної комунальної власності</t>
  </si>
  <si>
    <t>Регіональна програма забезпечення житлом дітей-сиріт та дітей, позбавлених батьківського піклування, та осіб з їх числа у Львівській області</t>
  </si>
  <si>
    <t>Обласна цільова програма з організації рятування на водах Львівської області на 2014 рік</t>
  </si>
  <si>
    <t>Програма фінансування робіт, пов"язаних із будівництвом, реконструкцією, ремонтом та утриманням автомобільних доріг на 2014-2016 роки</t>
  </si>
  <si>
    <t>Програми в галузі житлово-комунального гоподарства</t>
  </si>
  <si>
    <t>КФКВ 250354</t>
  </si>
  <si>
    <t xml:space="preserve">Субвенції  з державного бюджету місцевим бюджетам за спеціальним фондом на будівництво, реконструкцію, ремонт та утримання вулиць і доріг комунальної власності у населених пунктах </t>
  </si>
  <si>
    <t>Департамент житлово-комунального господарства</t>
  </si>
  <si>
    <t>65</t>
  </si>
  <si>
    <t>Департамент розвитку інфраструктури, дорожнього господарства та паливно-енергетичного комплексу</t>
  </si>
  <si>
    <t>6526650</t>
  </si>
  <si>
    <t>Авансові внески з податку на прибуток підприємств та фінансових установ комунальної власності</t>
  </si>
  <si>
    <t>Частина чистого прибутку (доходу) комунальних унітарних підприємств та їх об'єднань,  що вилучається до відповідного місцевого бюджету</t>
  </si>
  <si>
    <t>КФКВ 250382</t>
  </si>
  <si>
    <t xml:space="preserve">фінансування Програм-переможців Всеукраїнського конкурсу проектів та програм розвитку місцевого самоврядування </t>
  </si>
  <si>
    <t>Субвенція на утримання об’єктів спільного користування чи ліквідацію негативних наслідків діяльності об’єктів спільного користування</t>
  </si>
  <si>
    <t>Цільова обласна програма забезпечення підготовки високопрофесійних кадрів для установ та закладів освіти</t>
  </si>
  <si>
    <t>Регіональна цільова економічна програма енергоефективності у Львівській області на 2013-2015 роки</t>
  </si>
  <si>
    <t>Цільова програма ведення містобудівного кадастру у Львівській області на 2014-2016 роки</t>
  </si>
  <si>
    <t>Субвенція з державного бюджету місцевим бюджетам на виплату допомоги сім’ям з дітьми, малозабезпеченим сім’ям, інвалідам з дитинства, дітям-інвалідам та тимчасової державної допомоги дітям</t>
  </si>
  <si>
    <t>Субвенція з місцевого бюджету державному бюджету на виконання програм соціально-економічного та культурного розвитку регіонів (видатки на виконання програми приватизації об"єктів обласної комунальної власності)</t>
  </si>
  <si>
    <t>Старосамбірська РДА</t>
  </si>
  <si>
    <t>Яворівська РДА</t>
  </si>
  <si>
    <t>Субвенція з державного бюджету місцевим бюджетам на надання пільг з послуг зв'язку, інших передбачених законодавством пільг (крім пільг на одержання ліків, зубопротезування, оплату електроенергії, природного і скрапленого газу на побутові потреби, твердого та рідкого пічного побутового палива,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нечистот), на компенсацію витрат частини доходів у зв"язку з відміною податку з власників транспортних засобів та інших самохідних машин і механізмів та відповідним збільшенням ставок акцизного податку з пального і на компенсацію за пільговий проїзд окремих категорій громадян</t>
  </si>
  <si>
    <t>у тому числі на заходи з енергозбереження для бюджетних установ</t>
  </si>
  <si>
    <t>Фінансова підтримка громадських організацій інвалідів і ветеранів</t>
  </si>
  <si>
    <t>Субвенція з державного бюджету місцевим бюджетам на оснащення сільських амбулаторій та фельдшерсько-акушерських пунктів, придбання автомобілів швидкої медичної допомоги для сільських закладів охорони здоров"я</t>
  </si>
  <si>
    <t xml:space="preserve">Інші заходи, пов"язані з економічною діяльністю </t>
  </si>
  <si>
    <t>250337</t>
  </si>
  <si>
    <t>250339</t>
  </si>
  <si>
    <t>у тому числі на:</t>
  </si>
  <si>
    <t>"Стратегія подолання материнської і дитячої смертності у Львівській області на 2007-2011 роки"</t>
  </si>
  <si>
    <t xml:space="preserve">з них: на реалізацію обласних програм поповнення та збереження бібліотечних фондів  </t>
  </si>
  <si>
    <t>забезпечення навчальних закладів (у тому числі шкіл - новобудов) шкільним обладнанням</t>
  </si>
  <si>
    <t>з них; для комунального підприємства Львівської обласної ради "Управління капітального будівництва"</t>
  </si>
  <si>
    <t xml:space="preserve">Інші видатки на соціальний захист населення </t>
  </si>
  <si>
    <t>будівництво, реконструкцію, ремонт і утримання автомобільних доріг загального користування місцевого значення</t>
  </si>
  <si>
    <t xml:space="preserve"> видання книг з нагоди відзначення 60-ї річниці початку примусового виселення українців з етнічних земель Лемківщини, Надсяння, Підляшшя та Холмщини, а також під час операції "Вісла"</t>
  </si>
  <si>
    <t>Субвенція з державного бюджету місцевим бюджетам на придбання витратних матеріалів для родопомічних, дитячих, хірургічних, реанімаційних закладів (відділень), відділень невідкладної допомоги та лабораторій</t>
  </si>
  <si>
    <t>Клініки науково-дослідних інститутів</t>
  </si>
  <si>
    <t>Заходи з оздоровлення та відпочинку дітей, крім заходів з оздоровлення дітей, що здійснюються за рахунок коштів на оздоровлення громадян, які постраждали внаслідок Чорнобильської катастрофи</t>
  </si>
  <si>
    <t>І</t>
  </si>
  <si>
    <t>збереження, відтворення та забезпечення раціональне використання земель</t>
  </si>
  <si>
    <t>Благоустрiй мiст, сіл, селищ</t>
  </si>
  <si>
    <t>Субвенція з державного бюджету для забезпечення спеціальним обладнанням навчальних закладів для дітей, які потребують корекції фізичного та (або) розумового розвитку</t>
  </si>
  <si>
    <t>240605</t>
  </si>
  <si>
    <t>180109</t>
  </si>
  <si>
    <t>Програми    стабілізації    та соціально-економічного розвитку територій</t>
  </si>
  <si>
    <t xml:space="preserve"> комунальні послуги та енергоносії</t>
  </si>
  <si>
    <t>250908</t>
  </si>
  <si>
    <t>250913</t>
  </si>
  <si>
    <t>52</t>
  </si>
  <si>
    <t xml:space="preserve">Служба у справах дітей </t>
  </si>
  <si>
    <t>Санаторії медичної реабілітації</t>
  </si>
  <si>
    <t>за головними розпорядниками коштів</t>
  </si>
  <si>
    <t>110102</t>
  </si>
  <si>
    <t>компенсація відсотків за користування кредитами, наданими для закупівлі зерна в стабілізаційний фонд</t>
  </si>
  <si>
    <t>Видатки на утримання об'єктiв соцiальної сфери підприємств, що передаються до комунальної власностi</t>
  </si>
  <si>
    <t>Тепловi мережi</t>
  </si>
  <si>
    <t xml:space="preserve"> Регіональна програма забезпечення житлом дітей-сиріт та дітей, позбавлених батьківського піклування, у Львівській області на 2013-2015 роки</t>
  </si>
  <si>
    <t>Програми і централізовані заходи профілактики СНІДу</t>
  </si>
  <si>
    <t>Забезпечення централізованих заходів з лікування хворих на цукровий та нецукровий діабет</t>
  </si>
  <si>
    <t>Централізовані заходи з лікування онкологічних хворих</t>
  </si>
  <si>
    <t>Ремонтно-будівельні організації житлово-комунального господарства</t>
  </si>
  <si>
    <t>заходи щодо посилення соціального захисту багатодітних сімей, що проживають на території Львівської області</t>
  </si>
  <si>
    <t>програми дофінансування на конкурентних засадах мікропроектів щодо покращення якості життя вразливих груп населення області, що фінансуються з різних джерел</t>
  </si>
  <si>
    <t>180107</t>
  </si>
  <si>
    <t>"Забезпечення медикаментами хворих на гострий інфаркт міокарда"</t>
  </si>
  <si>
    <t>реалізацію програми з питань безпеки та правопорядку на період підготовки та проведення в Україні фінальної частини чемпіонату Європи 2012 року з футболу</t>
  </si>
  <si>
    <t xml:space="preserve">від                                №             </t>
  </si>
  <si>
    <t xml:space="preserve">від                           №             </t>
  </si>
  <si>
    <t>Державна  соціальна допомога малозабезпеченим сім'ям</t>
  </si>
  <si>
    <t>Виплата  компенсації реабілітованим</t>
  </si>
  <si>
    <t>забезпечення співфінансування на об"єкти, фінансування яких проводиться за рахунок коштів державного бюджету</t>
  </si>
  <si>
    <t xml:space="preserve">програма капітального будівництва </t>
  </si>
  <si>
    <t>Комплексна програма профілактики і запобігання поширенню пиятцтва та алкоголізму серед населення Львівської області на 2011-2014 роки</t>
  </si>
  <si>
    <t>Обласна програма з покращення соціального захисту багатодітних сімей, які проживають на території Львівської області</t>
  </si>
  <si>
    <t>Програма розвитку української мови, української культури та історичної свідомості громадян України на території Львівської області на 2012-2014 роки (у новій редакції)</t>
  </si>
  <si>
    <t>Програма поповнення бібліотечних фондів Львівської області</t>
  </si>
  <si>
    <t>Надходження від збору за проведення гастрольних заходів</t>
  </si>
  <si>
    <t>Інші надходження до фондів охорони навколищнього природного середовища</t>
  </si>
  <si>
    <t>Грошові стягнення за шкоду, заподіяну порушенням законодавства про охорону навколишнього природного середовища внаслідок господарської та іншої діяльності</t>
  </si>
  <si>
    <t>Доходи від операцій з кредитування та надання гарантій</t>
  </si>
  <si>
    <t>Відсотки  за користування позиками,  які  надавалися  з  місцевих бюджетів</t>
  </si>
  <si>
    <t>Власні надходження бюджетних установ</t>
  </si>
  <si>
    <t>Надходження від плати за послуги, що надаються бюджетними установами згідно із законодавством</t>
  </si>
  <si>
    <t>Плата за послуги, що надаються бюджетними установами згідно з їх основною діяльністю</t>
  </si>
  <si>
    <t>Обласна програма щодо організації та проведення протокольних і масових заходів</t>
  </si>
  <si>
    <t xml:space="preserve">Обласна програма відзначення у Львівській області свят державного, регіонального, місцевого значення, пам"ятних дат та історичних подій </t>
  </si>
  <si>
    <t>Регіональна програма інноваційного розвитку Львівської області</t>
  </si>
  <si>
    <t xml:space="preserve">Регіональна програма розвитку виставкової діяльності, в тому числі міжнародної </t>
  </si>
  <si>
    <t xml:space="preserve">Програма фінансування робіт, пов"язаних із будівництвом, реконструкцією, ремонтом та утриманням автомобільних доріг </t>
  </si>
  <si>
    <t>На встановлення пам"ятних знаків та меморіальних хрестів борцям за волю України</t>
  </si>
  <si>
    <t>фінансування Програми реалізації мікропроектів у рамках проекту "Сприяння розвитку соціальної інфраструктури"</t>
  </si>
  <si>
    <t>Програма реалізації мікропроектів у рамках проекту "Сприяння розвитку соціальної інфраструктури"</t>
  </si>
  <si>
    <t xml:space="preserve">Програма розвитку мережі комунальних аптек у Львівській області та забезпечення населення Львівщини соціальними ліками </t>
  </si>
  <si>
    <t>на реалізацію програми енергозбереження для бюджетної сфери Львівщини на 2010-2015 роки</t>
  </si>
  <si>
    <t>з них: на проведення обласного конкурсу мікропроектів місцевого розвитку</t>
  </si>
  <si>
    <t>Програма енергозбереження для бюджетної сфери Львівщини</t>
  </si>
  <si>
    <t>1017410</t>
  </si>
  <si>
    <t xml:space="preserve">Cубвенція із спеціального фонду обласного бюджету на: </t>
  </si>
  <si>
    <t>Інші видатки (організація та проведення протокольних і масових заходів; сплата членських внесків до асоціацій)</t>
  </si>
  <si>
    <t>Діагностика, лікування та реабілітація осіб, які постраждали внаслідок (під час) Революції Гідності, на 2014-2015 роки</t>
  </si>
  <si>
    <t>виплата обласної премії імені Героя України Степана Бандери</t>
  </si>
  <si>
    <t>"Забезпечення діяльності органів управління на 2013-2015 роки"</t>
  </si>
  <si>
    <t>з них: на проведення обласного конкурсу журналістики "Четверта влада"</t>
  </si>
  <si>
    <t>"Збереження навколишнього природного середовища Львівської області на 2013-2020 роки"</t>
  </si>
  <si>
    <t>Програма підтримки кінематографії</t>
  </si>
  <si>
    <t>Державна соціальна допомога інвалідам з дитинства та дітям-інвалідам</t>
  </si>
  <si>
    <t>130204</t>
  </si>
  <si>
    <t>придбання та забезпечення ЗНЗ підручником "Основи християнської етики" для 8 класу</t>
  </si>
  <si>
    <t>Будівництво житла та об'єктів інфраструктури для кримськотатарського народу та осіб інших національностей, які повертаються в Україну</t>
  </si>
  <si>
    <t>реалізацію програми виплати одноразової адресної  допомоги малозабезпеченим громадянам області за розпорядженнями голови обласної ради</t>
  </si>
  <si>
    <r>
      <t>Субвенція з державного бюджету місцевим бюджетам на виплату державної соціальної допомоги на дітей-сиріт та дітей, позбавлених батьківського піклування, грошового забезпечення батькам-вихователям і прийомним батькам за надання соціальних послуг у дитячих будинках сімейного типу та прийомних сім</t>
    </r>
    <r>
      <rPr>
        <sz val="11"/>
        <color indexed="8"/>
        <rFont val="Arial Cyr"/>
        <charset val="204"/>
      </rPr>
      <t>’</t>
    </r>
    <r>
      <rPr>
        <sz val="11"/>
        <color indexed="8"/>
        <rFont val="Times New Roman"/>
        <family val="1"/>
        <charset val="204"/>
      </rPr>
      <t>ях за принципом "гроші ходять за дитиною"</t>
    </r>
  </si>
  <si>
    <t>у тому числі   часткова компенсація на борошно для виготовлення соціально-значимих сортів хліба</t>
  </si>
  <si>
    <t xml:space="preserve">Централізовані бухгалтерії </t>
  </si>
  <si>
    <t>Групи централізованого господарського обслуговування</t>
  </si>
  <si>
    <t>Програми і централізовані заходи з імунопрофілактики</t>
  </si>
  <si>
    <t>Програми і централізовані заходи боротьби з туберкульозом</t>
  </si>
  <si>
    <t>розробку та реалізацію програми промислового використання місцевих природних і супутніх джерел енергії</t>
  </si>
  <si>
    <t>заходи щодо реалізації у 2008 році Загальнодержавної програми протидії захворюванню на туберкульоз</t>
  </si>
  <si>
    <t>надання допомоги малозабезпеченим громадянам області за розпорядженнями голови облдержадміністрації</t>
  </si>
  <si>
    <t>з них: на відзначення 110-річчя Львівського академічного театру опери та балету ім. С. Крущельницької</t>
  </si>
  <si>
    <t>з них на: виконання програми сприяння бізнесу та інвестиціям у Львівській області "Назустріч інвесторам" на 2006-2010 роки</t>
  </si>
  <si>
    <t>реалізацію програми щодо формування державного замовлення на підготовку робітничих кадрів</t>
  </si>
  <si>
    <t>видатки за рахунок коштів субвенції з державного бюджету місцевим бюджетам на будівництво, реконструкцію, ремонт та утримання вулиць і доріг комунальної власності у населених пунктах</t>
  </si>
  <si>
    <t>видатки за рахунок коштів від надходжень збору за першу реєстрацію транспортних засобів</t>
  </si>
  <si>
    <t>7317410</t>
  </si>
  <si>
    <t>у тому числі:</t>
  </si>
  <si>
    <t>виплату допомоги на догляд за інвалідом І чи ІІ групи внаслідок психічного розладу</t>
  </si>
  <si>
    <t>2414040</t>
  </si>
  <si>
    <t>1513320</t>
  </si>
  <si>
    <t>1513360</t>
  </si>
  <si>
    <t>1513370</t>
  </si>
  <si>
    <t>1513910</t>
  </si>
  <si>
    <t>у тому числі на: реалізацію програми з передачі відомчого житлового фонду та об"єктів житлово-комунального господарства у комунальну власність</t>
  </si>
  <si>
    <t>Будинки-інтернати (пансіонати) для літніх людей та інвалідів системи соціального захисту</t>
  </si>
  <si>
    <t>Управління промислової політики</t>
  </si>
  <si>
    <t>240602</t>
  </si>
  <si>
    <t>240604</t>
  </si>
  <si>
    <t>Субвенція з державного бюджету місцевим бюджетам на забезпечення загальносвітніх навчальних закладів сучасними технічними засобами навчання з природничо-математичних і технологічних дисциплін</t>
  </si>
  <si>
    <t>Субвенція з державного бюджету місцевим бюджетам на утримання дітей-сиріт та дітей, позбавлених батьківського піклування, в дитячих будинках сімейного типу та прийомних сім"ях</t>
  </si>
  <si>
    <t>250312</t>
  </si>
  <si>
    <t>250314</t>
  </si>
  <si>
    <t>250318</t>
  </si>
  <si>
    <t>250351</t>
  </si>
  <si>
    <t>250354</t>
  </si>
  <si>
    <t>005</t>
  </si>
  <si>
    <t>130114</t>
  </si>
  <si>
    <t>130115</t>
  </si>
  <si>
    <t>160600</t>
  </si>
  <si>
    <t>проведення аварійно-відновлювальних робіт по водопостачанню та водовідведенню по вул. Грушевського в м. Бориславі</t>
  </si>
  <si>
    <t>Проведення заходів з нетрадиційних видів спорту і масових заходів з фізичної культури (які проводяться громадськими організаціями фізкультурно-спортивної спрямованості)</t>
  </si>
  <si>
    <t>на забезпечення житлом спортсмена Сосновського Д.Д.</t>
  </si>
  <si>
    <t>Допомога малозабезпеченим сім'ям з дітьми та державна соціальна                допомога інвалідам   з   дитинства   та дітям-інвалідам</t>
  </si>
  <si>
    <t>Допомога     у      зв'язку      з вагітністю та пологами</t>
  </si>
  <si>
    <t>примусове лікування хворих у спецвідділеннях Волинської психіатричної лікарні</t>
  </si>
  <si>
    <t>з них на: проведення доплат колективу симфонічного оркестру Львівської обласної філармонії у зв"язку з наданням статусу академічного</t>
  </si>
  <si>
    <t>реалізацію програми вшанування національної пам"яті</t>
  </si>
  <si>
    <t>фінансування Програми обласного конкурсу мікропроектів в галузі освіти</t>
  </si>
  <si>
    <t>Поліклініки і амбулаторії (крім спеціалізованих поліклінік та загальних і спеціалізованих стоматологічних поліклінік)</t>
  </si>
  <si>
    <t>250319</t>
  </si>
  <si>
    <t>250325</t>
  </si>
  <si>
    <t>250331</t>
  </si>
  <si>
    <t>програма по забезпеченню підготовки кадрів у здійсненні профілактичної роботи щодо протипожежного захисту</t>
  </si>
  <si>
    <t>Дитячі будинки ( в т.ч. сімейного типу, прийомні сім'ї)</t>
  </si>
  <si>
    <t>у тому числі на: надання допомоги малозабезпеченим громадянам області за розпорядженнями голови обласної ради за власним поданням (228 т.грн.), поданням депутатів (7200 тис.грн.)</t>
  </si>
  <si>
    <t>підтримку та супровід Програми з енергозбереження</t>
  </si>
  <si>
    <t>фінансування Програми обласного конкурсу мікропроектів місцевого розвитку на 2011-2015 роки</t>
  </si>
  <si>
    <t>Контроль</t>
  </si>
  <si>
    <t>заг.ф</t>
  </si>
  <si>
    <t>Фінансування енергозберігаючих заходів (сплата відсотків за надані фінансово-банківськими установами позики населенню на енергоощадні заходи, підтримка та супровід Програми з енергозбереження)</t>
  </si>
  <si>
    <t>"Енергоощадність" на 2013-2015 роки</t>
  </si>
  <si>
    <t>Проект ЕС/ПРООН "Місцевий розвиток орієнтований на громаду"</t>
  </si>
  <si>
    <t>"Економіка Львівщини" на 2011-2015 роки</t>
  </si>
  <si>
    <t>Регіональна програма розвитку малого підприємництва у Львівській області</t>
  </si>
  <si>
    <t>Програма інвестиційного розвитку Львівської області на 2011-2015 роки</t>
  </si>
  <si>
    <t>240601</t>
  </si>
  <si>
    <t>Виконання програми природоохоронних заходів</t>
  </si>
  <si>
    <t>на фінансування Програми обласного конкурсу мікропроектів місцевого розвитку на 2011-2015 роки</t>
  </si>
  <si>
    <t>"Надання замісної ниркової терапії у Львівській області на 2008 рік"</t>
  </si>
  <si>
    <t>"Високоспеціалазована офтальмологічна допомога хворим з патологією переднього та заднього відтинку ока"</t>
  </si>
  <si>
    <t>Професійно-технічні заклади освіти</t>
  </si>
  <si>
    <t>з них:  видавничий центр "Пам"ять"</t>
  </si>
  <si>
    <t>250388</t>
  </si>
  <si>
    <t>Субвенція з державного бюджету місцевим бюджетам на надання центрами соціальних служб для сім"ї, дітей та молоді, соціальних послуг ін"єкційним споживачам наркотиків та членам їх сімей</t>
  </si>
  <si>
    <t>реалізацію програми "Стратегія подолання материнської та дитячої смертності у Львівській області на 2007-2011 роки"</t>
  </si>
  <si>
    <t>Самбірський</t>
  </si>
  <si>
    <t>Сколівський</t>
  </si>
  <si>
    <t>Сокальський</t>
  </si>
  <si>
    <t>Старосамбірський</t>
  </si>
  <si>
    <t>Стрийський</t>
  </si>
  <si>
    <t>Турківський</t>
  </si>
  <si>
    <t>Яворівський</t>
  </si>
  <si>
    <t>Разом по бюджетах районів</t>
  </si>
  <si>
    <r>
      <t>Кам</t>
    </r>
    <r>
      <rPr>
        <sz val="16"/>
        <rFont val="Arial"/>
        <family val="2"/>
        <charset val="204"/>
      </rPr>
      <t>׳</t>
    </r>
    <r>
      <rPr>
        <sz val="16"/>
        <rFont val="Times New Roman"/>
        <family val="1"/>
        <charset val="204"/>
      </rPr>
      <t>янка.- Бузький</t>
    </r>
  </si>
  <si>
    <t>Видатки на виконання програми приватизації об"єктів комунальної власності</t>
  </si>
  <si>
    <t>Виконком Львівської міської ради</t>
  </si>
  <si>
    <t>Виконком Бориславської міської ради</t>
  </si>
  <si>
    <t>Субвенція на відшкодування витрат, пов"язаних із наданням соціальних гарантій громадянам, які постраждали внаслідок Чорнобильської катастрофи</t>
  </si>
  <si>
    <t>180404</t>
  </si>
  <si>
    <t>Підтримка малого та середнього підприємництва</t>
  </si>
  <si>
    <t>210105</t>
  </si>
  <si>
    <t>200200</t>
  </si>
  <si>
    <t>Охорона i рацiональне використання земель</t>
  </si>
  <si>
    <t>Сколівська РДА</t>
  </si>
  <si>
    <t>Стрийська РДА</t>
  </si>
  <si>
    <t xml:space="preserve">Фінансування енергозберігаючих заходів </t>
  </si>
  <si>
    <t>Збереження, розвиток, реконструкція та реставрація пам"яток історії та культури</t>
  </si>
  <si>
    <t>з них видатки пов"язані з заходами щодо енергозбереження</t>
  </si>
  <si>
    <t>Керуючий справами (керівник справ) обласної ради</t>
  </si>
  <si>
    <t xml:space="preserve">Назва головного розпорядника коштів / Найменування коду тимчасової класифікації видатків та кредитування місцевих бюджетів </t>
  </si>
  <si>
    <t>реалізацію програми забезпечення захисту інтересів громадянина, держави та суспільства на державному кордоні України в межах Львівської області на 2008-2010 роки</t>
  </si>
  <si>
    <t>реалізацію Комплексної програми соціального захисту окремих категорій громадян Львівської області в частині відшкодування витрат на поховання учасників національно-визвольних змагань</t>
  </si>
  <si>
    <t>Адміністративне управління</t>
  </si>
  <si>
    <t>Субвенція з державного бюджету місцевим бюджетам на проведення виборів депутатів Верховної Ради Автономної Республіки Крим, місцевих рад та сільських, селищних, міських голів</t>
  </si>
  <si>
    <t>081009</t>
  </si>
  <si>
    <t>від 11.02.2014 № 954</t>
  </si>
  <si>
    <t>Повернення інших внутрішніх кредитів</t>
  </si>
  <si>
    <t>Надання державного пільгового кредиту індивідуальним сільським забудовникам</t>
  </si>
  <si>
    <t>Повернення коштів, наданих для кредитування індивідуальних сільських забудовників</t>
  </si>
  <si>
    <t>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</si>
  <si>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r>
      <t xml:space="preserve"> виплату державної соціальної допомоги на дітей-сиріт та дітей, позбавлених батьківського піклування, грошового забезпечення батькам-вихователям і прийомним батькам за надання соціальних послуг у дитячих будинках сімейного типу та прийомних сім</t>
    </r>
    <r>
      <rPr>
        <sz val="14"/>
        <rFont val="Arial Cyr"/>
        <charset val="204"/>
      </rPr>
      <t>’</t>
    </r>
    <r>
      <rPr>
        <sz val="14"/>
        <rFont val="Times New Roman"/>
        <family val="1"/>
        <charset val="204"/>
      </rPr>
      <t>ях за принципом "гроші ходять за дитиною"</t>
    </r>
  </si>
  <si>
    <t>Додаткові дотації з державного бюджету на</t>
  </si>
  <si>
    <t xml:space="preserve"> вирівнювання фінансової забезпеченості місцевих бюджетів</t>
  </si>
  <si>
    <t xml:space="preserve"> виплату надбавок за обсяг та якість виконаної роботи медичним працівникам закладів охорони здоров"я, що надають первинну медичну допомогу, у непілотних регіонах</t>
  </si>
  <si>
    <t>Регіональна програма розбудови сфери охорони культурної спадщини Львівської області на 2013-2015 роки</t>
  </si>
  <si>
    <t>Комплексна програма соціальної підтримки окремих категорій громадян Львівської області на 2014-2017 роки в частині відшкодування витрат на поховання учасників національно-визвольних змагань</t>
  </si>
  <si>
    <t>Проведення заходів відповідно до Програми "Національний план дій щодо реалізації Конвенції ООН про права дитини" на період до 2016 року у Львівській області</t>
  </si>
  <si>
    <t>Головне управління ресурсного забезпечення та господарського обслуговування</t>
  </si>
  <si>
    <t>реалізацію Комплексної програми соціальної підтримки окремих категорій громадян Львівської області на 2014-2017 роки в частині дофінансування на конкурсних засадах мікропроектів, які фінансуються з різних джерел, щодо покращення якості життя соціально незахищених груп населення області</t>
  </si>
  <si>
    <t>реалізацію Комплексної програми соціальної підтримки окремих категорій громадян Львівської області на 2014-2017 роки в частині виплати адресної грошової допомоги ветеранам УПА, вдовам (вдівцям) політв"язнів та вдовам (вдівцям) ветеранів УПА</t>
  </si>
  <si>
    <t>реалізацію Комплексної програми соціальної підтримки окремих категорій громадян Львівської області на 2014-2017 роки в частині відшкодування витрат на поховання учасників національно-визвольних змагань</t>
  </si>
  <si>
    <t>реалізацію Комплексної програми соціальної підтримки окремих категорій громадян Львівської області на 2014-2017 роки в частині надання одноразової адресної допомоги малозабезпеченим громадянам області за їх зверненням до голови облдержадміністрації</t>
  </si>
  <si>
    <t>виконання регіональної програми забезпечення житлом дітей-сиріт та дітей, позбавлених батьківського піклування, у Львівській області на 2013-2015 роки</t>
  </si>
  <si>
    <t>Інші видатки (організація та проведення протокольних і масових запходів; сплата членських внесків до асоціацій)</t>
  </si>
  <si>
    <t>0917500</t>
  </si>
  <si>
    <t>4818800</t>
  </si>
  <si>
    <t>у тому числі на виконання регіональної програми забезпечення житлом дітей-сиріт та дітей, позбавлених батьківського піклування, у Львівській області на 2013-2015 роки</t>
  </si>
  <si>
    <t>Програма створення Львівського регіонального резерву матеріально-технічних ресурсів на 2014-2016 роки</t>
  </si>
  <si>
    <t>з них: на виконання програми покращення соціального захисту багатодітних сімей</t>
  </si>
  <si>
    <t>Субвенція з державного бюджету місцевим бюджетам на здійснення заходів по передачі житлового фонду та об"єктів соціально-культурної сфери Міністерства оборони України у комунальну власність</t>
  </si>
  <si>
    <t>реалізація програми збереження аудіозаписів регіонального значення</t>
  </si>
  <si>
    <t>реалізація програми з відновлення стародруків</t>
  </si>
  <si>
    <t>Надання пільгового довгострокового кредиту громадянам на будівництво (реконструкцію) та придбання соціального, молодіжного житла</t>
  </si>
  <si>
    <r>
      <t>Інші заходи, пов</t>
    </r>
    <r>
      <rPr>
        <sz val="11"/>
        <color indexed="8"/>
        <rFont val="Arial Cyr"/>
        <charset val="204"/>
      </rPr>
      <t>’</t>
    </r>
    <r>
      <rPr>
        <sz val="11"/>
        <color indexed="8"/>
        <rFont val="Times New Roman Cyr"/>
        <family val="1"/>
        <charset val="204"/>
      </rPr>
      <t>язані з економічною діяльністю (заходи з розвитку туризму)</t>
    </r>
  </si>
  <si>
    <t>Інші заходи, пов"язані з економічною діяльністю</t>
  </si>
  <si>
    <t>РАЗОМ</t>
  </si>
  <si>
    <t>Обласна цільова програма фінансування підвищення кваліфікації</t>
  </si>
  <si>
    <t>Співфінансування загальнодержавних програм в галузі житлово-комунального господарства, будівництво, реконструкція систем водопостачання населених пунктів, впровадження енергоефективних заходів</t>
  </si>
  <si>
    <r>
      <t>Збір за спеціальне використання води (крім збору за спеціальне використання води водних об</t>
    </r>
    <r>
      <rPr>
        <sz val="11"/>
        <rFont val="Arial"/>
        <family val="2"/>
        <charset val="204"/>
      </rPr>
      <t>҆</t>
    </r>
    <r>
      <rPr>
        <sz val="11"/>
        <rFont val="Times New Roman"/>
        <family val="1"/>
        <charset val="204"/>
      </rPr>
      <t>єктів місцевого значення)</t>
    </r>
  </si>
  <si>
    <t>Програма проведення обласного конкурсу мікропроектів місцевого розвитку на 2011-2015 роки (у галузі освіти)</t>
  </si>
  <si>
    <t>Програма поповнення бібліотечних фондів</t>
  </si>
  <si>
    <t>110201</t>
  </si>
  <si>
    <t>"Розвиток культури та охорона культурної спадщини Львівської області" на 2013-2015 роки</t>
  </si>
  <si>
    <t>110103</t>
  </si>
  <si>
    <t>Програма розвитку культури</t>
  </si>
  <si>
    <t>Програма проведення обласного конкурсу мікропроектів місцевого розвитку на 2011-2015 роки (у галузі культури)</t>
  </si>
  <si>
    <t>110300</t>
  </si>
  <si>
    <t xml:space="preserve">Кінематографія </t>
  </si>
  <si>
    <t>Програма розвитку кінематографії</t>
  </si>
  <si>
    <t xml:space="preserve">Регіональна програма розбудови сфери охорони культурної спадщини Львівської області </t>
  </si>
  <si>
    <t>Цільова обласна програма забезпечення підготовки високопрофесійних кадрів для установ та закладів охорони здоров"я</t>
  </si>
  <si>
    <t xml:space="preserve">Цільова обласна програма забезпечення професійного розвитку медичних  працівників  </t>
  </si>
  <si>
    <t>Забезпечення дітей-інвалідів області життєво необхідними медичними препаратами та виробами медичного призначення на 2012-2016 роки</t>
  </si>
  <si>
    <t>Інші заходи по охороні здоров"я</t>
  </si>
  <si>
    <t>"Здоров"я мешканців Львівщини" на 2013-2016 роки</t>
  </si>
  <si>
    <t>Управління культури</t>
  </si>
  <si>
    <t xml:space="preserve">Програма розвитку культури </t>
  </si>
  <si>
    <t>104</t>
  </si>
  <si>
    <t xml:space="preserve">Програма розвитку туристичної галузі у Львівській області </t>
  </si>
  <si>
    <t>130102</t>
  </si>
  <si>
    <t>"Спорт Львівщини" на 2013-2017 роки</t>
  </si>
  <si>
    <t>Програма підтримки та розвитку спорту у сільській місцевості</t>
  </si>
  <si>
    <t>Програма облаштування спортивно-ігрових майданчиків</t>
  </si>
  <si>
    <t>Субвенція з державного бюджету місцевим бюджетам на придбання медикаментів та виробів медичного призначення для забезпечення швидкої медичної допомоги</t>
  </si>
  <si>
    <t>Служби технічного нагляду за будівництвом та капітальним ремонтом, централізовані бухгалтерії, групи централізованого господарського обслуговування</t>
  </si>
  <si>
    <t>Програма боротьби з онкологічними захворюваннями у Львівській області до 2016 року</t>
  </si>
  <si>
    <t>Розвиток сімейної медицини та її профілактичної спрямованості на 2012-2014 роки</t>
  </si>
  <si>
    <t>1513930</t>
  </si>
  <si>
    <t>1513940</t>
  </si>
  <si>
    <t>1513950</t>
  </si>
  <si>
    <t>1513980</t>
  </si>
  <si>
    <t>1313910</t>
  </si>
  <si>
    <t>Транспорт,  дорожнє господарство, зв'язок, телекомунікації та інформатика</t>
  </si>
  <si>
    <t>Субвенція з державного бюджету місцевим бюджетам на заходи з енергозбереження, у тому числі оснащення інженерних вводів багатоквартирних житлових будинків засобами обліку споживання води і теплової енергії, ремонт і реконструкцію теплових мереж та котелень, будівництво газопроводів і газифікацію населених пунктів</t>
  </si>
  <si>
    <r>
      <t>Утримання центрів соціальних служб для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ї,   дітей та молоді</t>
    </r>
  </si>
  <si>
    <r>
      <t>Програми і заходи центрів соціальних служб для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ї, дітей та молоді</t>
    </r>
  </si>
  <si>
    <t>Управління у справах преси та інформації</t>
  </si>
  <si>
    <t>Обласна рада</t>
  </si>
  <si>
    <t>Субвенція з державного бюджету місцевим бюджетам на погашення заборгованості з різниці в тарифах на теплову енергію, що вироблялася, транспортувалася та постачалася населенню, яка виникла в зв'язку з невідповідністю фактичної вартості теплової енергії тарифам, що затверджувалися або погоджувалися відповідними органами державної влади чи органами місцевого самоврядування</t>
  </si>
  <si>
    <t xml:space="preserve">Соціальні програми і заходи державних органів у справах  молоді </t>
  </si>
  <si>
    <t>Утримання апарату управління громадських фізкультурно-спортивних організацій  (ФСТ "Колос")</t>
  </si>
  <si>
    <t>091303</t>
  </si>
  <si>
    <t>091304</t>
  </si>
  <si>
    <t>Інші видатки на соціальний захист населення</t>
  </si>
  <si>
    <t>поліпшення допомоги особам зі зниженим слухом</t>
  </si>
  <si>
    <t>розвитк мережі шкіл сприяння здоров"ю (забезпечення комплектами спортінвентаря та навчальними матеріалами)</t>
  </si>
  <si>
    <t>розвитк дошкільної освіти</t>
  </si>
  <si>
    <t>підтримку сільських аматорських колективів</t>
  </si>
  <si>
    <t xml:space="preserve">Програма енергозбереження для бюджетних установ Львівщини </t>
  </si>
  <si>
    <t>Комплексна програма соціальної підтримки окремих категорій громадян Львівської області  на 2014-2017  роки в частині виплати адресної грошової допомоги ветеранам УПА,  вдовам (вдівцям) політв’язнів та вдовам (вдівцям) ветеранів УПА</t>
  </si>
  <si>
    <t>реалізацію програми надання малозабезпеченим сім"ям Львівської області адресної матеріальної допомоги для газифікації житлових будинків</t>
  </si>
  <si>
    <t>Соціальні програми і заходи державних органів у справах жінок</t>
  </si>
  <si>
    <t>реалізацію програми з надання одноразової адресної допомоги найбільш незахищеним громадянам, реабілітованим за ст. 3 Закону України "Про реабілітацію жертв політичних репресій на Україні" та потерпілим від політичних репресій (дітям політв"язнів)</t>
  </si>
  <si>
    <t>Відділ національностей та релігій</t>
  </si>
  <si>
    <t>Театри</t>
  </si>
  <si>
    <t>Музеї і виставки</t>
  </si>
  <si>
    <t>Заповідники</t>
  </si>
  <si>
    <t>Кінематографія</t>
  </si>
  <si>
    <t>ё</t>
  </si>
  <si>
    <t>091106</t>
  </si>
  <si>
    <t>Субвенція з державного бюджету місцевим бюджетам на соціально-економічний розвиток</t>
  </si>
  <si>
    <t>091300</t>
  </si>
  <si>
    <t>Інші видатки на соціальний захист</t>
  </si>
  <si>
    <t>090417</t>
  </si>
  <si>
    <t>Фінансова підтримка гастрольної діяльності</t>
  </si>
  <si>
    <t>110105</t>
  </si>
  <si>
    <t>250352</t>
  </si>
  <si>
    <t>250355</t>
  </si>
  <si>
    <t xml:space="preserve">заходи з приватизації майна </t>
  </si>
  <si>
    <t>Приймальники-розподільники                  для неповнолітніх</t>
  </si>
  <si>
    <t>з них: фінансова підтримка діяльності Всеукраїнського товариства "Просвіта"</t>
  </si>
  <si>
    <t>розвиток мережі дошкільних навчальних закладів</t>
  </si>
  <si>
    <t>забезпечення психолого-медико-педагогічних консультацій корекційним обладнанням та діагностичними матеріалами</t>
  </si>
  <si>
    <t>Програма забезпечення організаційної підготовки до проведення фінальної частини чемпіонату Європи 2012 року з футболу у Львівській області</t>
  </si>
  <si>
    <t>"Житлово-комунальне господарство Львівщини" на 2013-2020 роки</t>
  </si>
  <si>
    <t>Програма "Питна вода" на 2012-2020 роки у Львівській області</t>
  </si>
  <si>
    <t>Регіональна цільова економічна програма енергоефективності у Львівській області на 2012-2015 роки</t>
  </si>
  <si>
    <t>Управління міжнародного співробітництва</t>
  </si>
  <si>
    <t>Регіональна програма з міжнародного та транскордонного співробітництва, європейської інтеграції та міжнародної технічної допомоги</t>
  </si>
  <si>
    <t>Регіональна програма формування позитивного міжнародного іміджу України та розвитку міжнародного співробітництва</t>
  </si>
  <si>
    <r>
      <t xml:space="preserve">                                                                                                           </t>
    </r>
    <r>
      <rPr>
        <sz val="8"/>
        <rFont val="Times New Roman"/>
        <family val="1"/>
        <charset val="204"/>
      </rPr>
      <t>( грн.)</t>
    </r>
  </si>
  <si>
    <r>
      <t xml:space="preserve"> виплату допомоги сім</t>
    </r>
    <r>
      <rPr>
        <sz val="14"/>
        <rFont val="Arial Cyr"/>
        <charset val="204"/>
      </rPr>
      <t>’</t>
    </r>
    <r>
      <rPr>
        <sz val="14"/>
        <rFont val="Times New Roman"/>
        <family val="1"/>
        <charset val="204"/>
      </rPr>
      <t>ям з дітьми, малозабезпеченим сім</t>
    </r>
    <r>
      <rPr>
        <sz val="14"/>
        <rFont val="Arial Cyr"/>
        <charset val="204"/>
      </rPr>
      <t>’</t>
    </r>
    <r>
      <rPr>
        <sz val="14"/>
        <rFont val="Times New Roman"/>
        <family val="1"/>
        <charset val="204"/>
      </rPr>
      <t>ям, інвалідам з дитинства, дітям-інвалідам та тимчасової державної допомоги дітям</t>
    </r>
  </si>
  <si>
    <r>
      <t xml:space="preserve"> утримання об</t>
    </r>
    <r>
      <rPr>
        <sz val="14"/>
        <color indexed="8"/>
        <rFont val="Arial Cyr"/>
        <charset val="204"/>
      </rPr>
      <t>’</t>
    </r>
    <r>
      <rPr>
        <sz val="14"/>
        <color indexed="8"/>
        <rFont val="Times New Roman Cyr"/>
        <charset val="204"/>
      </rPr>
      <t>єктів спільного користування чи ліквідацію негативних наслідків діяльності об</t>
    </r>
    <r>
      <rPr>
        <sz val="14"/>
        <color indexed="8"/>
        <rFont val="Arial Cyr"/>
        <charset val="204"/>
      </rPr>
      <t>’</t>
    </r>
    <r>
      <rPr>
        <sz val="14"/>
        <color indexed="8"/>
        <rFont val="Times New Roman Cyr"/>
        <charset val="204"/>
      </rPr>
      <t>єктів спільного користування</t>
    </r>
  </si>
  <si>
    <r>
      <t>Інші заходи, пов</t>
    </r>
    <r>
      <rPr>
        <sz val="11"/>
        <color indexed="8"/>
        <rFont val="Arial Cyr"/>
        <charset val="204"/>
      </rPr>
      <t>’</t>
    </r>
    <r>
      <rPr>
        <sz val="11"/>
        <color indexed="8"/>
        <rFont val="Times New Roman Cyr"/>
        <family val="1"/>
        <charset val="204"/>
      </rPr>
      <t>язані з економічною діяльністю</t>
    </r>
  </si>
  <si>
    <t>Код</t>
  </si>
  <si>
    <t>Найменування доходів згідно із бюджетною класифікацією</t>
  </si>
  <si>
    <t>з них до бюджету розвитку</t>
  </si>
  <si>
    <t>Податкові надходження</t>
  </si>
  <si>
    <t>Податки на доходи, податки на прибуток, податки на збільшення ринкової вартості</t>
  </si>
  <si>
    <t>Податок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</si>
  <si>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</si>
  <si>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</si>
  <si>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 із доходів у формі заробітної плати шахтарів-працівників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</si>
  <si>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</si>
  <si>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</si>
  <si>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доходи фізичних осіб у вигляді виграшів або призів, отриманих внаслідок проведення конкурсів та інших розіграшів, виграшів в азартні ігри</t>
  </si>
  <si>
    <t>Надходження сум реструктурованої заборгованості зі сплати податку на доходи фізичних осіб</t>
  </si>
  <si>
    <t>Програма розвитку освіти Львівщини на 2013-2016 роки</t>
  </si>
  <si>
    <t>4016110</t>
  </si>
  <si>
    <t>4016310</t>
  </si>
  <si>
    <t>реалізацію Комплексної програми соціальної підтримки окремих категорій громадян Львівської області на 2011-2013 роки в частині надання фінансової підтримки громадським організаціям інвалідів, ветеранів та політичних в’язнів і репресованих, які мають статус обласних, для здійснення їх статутної діяльності</t>
  </si>
  <si>
    <t>з них на;</t>
  </si>
  <si>
    <t>Загальноосвітні школи-інтернати, загальноосвітні санаторні школи-інтернати</t>
  </si>
  <si>
    <t>Витрати, пов"язані з наданням та обслуговуванням пільгових довгострокових кредитів, наданих громадянам на будівництво (реконструкцію) та придбання житла</t>
  </si>
  <si>
    <t>091209</t>
  </si>
  <si>
    <t>Заходи, пов"язані з поліпшенням питної води (програма "Питна вода")</t>
  </si>
  <si>
    <t>Додаткова дотація з державного бюджету місцевим бюджетам на забезпечення пальним станцій (відділень) екстреної, швидкої та невідкладної медичної допомоги</t>
  </si>
  <si>
    <t>130205</t>
  </si>
  <si>
    <t>ФСТ"Україна"</t>
  </si>
  <si>
    <t>150112</t>
  </si>
  <si>
    <r>
      <t>Субвенція на утримання об</t>
    </r>
    <r>
      <rPr>
        <sz val="11"/>
        <color indexed="8"/>
        <rFont val="Arial Cyr"/>
        <charset val="204"/>
      </rPr>
      <t>’</t>
    </r>
    <r>
      <rPr>
        <sz val="11"/>
        <color indexed="8"/>
        <rFont val="Times New Roman"/>
        <family val="1"/>
        <charset val="204"/>
      </rPr>
      <t>єктів спільного користування чи ліквідацію негативних наслідків діяльності об</t>
    </r>
    <r>
      <rPr>
        <sz val="11"/>
        <color indexed="8"/>
        <rFont val="Arial Cyr"/>
        <charset val="204"/>
      </rPr>
      <t>’</t>
    </r>
    <r>
      <rPr>
        <sz val="11"/>
        <color indexed="8"/>
        <rFont val="Times New Roman"/>
        <family val="1"/>
        <charset val="204"/>
      </rPr>
      <t>єктів спільного користування</t>
    </r>
  </si>
  <si>
    <t xml:space="preserve">Код типової відомчої класифікації видатків/Код тимчасової класифікації видатків та кредитування місцевих бюджетів </t>
  </si>
  <si>
    <t>реалізацію програми з виплати одноразової адресної допомоги малозабезпеченим громадянам області</t>
  </si>
  <si>
    <t>Заклади післядипломної освіти ІІІ-IV рівня акредитації</t>
  </si>
  <si>
    <t>Централізовані бухгалтерії</t>
  </si>
  <si>
    <t>Бібліотеки</t>
  </si>
  <si>
    <t>Утримання та навчально-тренувальна робота дитячо-юнацьких спортивних шкіл</t>
  </si>
  <si>
    <t>Програми в галузі сільського господарства , лісового господарства, рибальства та мисливства</t>
  </si>
  <si>
    <t>250343</t>
  </si>
  <si>
    <t>Методична робота, інші заходи у сфері народної освіти</t>
  </si>
  <si>
    <t>Служби технічного нагляду за будівництвом і капітальним ремонтом</t>
  </si>
  <si>
    <t>Субвенція з державного бюджету місцевим бюджетам на поліпшення умов оплати праці медичних працівників, які надають медичну допомогу хворим на туберкульоз</t>
  </si>
  <si>
    <t>Утримання та навчально-тренувальна робота дитячо-юнацьких спортивних шкіл (які підпорядковані громадським організаціям фізкультурно-спортивної спрямованості)</t>
  </si>
  <si>
    <t>Підтримка малого і середнього підприємництва</t>
  </si>
  <si>
    <t>заходи, пов"язані з управлінням майном спільної власності територіальних громад Львівської області</t>
  </si>
  <si>
    <t>з них на розробку та реалізацію програми промислового використання місцевих природних і супутніх джерел енергії</t>
  </si>
  <si>
    <t>з них: програма щодо посилення соціального захисту багатодітних сімей, що проживають на території Львівської області</t>
  </si>
  <si>
    <t>виконання обласної програми з покращення соціального захисту багатодітних сімей, що проживають на території Львівської області</t>
  </si>
  <si>
    <t>Інші заходи, пов"язані з економічною діяльністю (розробка програм у сфері житлово-комунального господарства)</t>
  </si>
  <si>
    <t>250334</t>
  </si>
  <si>
    <t>Виконком Дрогобицької міської ради</t>
  </si>
  <si>
    <t>Виконком Трускавецької міської ради</t>
  </si>
  <si>
    <t>Виконком Червоноградської міської ради</t>
  </si>
  <si>
    <t>Буська РДА</t>
  </si>
  <si>
    <t>Городоцька РДА</t>
  </si>
  <si>
    <t>Допомога    по    догляду    за дитиною  віком до  3  років незастрахованим матерям</t>
  </si>
  <si>
    <t>Одноразова   допомога   при народженні дитини</t>
  </si>
  <si>
    <t>Додаток  4</t>
  </si>
  <si>
    <t>Код типової відомчої класифікації видатків місцевих бюджетів / Код тимчасової класифікації видатків та кредитування місцевих бюджетів</t>
  </si>
  <si>
    <t>Надання кредитів</t>
  </si>
  <si>
    <t>Повернення кредитів</t>
  </si>
  <si>
    <t>Кредитування - всього</t>
  </si>
  <si>
    <t>Загальний фонд</t>
  </si>
  <si>
    <t xml:space="preserve"> Cпеціальний фонд</t>
  </si>
  <si>
    <t>У т.ч. бюджет розвитку</t>
  </si>
  <si>
    <t>Повернення бюджетних позичок</t>
  </si>
  <si>
    <t>Програма розвитку туризму та рекреації Львівської області на 2014-2017 роки</t>
  </si>
  <si>
    <t>Житлове будівництво і придбання житла військовослужбовцям  та особам рядового і начальницького складу, звільненим у запас або відставку за станом здоров"я, віком, вислугою років та у зв"язку із скороченням штатів, які перебувають на квартирному обліку за місцем проживання, членам сімей з числа цих осіб, які загинули під час виконання ними службових обов"язків, а також учасникам бойових дій в Афганістані та воєнних конфліктів</t>
  </si>
  <si>
    <t>у тому числі на: утримання апарату обласної ради</t>
  </si>
  <si>
    <t>управління майном спільної власності</t>
  </si>
  <si>
    <t>4026310</t>
  </si>
  <si>
    <t>Додаткові                 виплати населенню     на     покриття витрат по оплаті                     житлово-комунальних послуг</t>
  </si>
  <si>
    <t>Кошти     на     забезпечення побутовим               вугіллям окремих                 категорій населення</t>
  </si>
  <si>
    <t>Інші видатки на  соціальний захист населення</t>
  </si>
  <si>
    <t>у тому числі : реалізація програми з нагоди святкування 150-річчя із дня народження Ів. Франка</t>
  </si>
  <si>
    <t>на проведення заходів з пошуку і впорядкуванню поховань жертв війни та політичних репресій</t>
  </si>
  <si>
    <t>виготовлення проектно-кошторисної документації, будівництво, реконструкцію, капітальний ремонт та підтримку будинків сімейного типу</t>
  </si>
  <si>
    <t>Субвенція з державного бюджету місцевим бюджетам для здійснення заходів, спрямованих на подолання дитячої бездоглядності і безпритульності</t>
  </si>
  <si>
    <t>Департамент економічного розвитку, торгівлі та промисловості</t>
  </si>
  <si>
    <t>Департамент інформаційних технологій та господарського обслуговування</t>
  </si>
  <si>
    <t>Погашення заборгованості минулих років з різниці в тарифах на теплову енергію, послуги з водопостачання та водовідведення, що постачалися населенню, яка виникла у зв'язкуз невідповідністю фактичної вартості теплової енергії, послуг з водопостачання та водовідведення тарифам, що затверджувалися органами державної влади чи органами місцевого самоврядування</t>
  </si>
  <si>
    <t>Творчі спілки</t>
  </si>
  <si>
    <t>7618320</t>
  </si>
  <si>
    <t>2013111</t>
  </si>
  <si>
    <t>2013112</t>
  </si>
  <si>
    <t>7319120</t>
  </si>
  <si>
    <t>7319140</t>
  </si>
  <si>
    <t>7319150</t>
  </si>
  <si>
    <t>2013310</t>
  </si>
  <si>
    <t>передачу відомчого житлового фонду та об"єктів житлово-комунального господарства обласної комунальної власності</t>
  </si>
  <si>
    <t>розвиток профільної освіти у школах Яворівського району</t>
  </si>
  <si>
    <t>Державне управління</t>
  </si>
  <si>
    <t>Функціонування законодавчої та виконавчої влади</t>
  </si>
  <si>
    <t>Апарат  Верховної     Ради Автономної          Республіки Крим</t>
  </si>
  <si>
    <t>Апарат      Ради      міністрів Автономної          Республіки Крим та її місцевих органів</t>
  </si>
  <si>
    <t>у тому числі на: виконання природоохоронних заходів</t>
  </si>
  <si>
    <t>видатки пов"язані з підготовкою до проведення Кубку Європи серед юнаків зі стрільби з лука</t>
  </si>
  <si>
    <t>у тому числі: видатки на виконання програми приватизації об"єктів обласної комунальної власності</t>
  </si>
  <si>
    <t>ВСЬОГО</t>
  </si>
  <si>
    <t xml:space="preserve">Видатки загального фонду </t>
  </si>
  <si>
    <t>Програма надання фінансової підтримки апарату управління громадських  фізкультурно-спортивних організацій ФСТ "Колос"</t>
  </si>
  <si>
    <t xml:space="preserve">Фінансова підтримка спортивних споруд, які належать громадським організаціям фізкультурно - спортивної спрямованості </t>
  </si>
  <si>
    <t xml:space="preserve">Програма з надання фінансової підтримки спортивним спорудам, які належать громадським організаціям фізкультурно - спортивної спрямованості </t>
  </si>
  <si>
    <t>Програма залучення стедентської молоді до проходження практики і стажування в органах державної влади і місцевого самоврядування на 2011-2015 роки</t>
  </si>
  <si>
    <t>Цільова соціальна програма облаштування дитячих ігрових майданчиків у Львівській області на 2010-2012 роки</t>
  </si>
  <si>
    <t xml:space="preserve">Обласна програма забезпечення житлом молодих сімей </t>
  </si>
  <si>
    <t>"Містобудування та будівництво Львівської області на 2013-2022 роки"</t>
  </si>
  <si>
    <t>Програма підтримки індивідуального житлового будівництва на селі "Власний дім"</t>
  </si>
  <si>
    <t>Програма підтримки виставкової діяльності у сфері агропромислового комплексу</t>
  </si>
  <si>
    <t>"Розвиток сільського господарства Львівщини" на 2013-2017 роки</t>
  </si>
  <si>
    <t>Програми в галузі сільського та лісового господарства</t>
  </si>
  <si>
    <t>Програма підтримки галузі тваринництва</t>
  </si>
  <si>
    <t>Програма підтримки галузі рослинництва</t>
  </si>
  <si>
    <t>Програма підтримки розвитку сільськогосподарських обслуговуючих кооперативів</t>
  </si>
  <si>
    <t>Програма підтримки рибного господарства</t>
  </si>
  <si>
    <t>"Ліси Львівщини" на 2013-2015 роки</t>
  </si>
  <si>
    <t>Програма розвитку комунального лісового господарства Львівщини</t>
  </si>
  <si>
    <t>"Соціальна підтримка населення Львівської області" на 2013-2015 роки</t>
  </si>
  <si>
    <t>Комплексна обласна програма соціального захисту громадян, які постраждали внаслідок Чорнобильської катастрофи, на 2012-2014 роки</t>
  </si>
  <si>
    <t>Програма виплати одноразової адресної допомоги малозабезпеченим громадянам області за розпорядженнями голови обласної ради</t>
  </si>
  <si>
    <t>Комплексна програма соціальної підтримки окремих категорій громадян Львівської області на 2011-2013 роки в частині надання одноразової адресної допомоги малозабезпеченим громадянам області за розпорядженнями голови облдержадміністрації</t>
  </si>
  <si>
    <t xml:space="preserve">Програма надання одноразової адресної допомоги найбільш незахищеним категоріям громадян - реабілітованим за ст. 3 Закону України "Про реабілітацію жертв політичних репресій на Україні" та потерпілим від політичних репресій </t>
  </si>
  <si>
    <t>Обласний контактний центр</t>
  </si>
  <si>
    <t>060</t>
  </si>
  <si>
    <t>Головне управління у справах сім"ї та молоді</t>
  </si>
  <si>
    <t>у тому числі з реалізації програм у галузі правоохоронної діяльності</t>
  </si>
  <si>
    <t>Позашкільні заклади освіти, заходи із позашкільної роботи з дітьми</t>
  </si>
  <si>
    <t>Професійно-технічні училища соціальної реабілітації</t>
  </si>
  <si>
    <t>Вищі заклади освіти I та II рівнів акредитації</t>
  </si>
  <si>
    <t>Вищі заклади освіти III та IУ рівнів акредитації</t>
  </si>
  <si>
    <t>часткове співфінансування робіт з виготовлення проектів водопостачання і водовідведення окремих населених пунктів області</t>
  </si>
  <si>
    <t>розробку енергозберігаючих проектів теплогенерування у бюджетній сфері</t>
  </si>
  <si>
    <t>грн.</t>
  </si>
  <si>
    <t>Центри "Спорт для всіх" та заходи з фізичної культури</t>
  </si>
  <si>
    <t>Департамент освіти і науки</t>
  </si>
  <si>
    <t>Відділ охорони культурної спадщини та культурних цінностей</t>
  </si>
  <si>
    <t>1313951</t>
  </si>
  <si>
    <t>Пільги на медичне обслуговування громадянам, які постраждали внаслідок Чорнобильської катастрофи</t>
  </si>
  <si>
    <t>Додаткова дотація з державного бюджету на покращення надання соціальних послуг найуразливішим верствам населення</t>
  </si>
  <si>
    <t>Додаткова дотація з державного бюджету на оплату праці працівників бюджетних установ</t>
  </si>
  <si>
    <t>Субвенція з державного бюджету місцевим бюджетам на придбання шкільних автобусів для перевезення дітей, що проживають у сільській місцевості</t>
  </si>
  <si>
    <t>Різниця дод №3-дод №2</t>
  </si>
  <si>
    <t>Всього спец</t>
  </si>
  <si>
    <t>Всього з ф</t>
  </si>
  <si>
    <t>090802</t>
  </si>
  <si>
    <t>Операційні видатки-паспортизація, інвентаризація пам"яток історії та культури</t>
  </si>
  <si>
    <t>150203</t>
  </si>
  <si>
    <t>100302</t>
  </si>
  <si>
    <t>всього</t>
  </si>
  <si>
    <t>сп.ф</t>
  </si>
  <si>
    <t>відхилення</t>
  </si>
  <si>
    <t>090413</t>
  </si>
  <si>
    <t xml:space="preserve">видатки навчально-реабілітаційного центру"Левеня" </t>
  </si>
  <si>
    <t>в тому числі видатки на здійснення контролюючих функцій з дотриманням правил перевезення пасажирів, включаючи пільгові категорії населення.</t>
  </si>
  <si>
    <t>з них: видатки на заходи з розвитку української мови</t>
  </si>
  <si>
    <t>з них: видатки на розвиток української мови</t>
  </si>
  <si>
    <t>розвиток  дитячо-юнацького  футболу</t>
  </si>
  <si>
    <t xml:space="preserve"> підготовку та участь у всеукраїнських та міжнародних змаганнях гандбольного клубу "Галичанка"  та баскетбольного клубу "Львівська Політехніка"</t>
  </si>
  <si>
    <t>у тому числі на:            відновне лікування хворих</t>
  </si>
  <si>
    <t xml:space="preserve">Видатки для забезпечення спеціальним обладнанням навчальних закладів для дітей, які потребують корекції фізичного та (або) розумового розвитку </t>
  </si>
  <si>
    <t>Підрозділи дорожньо-патрульної служби та дорожнього нагляду</t>
  </si>
  <si>
    <t>Професійна пожежна охорона</t>
  </si>
  <si>
    <t>060106</t>
  </si>
  <si>
    <t>Внески органів влади Автономної Республіки Крим та органів місцевого самоврядування у статутні фонди суб"єктів підприємницької діяльності (програма забезпечення сільгосптехнікою на умовах лізингу)</t>
  </si>
  <si>
    <t xml:space="preserve">у тому числі:впорядкування поховань </t>
  </si>
  <si>
    <t>компенсаційні виплати за пільговий проїзд учасникам національно-визвольних змагань у транспорті загального користування на міжміських внутрішньо-обласних маршрутах</t>
  </si>
  <si>
    <t>250358</t>
  </si>
  <si>
    <t>Загальні і спеціалізовані стоматологічні поліклініки</t>
  </si>
  <si>
    <t>Субвенція з державного бюджету  на розвиток інфраструктури регіонів</t>
  </si>
  <si>
    <t>Охорона здоров'я</t>
  </si>
  <si>
    <t>заходи з розвитку Львівської обласної контрольно-рятувальної служби туристсько-спортивної спілки України</t>
  </si>
  <si>
    <t xml:space="preserve">Виплата державної соціальної допомоги на дітей-сиріт та дітей, позбавлених батьківського піклування, які перебувають під опікою (піклуванням) або у відповідних закладах у рамках експеременту у Київській області, за принципом "гроші ходять за дитиною" </t>
  </si>
  <si>
    <t>Резервний фонд</t>
  </si>
  <si>
    <t>видатки з енергозбереження</t>
  </si>
  <si>
    <t xml:space="preserve"> програм у галузі сільського господарства</t>
  </si>
  <si>
    <t>з них:</t>
  </si>
  <si>
    <t>обласний центр соціальної реабілітації дітей -інвалідів</t>
  </si>
  <si>
    <t>Служба технічного нагляду за будівництвом та капітальним ремонтом</t>
  </si>
  <si>
    <t>Капітальні вкладення</t>
  </si>
  <si>
    <t>Сільське і лісове господарство, рибне господарство та мисливство</t>
  </si>
  <si>
    <t xml:space="preserve">з них на фінансову підтримку обласного комунального підприємства "Центр просторового розвитку" </t>
  </si>
  <si>
    <t xml:space="preserve">Фонд охорони навколишнього природного середовища </t>
  </si>
  <si>
    <t>091101</t>
  </si>
  <si>
    <t>091102</t>
  </si>
  <si>
    <t>091103</t>
  </si>
  <si>
    <t>070601</t>
  </si>
  <si>
    <t>Фізична культура і спорт</t>
  </si>
  <si>
    <t>080203</t>
  </si>
  <si>
    <t>Перинатальні центри, пологові будинки</t>
  </si>
  <si>
    <t>080209</t>
  </si>
  <si>
    <t>Центри екстреної медичної допомоги та медицини катастроф, станції екстреної (швидкої) медичної допомоги</t>
  </si>
  <si>
    <t>Субвенція з державного бюджету місцевим бюджетам на виплату державної соціальної допомоги на дітей-сиріт та дітей, позбавлених батьківського піклування, грошового забезпечення батькам-вихователям і прийомним батькам за надання соціальних послуг у дитячих будинках сімейного типу та прийомних сім’ях за принципом "гроші ходять за дитиною"</t>
  </si>
  <si>
    <t>придбання витратних матеріалів для кардіохірургії (стенти, оксигенатори, рентгенконтрасти тощо)</t>
  </si>
  <si>
    <t>Інші заходи, пов’язані з економічною діяльністю</t>
  </si>
  <si>
    <t xml:space="preserve">заходи щодо проведення пошуку і впорядкування поховань українців за кордоном </t>
  </si>
  <si>
    <t xml:space="preserve">заходи організацій депортованих українців </t>
  </si>
  <si>
    <t xml:space="preserve">у тому числі : </t>
  </si>
  <si>
    <t>Субвенція з державного бюджету місцевим бюджетам на збереження середньої  заробітної плати на період працевлаштування посадових осіб місцевого самоврядування з числа депутатів відповідних рад, що потребують працевлаштування в зв’язку із закінченням строку повноважень</t>
  </si>
  <si>
    <t xml:space="preserve">Проведення навчально-тренувальних зборів і змагань та заходів з інвалідного спорту </t>
  </si>
  <si>
    <t>7328880</t>
  </si>
  <si>
    <t>2016310</t>
  </si>
  <si>
    <t>4827612</t>
  </si>
  <si>
    <t>7618220</t>
  </si>
  <si>
    <t>7618010</t>
  </si>
  <si>
    <t>Спеціалізовані лікарні та інші спеціалізовані заклади (центри, диспансери, госпіталі для інвалідів ВВВ, лепрозорії, медико-санітарні части тощо, що мають ліжкову мережу)</t>
  </si>
  <si>
    <t>Житлове будівництво та придбання житла для окремих категорій населення</t>
  </si>
  <si>
    <t>Усього видатків</t>
  </si>
  <si>
    <t>грн</t>
  </si>
  <si>
    <t>Проведення навчально-тренувальних зборів і змагань</t>
  </si>
  <si>
    <t>Територіальні медичні об'єднання</t>
  </si>
  <si>
    <t xml:space="preserve">з них </t>
  </si>
  <si>
    <t>капітальні видатки за рахунок коштів, що передаються із загального фонду до бюджету розвитку (спеціального фонду)</t>
  </si>
  <si>
    <t>13=3+6</t>
  </si>
  <si>
    <t>з них</t>
  </si>
  <si>
    <t xml:space="preserve"> бюджет  розвитку</t>
  </si>
  <si>
    <t>Заклади післядипломної освіти ІІІ-IV рівня акредитації(академії, інститути, центри підвищення кваліфікації, перепідготовки, вдосконалення)</t>
  </si>
  <si>
    <t xml:space="preserve">Інші заклади освіти </t>
  </si>
  <si>
    <t>ПОКАЗНИКИ</t>
  </si>
  <si>
    <t>60</t>
  </si>
  <si>
    <t>6027630</t>
  </si>
  <si>
    <t>Департамент екології та природних ресурсів</t>
  </si>
  <si>
    <t xml:space="preserve">Проведення невідкладних відновлювальних робіт, будівництво та реконструкція спеціалізованих навчальних закладів </t>
  </si>
  <si>
    <t xml:space="preserve"> Субвенція з державного бюджету місцевим бюджетам на будівництво, реконструкцію, ремонт автомобільних доріг комунальної власності</t>
  </si>
  <si>
    <t>заходи відділення Національного олімпійського комітету у Львівській області</t>
  </si>
  <si>
    <t>Мостиська РДА</t>
  </si>
  <si>
    <t>Перемишлянська РДА</t>
  </si>
  <si>
    <t>1513101</t>
  </si>
  <si>
    <t>1513102</t>
  </si>
  <si>
    <t>1513103</t>
  </si>
  <si>
    <t>1513105</t>
  </si>
  <si>
    <t>1523202</t>
  </si>
  <si>
    <t>1513220</t>
  </si>
  <si>
    <t>1513182</t>
  </si>
  <si>
    <t>1513183</t>
  </si>
  <si>
    <t>Субвенція на придбання витратних матеріалів для родопомічних, дитячих, хірургічних, реанімаційних закладів (відділень), відділень невідкладної допомоги та лабораторій</t>
  </si>
  <si>
    <t>250323</t>
  </si>
  <si>
    <t>070501</t>
  </si>
  <si>
    <t>Служби технічного нагляду за будівництвом  і  капітальним ремонтом</t>
  </si>
  <si>
    <t>Комбінати комунальних підприємств, районні виробничі об"єднання та інші підприємства, установи та організації житлово-комунального господарства (видатки на утримання  і  обслуговування майна обласної комунальної власності)</t>
  </si>
  <si>
    <t>Позики, не віднесені до інших категорій</t>
  </si>
  <si>
    <t xml:space="preserve"> Зміни обсягів депозитів і цінних паперів, що використовуються для управління ліквідністю</t>
  </si>
  <si>
    <t xml:space="preserve"> Повернення коштів з депозитів або пред"явлення цінних паперів</t>
  </si>
  <si>
    <t>Різниця між вартісною оцінкою вищезазначених статей і ціною нового випуску зобов"язань</t>
  </si>
  <si>
    <t>Різниця між вартісною оцінкою вищезазначених статей і ціною при погашенні зобов"язань</t>
  </si>
  <si>
    <t xml:space="preserve">Разом  коштів,  отриманих  з усіх джерел фінансування бюджету за типом кредитора </t>
  </si>
  <si>
    <t>Фінансування бюджету за типом боргового зобов'язання</t>
  </si>
  <si>
    <t>Фінансування за борговими операціями</t>
  </si>
  <si>
    <t>Запозичення</t>
  </si>
  <si>
    <t>Внутрішні запозичення</t>
  </si>
  <si>
    <t>Довгострокові зобов'язання</t>
  </si>
  <si>
    <t>Середньострокові зобов'язання</t>
  </si>
  <si>
    <t>Короткострокові зобов'язання та векселі</t>
  </si>
  <si>
    <t>Інші зобов'язання</t>
  </si>
  <si>
    <t>Зовнішні запозичення</t>
  </si>
  <si>
    <t>Погашення</t>
  </si>
  <si>
    <t>Внутрішні зобов'язання</t>
  </si>
  <si>
    <t>Зовнішні зобов'язання</t>
  </si>
  <si>
    <t>Фінансування за активними операціями</t>
  </si>
  <si>
    <t>Повернення коштів з депозитів або пред"явлення цінних паперів</t>
  </si>
  <si>
    <t>Зміни обсягів готівкових коштів</t>
  </si>
  <si>
    <t>Разом  коштів,  отриманих  з усіх джерел фінансування бюджету за типом боргового зобов'язання</t>
  </si>
  <si>
    <t>Інші  програми  соціального захисту дітей</t>
  </si>
  <si>
    <t xml:space="preserve">Телебачення і радіомовлення </t>
  </si>
  <si>
    <t>Львівський онкологічний центр</t>
  </si>
  <si>
    <t>17</t>
  </si>
  <si>
    <t>КФКВ 250380</t>
  </si>
  <si>
    <t>м. Львів</t>
  </si>
  <si>
    <t>м. Борислав</t>
  </si>
  <si>
    <t>м. Дрогобич</t>
  </si>
  <si>
    <t>на виконання цільової соціальної програми облаштування дитячих ігрових майданчиків у Львівській області на 2010-2012 роки</t>
  </si>
  <si>
    <t>Субвенція з державного бюджету місцевим бюджетам на комп"ютеризацію та інформатизацію загальносовітніх навчальних закладів районів</t>
  </si>
  <si>
    <t>Додаткова дотація з державного бюджету на стимулювання місцевих органів влади за перевиконання річних розрахункових обсягів податку на прибуток підприємств та акцизного податку</t>
  </si>
  <si>
    <t>на проведення інвентаризації земель населених пунктів</t>
  </si>
  <si>
    <t xml:space="preserve"> підготовку та участь у всеукраїнських та міжнародних змаганнях баскетбольного клубу "Львівська Політехніка"</t>
  </si>
  <si>
    <t>у тому числі: заходи присвяченні відзначенню 150-річчя із дня народження Ів. Франка</t>
  </si>
  <si>
    <t>проект ЕС/ПРООН "Місцевий розвиток орієнтований на громаду"</t>
  </si>
  <si>
    <t>5317330</t>
  </si>
  <si>
    <t>0127500</t>
  </si>
  <si>
    <t>5316310</t>
  </si>
  <si>
    <t>7327630</t>
  </si>
  <si>
    <t>7319110</t>
  </si>
  <si>
    <t>1417460</t>
  </si>
  <si>
    <t xml:space="preserve">з них додаткова дотація на вирівнювання диспропорцій нерівномірності  мережі бюджетних установ </t>
  </si>
  <si>
    <t>Інші заклади і заходи післядипломної освіти (курсова перепідготовка)</t>
  </si>
  <si>
    <t>Палаци і будинки культури, клуби та інші заклади клубного типу ( центр народної творчості)</t>
  </si>
  <si>
    <t xml:space="preserve">Придбання підручників </t>
  </si>
  <si>
    <t>проведення виплат інвалідам війни УПА, учасникам бойових дій УПА, вдовам політв"язнів, вдовам ветеранів УПА у розмірах, встановлених рішенням облради № 280 від 17.04.2007</t>
  </si>
  <si>
    <t>Кошти,  що передаються із загального фонду бюджету до бюджету розвитку (спеціального фонду)</t>
  </si>
  <si>
    <t>з них: "Звід  пам"яток України"</t>
  </si>
  <si>
    <t>100105</t>
  </si>
  <si>
    <t>250357</t>
  </si>
  <si>
    <t>160903</t>
  </si>
  <si>
    <t>Управління розвитку туризму та курортів</t>
  </si>
  <si>
    <t>Періодичні видання (газети та журнали)</t>
  </si>
  <si>
    <t>Інші програми соціального захисту дітей</t>
  </si>
  <si>
    <t xml:space="preserve">Збереження, розвиток, реконструкція та реставрація пам'яток історії та культури </t>
  </si>
  <si>
    <t>Капiтальнi вкладення</t>
  </si>
  <si>
    <t>заходи зі створення Львівського регіонального резерву матеріально-технічних ресурсів на 2007-2010 роки</t>
  </si>
  <si>
    <t xml:space="preserve">у тому числі: фінансова підтримка обласного комунального підприємства "Центр просторового розвитку" </t>
  </si>
  <si>
    <t>Видатки  на запобігання та ліквідацію надзвичайних ситуацій та наслідків стихійного лиха</t>
  </si>
  <si>
    <t>з них на реалізацію програм: "Поліпшення допомоги особам із зниженим слухом"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</si>
  <si>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</si>
  <si>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Субвенція іншим бюджетам на виконання інвестиційних проектів</t>
  </si>
  <si>
    <t>0318600</t>
  </si>
  <si>
    <t>0313380</t>
  </si>
  <si>
    <t>0313420</t>
  </si>
  <si>
    <t>0311150</t>
  </si>
  <si>
    <t>Субвенція з державного бюджету місцевим бюджетам на виконання інвестиційних проектів, спрямованих на соціально-економічний розвиток регіонів, заходів з попередження аварій і запобігання техногенним катастрофам у житлово-комунальному господарстві та на інших аварійних об'єктах комунальної власності, в тому числі ремонт і реконструкцію теплових мереж та котелень</t>
  </si>
  <si>
    <t>з них на реалізацію Програми розвитку Львівської обласної контрольно-рятувальної служби туристично-спортивної спілки України</t>
  </si>
  <si>
    <t>Фінансування енергозберігаючих заходів</t>
  </si>
  <si>
    <t>реалізацію Комплексної програми соціального захисту окремих категорій громадян Львівської області в частині виплати адресної грошової допомоги ветеранам УПА, в тому числі компенсаційні виплати на пільговий проїзд на міжміських внутрішньообласних маршрутах</t>
  </si>
  <si>
    <t>Забезпечення підготовки спортсменів вищих категорій школами вищої спортивної майстерності</t>
  </si>
  <si>
    <t>реалізацію Комплексної програми соціальної підтримки окремих категорій громадян Львівської області на 2011-2013 роки в частині надання одноразової адресної допомоги малозабезпеченим громадянам області за розпорядженнями голови облдержадміністрації</t>
  </si>
  <si>
    <t>Програма моніторингу природного довкілля Львівської області на 2011-2015 роки і на перспективу до 2020 року</t>
  </si>
  <si>
    <t>Програма скорочення викидів забруднюючих речовин в атмосферне повітря стаціонарними джерелами підприємств - забруднювачів Львівської області на 2009-2017 роки</t>
  </si>
  <si>
    <t>Регіональна програма екологічної освіти Львівщини на 2010-2014 роки</t>
  </si>
  <si>
    <t>Регіональна програма розвитку заповідної справи у Львівській області на 2009-2020 роки</t>
  </si>
  <si>
    <t>видатки за рахунок коштів субвенції з державного бюджету місцевим бюджетам на надання пільг з послуг зв'язку, інших передбачених законодавством пільг (крім пільг на одержання ліків, зубопротезування, оплату електроенергії, природного і скрапленого газу на побутові потреби, твердого та рідкого пічного побутового палива,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нечистот), на компенсацію витрат частини доходів у зв"язку з відміною податку з власників транспортних засобів та інших самохідних машин і механізмів та відповідним збільшенням ставок акцизного податку з пального і на компенсацію за пільговий проїзд окремих категорій громадян</t>
  </si>
  <si>
    <t>придбання дорожньої техніки та інших предметів і засобів на потреби дорожнього господарства, у тому числі на закупівлю сучасних шнекороторних снігоочищувальних машин для ДП "Львівський облавтодор"</t>
  </si>
  <si>
    <t>облаштування вуличного освітлення автомобільних доріг</t>
  </si>
  <si>
    <t xml:space="preserve">Видатки на проведення робіт, пов"язаних з будiвництвом, реконструкцiєю, ремонтом та утриманням  автомобiльних дорiг </t>
  </si>
  <si>
    <t>Видатки на проведення робіт, пов"язаних з будiвництвом, реконструкцiєю, ремонтом та утриманням  автомобiльних дорiг</t>
  </si>
  <si>
    <t>пільгове медичне обслуговування громадян, які постраждали внаслідок Чорнобильської катастрофи</t>
  </si>
  <si>
    <t>виплату  компенсації реабілітованим</t>
  </si>
  <si>
    <t>Пільги   ветеранам   війни   і праці</t>
  </si>
  <si>
    <t xml:space="preserve">з них на заходи щодо посилення захисту багатодітних сімей </t>
  </si>
  <si>
    <t xml:space="preserve">з них на відзначення 60-ї річниці операції "Вісла" </t>
  </si>
  <si>
    <t>Субвенція з державного бюджету місцевим бюджетам  на здійснення заходів щодо соціально-економічного розвитку регіонів за напрямом, які закріплені за Міністерством регіонального розвитку та будівництва  України</t>
  </si>
  <si>
    <t>250203</t>
  </si>
  <si>
    <t>Проведення виборів народних депутатів Верховної Ради Автономної Республіки Крим, місцевих рад та сільських, селищних, міських голів</t>
  </si>
  <si>
    <t>розмежування земель державної та комунальної власності</t>
  </si>
  <si>
    <t>75/76</t>
  </si>
  <si>
    <t>40</t>
  </si>
  <si>
    <t>розробку програм у сфері житлово-комунального господарства</t>
  </si>
  <si>
    <t>реалізацію програми "Питна вода"</t>
  </si>
  <si>
    <t>Дотації:</t>
  </si>
  <si>
    <t>енергозбереження</t>
  </si>
  <si>
    <t>відновне лікування хворих області у Моршинській міській лікарні</t>
  </si>
  <si>
    <t>у тому числі програма щодо посилення соціального захисту багатодітних сімей, що проживають на території Львівської області</t>
  </si>
  <si>
    <t xml:space="preserve">Видатки на заходи щодо оплати громадянам електричної і теплової енергії, природного газу, твердого палива, послуг водопостачання і водовідведення, квартирної плати в рахунок часткової компенсації втрат від знецінення грошових заощаджень  </t>
  </si>
  <si>
    <t>Субвенція з державного бюджету на проведення виборів депутатів Верховної Ради Автономної Республіки Крим, місцевих рад та сільських, селищних, міських голів</t>
  </si>
  <si>
    <t>090212</t>
  </si>
  <si>
    <t>090213</t>
  </si>
  <si>
    <t>250342</t>
  </si>
  <si>
    <t>1013980</t>
  </si>
  <si>
    <t>1412050</t>
  </si>
  <si>
    <t>Повернення коштів, наданих для кредитування  громадян на будівництво (реконструкцію) житла</t>
  </si>
  <si>
    <t>Управління капітального будівництва</t>
  </si>
  <si>
    <t>Централізовані бухгалтерії обласних, міських, районних відділів освіти</t>
  </si>
  <si>
    <t>виконання обласної програми з покращення соціального захисту багатодітних сімей, що проживають на території Львівської області області</t>
  </si>
  <si>
    <t>Додаткова дотація з державного бюджету місцевим бюджетам на забезпечення виплат, пов’язаних із підвищенням рівня оплати праці працівників бюджетної сфери, в тому числі на підвищення посадового окладу працівника першого тарифного розряду Єдиної тарифної сітки та виплату допомоги випускникам вищих навчальних закладів, які здобули освіту за напрямами і спеціальностями медичного та фармацевтичного профілю</t>
  </si>
  <si>
    <t>Субвенція з державного бюджету місцевим бюджетам на реалізацію пріоритетів розвитку регіонів</t>
  </si>
  <si>
    <t>090403</t>
  </si>
  <si>
    <t>090700</t>
  </si>
  <si>
    <t>070806</t>
  </si>
  <si>
    <t>Євген Захаревич</t>
  </si>
  <si>
    <t>в тому числі:  програма боротьби зі злочинністю</t>
  </si>
  <si>
    <t>Головне фінансове управління</t>
  </si>
  <si>
    <t>програма забезпечення безпеки руху</t>
  </si>
  <si>
    <t>Субвенція з обласного бюджету державному бюджету на виконання програм соціально-економічного та культурного розвитку регіонів</t>
  </si>
  <si>
    <t xml:space="preserve">Видатки спеціального фонду </t>
  </si>
  <si>
    <t>Проведення невідкладних відновлювальних робіт, будівництво та реконструкція лікарень загального профілю</t>
  </si>
  <si>
    <t>Заклади післядипломної освіти III-IV рівнів акредитації (академії, інститути, центри підвищення кваліфікації, перепідготовки, вдосконалення)</t>
  </si>
  <si>
    <t>Інші заклади і заходи післядипломної освіти</t>
  </si>
  <si>
    <t>Придбання підручників</t>
  </si>
  <si>
    <t>250102</t>
  </si>
  <si>
    <t>виплату обласних премій в галузі культури, літератури, мистецтва, журналістики та архітектури</t>
  </si>
  <si>
    <t>Утримання клубів підлітків за місцем проживання</t>
  </si>
  <si>
    <t>250333</t>
  </si>
  <si>
    <t>з них на регіональну програму розвитку інформаційного простору</t>
  </si>
  <si>
    <t>видатки на відзначення 60-ї річниці початку примусового виселення українців з етнічних земель Лемківщини, Надсяння, Підляшшя та Холмщини, а також під час операції "Вісла"</t>
  </si>
  <si>
    <t>Спеціальні загальноосвітні школи-інтернати, школи та інші заклади освіти для дітей з вадами у фізичному чи розумовому розвитку</t>
  </si>
  <si>
    <t>Облдержадміністрація</t>
  </si>
  <si>
    <t>070602</t>
  </si>
  <si>
    <t>Вищі заклади освіти ІІІ-IV рівнів акредитації</t>
  </si>
  <si>
    <t>120100</t>
  </si>
  <si>
    <t>Телебачення і радіомовлення</t>
  </si>
  <si>
    <t>120200</t>
  </si>
  <si>
    <t>Преса</t>
  </si>
  <si>
    <t>120300</t>
  </si>
  <si>
    <t>Разом</t>
  </si>
  <si>
    <t>з них: реалізація програм регіонального телебачення (підготовка телепрограм з відзначення 60-ї річниці початку примусового виселення українців з етнічних земель Лемківщини, Надсяння, Підляшшя та Холмщини, а також під час операції "Вісла"-30 тис.грн.)</t>
  </si>
  <si>
    <t>Утримання та навчально-тренувальна робота дитячо-юнацьких спортивних шкіл(фінансова підтримка)</t>
  </si>
  <si>
    <t xml:space="preserve"> Субвенція з державного бюджету місцевим бюджетам на здійснення виплат, визначених Законом України "Про реструктуризацію заборгованості з виплат, передбачених статтею 57 Закону України "Про освіту" педагогічним, науково-педагогічним та іншим категоріям працівників навчальних закладів"</t>
  </si>
  <si>
    <t>з них на впровадження системи енергетичного менеджменту та проведення обов"язкового енергетичного аудиту  в установах, підприємствах і організаціях комунальної власності</t>
  </si>
  <si>
    <t>з них на реалізацію  регіональної програми трансплантації органів та інших анатомічних матеріалів</t>
  </si>
  <si>
    <t>170</t>
  </si>
  <si>
    <t>Загальноосвітні спеціалізовані школи-інтернати з поглибленим вивченням окремих предметів і курсів для поглибленої підготовки дітей в галузі науки і мистецтв, фізичної культури і спорту, інших галузях, ліцеї з посиленою військово-фізичною підготовкою</t>
  </si>
  <si>
    <r>
      <t xml:space="preserve">ПЕРЕВІРКА З ДОД  </t>
    </r>
    <r>
      <rPr>
        <b/>
        <sz val="16"/>
        <rFont val="Times New Roman Cyr"/>
        <family val="1"/>
        <charset val="204"/>
      </rPr>
      <t>2</t>
    </r>
  </si>
  <si>
    <t>погашення заборгованості за 2005 та 2006 роки з різниці в тарифах на теплову енергію, що подавалася населенню району підприємством обласної комунальної власності ДКП "Кам"янкатеплокомуненерго"</t>
  </si>
  <si>
    <t>Контрольні цифри МФУ з видатків за рахунок власних доходів</t>
  </si>
  <si>
    <t>ПЕРЕВІРКА З ДОХОДАМИ</t>
  </si>
  <si>
    <t>охорони та раціонального використання земель</t>
  </si>
  <si>
    <t>з них на:</t>
  </si>
  <si>
    <t>оплата праці</t>
  </si>
  <si>
    <t>з них бюджет розвитку</t>
  </si>
  <si>
    <t>Споживання</t>
  </si>
  <si>
    <t>Видатки загального фонду</t>
  </si>
  <si>
    <t>Розвитку</t>
  </si>
  <si>
    <t>у тому числі:на реалізацію програм в галузі правоохоронної діяльності та забезпечення безпеки державного кордону в межах Львівської області</t>
  </si>
  <si>
    <t>заходи щодо посилення захисту багатодітних сімей</t>
  </si>
  <si>
    <t>сплату відсотків за надані фінансово-банківськими установами позики населенню на енергоощадні заходи</t>
  </si>
  <si>
    <t>Облаштування новостворюваних закладів, які надають соціальні послуги дітям та молоді</t>
  </si>
  <si>
    <t>091109</t>
  </si>
  <si>
    <t>Програми в галузі сільського господарства, лісового господарства, рибальства та мисливства</t>
  </si>
  <si>
    <t>130203</t>
  </si>
  <si>
    <t>Заходи з оздоровлення та відпочинку дітей, окрім заходів з оздоровлення дітей, які здійснюються за рахунок коштів на оздоровлення громадян, що постраждали внаслідок Чорнобильської катастрофи</t>
  </si>
  <si>
    <t>з них на посилення захисту багатодітних сімей</t>
  </si>
  <si>
    <t>з них на реалізацію обласної цільової програми підготовки та проведення в Україні фінальної частини чемпіонату Європи 2012 року з футболу</t>
  </si>
  <si>
    <t>Витрати на поховання учасників бойових дій та інвалідів війни</t>
  </si>
  <si>
    <t>з нихвидатки для надання центрами соціальних служб для сім"ї, дітей та молоді соціальних послуг ін"єкційним споживачам наркотиків та членам їх сімей</t>
  </si>
  <si>
    <t xml:space="preserve">Фінансова підтримка спортивних споруд </t>
  </si>
  <si>
    <t>Проведення навчально-тренувальних зборів і змагань (які прводяться громадськими організаціями фізкультурно-спортивної спрямованості)</t>
  </si>
  <si>
    <t xml:space="preserve">Проведення невідкладних відновлювальних робіт, будівництво та реконструкція позашкільних навчальних закладів </t>
  </si>
  <si>
    <t>Код тимчасової класифікації видатків та кредитування місцевих бюджетів</t>
  </si>
  <si>
    <t>Найменування коду тимчасової класифікації видатків та кредитування місцевих бюджетів</t>
  </si>
  <si>
    <t>ЗФ</t>
  </si>
  <si>
    <t>сФ</t>
  </si>
  <si>
    <t>Надходження бюджетних установ від додаткової (господарської) діяльності</t>
  </si>
  <si>
    <t>Плата за оренду майна бюджетних установ</t>
  </si>
  <si>
    <t>Надходження бюджетних установ від реалізації в установленому порядку майна (крім нерухомого майна)</t>
  </si>
  <si>
    <t>Інші джерела власних надходжень бюджетних установ </t>
  </si>
  <si>
    <t>Благодійні внески, гранти та дарунки</t>
  </si>
  <si>
    <t>30000000</t>
  </si>
  <si>
    <t>Доходи від операцій з капіталом</t>
  </si>
  <si>
    <t>31000000</t>
  </si>
  <si>
    <t xml:space="preserve"> Надходження від продажу основного капіталу</t>
  </si>
  <si>
    <t>Кошти від відчуження майна, що належать Автономній республіці Крим та майна, що перебуває в комунальній власності</t>
  </si>
  <si>
    <t>Надходження від продажу землі і нематеріальних активів</t>
  </si>
  <si>
    <t>Надходження від продажу землі</t>
  </si>
  <si>
    <t>Збір за забруднення навколишнього природного середовища</t>
  </si>
  <si>
    <t>Надходження коштів від енергопідприємств до Державного фонду охорони навколишнього природного середовища </t>
  </si>
  <si>
    <t>Інші збори за забруднення навколишнього природного середовища до Фонду охорони навколишнього природного середовища </t>
  </si>
  <si>
    <t>Надходження від сплати збору за забруднення навколишнього природного середовища фізичними особами </t>
  </si>
  <si>
    <t xml:space="preserve">Цільові фонди, утворені органами    місцевого    самоврядування    </t>
  </si>
  <si>
    <t>Відрахування 10 відсотків вартості питної води суб"єктам підприємницької діяльності, які здійснюють реалізацію питної води через системи централізованого постачання з відхиленням від вимог діючих стандартів</t>
  </si>
  <si>
    <t>Обсяг доходів загального фонду, що враховуються при визначенні міжбюджетних трансфертів, - всього</t>
  </si>
  <si>
    <t>Обсяг доходів загального фонду, що не враховуються при визначенні трансфертів, - всього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</si>
  <si>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</si>
  <si>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Разом доходів</t>
  </si>
  <si>
    <t xml:space="preserve">Офіційні трансферти </t>
  </si>
  <si>
    <t>Від органів державного управління</t>
  </si>
  <si>
    <t>Кошти, що надходять з інших бюджетів</t>
  </si>
  <si>
    <t xml:space="preserve">Дотації </t>
  </si>
  <si>
    <t xml:space="preserve">Дотації вирівнювання, що одержуються з державного  бюджету </t>
  </si>
  <si>
    <t>Додаткова дотація з державного бюджету на забезпечення видатків на оплату праці працівників бюджетних установ у зв"язку із підвищенням розміру мініммальної заробітної плати, виплату стипендій і допомоги учням та студентам  навчальних закладів</t>
  </si>
  <si>
    <t>Додаткова дотація з державного бюджету на підвищення рівня матеріального забезпечення інвалідів І чи ІІ групи внаслідок психічного розладу</t>
  </si>
  <si>
    <t>Субвенції  - всього:</t>
  </si>
  <si>
    <t>Субвенції з інших областей на утримання об"єктів спільного користування чи ліквідацію негативних наслідків діяльності об"єктів спільного користування (утримання лікарні відновного лікування "Говерла")</t>
  </si>
  <si>
    <t xml:space="preserve">Субвенція іншим бюджетам на виконання інвестиційних проектів </t>
  </si>
  <si>
    <t>Субвенція з державного бюджету на інформатизацію та комп"ютеризацію загальноосвітніх навчальних закладів та забезпечення їх сучасними  технічними засобами навчання з природничо-математичних і технічних дисциплін</t>
  </si>
  <si>
    <t>Субвенція з державного бюджету на здійснення заходів по передачі житлового фонду та об"єктів соціально-культурної сфери Міністерства оборони України у комунальну власність</t>
  </si>
  <si>
    <t>Субвенція з державного бюджету місцевим бюджетам на будівництво та придбання житла для інвалідів-глухих та інвалідів-сліпих</t>
  </si>
  <si>
    <t>Субвенція з державного бюджету місцевим бюджетам на придбання витратних матеріалів для закладів охорони здоров"я та лікарських засобів для інгаляційної анестезії</t>
  </si>
  <si>
    <t>Заходи боротьби з епідеміями</t>
  </si>
  <si>
    <t>Центри здоров'я і заходи у сфері санітарної освіти</t>
  </si>
  <si>
    <t>Філармонії, музичні колективи і ансамблі та інші мистецькі заклади та заходи</t>
  </si>
  <si>
    <t>100000</t>
  </si>
  <si>
    <t>ПЕРЕВІРКА з дод 3</t>
  </si>
  <si>
    <t xml:space="preserve"> - 144,5-закриття</t>
  </si>
  <si>
    <t>105,7 - 090</t>
  </si>
  <si>
    <t>130106</t>
  </si>
  <si>
    <t xml:space="preserve"> будівництво, реконструкцію, ремонт і утримання автомобільних доріг, що належать до комунальної власності</t>
  </si>
  <si>
    <t>поповнення бібліотек навчальних закладів літературою та періодичними виданнями</t>
  </si>
  <si>
    <t xml:space="preserve">розробку нормативно-методичних рекомендацій по формуванню та реалізації локальних програм енергозбереження та інформаційного і поліграфічного їх забезпечення </t>
  </si>
  <si>
    <t>Субвенція з місцевого бюджету державному бюджету на виконання програм соціально-економічного та культурного розвитку регіонів</t>
  </si>
  <si>
    <t>забезпечення харчування (сніданками) учнів 5-11 класів загальноосвітніх навчальних закладів</t>
  </si>
  <si>
    <t>Додаток  7</t>
  </si>
  <si>
    <t>Назва об"єктів відповідно до проектно-кошторисної документації, тощо</t>
  </si>
  <si>
    <t>Загальний обсяг фінансування будівництва</t>
  </si>
  <si>
    <t>Відсоток завершеності будівництва об"єктів на майбутні роки</t>
  </si>
  <si>
    <t>Всього видатків на завершення будівництва об"єктів на майбутні роки</t>
  </si>
  <si>
    <t>Разом видатків на поточний рік</t>
  </si>
  <si>
    <t>Розподіл видатків бюджету розвитку на 2014 рік</t>
  </si>
  <si>
    <t>Капітальні видатки</t>
  </si>
  <si>
    <t>на фінансування Програми проведення обласного конкурсу мікропроектів місцевого розвитку на 2011-2015 роки</t>
  </si>
  <si>
    <t>фінансування Програми проведення обласного конкурсу мікропроектів місцевого розвитку на 2011-2015 роки</t>
  </si>
  <si>
    <t>Комплексна програма підтримки та розвитку агропромислового розвитку Львівської області на 2013-2015 роки</t>
  </si>
  <si>
    <t>Програма розвитку комунального лісового господарства Львівщини на 2012-2015 роки</t>
  </si>
  <si>
    <t>Регіональна програма забезпечення діяльності регіональних ландшафтних парків області на 2014-2016 роки</t>
  </si>
  <si>
    <t>Обласна цільова програма забезпечення молоді житлом у Львівській області на 2013-2017 роки</t>
  </si>
  <si>
    <t>Регіональна програма підтримки індивідуального житлового будівництва на селі "Власний дім" на 2013-2015 роки</t>
  </si>
  <si>
    <r>
      <t>Комплексна програма соціальної підтримки окремих категорій громадян Львівської області на 2014-2017 роки в частині надання фінансової підтримки громадським організаціям інвалідів, ветеранів та політичних в</t>
    </r>
    <r>
      <rPr>
        <sz val="12"/>
        <color indexed="8"/>
        <rFont val="Arial Cyr"/>
        <charset val="204"/>
      </rPr>
      <t>’</t>
    </r>
    <r>
      <rPr>
        <sz val="12"/>
        <color indexed="8"/>
        <rFont val="Times New Roman"/>
        <family val="1"/>
      </rPr>
      <t>язнів і репресованих</t>
    </r>
  </si>
  <si>
    <t>76</t>
  </si>
  <si>
    <t>6019110</t>
  </si>
  <si>
    <t>Податок на доходи фізичних осіб - військовослужбовців та осіб рядового і начальницького складу</t>
  </si>
  <si>
    <t>Податок з доходів фізичних осіб - працівників закордонних дипломатичних установ України з фонду оплати праці в національній валюті</t>
  </si>
  <si>
    <t>Податок на доходи фізичних осіб від інших видів діяльності</t>
  </si>
  <si>
    <t>Податок на доходи фізичних осіб від продажу нерухомого майна та надання нерухомості в оренду (суборенду), житловий найм (піднайм)</t>
  </si>
  <si>
    <t>Податок на доходи фізичних осіб від продажу рухомого майна та надання рухомого майна в оренду (суборенду)</t>
  </si>
  <si>
    <t>Податок на доходи фізичних осіб від отриманого платником доходу внаслідок прийняття ним у спадщину майна, коштів, майнових чи немайнових прав</t>
  </si>
  <si>
    <t>Податок на доходи фізичних осіб-шахтарів</t>
  </si>
  <si>
    <t>Фіксований податок на доходи фізичних осіб від зайняття підприємницькою діяльністю </t>
  </si>
  <si>
    <t>Податок на прибуток підприємств</t>
  </si>
  <si>
    <t>Податок на прибуток підприємств і організацій, що перебувають у державній   власності   (для   платників,   що   сплачують   податок   за місцезнаходженням у м. Києві)</t>
  </si>
  <si>
    <t>X</t>
  </si>
  <si>
    <t>Податки на власність</t>
  </si>
  <si>
    <t>Податок з власників транспортних засобів та інших самохідних машин і механізмів</t>
  </si>
  <si>
    <t>Податок з власників наземних транспортних засобів та інших самохідних машин і механізмів (юридичних осіб)</t>
  </si>
  <si>
    <t>Податок з власників наземних транспортних засобів та інших самохідних машин і механізмів (з громадян)</t>
  </si>
  <si>
    <t>Збір за першу реєстрацію транспортного засобу</t>
  </si>
  <si>
    <t>Збір за першу реєстрацію колісних транспортних засобів (юридичних осіб)</t>
  </si>
  <si>
    <t>Збір за першу реєстрацію колісних транспортних засобів (фізичних осіб)</t>
  </si>
  <si>
    <t>Надходження сум реструктурованої заборгованості зі сплати податку власниками транспортних засобів та інших самохідних машин і механізмів </t>
  </si>
  <si>
    <t>Податок з власників водних транспортних засобів </t>
  </si>
  <si>
    <t>виплату допомоги на догляд за інвалідом І чи II групи внаслідок психічного розладу</t>
  </si>
  <si>
    <t>Програма енергозбереження для населення Львівщини на 2013-2016 роки</t>
  </si>
  <si>
    <t>Додаткова дотація з державного бюджету місцевим бюджетам на поліпшення умов оплати праці медичних працівників, які надають медичну допомогу хворим на заразну та активну форми туберкульозу</t>
  </si>
  <si>
    <t>070303</t>
  </si>
  <si>
    <t>070502</t>
  </si>
  <si>
    <t>250381</t>
  </si>
  <si>
    <t>у тому числі                                                                                                                                                               відшкодування сільськогосподарським підприємствам втрат за продаж зерна у стабілізаційний фонд</t>
  </si>
  <si>
    <t xml:space="preserve">Інші видатки </t>
  </si>
  <si>
    <t xml:space="preserve">Інші субвенції, всього </t>
  </si>
  <si>
    <t>Санаторії для хворих туберкульозом</t>
  </si>
  <si>
    <t>Санаторії для дітей та підлітків (нетуберкульозні)</t>
  </si>
  <si>
    <t>у тому числі    додаткова дотація з державного бюджету  на зменшення фактичних диспропорцій між місцевими бюджетами через нерівномірність мережі бюджетних установ</t>
  </si>
  <si>
    <t>16</t>
  </si>
  <si>
    <t xml:space="preserve">Обробка інформації з нарахування та виплати допомог і компенсацій </t>
  </si>
  <si>
    <t>120201</t>
  </si>
  <si>
    <t>250324</t>
  </si>
  <si>
    <t>№ з/п</t>
  </si>
  <si>
    <t>Центр приватизації та аграрної реформи</t>
  </si>
  <si>
    <t>240</t>
  </si>
  <si>
    <t>виконання заходів (підтримку сільських аматорських колективів-150 тис.грн.)</t>
  </si>
  <si>
    <t>надання пільг з послуг зв'язку, інших передбачених законодавством пільг (крім пільг на одержання ліків, зубопротезування, оплату електроенергії, природного і скрапленого газу на побутові потреби, твердого та рідкого пічного побутового палива,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нечистот), на компенсацію витрат частини доходів у зв"язку з відміною податку з власників транспортних засобів та інших самохідних машин і механізмів та відповідним збільшенням ставок акцизного податку з пального і на компенсацію за пільговий проїзд окремих категорій громадян</t>
  </si>
  <si>
    <t>Субвенція на надання пільг громадянам, які постраждали внаслідок Чорнобильської катастрофи на оплату електроенергії, природного газу, послуг тепло-, водопостачання і водовідведення, квартирної плати, транспортних послуг, послуг зв"язку та на придбання твердого і рідкого побутового палива особам, які проживають в будинках, що не мають центрального опалення</t>
  </si>
  <si>
    <t>Керівник секретаріату</t>
  </si>
  <si>
    <t>заходи з приватизації майна обласної комунальної власності</t>
  </si>
  <si>
    <t>видатки за рахунок коштів субвенції з державного бюджету місцевим бюджетам придбання витратних матеріалів для закладів охорони здоров"я та лікарських засобів для інгаляційної анестезії</t>
  </si>
  <si>
    <t>видатки за рахунок коштів субвенції з державного бюджету місцевим бюджетам  часткове відшкодування вартості лікарських засобів для лікування осіб з гіпертонічною хворобою</t>
  </si>
  <si>
    <t>250332</t>
  </si>
  <si>
    <t>"Цукровий діабет та лікування нецукрового діабету"</t>
  </si>
  <si>
    <t>110104</t>
  </si>
  <si>
    <t>придбання навчальної літератури для шкільних бібліотек</t>
  </si>
  <si>
    <t>підтримка навчально-виховної роботи НРЦ "Джерело"</t>
  </si>
  <si>
    <t>Додаток  2</t>
  </si>
  <si>
    <t>Додаток  1</t>
  </si>
  <si>
    <t>Видатки за рахунок власних доходів</t>
  </si>
  <si>
    <t>250306</t>
  </si>
  <si>
    <t>250904</t>
  </si>
  <si>
    <t>150111</t>
  </si>
  <si>
    <t>Загальноосвітні школи</t>
  </si>
  <si>
    <t xml:space="preserve"> заходи молодіжної організації "Пласт"</t>
  </si>
  <si>
    <t>на проведення заходів з нагоди 150-річчя народження Ів.Франка</t>
  </si>
  <si>
    <t>Нерозподілений резерв</t>
  </si>
  <si>
    <t>091108</t>
  </si>
  <si>
    <t>150110</t>
  </si>
  <si>
    <t>150114</t>
  </si>
  <si>
    <t>КФКВ 250313</t>
  </si>
  <si>
    <t>КФКВ 250326</t>
  </si>
  <si>
    <t>КФКВ 250328</t>
  </si>
  <si>
    <t>КФКВ 250329</t>
  </si>
  <si>
    <t>КФКВ 250330</t>
  </si>
  <si>
    <t>КФКВ 250376</t>
  </si>
  <si>
    <t>КФКВ 250323</t>
  </si>
  <si>
    <t>Львівський обласний бюджет</t>
  </si>
  <si>
    <t>Державний бюджет</t>
  </si>
  <si>
    <t>Волинський обласний бюджет</t>
  </si>
  <si>
    <t xml:space="preserve">до рішення обласної  ради  </t>
  </si>
  <si>
    <t>030</t>
  </si>
  <si>
    <t>Управління з питань фізичної культури та спорту</t>
  </si>
  <si>
    <t>Додаток  8</t>
  </si>
  <si>
    <t xml:space="preserve">від                                 № </t>
  </si>
  <si>
    <t>Найменування комплексної програми</t>
  </si>
  <si>
    <t>Найменування програми</t>
  </si>
  <si>
    <t>Сума</t>
  </si>
  <si>
    <t xml:space="preserve">Інші заклади і заходи післядипломної освіти  </t>
  </si>
  <si>
    <t>"Освіта Львівщини" на 2013-2016 роки</t>
  </si>
  <si>
    <t xml:space="preserve">Обласна цільова програма фінансування підвищення кваліфікації державних службовців і посадових осіб місцевого самоврядування </t>
  </si>
  <si>
    <t>"Сім"я та молодь Львівщини" на 2013-2016 роки</t>
  </si>
  <si>
    <t xml:space="preserve">Субвенція з державного бюджету місцевим бюджетам на фінансування Програм-переможців Всеукраїнського конкурсу проектів та програм розвитку місцевого самоврядування </t>
  </si>
  <si>
    <t>7526650</t>
  </si>
  <si>
    <t>7527410</t>
  </si>
  <si>
    <t>1518800</t>
  </si>
  <si>
    <t>7618700</t>
  </si>
  <si>
    <t>7616310</t>
  </si>
  <si>
    <t>1513400</t>
  </si>
  <si>
    <t>1513300</t>
  </si>
  <si>
    <t>Утримання центрів соціальних служб для сім'ї, дітей та молоді</t>
  </si>
  <si>
    <t>Програми і заходи центрів соціальних служб для сім'ї, дітей та молоді</t>
  </si>
  <si>
    <t>Збереження, розвиток, реконструкція та реставрація пам’яток історії та культури</t>
  </si>
  <si>
    <t xml:space="preserve"> Комплексна програма соціальної підтримки окремих категорій громадян Львівської області на 2014-2017 роки в частині дофінансування на конкурсних засадах мікропроектів, які фінансуються з різних джерел, щодо покращення якості життя соціально незахищених груп населення області</t>
  </si>
  <si>
    <t>забезпечення шкіл сприяння здоров"ю, шкіл сателітів та новобудов спортивним інвентарем, обладнанням для спортзалів та  спортмайданчиків</t>
  </si>
  <si>
    <t>забезпечення ЗНЗ мультимедійними комплексами</t>
  </si>
  <si>
    <t>Запобігання та ліквідація надзвичайних  ситуацій  та наслідків стихійного лиха</t>
  </si>
  <si>
    <t>Проведення невідкладних відновлювальних робіт, будівництво та реконструкція спеціалізованих лікарень та інших спеціалізованих закладів</t>
  </si>
  <si>
    <t>виготовлення документації на земельні ділянки під комунальним майном</t>
  </si>
  <si>
    <t>Правоохоронна діяльність                       та забезпечення      безпеки держави</t>
  </si>
  <si>
    <t>Підприємства і організації побутового обслуговування, що входять до комунальної власності</t>
  </si>
  <si>
    <t>з них на погашення кредиторської заборгованості за 2009 рік</t>
  </si>
  <si>
    <t>з них на реалізацію обласних програм</t>
  </si>
  <si>
    <t>Додаток  5</t>
  </si>
  <si>
    <t xml:space="preserve">Код </t>
  </si>
  <si>
    <t>Назва</t>
  </si>
  <si>
    <t>Спеціальний фонд</t>
  </si>
  <si>
    <t>у т.ч. бюджет розвитку</t>
  </si>
  <si>
    <t>6=(гр.3+гр.4)</t>
  </si>
  <si>
    <t>Внутрішнє фінансування</t>
  </si>
  <si>
    <t>Фінансування за рахунок коштів  державних фондів</t>
  </si>
  <si>
    <t>Позики, одержані з державних фондів</t>
  </si>
  <si>
    <t>Одержано позик</t>
  </si>
  <si>
    <t>Погашено позик</t>
  </si>
  <si>
    <t>Фінансування за рахунок позик банківських установ</t>
  </si>
  <si>
    <t>Субвенція з державного бюджету місцевим бюджетам на здійснення заходів щодо соціально-економічного розвитку окремих територій, яка входить до його складу</t>
  </si>
  <si>
    <t>Субвенція з державного бюджету місцевим бюджетам на забезпечення харчування (сніданками) учнів 5-11 класів загальноосвітніх навчальних закладів</t>
  </si>
  <si>
    <t>Додаткова дотація з державного бюджету місцевим бюджетам на виплату надбавок за обсяг та якість виконаної роботи медичним працівникам закладів охорони здоров"я, що надають первинну медичну допомогу, у непілотних регіонах</t>
  </si>
  <si>
    <t>Субвенція з державного бюджету місцевим бюджетам на соціально-економічний розвиток регіонів, виконання заходів з упередження аварій  та запобігання техногенням катастрофам у житлово-комунальному господарстві та на інших  аварійних об"єктах комунальної власності і на виконання  інвестиційних проектів, у тому числі на капітальний ремонт сільських шкіл, на розвиток та реконструкцію централізованих систнм водопостачання та водовідведення, на впровадження заходів, спрямованих на зменшення витрат по виробництву, передачі та споживанню теплової енергії</t>
  </si>
  <si>
    <t>03</t>
  </si>
  <si>
    <t>04</t>
  </si>
  <si>
    <t>05</t>
  </si>
  <si>
    <t>06</t>
  </si>
  <si>
    <t>Інші правоохоронні заходи і заклади</t>
  </si>
  <si>
    <t>Інші видатки</t>
  </si>
  <si>
    <t>Субвенція з державного бюджету місцевим бюджетам на фінансування ремонту приміщень управлінь праці та соціального захисту виконавчих органів міських  (міст республіканського в Автономній Республіці Крим і обласного значення), районних у містах Києві і Севастополі та районних у містах рад для здійснення заходів з виконання спільного із Світовим банком проекту "Вдосконалення системи соціальної допомоги"</t>
  </si>
  <si>
    <t>з них на придбання автобуса для театру ім. Ю. Дрогобича</t>
  </si>
  <si>
    <t>на реалізацію обласної цільової програми підготовки та проведення в Україні фінанльної частини чемпіонату Європи 2012 року з футболу</t>
  </si>
  <si>
    <t>пільгове медичне обслуговування громадянам, які постраждали внаслідок Чорнобильської катастрофи</t>
  </si>
  <si>
    <t>реалізацію Програми виплати одноразової адресної  допомоги малозабезпеченим громадянам області за розпорядженнями голови обласної ради</t>
  </si>
  <si>
    <t>Допомога на догляд за інвалідом І чи ІІ групи внаслідок психічного розладу</t>
  </si>
  <si>
    <t xml:space="preserve">Інші додаткові дотації </t>
  </si>
  <si>
    <t>у тому числі: програма щодо посилення соціального захисту багатодітних сімей, що проживають на території Львівської області</t>
  </si>
  <si>
    <t>заходи по проведенню підготовки документів з метою реалізації Закону України "Про реабілітацію жертв політичних репресій на Україні"</t>
  </si>
  <si>
    <t>з них на поховання учасників національно-визвольних змагань</t>
  </si>
  <si>
    <t>з них на: реалізацію програми "Назустріч інвесторам"</t>
  </si>
  <si>
    <t>Охорона та раціональне використання природних ресурсів</t>
  </si>
  <si>
    <t>100101</t>
  </si>
  <si>
    <t>Житлово-експлуатаційне господарство</t>
  </si>
  <si>
    <t xml:space="preserve"> в тому числі на створення резерву матеріально-технічних ресурсів</t>
  </si>
  <si>
    <t>Навчання та трудове влаштування інвалідів</t>
  </si>
  <si>
    <t>з них  на:</t>
  </si>
  <si>
    <t>010000</t>
  </si>
  <si>
    <t>070000</t>
  </si>
  <si>
    <t>080000</t>
  </si>
  <si>
    <t>090000</t>
  </si>
  <si>
    <t>з них на: реалізацію Комплексної програми соціальної підтримки окремих категорій громадян</t>
  </si>
  <si>
    <t>Заходи з медичного забезпечення на проведення фінальної частини турніру чемпіонату Європи з футболу в Україні у 2012 році</t>
  </si>
  <si>
    <t>"Розвиток первинної медико-санітарної допомоги на засадах сімейної медицини до 2010 року"</t>
  </si>
  <si>
    <t>заходи щодо роботи з обдарованою молоддю</t>
  </si>
  <si>
    <t>Ліквідація іншого забруднення навколишнього природного середовища</t>
  </si>
  <si>
    <t>Інша діяльність у сфері охорони навколишнього природного середовища</t>
  </si>
  <si>
    <t>реалізацію обласних програм</t>
  </si>
  <si>
    <t>Збереження природно-заповідного фонду</t>
  </si>
  <si>
    <t>200600</t>
  </si>
  <si>
    <t>Видатки  на запобігання та ліквідацію надзвичайних ситуацій  та наслідків стихійного лиха</t>
  </si>
  <si>
    <t>на придбання шкільного обладнання для навчальних закладів</t>
  </si>
  <si>
    <t>Програми соціального захисту інвалідів</t>
  </si>
  <si>
    <t>Субвенція з державного бюджету місцевим бюджетам на придбання вагонів для комунального електротранспорту (тролейбусів і трамваїв)</t>
  </si>
  <si>
    <t>з них:  відновне лікування хворих</t>
  </si>
  <si>
    <t>01</t>
  </si>
  <si>
    <t>02</t>
  </si>
  <si>
    <t>реалізацію обласної цільової програми підготовки та проведення в Україні фінальної частини чемпіонату Європи 2012 року з футболу</t>
  </si>
  <si>
    <t>виплату стипендій обдарованим спортсменам Львівщини</t>
  </si>
  <si>
    <t>в тому числі заходи по забезпеченню участі Львівщини у роботі міжнародних та національних презентаційних виставок, форумів</t>
  </si>
  <si>
    <t>в тому числі заходи, спрямовані на розвиток та реорганізацію міжрегіонального та прикордонного співробітництва у сфері зовнішньо-економічної діяльності</t>
  </si>
  <si>
    <t>в тому числі заходи, пов"язані з приватизацією</t>
  </si>
  <si>
    <t>Субвенція з державного бюджету місцевим бюджетам на виплату державної соціальної допомоги на дітей-сиріт та дітей, позбавлених батьківського піклування, грошового забезпечення батькам-вихователям і прийомним батькам за надання соціальних послуг у дитячих будинках сімейного типу та прийомних сім"ях за принципом "гроші ходять за дитиною"</t>
  </si>
  <si>
    <t>Погашення відсотків за користування довгостроковими пільговими кредитами на будівництво (реконструкцію) та придбання житла для молодих сімей та інших соціально незахищених категорій громадян</t>
  </si>
  <si>
    <t>250907</t>
  </si>
  <si>
    <t>витрати для поховання учасників бойових дій та інвалідів війни</t>
  </si>
  <si>
    <t>090601</t>
  </si>
  <si>
    <t>090901</t>
  </si>
  <si>
    <t>091203</t>
  </si>
  <si>
    <t>091210</t>
  </si>
  <si>
    <t>091214</t>
  </si>
  <si>
    <t>Субвенція з державного бюджету місцевим бюджетам на будівництво, реконструкцію, ремонт та утримання вулиць і доріг комунальної власності у населених пунктах</t>
  </si>
  <si>
    <t>реалізацію програми дофінансування на конкурсних засадах мікропроектів, які фінансуються з різних джерел щодо покращення якості життя соціально-незахищених груп населення області</t>
  </si>
  <si>
    <t>погашення кредиторської заборгованості за 2009 рік</t>
  </si>
  <si>
    <t xml:space="preserve">природоохоронних заходів </t>
  </si>
  <si>
    <t xml:space="preserve"> програми забезпечення опорних шкіл меблями та дидактичними матеріалами</t>
  </si>
  <si>
    <t>Лісове господарство і мисливство</t>
  </si>
  <si>
    <t>Будинки-інтернати для малолітніх інвалідів</t>
  </si>
  <si>
    <t>заходи, пов"язані з міжнародною діяльністю</t>
  </si>
  <si>
    <t>Здійснення виплат, визначених Законом України "Про реструктуризацію заборгованості з виплат, передбачених ст.57 Закону України "Про освіту" педагогічним, науково-педагогічним та іншим категоріям працівників навчальних закладів</t>
  </si>
  <si>
    <t>070809</t>
  </si>
  <si>
    <t>081011</t>
  </si>
  <si>
    <t>110206</t>
  </si>
  <si>
    <t>091301</t>
  </si>
  <si>
    <t>Землеустрій</t>
  </si>
  <si>
    <t>160101</t>
  </si>
  <si>
    <t>180409</t>
  </si>
  <si>
    <t>Соціальний  захист  та соціальне забезпечення</t>
  </si>
  <si>
    <t>Центри здоров"я і заходи у сфері  санітарної освіти</t>
  </si>
  <si>
    <t>Виплата компенсації реабілітованим</t>
  </si>
  <si>
    <t>Спеціалізовані поліклініки (в т.ч. диспансери, медико-санітарні частини, пересувні консультативні діагностичні центри тощо, які не мають ліжкового фонду)</t>
  </si>
  <si>
    <t>Фельдшерсько-акушерські пункти</t>
  </si>
  <si>
    <t>з них на заходи з енергозбереження для бюджетних установ</t>
  </si>
  <si>
    <t>у тому числі на реалізацію програм в галузі правоохоронної діяльності та забезпечення безпеки державного кордону в межах Львівської області</t>
  </si>
  <si>
    <t xml:space="preserve">у тому числі на: </t>
  </si>
  <si>
    <t>м. Моршин</t>
  </si>
  <si>
    <t>Встановлення телефонів інвалідам І та ІІ груп</t>
  </si>
  <si>
    <t>ПЕРЕВІРКА З ДОД 3</t>
  </si>
  <si>
    <t xml:space="preserve">у тому числі на утримання: </t>
  </si>
  <si>
    <t>апарату обласної ради</t>
  </si>
  <si>
    <t>Книговидання</t>
  </si>
  <si>
    <t>Соціальні програми і заходи державних органів у справах молоді</t>
  </si>
  <si>
    <t>Пільги,       що       надаються населенню   (крім  ветеранів війни та праці)    по оплаті житлово-комунальних послуг і природного газу</t>
  </si>
  <si>
    <t>Житлово-комунальне господарство</t>
  </si>
  <si>
    <t>Водопровiдно - каналiзацiйне господарство</t>
  </si>
  <si>
    <t>Культура і мистецтво</t>
  </si>
  <si>
    <t>Засоби  масової інформації</t>
  </si>
  <si>
    <t>Будівництво</t>
  </si>
  <si>
    <t>Разом по бюджетах міст і районів</t>
  </si>
  <si>
    <t>з них видатки на відзначення 60-ї річниці початку примусового виселення українців з етнічних земель Лемківщини, Надсяння, Підляшшя та Холмщини, а також під час операції "Вісла"</t>
  </si>
  <si>
    <t>110502</t>
  </si>
  <si>
    <t>виготовлення проектно-кошторисної документації  під музейний комплекс депортованим українцям (м. Винники)</t>
  </si>
  <si>
    <t xml:space="preserve">Будівництво та розвиток мережі метрополітенів </t>
  </si>
  <si>
    <t>будівництво, реконструкцію, ремонт і утримання автомобільних доріг, що належать до комунальної власності</t>
  </si>
  <si>
    <t>виконання інвестиційних проектів</t>
  </si>
  <si>
    <t>реалізацію природоохоронних заходів</t>
  </si>
  <si>
    <t>070807</t>
  </si>
  <si>
    <t>Вищі заклади освіти ІІІ-ІУ рівнів акредитації</t>
  </si>
  <si>
    <t>у тому числі землеустрій у сільській місцевості</t>
  </si>
  <si>
    <t>Операційні видатки-паспортизація, інвентаризація пам"яток архітектури, премії в галузі архітектури</t>
  </si>
  <si>
    <t>Заходи з оздоровлення та відпочинку дітей</t>
  </si>
  <si>
    <t>Разом видатків:</t>
  </si>
  <si>
    <t>в тому числі:</t>
  </si>
  <si>
    <t>300</t>
  </si>
  <si>
    <t>220</t>
  </si>
  <si>
    <t>видатки на розвиток сільських населених пунктів</t>
  </si>
  <si>
    <t>в тому числі видавничий центр "Пам"ять"</t>
  </si>
  <si>
    <t>Органи місцевого самоврядування</t>
  </si>
  <si>
    <t>Управління адмінбудинками обласної ради</t>
  </si>
  <si>
    <t>з них на реалізацію обласної цільової програми підготовки та проведення в Україні фінанальної частини чемпіонату Європи 2012 року з футболу</t>
  </si>
  <si>
    <t>Видатки на утримання центрів з інвалідного спорту і реабілітаційних шкіл</t>
  </si>
  <si>
    <t>Проведення навчально-тренувальних зборів і змагань та заходів з інвалідного спорту</t>
  </si>
  <si>
    <t>"Забезпечення дітей-інвалідів області життєво необхідними медичними препаратами замісної терапії на 2007-2011 роки"</t>
  </si>
  <si>
    <t>"Рання лабораторна діагностика випадків гострого коронарного синдрому"</t>
  </si>
  <si>
    <t>з них: на розвиток телемедичної мережі</t>
  </si>
  <si>
    <t>7628880</t>
  </si>
  <si>
    <t>на фінансування Програми обласного конкурсу мікропроектів місцевого розвитку на 2011-2015 роки (з них: у галузях освіти - 2000,0 тис.грн., культури - 1000,0 тис.грн.)</t>
  </si>
  <si>
    <t>у рамках проекту ЕС/ПРООН "Місцевий розвиток орієнтований на громаду"</t>
  </si>
  <si>
    <t>Фінансування за рахунок позик Національного банку України</t>
  </si>
  <si>
    <t xml:space="preserve">Фінансування за рахунок інших банків </t>
  </si>
  <si>
    <t>Інше внутрішнє фінансування</t>
  </si>
  <si>
    <t>Позики інших фінансових установ</t>
  </si>
  <si>
    <t>Зміна обсягів вимог до інших фінансових установ, що використовуються для управління ліквідністю</t>
  </si>
  <si>
    <t>Позикинефінансових державних підприємств</t>
  </si>
  <si>
    <t>Зміна обсягів цінних паперів нефінансових державних підприємств, що використовуються для управління ліквідністю</t>
  </si>
  <si>
    <t>Позики нефінансового приватного сектора</t>
  </si>
  <si>
    <t>Фінансування за рахунок коштів єдиного казначейського рахунку</t>
  </si>
  <si>
    <t>Одержано</t>
  </si>
  <si>
    <t>Повернено</t>
  </si>
  <si>
    <t>Надходження від приватизації державного майна</t>
  </si>
  <si>
    <t>Фінансування за рахунок залишків коштів на рахунках бюджетних установ</t>
  </si>
  <si>
    <t>На початок періоду</t>
  </si>
  <si>
    <t>На кінець періоду</t>
  </si>
  <si>
    <t>Інші розрахунки</t>
  </si>
  <si>
    <t>Повернення кредитів органами державного управліннями інших рівнів</t>
  </si>
  <si>
    <t>Повернення кредитів підприємствами, установами, організаціями</t>
  </si>
  <si>
    <t>006</t>
  </si>
  <si>
    <t xml:space="preserve">Повернення бюджетних позичок </t>
  </si>
  <si>
    <t>Надання пільгового довгострокового кредиту громадянам на будівництво (реконструкцію)  та придбання житла</t>
  </si>
  <si>
    <t>Надання інших внутрішніх кредитів</t>
  </si>
  <si>
    <t>Повернення кредитів, наданих для кредитування громадян на будівництво (реконструкцію) та придбання житла</t>
  </si>
  <si>
    <t>Обласна програма з покращення соціального захисту багатодітних сімей, що проживають на території Львівської області</t>
  </si>
  <si>
    <t>Програма профілактики і запобігання поширенню пияцтва та алкоголізму серед населення Львівської області на 2011-2014 роки</t>
  </si>
  <si>
    <t>Програма з питань безпеки та правопорядку на період підготовки та проведення в Україні фінальної частини чемпіонату Європи 2012 року з футболу і програма підтримки органів та установ Державної пенітенціарної служби області</t>
  </si>
  <si>
    <t>Програма поліпшення сервісу обслуговування платників податків в області</t>
  </si>
  <si>
    <t>Служба у справах дітей</t>
  </si>
  <si>
    <t>Програма розвитку української мови, української культури та історичної свідомості громадян України на території Львівської області</t>
  </si>
  <si>
    <r>
      <t>Плата за  придбання  торгових патентів</t>
    </r>
    <r>
      <rPr>
        <i/>
        <sz val="10"/>
        <rFont val="Times New Roman"/>
        <family val="1"/>
      </rPr>
      <t xml:space="preserve">  </t>
    </r>
    <r>
      <rPr>
        <sz val="10"/>
        <rFont val="Times New Roman"/>
        <family val="1"/>
      </rPr>
      <t>пунктами  продажунафтопродуктів(автозапрвними станціями, заправними пунктами)</t>
    </r>
  </si>
  <si>
    <r>
      <t>Субвенція з державного бюджету на виплату допомоги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ям з дітьми, малозабезпеченим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ям, інвалідам з дитинства, дітям-інвалідам та тимчасової державної допомоги дітям</t>
    </r>
  </si>
  <si>
    <t>Видатки обласного бюджету на 2014 рік за тимчасовою класифікацією видатків та кредитування місцевих бюджетів</t>
  </si>
  <si>
    <t>Розподіл видатків обласного бюджету на 2014 рік</t>
  </si>
  <si>
    <t>Додаток  3</t>
  </si>
  <si>
    <t xml:space="preserve">Повернення кредитів до обласного бюджету та надання кредитів з обласного бюджету на 2014 рік </t>
  </si>
  <si>
    <t>міжбюджетних трансфертів між обласним та іншими бюджетами  на 2014 рік</t>
  </si>
  <si>
    <r>
      <t>Доходи обласного бюджету на 2014 рік</t>
    </r>
    <r>
      <rPr>
        <b/>
        <vertAlign val="superscript"/>
        <sz val="16"/>
        <color indexed="8"/>
        <rFont val="Times New Roman"/>
        <family val="1"/>
        <charset val="204"/>
      </rPr>
      <t xml:space="preserve">    </t>
    </r>
    <r>
      <rPr>
        <b/>
        <sz val="16"/>
        <color indexed="8"/>
        <rFont val="Times New Roman"/>
        <family val="1"/>
        <charset val="204"/>
      </rPr>
      <t xml:space="preserve">                               </t>
    </r>
  </si>
  <si>
    <t>Субвенція з державного бюджету місцевим бюджетам на будівництво і придбання житла війсковослужбовцям та особам рядового і начальницького складу, звільненим у запас або відставку за станом здоров"я, віком, вислугу років та у зв"язку зі скороченням штатів, які перебувають на квартирному обліку за місцем проживання, членам сімей із числа цих осіб, які загинули під час виконання ними службових обов"язків, а також учасникам бойових дій в Афганістані та воєнних конфліктів</t>
  </si>
  <si>
    <t>реалізацію регіональної програми підтримки місцевих засобів масової інформації</t>
  </si>
  <si>
    <t>250909</t>
  </si>
  <si>
    <t>Повернення коштів, наданих для кредитування громадян на будівництво(реконструкціію) та придбання житла</t>
  </si>
  <si>
    <t>250344</t>
  </si>
  <si>
    <t>Відшкодування втрат сільськогосподарського і лісогосподарського виробництва</t>
  </si>
  <si>
    <t>зміцнення матеріально-технічної  і навчальної бази дошкільних навчальних закладів</t>
  </si>
  <si>
    <t xml:space="preserve">розвиток мережі шкільних музеїв </t>
  </si>
  <si>
    <t xml:space="preserve">зміцнення навчально-матеріальної бази опорних навчальних закладів </t>
  </si>
  <si>
    <t>розвиток мережі шкільних музеїв</t>
  </si>
  <si>
    <t>фінансування розроблення містобудівної документації</t>
  </si>
  <si>
    <t>"Посилення соціального захисту багатодітних сімей, що проживають на території Львівської області"</t>
  </si>
  <si>
    <t>Кошти, що передаються з загального фонду бюджету до бюджету розвитку (спеціальний фонд)</t>
  </si>
  <si>
    <t>на обласну програму соціального захисту ветеранів УПА, репресованих (встановлення квартирних телефонів ветеранам УПА, репресованим в м.Самборі)</t>
  </si>
  <si>
    <t>Вищі заклади освіти І-ІІ рівнів акредитації</t>
  </si>
  <si>
    <t>Видатки на ліквідацію наслідків стихійного лиха, що сталося 23-27 липня 2008 року</t>
  </si>
  <si>
    <t>Медико-соціальні експертні комісії</t>
  </si>
  <si>
    <t>090412</t>
  </si>
  <si>
    <t>091212</t>
  </si>
  <si>
    <t>надання допомоги малозабезпеченим громадянам області за розпорядженнями голови обласної ради</t>
  </si>
  <si>
    <t>Субвенція з державного бюджету місцевим бюджетам на здійснення виплат, визначених Законом України "Про реструктуризацію заборгованості з виплат, передбачених статтею 57 Закону України "Про освіту" педагогічним, науково-педагогічним та іншим категоріям працівників навчальних закладів"</t>
  </si>
  <si>
    <t>Субвенція з державного бюджету місцевим бюджетам на соціально-економічний розвиток регіонів, виконання заходів з упередження аварій  та запобігання техногенням катастрофам у житлово-комунальному господарстві та на інших  аварійних об"єктах комунальної власності і на виконання  інвестиційних проектів, у тому числі на капітальний ремонт сільських шкіл, на розвиток та реконструкцію централізованих систем водопостачання та водовідведення, на впровадження заходів, спрямованих на зменшення витрат по виробництву, передачі та споживанню теплової енергії</t>
  </si>
  <si>
    <t>Субвенція з державного бюджету місцевим бюджетам на погашення заборгованості з різниці в тарифах на теплову енергію, послуги з водопостачання та водовідведення, що вироблялися, транспортувалися та постачалися населенню, яка виникла у зв"язку з невідповідністю фактичної вартості теплової енергсії, послуг з водопостачання та водовідведення тарифам, що затверджувалися органами державної влади чи органами місцевого самоврядування</t>
  </si>
  <si>
    <r>
      <t>Субвенція з державного бюджету місцевим бюджетам на виплату державної соціальної допомоги на дітей-сиріт та дітей, позбавлених батьківського піклування, грошового забезпечення батькам-вихователям і прийомним батькам за надання соціальних послуг у дитячих будинках сімейного типу та прийомних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ях - за принципом  "гроші ходять за дитиною"</t>
    </r>
  </si>
  <si>
    <t>Перелік регіональних програм обласного бюджету Львівської області на 2014 рік</t>
  </si>
  <si>
    <r>
      <t>Джерела фінансування  обласного бюджету на 2014 рік</t>
    </r>
    <r>
      <rPr>
        <b/>
        <vertAlign val="superscript"/>
        <sz val="16"/>
        <color indexed="8"/>
        <rFont val="Times New Roman"/>
        <family val="1"/>
        <charset val="204"/>
      </rPr>
      <t xml:space="preserve">    </t>
    </r>
    <r>
      <rPr>
        <b/>
        <sz val="16"/>
        <color indexed="8"/>
        <rFont val="Times New Roman"/>
        <family val="1"/>
        <charset val="204"/>
      </rPr>
      <t xml:space="preserve">                               </t>
    </r>
  </si>
  <si>
    <t>заходи з оренди нерухомого майна, приватизації майна та виготовлення технічної документації на земельні ділянки під об"єктами нерухомості, що перебувають на балансах обласних комунальних організацій, установ,та відповідних Державних актів на право постійного користування</t>
  </si>
  <si>
    <t>з них: на виконання заходів з внутрішньої поліитики</t>
  </si>
  <si>
    <t>Допомога на догляд за інвалідом І чи II групи внаслідок психічного розладу</t>
  </si>
  <si>
    <t>Загальноосвітні школи-інтернати для дітей-сиріт та дітей, які залишилися без піклування батьків</t>
  </si>
  <si>
    <t>Інші послуги, пов'язані з економічною діяльністю</t>
  </si>
  <si>
    <t>250378</t>
  </si>
  <si>
    <t>250364</t>
  </si>
  <si>
    <t>250348</t>
  </si>
  <si>
    <t>250396</t>
  </si>
  <si>
    <t>250376</t>
  </si>
  <si>
    <t>250335</t>
  </si>
  <si>
    <t>Охорона     навколишнього природного     середовища та ядерна безпека</t>
  </si>
  <si>
    <t>Обслуговування внутрішнього боргу</t>
  </si>
  <si>
    <t>Обслуговування зовнішнього боргу</t>
  </si>
  <si>
    <t>Цільові фонди</t>
  </si>
  <si>
    <t>у тому числі на: розвиток локальних освітніх округів</t>
  </si>
  <si>
    <t>розвиток та забезпечення діяльності дошкільних навчальних закладів</t>
  </si>
  <si>
    <t>оснащення навчальних закладів комп"ютерною технікою та програмними засобами</t>
  </si>
  <si>
    <t>Управління молоді та спорту</t>
  </si>
  <si>
    <t>Департамент з питань культури, національностей та релігій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</si>
  <si>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</si>
  <si>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</si>
  <si>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</si>
  <si>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</si>
  <si>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</si>
  <si>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</si>
  <si>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</si>
  <si>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</si>
  <si>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</si>
  <si>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</si>
  <si>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Департамент фінансів</t>
  </si>
  <si>
    <t>48</t>
  </si>
  <si>
    <t>Управління архітектури, містобудування та інфраструктурних проектів</t>
  </si>
  <si>
    <t>Департамент інформаційної діяльності та комунікацій з громадськістю</t>
  </si>
  <si>
    <t>150118</t>
  </si>
  <si>
    <t>Департамент з питань цивільного захисту</t>
  </si>
  <si>
    <t>Департамент міжнародного співробітництва та туризму</t>
  </si>
  <si>
    <t>Департамент охорони здоров"я</t>
  </si>
  <si>
    <t>Інші засоби масової інформації</t>
  </si>
  <si>
    <t>120400</t>
  </si>
  <si>
    <t>Департамент агропромислового розвитку</t>
  </si>
  <si>
    <t>Департамент соціального захисту населення</t>
  </si>
  <si>
    <t>Інші установи та заклади</t>
  </si>
  <si>
    <t>091206</t>
  </si>
  <si>
    <t>Центри соціальної реабілітації дітей-інвалідів; центри професійної реабілітації інвалідів</t>
  </si>
  <si>
    <t>Місцеві державні адміністрації</t>
  </si>
  <si>
    <t>Органи  місцевого самоврядування</t>
  </si>
  <si>
    <t>Національна оборона</t>
  </si>
  <si>
    <t>в тому числі : часткова компенсація сільськогосгосподарським товаровиробникам вартості придбання дизельного пального</t>
  </si>
  <si>
    <t>Оздоровлення громадян, які постраждали внаслідок Чорнобильської катастрофи</t>
  </si>
  <si>
    <t>охорона та раціональне використання земель</t>
  </si>
  <si>
    <t xml:space="preserve">Інші заклади і заходи післядипломної освіти </t>
  </si>
  <si>
    <t xml:space="preserve">Інші культурно-освітні заклади та заходи </t>
  </si>
  <si>
    <t>Видатки на утримання центрів з інвалідного спорту  і реабілітаційних шкіл</t>
  </si>
  <si>
    <t>Проведення заходів з нетрадиційних видів спорту і масових заходів з фізичної культури</t>
  </si>
  <si>
    <t>210120</t>
  </si>
  <si>
    <t>1181,4=</t>
  </si>
  <si>
    <t>Будинки дитини</t>
  </si>
  <si>
    <t>Станції переливання крові</t>
  </si>
  <si>
    <t>250328</t>
  </si>
  <si>
    <t>250329</t>
  </si>
  <si>
    <t>250330</t>
  </si>
  <si>
    <t>170302</t>
  </si>
  <si>
    <t>170102</t>
  </si>
  <si>
    <t>250382</t>
  </si>
  <si>
    <t>Компенсаційні виплати на пільговий проїзд автомобільним транспортом окремим категоріям громадян</t>
  </si>
  <si>
    <t>Дошкільні заклади освіти</t>
  </si>
  <si>
    <t>Загальноосвітні школи ( в т.ч. школа-дитячий садок, інтернат при школі), спеціалізовані школи, ліцеї, гімназії, колегіуми</t>
  </si>
  <si>
    <t>Вечірні (змінні) школи</t>
  </si>
  <si>
    <t xml:space="preserve">Загальноосвітні школи-інтернати для дітей-сиріт та дітей, які залишилися без піклування батьків </t>
  </si>
  <si>
    <t>з них:проведення пошуку та впорядкування поховань жертв війни та політичних репресій</t>
  </si>
  <si>
    <t>Обласна програма щодо святкування 200-річчя з дня народження Тараса Шевченка для організації дитячих читань та виступів шкільної молоді</t>
  </si>
  <si>
    <t>реалізацію Комплексної програми соціальної підтримки окремих категорій громадян Львівської області на 2014-2017 роки в частині надання одноразової адресної допомоги сім"ям, родичі яких загинули під час Революції Гідності за їх зверненням до обласної ради</t>
  </si>
  <si>
    <t xml:space="preserve">Комплексна програма соціальної підтримки окремих категорій громадян Львівської області на 2014-2017 роки в частині надання одноразової адресної допомоги сім"ям, родичі яких загинули під час Революції Гідності за їх зверненням до обласної ради </t>
  </si>
  <si>
    <t xml:space="preserve">у тому числі: здійснення продажу земельних ділянок на конкурентних засадах та інших програм </t>
  </si>
  <si>
    <t>Спеціальні загальноосвітні школи -інтернати, школи та інші заклади освіти для дітей з вадами у фізичному чи розумовому розвитку</t>
  </si>
  <si>
    <t xml:space="preserve">у тому числі видатки:на виконання "Основних напрямів розвитку освітньої галузі області на 2006-2008 роки" </t>
  </si>
  <si>
    <t>заходи, пов"язані з наданням в оренду нерухомого майна</t>
  </si>
  <si>
    <t>у тому числі</t>
  </si>
  <si>
    <t>видатки за рахунок коштів субвенції з державного бюджету місцевим бюджетам на придбання медикаментів для забезпечення швидкої медичної допомоги</t>
  </si>
  <si>
    <t>Програма розвитку лісового господарства Львівської області на 2010-2015 роки</t>
  </si>
  <si>
    <t>Регіональна комплексна програма поліпшення екологічного стану басейнів річок у Львівській області на 2007-2010 роки з прогнозом до 2015 року</t>
  </si>
  <si>
    <t>Обласна програма поводження з твердими побутовими відходами на період на 2007-2015 роки</t>
  </si>
  <si>
    <t>Розробка (корегування) обласних цільових програм екологічного спрямування</t>
  </si>
  <si>
    <t xml:space="preserve">Внески органів влади Автономної Республіки Крим та органів місцевого самоврядування у статутні фонди суб"єктів підприємницької діяльності </t>
  </si>
  <si>
    <t xml:space="preserve">Проведення невідкладних відновлювальних робіт, будівництво та реконструкція загальноосвітніх навчальних закладів </t>
  </si>
  <si>
    <t>Інші заходи, пов"язані з економічною діяльністю (заходи з розвитку туризму)</t>
  </si>
  <si>
    <t>Інші видатки (утримання обласних центрів)</t>
  </si>
  <si>
    <t xml:space="preserve">з них на: розвиток музейної справи </t>
  </si>
  <si>
    <t>Адресно-довідкові бюро</t>
  </si>
  <si>
    <t>Субвенція з державного бюджету місцевим бюджетам на облаштування закладів, які надають соціальні послуги дітям та молоді</t>
  </si>
  <si>
    <t>Додаткова дотація з державного бюджету на вирівнювання фінансової забезпеченості місцевих бюджетів</t>
  </si>
  <si>
    <t>Повернення бюджетних  позичок</t>
  </si>
  <si>
    <t>150119</t>
  </si>
  <si>
    <t>150201</t>
  </si>
  <si>
    <t>Субвенція з державного бюджету місцевим бюджетам на соціально-економічний розвиток та розвиток інфраструктури регіонів</t>
  </si>
  <si>
    <t>130112</t>
  </si>
  <si>
    <t>Інші субвенції</t>
  </si>
  <si>
    <t>250380</t>
  </si>
  <si>
    <t>Утилізація відходів</t>
  </si>
  <si>
    <t>Збереження природно-заповiдного фонду</t>
  </si>
  <si>
    <t>Компенсацiйнi виплати за пiльговий проїзд окремих категорiй громадян на залізничному транспорті</t>
  </si>
  <si>
    <t>Усього</t>
  </si>
  <si>
    <t xml:space="preserve">з них: </t>
  </si>
  <si>
    <t>у тому числі: здійснення продажу земельних ділянок на конкурентних засадах та інших програм з питань земельних відносин</t>
  </si>
  <si>
    <t>з них видатки на розвиток сільських населених пунктів</t>
  </si>
  <si>
    <t xml:space="preserve">Спеціалізовані поліклініки (у т.ч. диспансери, медико-санітарні частини, пересувні консультативні діагностичні центри, тощо, які не мають ліжкового фонду) </t>
  </si>
  <si>
    <t>пілотний проект із заміни теплогенеруючого обладнання на альтернативні джерела енергії</t>
  </si>
  <si>
    <t>Гоупи централізованого господарського обслуговування</t>
  </si>
  <si>
    <t>Інші заклади освіти</t>
  </si>
  <si>
    <t>Інші освітні програми</t>
  </si>
  <si>
    <t>Допомога дітям-сиротам та дітям, позбавленим батьківського піклування, яким виповнюється 18 років</t>
  </si>
  <si>
    <t xml:space="preserve">Програми державного значення: на забезпечення загальносвітніх навчальних закладів сучасними технічними засобами навчання з природничо-математичних і технологічних дисциплін      </t>
  </si>
  <si>
    <t>Субвенція з державного бюджету на погашення заборгованості з пільг населенню за надані послуги зв"язку</t>
  </si>
  <si>
    <t>Субвенції  разом:</t>
  </si>
  <si>
    <t>з них: компенсаційні виплати за пільговий проїзд учасникам національно-визвольних змагань у транспорті загального користування на міжміських внутрішньо-обласних маршрутах</t>
  </si>
  <si>
    <t xml:space="preserve">Видатки на придбання шкільних автобусів для перевезення дітей, що проживають у сільській місцевості                                                                  </t>
  </si>
  <si>
    <t>Заходи з упередження аварій та запобігання техногенних катастроф у житлово-комунальному господарстві та інших аварійних об'єктах комунальної власності</t>
  </si>
  <si>
    <t>Інвестиційні проекти</t>
  </si>
  <si>
    <t xml:space="preserve">Субвенція з місцевого бюджету державному бюджету на виконання програм соціально-економічного та культурного розвитку регіонів </t>
  </si>
  <si>
    <t>Зміни обсягів депозитів і цінних паперів, що використовуються для управління ліквідністю</t>
  </si>
  <si>
    <t>Повернення коштів з депозитів або пред'явлення цінних паперів</t>
  </si>
  <si>
    <t>Розміщення коштів на депозитах або придбання цінних паперів</t>
  </si>
  <si>
    <t xml:space="preserve">Керівник секретаріату </t>
  </si>
  <si>
    <t>Коригування</t>
  </si>
  <si>
    <t>Різниця між вартісною оцінкою вищезазначених статей і ціною нового випуску зобов'язань</t>
  </si>
  <si>
    <t>Різниця між вартісною оцінкою вищезазначених статей і ціною при погашенні зобов'язань</t>
  </si>
  <si>
    <t>Переоцінка вартості в національній валюті</t>
  </si>
  <si>
    <t>Фінансування за рахунок зміни залишків коштів  бюджетів</t>
  </si>
  <si>
    <t>Кошти, що передаються iз загального фонду бюджету до бюджету розвитку (спецiального фонду) </t>
  </si>
  <si>
    <t>Зміни обсягів товарно-матеріальних цінностей</t>
  </si>
  <si>
    <t>Зовнішнє фінансування</t>
  </si>
  <si>
    <t>Позики, надані міжнародними організаціями економічного розвитку</t>
  </si>
  <si>
    <t>Позики, надані органами управління іноземних держав</t>
  </si>
  <si>
    <t>Позики, надані іноземними комерційними банками</t>
  </si>
  <si>
    <t>Позики, надані постачальниками</t>
  </si>
  <si>
    <t>Житлове будівництво і придбання житла військовослужбовцям та особам рядового і начальницького складу, звільненим у запас або відставку за станом здоров"я, віком, вислугою років та у зв"язку із скороченням штатів, які перебувають на квартирному обліку за місцем проживання, членам сімей з числа цих осіб, які загинули під час виконання ними службових обов"язків, а також учасникам бойових дій в Афганістані та воєнних конфліктів</t>
  </si>
  <si>
    <t>Комбінати комунальних підприємств, районні виробничі об"єднання та інші підприємства, установи та організації житлово-комунального господарства</t>
  </si>
  <si>
    <t>250404</t>
  </si>
  <si>
    <t xml:space="preserve">Інші видатки  </t>
  </si>
  <si>
    <t>19</t>
  </si>
  <si>
    <t>Радехівська РДА</t>
  </si>
  <si>
    <t>дод №3</t>
  </si>
  <si>
    <t>дод №2</t>
  </si>
  <si>
    <t>СПЕЦ Ф</t>
  </si>
  <si>
    <t>Кам.Бузька РДА</t>
  </si>
  <si>
    <t>Управління житлово-комунального господарства</t>
  </si>
  <si>
    <t>20</t>
  </si>
  <si>
    <t>21</t>
  </si>
  <si>
    <t>22</t>
  </si>
  <si>
    <t>23</t>
  </si>
  <si>
    <t>24</t>
  </si>
  <si>
    <t>Фінансування енергозберігаючих заходів (відшкодування відсотків за отримані кредити)</t>
  </si>
  <si>
    <t>на відновлення стародруків</t>
  </si>
  <si>
    <t>оснащення діагностичним обладнанням мережі центрів розвитку дитини</t>
  </si>
  <si>
    <t xml:space="preserve">реалізацію Програми надання одноразової адресної допомоги найбільш незахищеним категоріям громадян - реабілітованим за ст. 3 Закону України "Про реабілітацію жертв політичних репресій на Україні" та потерпілим від політичних репресій </t>
  </si>
  <si>
    <t>1513035</t>
  </si>
  <si>
    <t>1513037</t>
  </si>
  <si>
    <t>4026051</t>
  </si>
  <si>
    <t>4026110</t>
  </si>
  <si>
    <t>7618330</t>
  </si>
  <si>
    <t>7618340</t>
  </si>
  <si>
    <t>7618350</t>
  </si>
  <si>
    <t>7618430</t>
  </si>
  <si>
    <t>1513050</t>
  </si>
  <si>
    <t>1513070</t>
  </si>
  <si>
    <t>1513080</t>
  </si>
  <si>
    <t>1513090</t>
  </si>
  <si>
    <t>Інші заходи по охороні здоров'я (обласне патологоанатомічне бюро, обласна судово-медична експертиза та обласна база спецмедпостачання, централізовані видатки)</t>
  </si>
  <si>
    <t>Код програмної класифікації видатків та кредитування місцевих бюджетів</t>
  </si>
  <si>
    <t>010</t>
  </si>
  <si>
    <t>1011040</t>
  </si>
  <si>
    <t>1011050</t>
  </si>
  <si>
    <t>1011080</t>
  </si>
  <si>
    <t>1011090</t>
  </si>
  <si>
    <t>1011100</t>
  </si>
  <si>
    <t>1011110</t>
  </si>
  <si>
    <t>1011120</t>
  </si>
  <si>
    <t>1011140</t>
  </si>
  <si>
    <t>1011170</t>
  </si>
  <si>
    <t>1011180</t>
  </si>
  <si>
    <t>1011190</t>
  </si>
  <si>
    <t>1011210</t>
  </si>
  <si>
    <t>1011810</t>
  </si>
  <si>
    <t>1013320</t>
  </si>
  <si>
    <t>1013360</t>
  </si>
  <si>
    <t>1013370</t>
  </si>
  <si>
    <t>1013380</t>
  </si>
  <si>
    <t>1013910</t>
  </si>
  <si>
    <t>1014060</t>
  </si>
  <si>
    <t>1015050</t>
  </si>
  <si>
    <t>1411120</t>
  </si>
  <si>
    <t>1411150</t>
  </si>
  <si>
    <t>1412010</t>
  </si>
  <si>
    <t>1412030</t>
  </si>
  <si>
    <t>1412060</t>
  </si>
  <si>
    <t>1412</t>
  </si>
  <si>
    <t>1412070</t>
  </si>
  <si>
    <t>1412090</t>
  </si>
  <si>
    <t>1412100</t>
  </si>
  <si>
    <t>1412130</t>
  </si>
  <si>
    <t>1412170</t>
  </si>
  <si>
    <t>1412180</t>
  </si>
  <si>
    <t>1412810</t>
  </si>
  <si>
    <t>1412190</t>
  </si>
  <si>
    <t>1412250</t>
  </si>
  <si>
    <t>1414060</t>
  </si>
  <si>
    <t>1418610</t>
  </si>
  <si>
    <t>2411120</t>
  </si>
  <si>
    <t>2414020</t>
  </si>
  <si>
    <t>2414030</t>
  </si>
  <si>
    <t>2414060</t>
  </si>
  <si>
    <t>2414070</t>
  </si>
  <si>
    <t>2414080</t>
  </si>
  <si>
    <t>2414110</t>
  </si>
  <si>
    <t>2416450</t>
  </si>
  <si>
    <t>2416470</t>
  </si>
  <si>
    <t>1315010</t>
  </si>
  <si>
    <t>1315020</t>
  </si>
  <si>
    <t>1315030</t>
  </si>
  <si>
    <t>1315210</t>
  </si>
  <si>
    <t>1315070</t>
  </si>
  <si>
    <t>1315140</t>
  </si>
  <si>
    <t>1315100</t>
  </si>
  <si>
    <t>1315110</t>
  </si>
  <si>
    <t>1315120</t>
  </si>
  <si>
    <t>0817220</t>
  </si>
  <si>
    <t>0817230</t>
  </si>
  <si>
    <t>0817240</t>
  </si>
  <si>
    <t>0817510</t>
  </si>
  <si>
    <t>6727820</t>
  </si>
  <si>
    <t>100201</t>
  </si>
  <si>
    <t>Теплові мережі</t>
  </si>
  <si>
    <t>1513520</t>
  </si>
  <si>
    <t>7617500</t>
  </si>
  <si>
    <t>0818600</t>
  </si>
  <si>
    <t>0110060</t>
  </si>
  <si>
    <t>0138600</t>
  </si>
  <si>
    <t>4816324</t>
  </si>
  <si>
    <t>4817500</t>
  </si>
  <si>
    <t>7317440</t>
  </si>
  <si>
    <t>7317500</t>
  </si>
  <si>
    <t>6717810</t>
  </si>
  <si>
    <t>6798600</t>
  </si>
  <si>
    <t>Капітальні вкладенн</t>
  </si>
  <si>
    <t>Заходи, пов"язані з поліпшенням питної води</t>
  </si>
  <si>
    <t>100209</t>
  </si>
  <si>
    <t>Субвенція з державного бюджету місцевим бюджетам на збереження історичної забудови міст, об"єктів історико-культурної спадщини, впорядкування історичних населених місць України</t>
  </si>
  <si>
    <t>Утримання закладів, що надають соціальні послуги дітям, які опинились в складних життєвих обставинах</t>
  </si>
  <si>
    <t>1412110</t>
  </si>
  <si>
    <t>1513398</t>
  </si>
  <si>
    <t>2614800</t>
  </si>
  <si>
    <t>2411100</t>
  </si>
  <si>
    <t>2414800</t>
  </si>
  <si>
    <t>15139511</t>
  </si>
  <si>
    <t>Інші заходи, пов'язані з економічною діяльністю</t>
  </si>
  <si>
    <t>Приймальники-розподільники для неповнолітніх</t>
  </si>
  <si>
    <t>Спеціальні приймальники-розподільники</t>
  </si>
  <si>
    <t>061007</t>
  </si>
  <si>
    <t>210110</t>
  </si>
  <si>
    <t>Заходи з організації рятування на водах</t>
  </si>
  <si>
    <t>240600</t>
  </si>
  <si>
    <t>виплату  компенсацій реабілітованим</t>
  </si>
  <si>
    <t>надання допомоги на догляд за інвалідом І чи II групи внаслідок психічного розладу</t>
  </si>
  <si>
    <t>компенсаційні виплати інвалідам на бензин, ремонт, техобслуговування автотранспорту та транспортне обслуговування</t>
  </si>
  <si>
    <t>Керуючий справами обласної ради</t>
  </si>
  <si>
    <t xml:space="preserve">Додаток  6    </t>
  </si>
  <si>
    <t>продовження додатку 6</t>
  </si>
  <si>
    <t xml:space="preserve"> до рішення  обласної ради</t>
  </si>
  <si>
    <t>Субвенції  з державного бюджету місцевим бюджетам за загальним фондом на:</t>
  </si>
  <si>
    <t>Субвенції із загального фонду обласного бюджету на:</t>
  </si>
  <si>
    <t>Разом субвенцій та дотацій</t>
  </si>
  <si>
    <t>надання пільг та житлових субсидій населенню на придбання твердого та рідкого пічного побутового палива і скрапленого газу</t>
  </si>
  <si>
    <t>Субвенція з державного бюджету місцевим бюджетам на часткове відшкодування вартості лікарських засобів для лікування осіб з гіпертонічною хворобою</t>
  </si>
  <si>
    <t>Субвенція з державного бюджету місцевим бюджетам на придбання медичного обладнання (мамографічного, рентгенологічного та апаратів ультразвукової діагностики) вітчизняного виробництва</t>
  </si>
  <si>
    <t>Субвенція з державного бюджету місцевим бюджетам на придбання витратних матеріалів та медичного обладнання для закладів охорони здоров'я</t>
  </si>
  <si>
    <t>Субвенція з державного бюджету місцевим бюджетам на будівництво газопроводів-відводів та газифікацію населених пунктів, у першу чергу сільських</t>
  </si>
  <si>
    <t>Субвенція з державного бюджету місцевим бюджетам для поетапного запровадження умов оплати праці працівників бюджетної сфери на основі Єдиної тарифної сітки та забезпечення видатківна оплату праці</t>
  </si>
  <si>
    <t xml:space="preserve">Інші субвенції </t>
  </si>
  <si>
    <t>Субвенція з державного бюджету на відзначення 750-ої річниці м.Львова</t>
  </si>
  <si>
    <t>Кошти, одержані із загального фонду бюджету до бюджету розвитку (спеціального фонду)</t>
  </si>
  <si>
    <t>Усього доходів</t>
  </si>
  <si>
    <t>Б.Петрушак</t>
  </si>
  <si>
    <t>ВИДАТКИ</t>
  </si>
  <si>
    <t xml:space="preserve">Фінансування бюджету за типом кредитора </t>
  </si>
  <si>
    <t xml:space="preserve">РАЗОМ </t>
  </si>
  <si>
    <r>
      <t xml:space="preserve">Податок на прибуток підприємств </t>
    </r>
    <r>
      <rPr>
        <sz val="11"/>
        <rFont val="Times New Roman"/>
        <family val="1"/>
        <charset val="204"/>
      </rPr>
      <t>та фінансових установ</t>
    </r>
    <r>
      <rPr>
        <sz val="11"/>
        <rFont val="Times New Roman"/>
        <family val="1"/>
      </rPr>
      <t xml:space="preserve"> комунальної власності</t>
    </r>
  </si>
  <si>
    <r>
      <t>Частина чистого прибутку (доходу) державних або комунальних унітарних підприємств та їх об</t>
    </r>
    <r>
      <rPr>
        <b/>
        <sz val="11"/>
        <rFont val="Arial"/>
        <family val="2"/>
        <charset val="204"/>
      </rPr>
      <t>҆</t>
    </r>
    <r>
      <rPr>
        <b/>
        <sz val="11"/>
        <rFont val="Times New Roman"/>
        <family val="1"/>
        <charset val="204"/>
      </rPr>
      <t>єднань, що вилучається до відповідного бюджету, та дивіденди (дохід), нараховані на акції (частки, паї) господарських товариств, у статутних капіталах яких є державна або комунальна власність</t>
    </r>
  </si>
  <si>
    <t>Плата за надання адміністративних послуг</t>
  </si>
  <si>
    <t>Кошти, що отримують бюджетні установи від підприємств, організацій, фізичних осіб та від інших бюджетних установ для виконання цільових заходів, у тому числі заходів з відчудження для суспільних потреб земельних ділянок та розміщення на них інших об"єктів нерухомого майна, що перебувають у приватній власності фізичних або юридичних осіб</t>
  </si>
  <si>
    <t xml:space="preserve">Регіональна програма сприяння розвитку інформаційного простору та громадянського суспільства у Львівській області </t>
  </si>
  <si>
    <t>0817211</t>
  </si>
  <si>
    <t>0817212</t>
  </si>
  <si>
    <t>0817213</t>
  </si>
  <si>
    <t>0817214</t>
  </si>
  <si>
    <t>0817500</t>
  </si>
  <si>
    <t xml:space="preserve">Департамент освіти і науки </t>
  </si>
  <si>
    <t>Субвенція з державного бюджету на безоплатне забезпечення вугіллям на побутові потреби особам, що мають таке право після ліквідації та консервації вугледобувних підприємств</t>
  </si>
  <si>
    <t>Субвенція з державного бюджету на будівництво та придбання житла для інвалідів-глухих та інвалідів-сліпих</t>
  </si>
  <si>
    <t>до рішення обласної ради</t>
  </si>
  <si>
    <t>Найменування міст і районів області</t>
  </si>
  <si>
    <t>Заходи з оздоровлення та відпочинку дітей, окрім заходів з оздоровлення дітей, які здійснюються за рахунок коштів на оздоровлення громадян, що постраждали в наслідок Чорнобильської катастрофи</t>
  </si>
  <si>
    <t>Програма щодо посилення соціального захисту багатодітних сімей, що проживають на території Львівської області</t>
  </si>
  <si>
    <t>070</t>
  </si>
  <si>
    <t>Управління з питань надзвичайних ситуацій</t>
  </si>
  <si>
    <t>Видатки на запобігання та ліквідацію надзвичайних ситуацій та наслідків стихійного лиха</t>
  </si>
  <si>
    <t>Програма створення Львівського регіонального резерву матеріально-технічних ресурсів на 2007-2010 роки</t>
  </si>
  <si>
    <t>Програма розвитку Львівської обласної контрольно-рятувальної служби  туристсько-спортивної спілки України</t>
  </si>
  <si>
    <t xml:space="preserve">Телебачення і радіомовлення  </t>
  </si>
  <si>
    <t>"Інформаційний простір та громадянське суспільство" на 2013-2016 роки</t>
  </si>
  <si>
    <t xml:space="preserve">Періодичні видання </t>
  </si>
  <si>
    <t>Регіональна програма підтримки місцевих засобів масової інформації</t>
  </si>
  <si>
    <t>Обласна цільова комплексна програма відзначення у Львівській області свят державного, регіонального, місцевого значення, пам"ятних дат, історичних подій, розвитку співпраці з інститутами громадянського суспільства та налізу суспільно-політичної ситуації в</t>
  </si>
  <si>
    <t>"Запобігання надзвичайних ситуацій у Львівській області на 2013-2022 роки"</t>
  </si>
  <si>
    <t>Фінансування заходів з рятування на водах</t>
  </si>
  <si>
    <t>Програма розвитку Львівської обласної контрольно-рятувальної служби туристсько-спортивної спілки України на 2011-2013 роки</t>
  </si>
  <si>
    <t xml:space="preserve">Управління вугільної промисловості та паливно-енергетичного комплексу </t>
  </si>
  <si>
    <t>надання фінансової підтримки комунальному підприємству "Підприємство автотранспортного обслуговування"</t>
  </si>
  <si>
    <t>з них ФСТ "Динамо"</t>
  </si>
  <si>
    <t>у тому числі  на реалізацію програми розвитку комунального лісового господарства Львівщини у 2009 році</t>
  </si>
  <si>
    <t>Компенсаційні виплати інвалідам на бензин, ремонт, техобслуговування автотранспорту та транспортне обслуговування</t>
  </si>
  <si>
    <t xml:space="preserve">Видатки,   не   віднесені  до основних  груп </t>
  </si>
  <si>
    <t>Комбінати комунальних підприємств, районні виробничі об"єднання та інші підприємства, установи та організації житлово-комунального господарства (видатки на утримання і обслуговування майна обласної комунальної власності)</t>
  </si>
  <si>
    <t xml:space="preserve">Програми  і  заходи </t>
  </si>
  <si>
    <t>підготовку спорстменів фізкультурних клубів для участі у змаганнях</t>
  </si>
  <si>
    <t xml:space="preserve">висвітлення діяльності органів влади </t>
  </si>
  <si>
    <t>Інші видатки на соціальний захист населення (надання допомоги малозабезпеченим громадянам області за розпорядженнями голови облдержадміністрації)</t>
  </si>
  <si>
    <t>67</t>
  </si>
  <si>
    <t>73</t>
  </si>
  <si>
    <t>Інші видатки (організація та проведення протокольних і масових заходів)</t>
  </si>
  <si>
    <t>53</t>
  </si>
  <si>
    <r>
      <t>Управління з питань сім</t>
    </r>
    <r>
      <rPr>
        <b/>
        <sz val="11"/>
        <rFont val="Arial Cyr"/>
        <charset val="204"/>
      </rPr>
      <t>’</t>
    </r>
    <r>
      <rPr>
        <b/>
        <sz val="11"/>
        <rFont val="Times New Roman"/>
        <family val="1"/>
        <charset val="204"/>
      </rPr>
      <t>ї та молоді</t>
    </r>
  </si>
  <si>
    <t>м. Новий Розділ</t>
  </si>
  <si>
    <t>м. Самбір</t>
  </si>
  <si>
    <t>м. Стрий</t>
  </si>
  <si>
    <t>м. Трускавець</t>
  </si>
  <si>
    <t>м. Червоноград</t>
  </si>
  <si>
    <t>Разом по бюджетах міст</t>
  </si>
  <si>
    <t>Бродівський</t>
  </si>
  <si>
    <t>Буський</t>
  </si>
  <si>
    <t>Городоцький</t>
  </si>
  <si>
    <t>Дрогобицький</t>
  </si>
  <si>
    <t>Жидачівський</t>
  </si>
  <si>
    <t>Жовківський</t>
  </si>
  <si>
    <t>Золочівський</t>
  </si>
  <si>
    <t>Миколаївський</t>
  </si>
  <si>
    <t>Мостиський</t>
  </si>
  <si>
    <t>Перемишлянський</t>
  </si>
  <si>
    <t>Пустомитівський</t>
  </si>
  <si>
    <t>Радехівський</t>
  </si>
  <si>
    <t>Субвенція з державного бюджету місцевим бюджетам на заходи щодо погашення заборгованості громадян за житлово-комунальні послуги та енергоносії в рахунок часткової компенсації втрат від знецінення грошових заощаджень</t>
  </si>
  <si>
    <t xml:space="preserve">Капітальні вкладення </t>
  </si>
  <si>
    <t>25</t>
  </si>
  <si>
    <t>26</t>
  </si>
  <si>
    <t>27</t>
  </si>
  <si>
    <t>28</t>
  </si>
  <si>
    <t>29</t>
  </si>
  <si>
    <t>30</t>
  </si>
  <si>
    <t>170703</t>
  </si>
  <si>
    <t>150101</t>
  </si>
  <si>
    <t>Розробка схем та проектних рішень масового застосування</t>
  </si>
  <si>
    <t>150202</t>
  </si>
  <si>
    <t>Золочівська РДА</t>
  </si>
  <si>
    <t>180410</t>
  </si>
  <si>
    <t>Інші дотації</t>
  </si>
  <si>
    <t>250315</t>
  </si>
  <si>
    <t>Спеціальні    приймальники-розподільники</t>
  </si>
  <si>
    <t>Професійно-пожежна охорона</t>
  </si>
  <si>
    <t>Спеціалізовані     монтажно-експлуатаційні підрозділи</t>
  </si>
  <si>
    <t>Правоохоронна діяльність та забезпечення безпеки держави</t>
  </si>
  <si>
    <t>Освіта</t>
  </si>
  <si>
    <t>Фінансова підтримка спортивних споруд, які належать громадським організаціям фізкультурно - спортивної спрямованості (ФСТ "Динамо")</t>
  </si>
  <si>
    <t>Внески органів влади Автономної Республіки Крим та органів місцевого самоврядування у статутні фонди суб"єктів підприємницької діяльності (програма забезпечення сільгосптехнікою на умовах лізенгу)</t>
  </si>
  <si>
    <t>Збори та плата за спеціальне використання природних ресурсів</t>
  </si>
  <si>
    <t xml:space="preserve">Збір за спеціальне використання лісових ресурсів </t>
  </si>
  <si>
    <t>Збір за спеціальне використання лісових ресурсів  в частині деревини, заготовленої в порядку рубок головного користування</t>
  </si>
  <si>
    <t>Збір за спеціальне використання води</t>
  </si>
  <si>
    <t>Збір за спеціальне використання води для потреб гідроенергетики</t>
  </si>
  <si>
    <t>Надходження збору за спеціальне використання води від підприємств житлово-комунального господарства</t>
  </si>
  <si>
    <t>Плата за користування надрами</t>
  </si>
  <si>
    <t>Плата за користування надрами для видобування корисних копалин загальнодержавного значення</t>
  </si>
  <si>
    <t>Плата за користування надрами місцевого значення </t>
  </si>
  <si>
    <t>Плата за користування надрами в цілях, не пов'язаних з видобуванням корисних копалин </t>
  </si>
  <si>
    <t>Плата за землю</t>
  </si>
  <si>
    <t>Земельний податок з юридичних осіб </t>
  </si>
  <si>
    <t>Орендна плата з юридичних осіб </t>
  </si>
  <si>
    <t>Земельний податок з фізичних осіб </t>
  </si>
  <si>
    <t>Орендна плата з фізичних осіб </t>
  </si>
  <si>
    <t>Плата за використання інших природних ресурсів</t>
  </si>
  <si>
    <t>Плата за спеціальне використання диких тварин</t>
  </si>
  <si>
    <t>Надходження сум реструктуризованої заборгованості зі сплати платежів за використання інших природних ресурсів</t>
  </si>
  <si>
    <t>Інші податки та збори</t>
  </si>
  <si>
    <t>Екологічний податок</t>
  </si>
  <si>
    <t>Надходження від викидів забруднюючих речовин в атмосферне повітря стаціонарними джерелами забруднення</t>
  </si>
  <si>
    <t>Надходження від скидів забруднюючих речовин безпосередньо у водні об'єкти</t>
  </si>
  <si>
    <t>Надходження від розміщення відходів у спеціально відведених для цього місцях чи на об'єктах, крім розміщення окремих видів відходів як вторинної сировини</t>
  </si>
  <si>
    <t>Надходження від здійснення торгівлі на митній території України паливом власного виробництва та/або виробленим з давальницької сировини податковими агентами</t>
  </si>
  <si>
    <t>Надходження від ввезення палива на митну територію України податковими агентами</t>
  </si>
  <si>
    <t>Неподаткові надходження</t>
  </si>
  <si>
    <t>Доходи від власності та підприємницької діяльності</t>
  </si>
  <si>
    <t>Плата за розміщення тимчасово вільних коштів місцевих бюджетів</t>
  </si>
  <si>
    <t>Інші надходження</t>
  </si>
  <si>
    <t>Надходження коштів від відшкодування втрат сільськогосподарського і лісогосподарського виробництва</t>
  </si>
  <si>
    <t xml:space="preserve">Адміністративні збори та платежі, доходи від некомерційної господарської діяльності </t>
  </si>
  <si>
    <t xml:space="preserve">Податок на промисел                                                                               </t>
  </si>
  <si>
    <t>Плата за ліцензії на певні види господарської діяльності та сертифікати, що видаються Радою міністрів Автономної Республіки Крим, виконавчими органами місцевих рад і місцевими органами виконавчої влади</t>
  </si>
  <si>
    <t xml:space="preserve">Плата за державну реєстрацію суб'єктів підприємниької діяльності, об'єднань громадян, асоціацій, інших добровільних об'єднань  органів місцевого самоврядування, статутів територіальних   громад, творчих спілок                                              </t>
  </si>
  <si>
    <t>Плата за ліцензії на виробництво спирту етилового, коньячного і плодового, алкогольних напоїв та тютюнових виробів</t>
  </si>
  <si>
    <t>Плата за ліцензії на право експорту, імпорту алкогольними напоями та тютюновими виробами</t>
  </si>
  <si>
    <t>Плата за державну реєстрацію (крім реєстраційного збору за проведення державної реєстрації юридичних осіб та фізичних осіб-підприємців)</t>
  </si>
  <si>
    <t>Плата за ліцензії на право оптової торгівлі алкогольними напоями та тютюновими виробами</t>
  </si>
  <si>
    <t>Плата за ліцензії на право роздрібної торгівлі алкогольними напоями та тютюновими виробами</t>
  </si>
  <si>
    <t>Плата за ліцензії та сертифікати, що сплачуються ліцензіатами за місцем здійснення діяльності</t>
  </si>
  <si>
    <t>Плата  за  торговий  патент   на даеякі  види підприємницької діяльності</t>
  </si>
  <si>
    <t xml:space="preserve">Інші податки                                                                                                    </t>
  </si>
  <si>
    <t>Місцеві податки і збори</t>
  </si>
  <si>
    <t>Фіксований сільськогосподарський податок</t>
  </si>
  <si>
    <t>Єдиний податок для суб'єктів малого підприємництва</t>
  </si>
  <si>
    <t>Дивіденди, нараховані на акції (частки, паї) господарських товариств, що є у власності відповідної територіальної громади</t>
  </si>
  <si>
    <t>Надходження    дивідендів,    нарахованих    на    акції    (частки,    паї) господарських товариств, що є у власності відповідної територіальної громади</t>
  </si>
  <si>
    <t>Надходження від грошово-речових лотерей</t>
  </si>
  <si>
    <t>Надходження від розміщення в установах банків тимчасово вільних залишків бюджетних коштів</t>
  </si>
  <si>
    <t>Плата за утримання дітей у школах-інтернатах</t>
  </si>
  <si>
    <t>х</t>
  </si>
  <si>
    <t>Надходження від орендної плати за користування цілісним майновим комплексом та іншим державним майном</t>
  </si>
  <si>
    <t>Надходження від орендної плати за користування цілісним майновим комплексом та іншим майном що перебуває в комунальній власності</t>
  </si>
  <si>
    <t>Плата за надані в оренду ставки, що знаходяться в басейнах річок загальнодержавного значення</t>
  </si>
  <si>
    <t>Державне мито</t>
  </si>
  <si>
    <t>Надходження від штрафів та фінансових санкцій</t>
  </si>
  <si>
    <t xml:space="preserve">Перерахування     підприємцями     частки      вартості     нестандартної продукції, виготовленої з дозволу на тимчасове відхилення від вимог відповідних стандартів щодо якості продукції, виданого Державним комітетом України по стандартизації, метрології </t>
  </si>
  <si>
    <t>Адміністративні штрафи та інші санкції</t>
  </si>
  <si>
    <t>Інші неподаткові надходження</t>
  </si>
  <si>
    <t>Надходження сум кредиторської та депонентської заборгованості підприємств, організацій та установ, щодо яких минув строк позовної давності</t>
  </si>
  <si>
    <t>Інші надходження до фондів охорони навколишнього природного середовища</t>
  </si>
  <si>
    <t>Відсотки  за користування позиками,  які  надавалися  з місцевих бюджетів</t>
  </si>
  <si>
    <t>Плата за гаранти, надані   Верховною Радою Автономної Республіки Крим та міськими радами</t>
  </si>
  <si>
    <t xml:space="preserve"> </t>
  </si>
  <si>
    <t>у тому числі: надання допомоги малозабезпеченим громадянам області за розпорядженнями голови обласної ради за власним поданням -228 т.грн., та подання депутатів з розрахунку 2тис.грн. в місяць на одного депутата -2880 тис.грн.</t>
  </si>
  <si>
    <t>реалізацію обласної цільової програми з підготовки та проведення в Україні фінальної частини чемпіонату Європи 2012 року з футболу (головне управління МВСУ у Львівській області - 1000 тис.грн., головне управління МНСУ у Львівській області - 900 тис.грн., управління СБУ у Львівській області - 500 тис.грн., військова частина 4114 управління Західного територіального командування ВВ МВСУ - 1100 тис.грн.)</t>
  </si>
  <si>
    <r>
      <t>реалізацію Комплексної програми соціальної підтримки окремих категорій громадян Львівської області на 2011-2013 роки в частині надання фінансової підтримки громадським організаціям інвалідів, ветеранів та політичних в</t>
    </r>
    <r>
      <rPr>
        <sz val="14"/>
        <color indexed="8"/>
        <rFont val="Arial Cyr"/>
        <charset val="204"/>
      </rPr>
      <t>’</t>
    </r>
    <r>
      <rPr>
        <sz val="14"/>
        <color indexed="8"/>
        <rFont val="Times New Roman"/>
        <family val="1"/>
      </rPr>
      <t>язнів і репресованих, які мають статус обласних, для здійснення їх статутної діяльності</t>
    </r>
  </si>
  <si>
    <t>070307</t>
  </si>
  <si>
    <t>ФСТ"Колос"</t>
  </si>
  <si>
    <t>250313</t>
  </si>
  <si>
    <t>18</t>
  </si>
  <si>
    <t>Управління з питань майна комунальної власності</t>
  </si>
  <si>
    <t>з них: на реалізацію програми "Забезпечення профілактики ВІЛ-інфекції, допомоги та лікування віл-інфікованих і хворих на СНІД на 2008 рік"</t>
  </si>
  <si>
    <t>Підрозділи            дорожньо-патрульної       служби       та дорожнього нагляду</t>
  </si>
  <si>
    <t xml:space="preserve">Субвенція з державного бюджету місцевим бюджетам на соціально-економічний розвиток </t>
  </si>
  <si>
    <t xml:space="preserve">Інші  освітні програми </t>
  </si>
  <si>
    <t xml:space="preserve">з них на: </t>
  </si>
  <si>
    <t>070201</t>
  </si>
  <si>
    <t>070301</t>
  </si>
  <si>
    <t>070302</t>
  </si>
  <si>
    <t>070304</t>
  </si>
  <si>
    <t>070401</t>
  </si>
  <si>
    <t>070701</t>
  </si>
  <si>
    <t>070801</t>
  </si>
  <si>
    <t>070802</t>
  </si>
  <si>
    <t>070803</t>
  </si>
  <si>
    <t>070804</t>
  </si>
  <si>
    <t>080101</t>
  </si>
  <si>
    <t>080201</t>
  </si>
  <si>
    <t>080204</t>
  </si>
  <si>
    <t>080205</t>
  </si>
  <si>
    <t>080207</t>
  </si>
  <si>
    <t>080208</t>
  </si>
  <si>
    <t>080400</t>
  </si>
  <si>
    <t>080500</t>
  </si>
  <si>
    <t>080704</t>
  </si>
  <si>
    <t>081001</t>
  </si>
  <si>
    <t>081002</t>
  </si>
  <si>
    <t>081003</t>
  </si>
  <si>
    <t>081004</t>
  </si>
  <si>
    <t>070702</t>
  </si>
  <si>
    <t>010116</t>
  </si>
  <si>
    <t>060103</t>
  </si>
  <si>
    <t>060107</t>
  </si>
  <si>
    <t>060702</t>
  </si>
  <si>
    <t>061003</t>
  </si>
  <si>
    <t>Лікарні</t>
  </si>
  <si>
    <t>Видатки на заходи, передбачені державними і місцевими програмами розвитку культури і мистецтва</t>
  </si>
  <si>
    <t>Палаци і будинки культури, клуби та інші заклади клубного типу</t>
  </si>
  <si>
    <t>Школи естетичного виховання дітей</t>
  </si>
  <si>
    <t>Інші культурно-освітні заклади та заходи</t>
  </si>
  <si>
    <t>Спеціалізовані лікарні та інші спеціалізовані заклади (центри, диспансери, госпіталі для інвалідів ВВВ, лепрозорії , медико-санітарні частини тощо, що мають ліжкову мережу)</t>
  </si>
  <si>
    <t xml:space="preserve">реалізацію обласної цільової програми з підготовки та проведення в Україні фінальної частини чемпіонату Європи 2012 року з футболу </t>
  </si>
  <si>
    <t xml:space="preserve">погашення кредиторської заборгованості за 2009 рік </t>
  </si>
  <si>
    <t>з реалізації природоохоронних заходів</t>
  </si>
  <si>
    <t xml:space="preserve">з реалізації програми збереження, відтворення та забезпечення раціонального використання земельних ресурсів </t>
  </si>
  <si>
    <t>заходи з оренди нерухомого майна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</si>
</sst>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р_._-;\-* #,##0_р_._-;_-* &quot;-&quot;_р_._-;_-@_-"/>
    <numFmt numFmtId="43" formatCode="_-* #,##0.00_р_._-;\-* #,##0.00_р_._-;_-* &quot;-&quot;??_р_._-;_-@_-"/>
    <numFmt numFmtId="180" formatCode="#,##0.0"/>
    <numFmt numFmtId="181" formatCode="0.0"/>
    <numFmt numFmtId="182" formatCode="_-* #,##0\ &quot;р.&quot;_-;\-* #,##0\ &quot;р.&quot;_-;_-* &quot;-&quot;\ &quot;р.&quot;_-;_-@_-"/>
    <numFmt numFmtId="183" formatCode="_-* #,##0\ _р_._-;\-* #,##0\ _р_._-;_-* &quot;-&quot;\ _р_._-;_-@_-"/>
    <numFmt numFmtId="184" formatCode="_-* #,##0.00\ &quot;р.&quot;_-;\-* #,##0.00\ &quot;р.&quot;_-;_-* &quot;-&quot;??\ &quot;р.&quot;_-;_-@_-"/>
    <numFmt numFmtId="185" formatCode="_-* #,##0.00\ _р_._-;\-* #,##0.00\ _р_._-;_-* &quot;-&quot;??\ _р_._-;_-@_-"/>
    <numFmt numFmtId="186" formatCode="_(&quot;$&quot;* #,##0_);_(&quot;$&quot;* \(#,##0\);_(&quot;$&quot;* &quot;-&quot;_);_(@_)"/>
    <numFmt numFmtId="187" formatCode="_(&quot;$&quot;* #,##0.00_);_(&quot;$&quot;* \(#,##0.00\);_(&quot;$&quot;* &quot;-&quot;??_);_(@_)"/>
    <numFmt numFmtId="188" formatCode="#,##0\ &quot;z?&quot;;[Red]\-#,##0\ &quot;z?&quot;"/>
    <numFmt numFmtId="189" formatCode="#,##0.00\ &quot;z?&quot;;[Red]\-#,##0.00\ &quot;z?&quot;"/>
    <numFmt numFmtId="190" formatCode="_-* #,##0\ _z_?_-;\-* #,##0\ _z_?_-;_-* &quot;-&quot;\ _z_?_-;_-@_-"/>
    <numFmt numFmtId="191" formatCode="_-* #,##0.00\ _z_?_-;\-* #,##0.00\ _z_?_-;_-* &quot;-&quot;??\ _z_?_-;_-@_-"/>
    <numFmt numFmtId="192" formatCode="#,##0.\-"/>
    <numFmt numFmtId="213" formatCode="#,##0.000"/>
  </numFmts>
  <fonts count="217">
    <font>
      <sz val="10"/>
      <name val="Arial Cyr"/>
      <charset val="204"/>
    </font>
    <font>
      <sz val="10"/>
      <name val="Arial Cyr"/>
      <charset val="204"/>
    </font>
    <font>
      <b/>
      <sz val="10"/>
      <name val="Times New Roman"/>
      <family val="1"/>
    </font>
    <font>
      <sz val="9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5"/>
      <color indexed="8"/>
      <name val="Times New Roman Cyr"/>
      <family val="1"/>
      <charset val="204"/>
    </font>
    <font>
      <sz val="10.5"/>
      <color indexed="8"/>
      <name val="Times New Roman Cyr"/>
      <family val="1"/>
      <charset val="204"/>
    </font>
    <font>
      <sz val="9"/>
      <color indexed="8"/>
      <name val="Times New Roman Cyr"/>
      <family val="1"/>
      <charset val="204"/>
    </font>
    <font>
      <sz val="9.5"/>
      <color indexed="8"/>
      <name val="Times New Roman Cyr"/>
      <family val="1"/>
      <charset val="204"/>
    </font>
    <font>
      <b/>
      <i/>
      <sz val="12.5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4"/>
      <name val="Times New Roman Cyr"/>
      <family val="1"/>
      <charset val="204"/>
    </font>
    <font>
      <b/>
      <i/>
      <sz val="11"/>
      <color indexed="8"/>
      <name val="Times New Roman Cyr"/>
      <family val="1"/>
      <charset val="204"/>
    </font>
    <font>
      <sz val="12"/>
      <color indexed="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i/>
      <sz val="10"/>
      <color indexed="8"/>
      <name val="Times New Roman Cyr"/>
      <family val="1"/>
      <charset val="204"/>
    </font>
    <font>
      <b/>
      <i/>
      <sz val="11"/>
      <name val="Times New Roman Cyr"/>
      <family val="1"/>
      <charset val="204"/>
    </font>
    <font>
      <b/>
      <i/>
      <sz val="9"/>
      <name val="Times New Roman Cyr"/>
      <family val="1"/>
      <charset val="204"/>
    </font>
    <font>
      <sz val="10"/>
      <name val="Times New Roman"/>
      <family val="1"/>
      <charset val="204"/>
    </font>
    <font>
      <b/>
      <sz val="10"/>
      <color indexed="10"/>
      <name val="Times New Roman Cyr"/>
      <family val="1"/>
      <charset val="204"/>
    </font>
    <font>
      <sz val="10"/>
      <name val="Helv"/>
    </font>
    <font>
      <sz val="1"/>
      <color indexed="8"/>
      <name val="Courier"/>
    </font>
    <font>
      <sz val="1"/>
      <color indexed="8"/>
      <name val="Courier"/>
      <charset val="204"/>
    </font>
    <font>
      <sz val="10"/>
      <name val="Helv"/>
      <charset val="204"/>
    </font>
    <font>
      <b/>
      <sz val="1"/>
      <color indexed="8"/>
      <name val="Courier"/>
    </font>
    <font>
      <sz val="10"/>
      <name val="Arial CE"/>
    </font>
    <font>
      <sz val="9"/>
      <name val="PL Arial"/>
    </font>
    <font>
      <sz val="10"/>
      <name val="PL Arial"/>
    </font>
    <font>
      <sz val="10"/>
      <name val="Arial"/>
      <charset val="204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PL Arial"/>
      <charset val="204"/>
    </font>
    <font>
      <b/>
      <sz val="14"/>
      <name val="PL Arial"/>
    </font>
    <font>
      <sz val="10"/>
      <name val="Times New Roman"/>
      <family val="1"/>
    </font>
    <font>
      <b/>
      <sz val="11"/>
      <name val="Times New Roman"/>
      <family val="1"/>
    </font>
    <font>
      <sz val="9"/>
      <name val="Times New Roman CYR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</font>
    <font>
      <b/>
      <sz val="13"/>
      <name val="Times New Roman Cyr"/>
      <charset val="204"/>
    </font>
    <font>
      <sz val="10"/>
      <name val="Times New Roman CYR"/>
      <charset val="204"/>
    </font>
    <font>
      <b/>
      <sz val="14"/>
      <name val="Times New Roman Cyr"/>
      <family val="1"/>
      <charset val="204"/>
    </font>
    <font>
      <b/>
      <sz val="11"/>
      <name val="Times New Roman Cyr"/>
      <family val="1"/>
      <charset val="204"/>
    </font>
    <font>
      <sz val="10"/>
      <color indexed="8"/>
      <name val="Times New Roman Cyr"/>
      <family val="1"/>
      <charset val="204"/>
    </font>
    <font>
      <sz val="10"/>
      <color indexed="8"/>
      <name val="Times New Roman"/>
      <family val="1"/>
    </font>
    <font>
      <b/>
      <i/>
      <sz val="12"/>
      <name val="Times New Roman Cyr"/>
      <family val="1"/>
      <charset val="204"/>
    </font>
    <font>
      <sz val="11"/>
      <color indexed="8"/>
      <name val="Times New Roman Cyr"/>
      <family val="1"/>
      <charset val="204"/>
    </font>
    <font>
      <sz val="9.5"/>
      <name val="Times New Roman Cyr"/>
      <family val="1"/>
      <charset val="204"/>
    </font>
    <font>
      <sz val="11"/>
      <name val="Times New Roman Cyr"/>
      <family val="1"/>
      <charset val="204"/>
    </font>
    <font>
      <sz val="11"/>
      <name val="Times New Roman Cyr"/>
      <charset val="204"/>
    </font>
    <font>
      <sz val="10"/>
      <color indexed="8"/>
      <name val="Times New Roman Cyr"/>
      <charset val="204"/>
    </font>
    <font>
      <sz val="11"/>
      <name val="Times New Roman"/>
      <family val="1"/>
      <charset val="204"/>
    </font>
    <font>
      <sz val="10"/>
      <color indexed="9"/>
      <name val="Times New Roman Cyr"/>
      <family val="1"/>
      <charset val="204"/>
    </font>
    <font>
      <sz val="10"/>
      <color indexed="9"/>
      <name val="Arial Cyr"/>
      <charset val="204"/>
    </font>
    <font>
      <b/>
      <sz val="14"/>
      <color indexed="9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sz val="12"/>
      <color indexed="9"/>
      <name val="Times New Roman Cyr"/>
      <family val="1"/>
      <charset val="204"/>
    </font>
    <font>
      <b/>
      <i/>
      <sz val="10"/>
      <color indexed="9"/>
      <name val="Times New Roman Cyr"/>
      <family val="1"/>
      <charset val="204"/>
    </font>
    <font>
      <sz val="9"/>
      <color indexed="9"/>
      <name val="Times New Roman CYR"/>
      <family val="1"/>
      <charset val="204"/>
    </font>
    <font>
      <b/>
      <sz val="15"/>
      <name val="Times New Roman Cyr"/>
      <family val="1"/>
      <charset val="204"/>
    </font>
    <font>
      <sz val="9.5"/>
      <name val="Times New Roman"/>
      <family val="1"/>
    </font>
    <font>
      <b/>
      <i/>
      <sz val="9.5"/>
      <name val="Times New Roman Cyr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3.5"/>
      <color indexed="9"/>
      <name val="Times New Roman Cyr"/>
      <family val="1"/>
      <charset val="204"/>
    </font>
    <font>
      <b/>
      <sz val="16"/>
      <color indexed="9"/>
      <name val="Arial Cyr"/>
      <family val="2"/>
      <charset val="204"/>
    </font>
    <font>
      <b/>
      <sz val="13.5"/>
      <color indexed="9"/>
      <name val="Times New Roman Cyr"/>
      <family val="1"/>
      <charset val="204"/>
    </font>
    <font>
      <b/>
      <sz val="12"/>
      <color indexed="9"/>
      <name val="Times New Roman Cyr"/>
      <family val="1"/>
      <charset val="204"/>
    </font>
    <font>
      <sz val="10"/>
      <color indexed="17"/>
      <name val="Times New Roman Cyr"/>
      <family val="1"/>
      <charset val="204"/>
    </font>
    <font>
      <sz val="12"/>
      <color indexed="57"/>
      <name val="Times New Roman Cyr"/>
      <family val="1"/>
      <charset val="204"/>
    </font>
    <font>
      <sz val="10"/>
      <color indexed="57"/>
      <name val="Times New Roman Cyr"/>
      <family val="1"/>
      <charset val="204"/>
    </font>
    <font>
      <b/>
      <sz val="10"/>
      <color indexed="57"/>
      <name val="Times New Roman Cyr"/>
      <family val="1"/>
      <charset val="204"/>
    </font>
    <font>
      <sz val="10"/>
      <color indexed="57"/>
      <name val="Times New Roman Cyr"/>
      <charset val="204"/>
    </font>
    <font>
      <b/>
      <sz val="12"/>
      <color indexed="57"/>
      <name val="Times New Roman Cyr"/>
      <family val="1"/>
      <charset val="204"/>
    </font>
    <font>
      <sz val="10"/>
      <color indexed="57"/>
      <name val="Times New Roman"/>
      <family val="1"/>
    </font>
    <font>
      <b/>
      <sz val="11"/>
      <color indexed="57"/>
      <name val="Times New Roman"/>
      <family val="1"/>
    </font>
    <font>
      <b/>
      <sz val="12"/>
      <color indexed="57"/>
      <name val="Times New Roman"/>
      <family val="1"/>
    </font>
    <font>
      <b/>
      <sz val="10"/>
      <color indexed="57"/>
      <name val="Times New Roman"/>
      <family val="1"/>
    </font>
    <font>
      <sz val="14"/>
      <color indexed="57"/>
      <name val="Times New Roman Cyr"/>
      <family val="1"/>
      <charset val="204"/>
    </font>
    <font>
      <sz val="8"/>
      <color indexed="57"/>
      <name val="Times New Roman Cyr"/>
      <family val="1"/>
      <charset val="204"/>
    </font>
    <font>
      <b/>
      <sz val="14"/>
      <color indexed="9"/>
      <name val="Arial Cyr"/>
      <charset val="204"/>
    </font>
    <font>
      <sz val="10"/>
      <color indexed="57"/>
      <name val="Times New Roman"/>
      <family val="1"/>
      <charset val="204"/>
    </font>
    <font>
      <sz val="10"/>
      <color indexed="57"/>
      <name val="Arial Cyr"/>
      <charset val="204"/>
    </font>
    <font>
      <sz val="10"/>
      <color indexed="10"/>
      <name val="Times New Roman Cyr"/>
      <family val="1"/>
      <charset val="204"/>
    </font>
    <font>
      <sz val="10"/>
      <color indexed="10"/>
      <name val="Arial Cyr"/>
      <charset val="204"/>
    </font>
    <font>
      <b/>
      <sz val="14"/>
      <color indexed="10"/>
      <name val="Times New Roman Cyr"/>
      <family val="1"/>
      <charset val="204"/>
    </font>
    <font>
      <b/>
      <sz val="10"/>
      <color indexed="10"/>
      <name val="Arial Cyr"/>
      <charset val="204"/>
    </font>
    <font>
      <b/>
      <sz val="16"/>
      <color indexed="10"/>
      <name val="Arial Cyr"/>
      <family val="2"/>
      <charset val="204"/>
    </font>
    <font>
      <b/>
      <sz val="13.5"/>
      <name val="Times New Roman"/>
      <family val="1"/>
      <charset val="204"/>
    </font>
    <font>
      <b/>
      <i/>
      <sz val="12"/>
      <color indexed="10"/>
      <name val="Times New Roman Cyr"/>
      <family val="1"/>
      <charset val="204"/>
    </font>
    <font>
      <b/>
      <sz val="10"/>
      <name val="Times New Roman CYR"/>
      <charset val="204"/>
    </font>
    <font>
      <b/>
      <sz val="13.5"/>
      <name val="Times New Roman Cyr"/>
      <charset val="204"/>
    </font>
    <font>
      <b/>
      <sz val="14"/>
      <color indexed="57"/>
      <name val="Times New Roman Cyr"/>
      <family val="1"/>
      <charset val="204"/>
    </font>
    <font>
      <i/>
      <sz val="12"/>
      <name val="Times New Roman CYR"/>
      <charset val="204"/>
    </font>
    <font>
      <sz val="13.5"/>
      <name val="Times New Roman"/>
      <family val="1"/>
      <charset val="204"/>
    </font>
    <font>
      <b/>
      <sz val="16"/>
      <name val="Times New Roman Cyr"/>
      <family val="1"/>
      <charset val="204"/>
    </font>
    <font>
      <b/>
      <sz val="12"/>
      <name val="Times New Roman"/>
      <family val="1"/>
    </font>
    <font>
      <sz val="13.5"/>
      <color indexed="10"/>
      <name val="Times New Roman"/>
      <family val="1"/>
      <charset val="204"/>
    </font>
    <font>
      <sz val="10.5"/>
      <name val="Times New Roman Cyr"/>
      <family val="1"/>
      <charset val="204"/>
    </font>
    <font>
      <sz val="10.5"/>
      <name val="Times New Roman"/>
      <family val="1"/>
      <charset val="204"/>
    </font>
    <font>
      <sz val="11"/>
      <color indexed="8"/>
      <name val="Times New Roman Cyr"/>
      <charset val="204"/>
    </font>
    <font>
      <sz val="10.5"/>
      <name val="Times New Roman Cyr"/>
      <charset val="204"/>
    </font>
    <font>
      <b/>
      <sz val="11"/>
      <name val="Times New Roman Cyr"/>
      <charset val="204"/>
    </font>
    <font>
      <sz val="10.5"/>
      <color indexed="8"/>
      <name val="Times New Roman Cyr"/>
      <charset val="204"/>
    </font>
    <font>
      <sz val="11"/>
      <color indexed="8"/>
      <name val="Times New Roman"/>
      <family val="1"/>
      <charset val="204"/>
    </font>
    <font>
      <sz val="11"/>
      <name val="Arial Cyr"/>
      <charset val="204"/>
    </font>
    <font>
      <b/>
      <i/>
      <sz val="11"/>
      <name val="Times New Roman Cyr"/>
      <charset val="204"/>
    </font>
    <font>
      <b/>
      <i/>
      <sz val="11"/>
      <color indexed="10"/>
      <name val="Times New Roman Cyr"/>
      <family val="1"/>
      <charset val="204"/>
    </font>
    <font>
      <sz val="11"/>
      <color indexed="57"/>
      <name val="Times New Roman Cyr"/>
      <family val="1"/>
      <charset val="204"/>
    </font>
    <font>
      <b/>
      <sz val="11"/>
      <color indexed="57"/>
      <name val="Times New Roman Cyr"/>
      <family val="1"/>
      <charset val="204"/>
    </font>
    <font>
      <i/>
      <sz val="11"/>
      <name val="Times New Roman Cyr"/>
      <charset val="204"/>
    </font>
    <font>
      <i/>
      <sz val="11"/>
      <color indexed="8"/>
      <name val="Times New Roman"/>
      <family val="1"/>
      <charset val="204"/>
    </font>
    <font>
      <sz val="11"/>
      <color indexed="8"/>
      <name val="Times New Roman"/>
      <family val="1"/>
    </font>
    <font>
      <b/>
      <sz val="10"/>
      <color indexed="61"/>
      <name val="Times New Roman Cyr"/>
      <family val="1"/>
      <charset val="204"/>
    </font>
    <font>
      <b/>
      <sz val="11"/>
      <color indexed="61"/>
      <name val="Times New Roman Cyr"/>
      <family val="1"/>
      <charset val="204"/>
    </font>
    <font>
      <sz val="12"/>
      <color indexed="8"/>
      <name val="Times New Roman Cyr"/>
      <charset val="204"/>
    </font>
    <font>
      <sz val="12"/>
      <color indexed="8"/>
      <name val="Times New Roman"/>
      <family val="1"/>
    </font>
    <font>
      <b/>
      <sz val="14"/>
      <name val="Times New Roman"/>
      <family val="1"/>
      <charset val="204"/>
    </font>
    <font>
      <b/>
      <sz val="14"/>
      <name val="Times New Roman Cyr"/>
      <charset val="204"/>
    </font>
    <font>
      <sz val="14"/>
      <color indexed="10"/>
      <name val="Times New Roman Cyr"/>
      <family val="1"/>
      <charset val="204"/>
    </font>
    <font>
      <b/>
      <sz val="14"/>
      <color indexed="8"/>
      <name val="Times New Roman Cyr"/>
      <family val="1"/>
      <charset val="204"/>
    </font>
    <font>
      <sz val="14"/>
      <color indexed="8"/>
      <name val="Times New Roman"/>
      <family val="1"/>
    </font>
    <font>
      <sz val="14"/>
      <color indexed="8"/>
      <name val="Times New Roman Cyr"/>
      <family val="1"/>
      <charset val="204"/>
    </font>
    <font>
      <sz val="14"/>
      <color indexed="8"/>
      <name val="Times New Roman Cyr"/>
      <charset val="204"/>
    </font>
    <font>
      <b/>
      <sz val="14"/>
      <color indexed="8"/>
      <name val="Times New Roman"/>
      <family val="1"/>
    </font>
    <font>
      <b/>
      <sz val="14"/>
      <name val="Times New Roman"/>
      <family val="1"/>
    </font>
    <font>
      <sz val="14"/>
      <name val="Times New Roman CYR"/>
      <charset val="204"/>
    </font>
    <font>
      <sz val="14"/>
      <name val="Arial Cyr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8"/>
      <name val="Times New Roman Cyr"/>
      <charset val="204"/>
    </font>
    <font>
      <i/>
      <sz val="14"/>
      <color indexed="8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0"/>
      <name val="Arial Cyr"/>
      <charset val="204"/>
    </font>
    <font>
      <b/>
      <sz val="10"/>
      <color indexed="9"/>
      <name val="Arial Cyr"/>
      <charset val="204"/>
    </font>
    <font>
      <b/>
      <sz val="10"/>
      <color indexed="57"/>
      <name val="Arial Cyr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name val="Times New Roman"/>
      <family val="1"/>
      <charset val="204"/>
    </font>
    <font>
      <sz val="9"/>
      <name val="Arial Cyr"/>
      <charset val="204"/>
    </font>
    <font>
      <sz val="16"/>
      <name val="Arial"/>
      <family val="2"/>
      <charset val="204"/>
    </font>
    <font>
      <b/>
      <i/>
      <sz val="16"/>
      <name val="Times New Roman"/>
      <family val="1"/>
      <charset val="204"/>
    </font>
    <font>
      <b/>
      <i/>
      <sz val="14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1"/>
      <name val="Arial Cyr"/>
      <charset val="204"/>
    </font>
    <font>
      <i/>
      <sz val="11"/>
      <name val="Times New Roman"/>
      <family val="1"/>
      <charset val="204"/>
    </font>
    <font>
      <b/>
      <sz val="10"/>
      <color indexed="10"/>
      <name val="Times New Roman Cyr"/>
      <charset val="204"/>
    </font>
    <font>
      <b/>
      <sz val="10"/>
      <color indexed="9"/>
      <name val="Times New Roman Cyr"/>
      <charset val="204"/>
    </font>
    <font>
      <b/>
      <sz val="10"/>
      <color indexed="57"/>
      <name val="Times New Roman Cyr"/>
      <charset val="204"/>
    </font>
    <font>
      <sz val="18"/>
      <name val="Times New Roman"/>
      <family val="1"/>
      <charset val="204"/>
    </font>
    <font>
      <sz val="22"/>
      <name val="Arial Cyr"/>
      <charset val="204"/>
    </font>
    <font>
      <i/>
      <sz val="14"/>
      <color indexed="8"/>
      <name val="Times New Roman Cyr"/>
      <charset val="204"/>
    </font>
    <font>
      <i/>
      <sz val="14"/>
      <name val="Times New Roman Cyr"/>
      <charset val="204"/>
    </font>
    <font>
      <i/>
      <sz val="14"/>
      <name val="Times New Roman"/>
      <family val="1"/>
      <charset val="204"/>
    </font>
    <font>
      <i/>
      <sz val="14"/>
      <name val="Times New Roman Cyr"/>
      <family val="1"/>
      <charset val="204"/>
    </font>
    <font>
      <i/>
      <sz val="14"/>
      <name val="Times New Roman"/>
      <family val="1"/>
    </font>
    <font>
      <i/>
      <sz val="11"/>
      <color indexed="8"/>
      <name val="Times New Roman Cyr"/>
      <charset val="204"/>
    </font>
    <font>
      <i/>
      <sz val="11"/>
      <name val="Times New Roman Cyr"/>
      <family val="1"/>
      <charset val="204"/>
    </font>
    <font>
      <b/>
      <sz val="18"/>
      <color indexed="8"/>
      <name val="Times New Roman Cyr"/>
      <family val="1"/>
      <charset val="204"/>
    </font>
    <font>
      <b/>
      <sz val="22"/>
      <name val="Times New Roman"/>
      <family val="1"/>
      <charset val="204"/>
    </font>
    <font>
      <sz val="14"/>
      <color indexed="8"/>
      <name val="Arial Cyr"/>
      <charset val="204"/>
    </font>
    <font>
      <sz val="11"/>
      <color indexed="8"/>
      <name val="Arial Cyr"/>
      <charset val="204"/>
    </font>
    <font>
      <sz val="14"/>
      <color indexed="8"/>
      <name val="Times New Roman"/>
      <charset val="204"/>
    </font>
    <font>
      <i/>
      <sz val="10"/>
      <name val="Times New Roman CYR"/>
      <family val="1"/>
      <charset val="204"/>
    </font>
    <font>
      <b/>
      <sz val="14"/>
      <color indexed="8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sz val="8"/>
      <name val="Arial Cyr"/>
      <charset val="204"/>
    </font>
    <font>
      <b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vertAlign val="superscript"/>
      <sz val="16"/>
      <color indexed="8"/>
      <name val="Times New Roman"/>
      <family val="1"/>
      <charset val="204"/>
    </font>
    <font>
      <sz val="13.5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sz val="13.5"/>
      <name val="Times New Roman Cyr"/>
      <family val="1"/>
      <charset val="204"/>
    </font>
    <font>
      <b/>
      <sz val="9"/>
      <color indexed="8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0"/>
      <color indexed="57"/>
      <name val="Times New Roman"/>
      <family val="1"/>
      <charset val="204"/>
    </font>
    <font>
      <b/>
      <sz val="10"/>
      <color indexed="9"/>
      <name val="Times New Roman"/>
      <family val="1"/>
      <charset val="204"/>
    </font>
    <font>
      <i/>
      <sz val="12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i/>
      <sz val="18"/>
      <name val="Times New Roman"/>
      <family val="1"/>
      <charset val="204"/>
    </font>
    <font>
      <sz val="11"/>
      <name val="Times New Roman"/>
      <family val="1"/>
    </font>
    <font>
      <b/>
      <sz val="12"/>
      <name val="Times New Roman Cyr"/>
      <charset val="204"/>
    </font>
    <font>
      <sz val="12"/>
      <name val="Times New Roman Cyr"/>
      <charset val="204"/>
    </font>
    <font>
      <sz val="12"/>
      <color indexed="8"/>
      <name val="Arial Cyr"/>
      <charset val="204"/>
    </font>
    <font>
      <sz val="12"/>
      <name val="Arial Cyr"/>
      <charset val="204"/>
    </font>
    <font>
      <b/>
      <sz val="9"/>
      <color indexed="81"/>
      <name val="Tahoma"/>
      <charset val="204"/>
    </font>
    <font>
      <sz val="9"/>
      <color indexed="81"/>
      <name val="Tahoma"/>
      <charset val="204"/>
    </font>
    <font>
      <sz val="8"/>
      <name val="Times New Roman"/>
      <family val="1"/>
    </font>
    <font>
      <sz val="11"/>
      <name val="Arial"/>
      <family val="2"/>
      <charset val="204"/>
    </font>
    <font>
      <b/>
      <sz val="11"/>
      <name val="Times New Roman"/>
      <charset val="204"/>
    </font>
    <font>
      <sz val="11"/>
      <name val="Times New Roman"/>
      <charset val="204"/>
    </font>
    <font>
      <b/>
      <sz val="11"/>
      <name val="Arial"/>
      <family val="2"/>
      <charset val="204"/>
    </font>
    <font>
      <sz val="9"/>
      <name val="Times New Roman"/>
      <family val="1"/>
    </font>
    <font>
      <i/>
      <sz val="10"/>
      <name val="Times New Roman"/>
      <family val="1"/>
    </font>
    <font>
      <sz val="8"/>
      <name val="Times New Roman Cyr"/>
      <family val="1"/>
      <charset val="204"/>
    </font>
    <font>
      <b/>
      <sz val="9"/>
      <name val="Times New Roman"/>
      <family val="1"/>
    </font>
    <font>
      <i/>
      <sz val="12"/>
      <name val="Times New Roman"/>
      <family val="1"/>
      <charset val="204"/>
    </font>
    <font>
      <b/>
      <sz val="16"/>
      <name val="Times New Roman Cyr"/>
      <charset val="204"/>
    </font>
    <font>
      <sz val="14"/>
      <name val="Times New Roman"/>
      <charset val="204"/>
    </font>
  </fonts>
  <fills count="7">
    <fill>
      <patternFill patternType="none"/>
    </fill>
    <fill>
      <patternFill patternType="gray125"/>
    </fill>
    <fill>
      <patternFill patternType="lightGray"/>
    </fill>
    <fill>
      <patternFill patternType="gray0625"/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2">
    <xf numFmtId="0" fontId="0" fillId="0" borderId="0"/>
    <xf numFmtId="0" fontId="23" fillId="0" borderId="1"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3" fillId="0" borderId="1">
      <protection locked="0"/>
    </xf>
    <xf numFmtId="0" fontId="25" fillId="0" borderId="0">
      <protection locked="0"/>
    </xf>
    <xf numFmtId="0" fontId="25" fillId="0" borderId="0">
      <protection locked="0"/>
    </xf>
    <xf numFmtId="0" fontId="22" fillId="0" borderId="1">
      <protection locked="0"/>
    </xf>
    <xf numFmtId="0" fontId="22" fillId="0" borderId="0">
      <protection locked="0"/>
    </xf>
    <xf numFmtId="0" fontId="22" fillId="0" borderId="1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188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9" fontId="27" fillId="0" borderId="0"/>
    <xf numFmtId="4" fontId="28" fillId="0" borderId="0" applyFill="0" applyBorder="0" applyProtection="0">
      <alignment horizontal="right"/>
    </xf>
    <xf numFmtId="3" fontId="28" fillId="0" borderId="0" applyFill="0" applyBorder="0" applyProtection="0"/>
    <xf numFmtId="4" fontId="28" fillId="0" borderId="0"/>
    <xf numFmtId="3" fontId="28" fillId="0" borderId="0"/>
    <xf numFmtId="183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6" fontId="27" fillId="0" borderId="0"/>
    <xf numFmtId="190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2" fontId="30" fillId="2" borderId="0"/>
    <xf numFmtId="0" fontId="31" fillId="3" borderId="0"/>
    <xf numFmtId="192" fontId="32" fillId="0" borderId="0"/>
    <xf numFmtId="0" fontId="26" fillId="0" borderId="0"/>
    <xf numFmtId="10" fontId="28" fillId="4" borderId="0" applyFill="0" applyBorder="0" applyProtection="0">
      <alignment horizontal="center"/>
    </xf>
    <xf numFmtId="10" fontId="28" fillId="0" borderId="0"/>
    <xf numFmtId="10" fontId="33" fillId="4" borderId="0" applyFill="0" applyBorder="0" applyProtection="0">
      <alignment horizontal="center"/>
    </xf>
    <xf numFmtId="0" fontId="28" fillId="0" borderId="0"/>
    <xf numFmtId="0" fontId="29" fillId="0" borderId="0"/>
    <xf numFmtId="0" fontId="1" fillId="0" borderId="0"/>
    <xf numFmtId="0" fontId="21" fillId="0" borderId="0"/>
    <xf numFmtId="0" fontId="26" fillId="0" borderId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10" fontId="27" fillId="0" borderId="0">
      <alignment horizontal="center"/>
    </xf>
    <xf numFmtId="0" fontId="34" fillId="4" borderId="0"/>
    <xf numFmtId="186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0" fontId="14" fillId="0" borderId="0"/>
    <xf numFmtId="0" fontId="2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>
      <protection locked="0"/>
    </xf>
  </cellStyleXfs>
  <cellXfs count="1527">
    <xf numFmtId="0" fontId="0" fillId="0" borderId="0" xfId="0"/>
    <xf numFmtId="0" fontId="4" fillId="0" borderId="0" xfId="0" applyFont="1"/>
    <xf numFmtId="0" fontId="4" fillId="5" borderId="0" xfId="0" applyFont="1" applyFill="1"/>
    <xf numFmtId="0" fontId="0" fillId="0" borderId="2" xfId="0" applyBorder="1" applyAlignment="1">
      <alignment horizontal="center"/>
    </xf>
    <xf numFmtId="181" fontId="0" fillId="0" borderId="2" xfId="0" applyNumberFormat="1" applyBorder="1" applyAlignment="1">
      <alignment horizontal="center"/>
    </xf>
    <xf numFmtId="0" fontId="0" fillId="0" borderId="0" xfId="0" applyBorder="1"/>
    <xf numFmtId="0" fontId="4" fillId="5" borderId="0" xfId="0" applyFont="1" applyFill="1" applyAlignment="1">
      <alignment wrapText="1"/>
    </xf>
    <xf numFmtId="180" fontId="4" fillId="5" borderId="3" xfId="0" applyNumberFormat="1" applyFont="1" applyFill="1" applyBorder="1" applyAlignment="1">
      <alignment vertical="top" wrapText="1"/>
    </xf>
    <xf numFmtId="0" fontId="4" fillId="5" borderId="0" xfId="0" applyFont="1" applyFill="1" applyAlignment="1"/>
    <xf numFmtId="0" fontId="53" fillId="5" borderId="0" xfId="0" applyFont="1" applyFill="1"/>
    <xf numFmtId="0" fontId="54" fillId="5" borderId="0" xfId="0" applyFont="1" applyFill="1"/>
    <xf numFmtId="0" fontId="55" fillId="5" borderId="0" xfId="0" applyFont="1" applyFill="1"/>
    <xf numFmtId="0" fontId="5" fillId="5" borderId="0" xfId="0" applyFont="1" applyFill="1"/>
    <xf numFmtId="0" fontId="14" fillId="5" borderId="0" xfId="0" applyFont="1" applyFill="1"/>
    <xf numFmtId="180" fontId="4" fillId="5" borderId="0" xfId="0" applyNumberFormat="1" applyFont="1" applyFill="1"/>
    <xf numFmtId="180" fontId="53" fillId="5" borderId="0" xfId="0" applyNumberFormat="1" applyFont="1" applyFill="1"/>
    <xf numFmtId="0" fontId="56" fillId="5" borderId="0" xfId="0" applyFont="1" applyFill="1"/>
    <xf numFmtId="0" fontId="47" fillId="5" borderId="0" xfId="0" applyFont="1" applyFill="1" applyAlignment="1">
      <alignment horizontal="left" indent="15"/>
    </xf>
    <xf numFmtId="0" fontId="4" fillId="5" borderId="0" xfId="0" applyFont="1" applyFill="1" applyAlignment="1">
      <alignment vertical="top" wrapText="1"/>
    </xf>
    <xf numFmtId="0" fontId="4" fillId="5" borderId="0" xfId="0" applyFont="1" applyFill="1" applyBorder="1" applyAlignment="1">
      <alignment vertical="top" wrapText="1"/>
    </xf>
    <xf numFmtId="0" fontId="40" fillId="5" borderId="0" xfId="0" applyFont="1" applyFill="1" applyAlignment="1">
      <alignment horizontal="center" wrapText="1"/>
    </xf>
    <xf numFmtId="0" fontId="6" fillId="5" borderId="0" xfId="0" applyFont="1" applyFill="1" applyAlignment="1">
      <alignment vertical="top" wrapText="1"/>
    </xf>
    <xf numFmtId="0" fontId="6" fillId="5" borderId="0" xfId="0" applyFont="1" applyFill="1" applyBorder="1" applyAlignment="1">
      <alignment vertical="top" wrapText="1"/>
    </xf>
    <xf numFmtId="0" fontId="56" fillId="5" borderId="0" xfId="0" applyFont="1" applyFill="1" applyBorder="1"/>
    <xf numFmtId="0" fontId="53" fillId="5" borderId="0" xfId="0" applyFont="1" applyFill="1" applyBorder="1"/>
    <xf numFmtId="0" fontId="42" fillId="5" borderId="0" xfId="0" applyFont="1" applyFill="1"/>
    <xf numFmtId="0" fontId="60" fillId="5" borderId="0" xfId="0" applyFont="1" applyFill="1" applyAlignment="1">
      <alignment horizontal="centerContinuous"/>
    </xf>
    <xf numFmtId="0" fontId="15" fillId="5" borderId="0" xfId="0" applyFont="1" applyFill="1" applyBorder="1"/>
    <xf numFmtId="0" fontId="4" fillId="5" borderId="0" xfId="0" applyFont="1" applyFill="1" applyBorder="1"/>
    <xf numFmtId="180" fontId="41" fillId="5" borderId="0" xfId="0" applyNumberFormat="1" applyFont="1" applyFill="1" applyBorder="1"/>
    <xf numFmtId="0" fontId="19" fillId="0" borderId="0" xfId="0" applyFont="1"/>
    <xf numFmtId="0" fontId="65" fillId="5" borderId="0" xfId="0" applyFont="1" applyFill="1"/>
    <xf numFmtId="0" fontId="19" fillId="5" borderId="0" xfId="0" applyFont="1" applyFill="1"/>
    <xf numFmtId="0" fontId="46" fillId="5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5" borderId="0" xfId="0" applyFill="1"/>
    <xf numFmtId="0" fontId="53" fillId="0" borderId="0" xfId="0" applyFont="1"/>
    <xf numFmtId="0" fontId="70" fillId="5" borderId="0" xfId="0" applyFont="1" applyFill="1" applyAlignment="1">
      <alignment horizontal="left" indent="2"/>
    </xf>
    <xf numFmtId="180" fontId="53" fillId="5" borderId="0" xfId="0" applyNumberFormat="1" applyFont="1" applyFill="1" applyBorder="1"/>
    <xf numFmtId="181" fontId="71" fillId="5" borderId="0" xfId="0" applyNumberFormat="1" applyFont="1" applyFill="1" applyBorder="1"/>
    <xf numFmtId="181" fontId="56" fillId="5" borderId="0" xfId="0" applyNumberFormat="1" applyFont="1" applyFill="1" applyBorder="1"/>
    <xf numFmtId="0" fontId="72" fillId="5" borderId="0" xfId="0" applyFont="1" applyFill="1" applyBorder="1" applyAlignment="1">
      <alignment horizontal="left" indent="2"/>
    </xf>
    <xf numFmtId="181" fontId="53" fillId="5" borderId="0" xfId="0" applyNumberFormat="1" applyFont="1" applyFill="1"/>
    <xf numFmtId="180" fontId="58" fillId="5" borderId="0" xfId="0" applyNumberFormat="1" applyFont="1" applyFill="1" applyBorder="1" applyAlignment="1">
      <alignment vertical="top" wrapText="1"/>
    </xf>
    <xf numFmtId="180" fontId="53" fillId="5" borderId="0" xfId="0" applyNumberFormat="1" applyFont="1" applyFill="1" applyBorder="1" applyAlignment="1">
      <alignment vertical="top" wrapText="1"/>
    </xf>
    <xf numFmtId="180" fontId="59" fillId="5" borderId="0" xfId="0" applyNumberFormat="1" applyFont="1" applyFill="1" applyBorder="1" applyAlignment="1">
      <alignment vertical="top" wrapText="1"/>
    </xf>
    <xf numFmtId="49" fontId="57" fillId="5" borderId="0" xfId="0" applyNumberFormat="1" applyFont="1" applyFill="1" applyBorder="1" applyAlignment="1">
      <alignment horizontal="right" vertical="top" wrapText="1"/>
    </xf>
    <xf numFmtId="0" fontId="74" fillId="5" borderId="0" xfId="0" applyFont="1" applyFill="1" applyBorder="1"/>
    <xf numFmtId="0" fontId="74" fillId="5" borderId="0" xfId="0" applyFont="1" applyFill="1"/>
    <xf numFmtId="0" fontId="75" fillId="5" borderId="0" xfId="0" applyFont="1" applyFill="1" applyAlignment="1">
      <alignment horizontal="left" indent="2"/>
    </xf>
    <xf numFmtId="0" fontId="76" fillId="5" borderId="0" xfId="0" applyFont="1" applyFill="1" applyBorder="1"/>
    <xf numFmtId="0" fontId="76" fillId="5" borderId="0" xfId="0" applyFont="1" applyFill="1" applyBorder="1" applyAlignment="1">
      <alignment wrapText="1"/>
    </xf>
    <xf numFmtId="0" fontId="76" fillId="5" borderId="0" xfId="0" applyFont="1" applyFill="1" applyBorder="1" applyAlignment="1"/>
    <xf numFmtId="0" fontId="77" fillId="5" borderId="0" xfId="0" applyFont="1" applyFill="1" applyBorder="1"/>
    <xf numFmtId="0" fontId="76" fillId="5" borderId="0" xfId="0" applyFont="1" applyFill="1"/>
    <xf numFmtId="0" fontId="76" fillId="5" borderId="0" xfId="0" applyFont="1" applyFill="1" applyBorder="1" applyAlignment="1">
      <alignment horizontal="center"/>
    </xf>
    <xf numFmtId="180" fontId="77" fillId="5" borderId="0" xfId="0" applyNumberFormat="1" applyFont="1" applyFill="1" applyBorder="1"/>
    <xf numFmtId="180" fontId="76" fillId="5" borderId="0" xfId="0" applyNumberFormat="1" applyFont="1" applyFill="1" applyBorder="1" applyAlignment="1"/>
    <xf numFmtId="180" fontId="78" fillId="5" borderId="0" xfId="0" applyNumberFormat="1" applyFont="1" applyFill="1" applyBorder="1"/>
    <xf numFmtId="0" fontId="79" fillId="5" borderId="0" xfId="0" applyFont="1" applyFill="1" applyBorder="1"/>
    <xf numFmtId="180" fontId="80" fillId="5" borderId="0" xfId="0" applyNumberFormat="1" applyFont="1" applyFill="1" applyBorder="1" applyAlignment="1">
      <alignment horizontal="center"/>
    </xf>
    <xf numFmtId="180" fontId="80" fillId="5" borderId="0" xfId="0" applyNumberFormat="1" applyFont="1" applyFill="1" applyBorder="1"/>
    <xf numFmtId="0" fontId="77" fillId="5" borderId="0" xfId="0" applyFont="1" applyFill="1" applyBorder="1" applyAlignment="1">
      <alignment horizontal="center"/>
    </xf>
    <xf numFmtId="180" fontId="81" fillId="5" borderId="0" xfId="0" applyNumberFormat="1" applyFont="1" applyFill="1" applyBorder="1"/>
    <xf numFmtId="2" fontId="82" fillId="5" borderId="0" xfId="0" applyNumberFormat="1" applyFont="1" applyFill="1" applyBorder="1" applyAlignment="1">
      <alignment horizontal="center"/>
    </xf>
    <xf numFmtId="0" fontId="82" fillId="5" borderId="0" xfId="0" applyFont="1" applyFill="1" applyBorder="1" applyAlignment="1">
      <alignment horizontal="center"/>
    </xf>
    <xf numFmtId="0" fontId="80" fillId="5" borderId="0" xfId="0" applyFont="1" applyFill="1" applyBorder="1"/>
    <xf numFmtId="0" fontId="83" fillId="5" borderId="0" xfId="0" applyFont="1" applyFill="1" applyBorder="1" applyAlignment="1">
      <alignment horizontal="center"/>
    </xf>
    <xf numFmtId="180" fontId="79" fillId="5" borderId="0" xfId="0" applyNumberFormat="1" applyFont="1" applyFill="1" applyBorder="1"/>
    <xf numFmtId="0" fontId="85" fillId="5" borderId="0" xfId="0" applyFont="1" applyFill="1" applyBorder="1" applyAlignment="1">
      <alignment horizontal="center" vertical="top" wrapText="1"/>
    </xf>
    <xf numFmtId="0" fontId="76" fillId="5" borderId="0" xfId="0" applyFont="1" applyFill="1" applyBorder="1" applyAlignment="1">
      <alignment horizontal="center" vertical="top" wrapText="1"/>
    </xf>
    <xf numFmtId="180" fontId="76" fillId="5" borderId="0" xfId="0" applyNumberFormat="1" applyFont="1" applyFill="1" applyBorder="1" applyAlignment="1">
      <alignment vertical="top" wrapText="1"/>
    </xf>
    <xf numFmtId="180" fontId="77" fillId="5" borderId="0" xfId="0" applyNumberFormat="1" applyFont="1" applyFill="1" applyBorder="1" applyAlignment="1">
      <alignment vertical="center" wrapText="1"/>
    </xf>
    <xf numFmtId="180" fontId="77" fillId="5" borderId="0" xfId="0" applyNumberFormat="1" applyFont="1" applyFill="1" applyBorder="1" applyAlignment="1">
      <alignment vertical="top" wrapText="1"/>
    </xf>
    <xf numFmtId="181" fontId="53" fillId="5" borderId="0" xfId="0" applyNumberFormat="1" applyFont="1" applyFill="1" applyBorder="1"/>
    <xf numFmtId="0" fontId="70" fillId="5" borderId="0" xfId="0" applyFont="1" applyFill="1" applyBorder="1"/>
    <xf numFmtId="0" fontId="55" fillId="5" borderId="0" xfId="0" applyFont="1" applyFill="1" applyBorder="1"/>
    <xf numFmtId="0" fontId="55" fillId="5" borderId="0" xfId="0" applyFont="1" applyFill="1" applyBorder="1" applyAlignment="1">
      <alignment horizontal="left" indent="2"/>
    </xf>
    <xf numFmtId="181" fontId="86" fillId="5" borderId="0" xfId="0" applyNumberFormat="1" applyFont="1" applyFill="1" applyBorder="1"/>
    <xf numFmtId="0" fontId="70" fillId="5" borderId="0" xfId="0" applyFont="1" applyFill="1" applyBorder="1" applyAlignment="1">
      <alignment horizontal="left" indent="2"/>
    </xf>
    <xf numFmtId="0" fontId="54" fillId="0" borderId="0" xfId="0" applyFont="1"/>
    <xf numFmtId="0" fontId="87" fillId="5" borderId="0" xfId="0" applyFont="1" applyFill="1"/>
    <xf numFmtId="0" fontId="88" fillId="0" borderId="0" xfId="0" applyFont="1"/>
    <xf numFmtId="0" fontId="89" fillId="5" borderId="0" xfId="0" applyFont="1" applyFill="1"/>
    <xf numFmtId="0" fontId="89" fillId="0" borderId="0" xfId="0" applyFont="1"/>
    <xf numFmtId="0" fontId="90" fillId="5" borderId="0" xfId="0" applyFont="1" applyFill="1"/>
    <xf numFmtId="0" fontId="90" fillId="0" borderId="0" xfId="0" applyFont="1"/>
    <xf numFmtId="0" fontId="91" fillId="5" borderId="0" xfId="0" applyFont="1" applyFill="1"/>
    <xf numFmtId="181" fontId="90" fillId="5" borderId="0" xfId="0" applyNumberFormat="1" applyFont="1" applyFill="1" applyBorder="1"/>
    <xf numFmtId="0" fontId="89" fillId="5" borderId="0" xfId="0" applyFont="1" applyFill="1" applyBorder="1"/>
    <xf numFmtId="181" fontId="92" fillId="5" borderId="0" xfId="0" applyNumberFormat="1" applyFont="1" applyFill="1" applyBorder="1"/>
    <xf numFmtId="0" fontId="20" fillId="5" borderId="0" xfId="0" applyFont="1" applyFill="1" applyBorder="1"/>
    <xf numFmtId="181" fontId="93" fillId="5" borderId="0" xfId="0" applyNumberFormat="1" applyFont="1" applyFill="1" applyBorder="1"/>
    <xf numFmtId="180" fontId="46" fillId="5" borderId="0" xfId="0" applyNumberFormat="1" applyFont="1" applyFill="1" applyBorder="1" applyAlignment="1">
      <alignment horizontal="justify" vertical="top" wrapText="1"/>
    </xf>
    <xf numFmtId="0" fontId="90" fillId="6" borderId="0" xfId="0" applyFont="1" applyFill="1" applyBorder="1" applyAlignment="1">
      <alignment horizontal="center"/>
    </xf>
    <xf numFmtId="0" fontId="98" fillId="5" borderId="0" xfId="0" applyFont="1" applyFill="1"/>
    <xf numFmtId="0" fontId="77" fillId="5" borderId="0" xfId="0" applyFont="1" applyFill="1"/>
    <xf numFmtId="0" fontId="88" fillId="5" borderId="0" xfId="0" applyFont="1" applyFill="1"/>
    <xf numFmtId="0" fontId="95" fillId="5" borderId="0" xfId="0" applyFont="1" applyFill="1" applyBorder="1" applyAlignment="1">
      <alignment horizontal="center" vertical="top" wrapText="1"/>
    </xf>
    <xf numFmtId="0" fontId="95" fillId="5" borderId="0" xfId="0" applyFont="1" applyFill="1" applyBorder="1" applyAlignment="1">
      <alignment horizontal="justify" vertical="top" wrapText="1"/>
    </xf>
    <xf numFmtId="180" fontId="89" fillId="5" borderId="0" xfId="0" applyNumberFormat="1" applyFont="1" applyFill="1" applyBorder="1"/>
    <xf numFmtId="0" fontId="56" fillId="5" borderId="0" xfId="0" applyFont="1" applyFill="1" applyAlignment="1">
      <alignment horizontal="center" vertical="center"/>
    </xf>
    <xf numFmtId="0" fontId="77" fillId="5" borderId="0" xfId="0" applyFont="1" applyFill="1" applyBorder="1" applyAlignment="1">
      <alignment horizontal="center" vertical="center"/>
    </xf>
    <xf numFmtId="0" fontId="56" fillId="5" borderId="0" xfId="0" applyFont="1" applyFill="1" applyBorder="1" applyAlignment="1">
      <alignment horizontal="center" vertical="center"/>
    </xf>
    <xf numFmtId="180" fontId="10" fillId="5" borderId="0" xfId="0" applyNumberFormat="1" applyFont="1" applyFill="1"/>
    <xf numFmtId="0" fontId="10" fillId="5" borderId="0" xfId="0" applyFont="1" applyFill="1"/>
    <xf numFmtId="0" fontId="89" fillId="5" borderId="0" xfId="0" applyFont="1" applyFill="1" applyBorder="1" applyAlignment="1">
      <alignment vertical="center"/>
    </xf>
    <xf numFmtId="0" fontId="76" fillId="5" borderId="0" xfId="0" applyFont="1" applyFill="1" applyBorder="1" applyAlignment="1">
      <alignment vertical="center"/>
    </xf>
    <xf numFmtId="0" fontId="85" fillId="5" borderId="0" xfId="0" applyFont="1" applyFill="1" applyBorder="1" applyAlignment="1">
      <alignment horizontal="center" vertical="center" wrapText="1"/>
    </xf>
    <xf numFmtId="0" fontId="53" fillId="5" borderId="0" xfId="0" applyFont="1" applyFill="1" applyBorder="1" applyAlignment="1">
      <alignment vertical="center"/>
    </xf>
    <xf numFmtId="0" fontId="53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180" fontId="76" fillId="5" borderId="0" xfId="0" applyNumberFormat="1" applyFont="1" applyFill="1" applyBorder="1" applyAlignment="1">
      <alignment vertical="center" wrapText="1"/>
    </xf>
    <xf numFmtId="0" fontId="76" fillId="5" borderId="0" xfId="0" applyFont="1" applyFill="1" applyBorder="1" applyAlignment="1">
      <alignment vertical="center" wrapText="1"/>
    </xf>
    <xf numFmtId="0" fontId="77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centerContinuous" vertical="center" wrapText="1"/>
    </xf>
    <xf numFmtId="0" fontId="99" fillId="5" borderId="0" xfId="0" applyFont="1" applyFill="1" applyAlignment="1">
      <alignment horizontal="center"/>
    </xf>
    <xf numFmtId="213" fontId="95" fillId="5" borderId="0" xfId="0" applyNumberFormat="1" applyFont="1" applyFill="1" applyBorder="1" applyAlignment="1">
      <alignment vertical="top" wrapText="1"/>
    </xf>
    <xf numFmtId="180" fontId="95" fillId="5" borderId="0" xfId="0" applyNumberFormat="1" applyFont="1" applyFill="1" applyBorder="1" applyAlignment="1">
      <alignment vertical="top" wrapText="1"/>
    </xf>
    <xf numFmtId="0" fontId="96" fillId="5" borderId="0" xfId="0" applyFont="1" applyFill="1"/>
    <xf numFmtId="0" fontId="97" fillId="5" borderId="0" xfId="0" applyFont="1" applyFill="1" applyBorder="1"/>
    <xf numFmtId="0" fontId="4" fillId="5" borderId="0" xfId="0" applyFont="1" applyFill="1" applyAlignment="1">
      <alignment vertical="center"/>
    </xf>
    <xf numFmtId="180" fontId="76" fillId="5" borderId="3" xfId="0" applyNumberFormat="1" applyFont="1" applyFill="1" applyBorder="1" applyAlignment="1">
      <alignment vertical="top" wrapText="1"/>
    </xf>
    <xf numFmtId="180" fontId="4" fillId="5" borderId="4" xfId="0" applyNumberFormat="1" applyFont="1" applyFill="1" applyBorder="1" applyAlignment="1">
      <alignment vertical="top" wrapText="1"/>
    </xf>
    <xf numFmtId="180" fontId="76" fillId="5" borderId="4" xfId="0" applyNumberFormat="1" applyFont="1" applyFill="1" applyBorder="1" applyAlignment="1">
      <alignment vertical="top" wrapText="1"/>
    </xf>
    <xf numFmtId="0" fontId="10" fillId="5" borderId="0" xfId="0" applyFont="1" applyFill="1" applyAlignment="1">
      <alignment horizontal="center" vertical="center"/>
    </xf>
    <xf numFmtId="0" fontId="20" fillId="5" borderId="0" xfId="0" applyFont="1" applyFill="1"/>
    <xf numFmtId="0" fontId="0" fillId="0" borderId="5" xfId="0" applyBorder="1" applyAlignment="1">
      <alignment horizontal="center"/>
    </xf>
    <xf numFmtId="0" fontId="76" fillId="5" borderId="5" xfId="0" applyFont="1" applyFill="1" applyBorder="1"/>
    <xf numFmtId="0" fontId="53" fillId="5" borderId="5" xfId="0" applyFont="1" applyFill="1" applyBorder="1"/>
    <xf numFmtId="0" fontId="4" fillId="5" borderId="5" xfId="0" applyFont="1" applyFill="1" applyBorder="1"/>
    <xf numFmtId="180" fontId="4" fillId="5" borderId="0" xfId="0" applyNumberFormat="1" applyFont="1" applyFill="1" applyBorder="1" applyAlignment="1">
      <alignment vertical="top" wrapText="1"/>
    </xf>
    <xf numFmtId="0" fontId="15" fillId="5" borderId="0" xfId="0" applyFont="1" applyFill="1" applyBorder="1" applyAlignment="1">
      <alignment horizontal="center" vertical="center" wrapText="1"/>
    </xf>
    <xf numFmtId="180" fontId="15" fillId="5" borderId="0" xfId="0" applyNumberFormat="1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left" indent="2"/>
    </xf>
    <xf numFmtId="0" fontId="100" fillId="5" borderId="0" xfId="0" applyFont="1" applyFill="1" applyBorder="1" applyAlignment="1">
      <alignment horizontal="left" vertical="justify"/>
    </xf>
    <xf numFmtId="180" fontId="103" fillId="5" borderId="0" xfId="0" applyNumberFormat="1" applyFont="1" applyFill="1" applyBorder="1" applyAlignment="1">
      <alignment vertical="justify"/>
    </xf>
    <xf numFmtId="180" fontId="96" fillId="5" borderId="0" xfId="0" applyNumberFormat="1" applyFont="1" applyFill="1" applyBorder="1" applyAlignment="1">
      <alignment vertical="justify" wrapText="1"/>
    </xf>
    <xf numFmtId="180" fontId="4" fillId="5" borderId="0" xfId="0" applyNumberFormat="1" applyFont="1" applyFill="1" applyBorder="1" applyAlignment="1">
      <alignment vertical="justify" wrapText="1"/>
    </xf>
    <xf numFmtId="0" fontId="4" fillId="5" borderId="0" xfId="0" applyFont="1" applyFill="1" applyBorder="1" applyAlignment="1"/>
    <xf numFmtId="0" fontId="96" fillId="5" borderId="0" xfId="0" applyFont="1" applyFill="1" applyBorder="1" applyAlignment="1"/>
    <xf numFmtId="0" fontId="10" fillId="5" borderId="0" xfId="0" applyFont="1" applyFill="1" applyBorder="1"/>
    <xf numFmtId="0" fontId="10" fillId="5" borderId="0" xfId="0" applyFont="1" applyFill="1" applyBorder="1" applyAlignment="1">
      <alignment vertical="center" wrapText="1"/>
    </xf>
    <xf numFmtId="180" fontId="10" fillId="5" borderId="0" xfId="0" applyNumberFormat="1" applyFont="1" applyFill="1" applyBorder="1"/>
    <xf numFmtId="180" fontId="35" fillId="5" borderId="0" xfId="0" applyNumberFormat="1" applyFont="1" applyFill="1" applyBorder="1" applyAlignment="1">
      <alignment horizontal="center"/>
    </xf>
    <xf numFmtId="180" fontId="4" fillId="5" borderId="0" xfId="0" applyNumberFormat="1" applyFont="1" applyFill="1" applyBorder="1" applyAlignment="1">
      <alignment horizontal="centerContinuous" vertical="center" wrapText="1"/>
    </xf>
    <xf numFmtId="180" fontId="35" fillId="5" borderId="0" xfId="0" applyNumberFormat="1" applyFont="1" applyFill="1" applyBorder="1" applyAlignment="1">
      <alignment horizontal="center" vertical="justify"/>
    </xf>
    <xf numFmtId="180" fontId="4" fillId="5" borderId="0" xfId="0" applyNumberFormat="1" applyFont="1" applyFill="1" applyBorder="1" applyAlignment="1">
      <alignment horizontal="center" vertical="center" wrapText="1"/>
    </xf>
    <xf numFmtId="180" fontId="4" fillId="5" borderId="0" xfId="0" applyNumberFormat="1" applyFont="1" applyFill="1" applyBorder="1" applyAlignment="1">
      <alignment vertical="center" wrapText="1"/>
    </xf>
    <xf numFmtId="180" fontId="35" fillId="5" borderId="0" xfId="0" applyNumberFormat="1" applyFont="1" applyFill="1" applyBorder="1"/>
    <xf numFmtId="180" fontId="36" fillId="5" borderId="0" xfId="0" applyNumberFormat="1" applyFont="1" applyFill="1" applyBorder="1"/>
    <xf numFmtId="180" fontId="102" fillId="5" borderId="0" xfId="0" applyNumberFormat="1" applyFont="1" applyFill="1" applyBorder="1" applyAlignment="1">
      <alignment horizontal="center"/>
    </xf>
    <xf numFmtId="2" fontId="102" fillId="5" borderId="0" xfId="0" applyNumberFormat="1" applyFont="1" applyFill="1" applyBorder="1" applyAlignment="1">
      <alignment horizontal="center"/>
    </xf>
    <xf numFmtId="0" fontId="102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180" fontId="10" fillId="5" borderId="0" xfId="0" applyNumberFormat="1" applyFont="1" applyFill="1" applyBorder="1" applyAlignment="1">
      <alignment horizontal="center" vertical="center" wrapText="1"/>
    </xf>
    <xf numFmtId="3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vertical="center" wrapText="1"/>
    </xf>
    <xf numFmtId="180" fontId="15" fillId="5" borderId="0" xfId="0" applyNumberFormat="1" applyFont="1" applyFill="1" applyBorder="1"/>
    <xf numFmtId="180" fontId="4" fillId="5" borderId="0" xfId="0" applyNumberFormat="1" applyFont="1" applyFill="1" applyBorder="1"/>
    <xf numFmtId="4" fontId="4" fillId="5" borderId="0" xfId="0" applyNumberFormat="1" applyFont="1" applyFill="1" applyBorder="1"/>
    <xf numFmtId="0" fontId="35" fillId="5" borderId="0" xfId="0" applyFont="1" applyFill="1" applyBorder="1"/>
    <xf numFmtId="181" fontId="35" fillId="5" borderId="0" xfId="0" applyNumberFormat="1" applyFont="1" applyFill="1" applyBorder="1"/>
    <xf numFmtId="0" fontId="94" fillId="5" borderId="0" xfId="0" applyFont="1" applyFill="1" applyAlignment="1">
      <alignment horizontal="left" wrapText="1" indent="2"/>
    </xf>
    <xf numFmtId="180" fontId="35" fillId="0" borderId="0" xfId="0" applyNumberFormat="1" applyFont="1" applyFill="1" applyBorder="1" applyAlignment="1">
      <alignment horizontal="center"/>
    </xf>
    <xf numFmtId="180" fontId="10" fillId="5" borderId="0" xfId="0" applyNumberFormat="1" applyFont="1" applyFill="1" applyBorder="1" applyAlignment="1">
      <alignment vertical="center" wrapText="1"/>
    </xf>
    <xf numFmtId="180" fontId="104" fillId="5" borderId="5" xfId="0" applyNumberFormat="1" applyFont="1" applyFill="1" applyBorder="1" applyAlignment="1">
      <alignment vertical="top" wrapText="1"/>
    </xf>
    <xf numFmtId="180" fontId="104" fillId="5" borderId="5" xfId="0" applyNumberFormat="1" applyFont="1" applyFill="1" applyBorder="1" applyAlignment="1">
      <alignment vertical="center" wrapText="1"/>
    </xf>
    <xf numFmtId="180" fontId="3" fillId="5" borderId="5" xfId="0" applyNumberFormat="1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top" wrapText="1"/>
    </xf>
    <xf numFmtId="180" fontId="4" fillId="5" borderId="5" xfId="0" applyNumberFormat="1" applyFont="1" applyFill="1" applyBorder="1" applyAlignment="1">
      <alignment vertical="top" wrapText="1"/>
    </xf>
    <xf numFmtId="180" fontId="35" fillId="5" borderId="5" xfId="0" applyNumberFormat="1" applyFont="1" applyFill="1" applyBorder="1" applyAlignment="1">
      <alignment vertical="top" wrapText="1"/>
    </xf>
    <xf numFmtId="180" fontId="19" fillId="5" borderId="5" xfId="0" applyNumberFormat="1" applyFont="1" applyFill="1" applyBorder="1" applyAlignment="1">
      <alignment vertical="center" wrapText="1"/>
    </xf>
    <xf numFmtId="180" fontId="38" fillId="5" borderId="5" xfId="0" applyNumberFormat="1" applyFont="1" applyFill="1" applyBorder="1" applyAlignment="1">
      <alignment vertical="center" wrapText="1"/>
    </xf>
    <xf numFmtId="180" fontId="4" fillId="5" borderId="5" xfId="0" applyNumberFormat="1" applyFont="1" applyFill="1" applyBorder="1" applyAlignment="1">
      <alignment vertical="center" wrapText="1"/>
    </xf>
    <xf numFmtId="180" fontId="4" fillId="5" borderId="5" xfId="0" applyNumberFormat="1" applyFont="1" applyFill="1" applyBorder="1" applyAlignment="1">
      <alignment horizontal="right" vertical="top" wrapText="1"/>
    </xf>
    <xf numFmtId="0" fontId="19" fillId="5" borderId="5" xfId="0" applyFont="1" applyFill="1" applyBorder="1" applyAlignment="1" applyProtection="1">
      <alignment vertical="top" wrapText="1"/>
    </xf>
    <xf numFmtId="180" fontId="49" fillId="5" borderId="5" xfId="0" applyNumberFormat="1" applyFont="1" applyFill="1" applyBorder="1" applyAlignment="1">
      <alignment horizontal="right" vertical="center" wrapText="1"/>
    </xf>
    <xf numFmtId="0" fontId="105" fillId="5" borderId="5" xfId="0" applyFont="1" applyFill="1" applyBorder="1" applyAlignment="1" applyProtection="1">
      <alignment horizontal="justify" vertical="center" wrapText="1"/>
    </xf>
    <xf numFmtId="0" fontId="105" fillId="0" borderId="5" xfId="0" applyFont="1" applyBorder="1" applyAlignment="1" applyProtection="1">
      <alignment vertical="top" wrapText="1"/>
    </xf>
    <xf numFmtId="180" fontId="17" fillId="5" borderId="0" xfId="0" applyNumberFormat="1" applyFont="1" applyFill="1" applyBorder="1" applyAlignment="1">
      <alignment vertical="top" wrapText="1"/>
    </xf>
    <xf numFmtId="180" fontId="113" fillId="5" borderId="0" xfId="0" applyNumberFormat="1" applyFont="1" applyFill="1" applyBorder="1" applyAlignment="1">
      <alignment vertical="top" wrapText="1"/>
    </xf>
    <xf numFmtId="213" fontId="111" fillId="5" borderId="0" xfId="0" applyNumberFormat="1" applyFont="1" applyFill="1" applyBorder="1" applyAlignment="1" applyProtection="1">
      <alignment vertical="top" wrapText="1"/>
      <protection locked="0"/>
    </xf>
    <xf numFmtId="180" fontId="114" fillId="5" borderId="0" xfId="0" applyNumberFormat="1" applyFont="1" applyFill="1"/>
    <xf numFmtId="0" fontId="114" fillId="5" borderId="0" xfId="0" applyFont="1" applyFill="1"/>
    <xf numFmtId="0" fontId="114" fillId="5" borderId="0" xfId="0" applyFont="1" applyFill="1" applyAlignment="1">
      <alignment wrapText="1"/>
    </xf>
    <xf numFmtId="0" fontId="114" fillId="5" borderId="0" xfId="0" applyFont="1" applyFill="1" applyAlignment="1">
      <alignment horizontal="left" indent="2"/>
    </xf>
    <xf numFmtId="0" fontId="115" fillId="5" borderId="0" xfId="0" applyFont="1" applyFill="1"/>
    <xf numFmtId="0" fontId="49" fillId="5" borderId="0" xfId="0" applyFont="1" applyFill="1"/>
    <xf numFmtId="0" fontId="117" fillId="5" borderId="0" xfId="0" applyFont="1" applyFill="1" applyAlignment="1">
      <alignment horizontal="center"/>
    </xf>
    <xf numFmtId="181" fontId="49" fillId="5" borderId="5" xfId="0" applyNumberFormat="1" applyFont="1" applyFill="1" applyBorder="1" applyAlignment="1">
      <alignment horizontal="right" vertical="center" wrapText="1"/>
    </xf>
    <xf numFmtId="181" fontId="4" fillId="5" borderId="5" xfId="0" applyNumberFormat="1" applyFont="1" applyFill="1" applyBorder="1" applyAlignment="1">
      <alignment vertical="top" wrapText="1"/>
    </xf>
    <xf numFmtId="181" fontId="104" fillId="5" borderId="5" xfId="0" applyNumberFormat="1" applyFont="1" applyFill="1" applyBorder="1" applyAlignment="1">
      <alignment vertical="top" wrapText="1"/>
    </xf>
    <xf numFmtId="0" fontId="43" fillId="5" borderId="0" xfId="0" applyFont="1" applyFill="1" applyAlignment="1">
      <alignment horizontal="center" wrapText="1"/>
    </xf>
    <xf numFmtId="180" fontId="49" fillId="5" borderId="5" xfId="0" applyNumberFormat="1" applyFont="1" applyFill="1" applyBorder="1" applyAlignment="1">
      <alignment vertical="center" wrapText="1"/>
    </xf>
    <xf numFmtId="180" fontId="17" fillId="0" borderId="5" xfId="0" applyNumberFormat="1" applyFont="1" applyFill="1" applyBorder="1" applyAlignment="1">
      <alignment horizontal="right" vertical="center" wrapText="1"/>
    </xf>
    <xf numFmtId="180" fontId="112" fillId="0" borderId="5" xfId="0" applyNumberFormat="1" applyFont="1" applyFill="1" applyBorder="1" applyAlignment="1">
      <alignment horizontal="right" vertical="center" wrapText="1"/>
    </xf>
    <xf numFmtId="180" fontId="116" fillId="5" borderId="5" xfId="0" applyNumberFormat="1" applyFont="1" applyFill="1" applyBorder="1" applyAlignment="1">
      <alignment horizontal="right" vertical="center" wrapText="1"/>
    </xf>
    <xf numFmtId="180" fontId="116" fillId="0" borderId="5" xfId="0" applyNumberFormat="1" applyFont="1" applyFill="1" applyBorder="1" applyAlignment="1">
      <alignment horizontal="right" vertical="center" wrapText="1"/>
    </xf>
    <xf numFmtId="0" fontId="106" fillId="5" borderId="5" xfId="0" applyFont="1" applyFill="1" applyBorder="1" applyAlignment="1">
      <alignment vertical="center" wrapText="1"/>
    </xf>
    <xf numFmtId="180" fontId="116" fillId="5" borderId="5" xfId="0" applyNumberFormat="1" applyFont="1" applyFill="1" applyBorder="1" applyAlignment="1">
      <alignment vertical="center"/>
    </xf>
    <xf numFmtId="0" fontId="106" fillId="5" borderId="0" xfId="0" applyFont="1" applyFill="1" applyBorder="1" applyAlignment="1">
      <alignment vertical="center" wrapText="1"/>
    </xf>
    <xf numFmtId="180" fontId="116" fillId="0" borderId="0" xfId="0" applyNumberFormat="1" applyFont="1" applyFill="1" applyBorder="1" applyAlignment="1">
      <alignment horizontal="right" vertical="center" wrapText="1"/>
    </xf>
    <xf numFmtId="180" fontId="116" fillId="5" borderId="0" xfId="0" applyNumberFormat="1" applyFont="1" applyFill="1" applyBorder="1" applyAlignment="1">
      <alignment vertical="center"/>
    </xf>
    <xf numFmtId="180" fontId="116" fillId="5" borderId="0" xfId="0" applyNumberFormat="1" applyFont="1" applyFill="1" applyBorder="1"/>
    <xf numFmtId="0" fontId="49" fillId="5" borderId="5" xfId="0" applyFont="1" applyFill="1" applyBorder="1" applyAlignment="1">
      <alignment vertical="center" wrapText="1"/>
    </xf>
    <xf numFmtId="0" fontId="52" fillId="5" borderId="5" xfId="0" applyNumberFormat="1" applyFont="1" applyFill="1" applyBorder="1" applyAlignment="1">
      <alignment horizontal="left" vertical="center" wrapText="1"/>
    </xf>
    <xf numFmtId="0" fontId="52" fillId="5" borderId="5" xfId="0" applyFont="1" applyFill="1" applyBorder="1" applyAlignment="1">
      <alignment horizontal="left" vertical="center" wrapText="1"/>
    </xf>
    <xf numFmtId="0" fontId="52" fillId="5" borderId="5" xfId="0" applyFont="1" applyFill="1" applyBorder="1" applyAlignment="1">
      <alignment vertical="center" wrapText="1"/>
    </xf>
    <xf numFmtId="0" fontId="52" fillId="5" borderId="5" xfId="0" applyFont="1" applyFill="1" applyBorder="1" applyAlignment="1" applyProtection="1">
      <alignment horizontal="justify" vertical="center" wrapText="1"/>
    </xf>
    <xf numFmtId="0" fontId="47" fillId="5" borderId="5" xfId="0" applyFont="1" applyFill="1" applyBorder="1" applyAlignment="1">
      <alignment vertical="center" wrapText="1"/>
    </xf>
    <xf numFmtId="0" fontId="118" fillId="0" borderId="5" xfId="0" applyFont="1" applyBorder="1" applyAlignment="1">
      <alignment vertical="center" wrapText="1"/>
    </xf>
    <xf numFmtId="0" fontId="118" fillId="5" borderId="5" xfId="0" applyFont="1" applyFill="1" applyBorder="1" applyAlignment="1">
      <alignment vertical="center" wrapText="1"/>
    </xf>
    <xf numFmtId="0" fontId="52" fillId="0" borderId="5" xfId="0" applyFont="1" applyBorder="1" applyAlignment="1" applyProtection="1">
      <alignment vertical="center" wrapText="1"/>
    </xf>
    <xf numFmtId="0" fontId="110" fillId="5" borderId="5" xfId="0" applyFont="1" applyFill="1" applyBorder="1" applyAlignment="1">
      <alignment vertical="center" wrapText="1"/>
    </xf>
    <xf numFmtId="0" fontId="119" fillId="5" borderId="0" xfId="0" applyFont="1" applyFill="1"/>
    <xf numFmtId="180" fontId="120" fillId="5" borderId="0" xfId="0" applyNumberFormat="1" applyFont="1" applyFill="1"/>
    <xf numFmtId="0" fontId="38" fillId="5" borderId="5" xfId="0" applyFont="1" applyFill="1" applyBorder="1" applyAlignment="1">
      <alignment horizontal="center" vertical="center" wrapText="1"/>
    </xf>
    <xf numFmtId="0" fontId="106" fillId="0" borderId="5" xfId="0" applyFont="1" applyBorder="1" applyAlignment="1">
      <alignment vertical="top" wrapText="1"/>
    </xf>
    <xf numFmtId="0" fontId="52" fillId="0" borderId="5" xfId="0" applyFont="1" applyBorder="1" applyAlignment="1" applyProtection="1">
      <alignment vertical="top" wrapText="1"/>
      <protection locked="0"/>
    </xf>
    <xf numFmtId="180" fontId="17" fillId="0" borderId="6" xfId="0" applyNumberFormat="1" applyFont="1" applyFill="1" applyBorder="1" applyAlignment="1">
      <alignment horizontal="right" vertical="center" wrapText="1"/>
    </xf>
    <xf numFmtId="180" fontId="112" fillId="0" borderId="6" xfId="0" applyNumberFormat="1" applyFont="1" applyFill="1" applyBorder="1" applyAlignment="1">
      <alignment horizontal="right" vertical="center" wrapText="1"/>
    </xf>
    <xf numFmtId="180" fontId="125" fillId="5" borderId="0" xfId="0" applyNumberFormat="1" applyFont="1" applyFill="1" applyBorder="1" applyAlignment="1">
      <alignment vertical="center"/>
    </xf>
    <xf numFmtId="180" fontId="4" fillId="5" borderId="5" xfId="0" applyNumberFormat="1" applyFont="1" applyFill="1" applyBorder="1"/>
    <xf numFmtId="0" fontId="126" fillId="5" borderId="5" xfId="0" applyFont="1" applyFill="1" applyBorder="1" applyAlignment="1">
      <alignment horizontal="center" vertical="center" wrapText="1"/>
    </xf>
    <xf numFmtId="180" fontId="42" fillId="0" borderId="5" xfId="0" applyNumberFormat="1" applyFont="1" applyFill="1" applyBorder="1" applyAlignment="1">
      <alignment horizontal="right" vertical="center" wrapText="1"/>
    </xf>
    <xf numFmtId="0" fontId="128" fillId="5" borderId="5" xfId="0" applyFont="1" applyFill="1" applyBorder="1" applyAlignment="1">
      <alignment horizontal="center" vertical="center" wrapText="1"/>
    </xf>
    <xf numFmtId="0" fontId="128" fillId="5" borderId="5" xfId="0" applyFont="1" applyFill="1" applyBorder="1" applyAlignment="1">
      <alignment vertical="center" wrapText="1"/>
    </xf>
    <xf numFmtId="180" fontId="11" fillId="0" borderId="5" xfId="0" applyNumberFormat="1" applyFont="1" applyFill="1" applyBorder="1" applyAlignment="1">
      <alignment horizontal="right" vertical="center" wrapText="1"/>
    </xf>
    <xf numFmtId="180" fontId="39" fillId="0" borderId="5" xfId="0" applyNumberFormat="1" applyFont="1" applyFill="1" applyBorder="1" applyAlignment="1">
      <alignment horizontal="right" vertical="center" wrapText="1"/>
    </xf>
    <xf numFmtId="0" fontId="129" fillId="5" borderId="5" xfId="0" applyFont="1" applyFill="1" applyBorder="1" applyAlignment="1">
      <alignment vertical="center" wrapText="1"/>
    </xf>
    <xf numFmtId="180" fontId="132" fillId="0" borderId="5" xfId="0" applyNumberFormat="1" applyFont="1" applyFill="1" applyBorder="1" applyAlignment="1">
      <alignment horizontal="right" vertical="center" wrapText="1"/>
    </xf>
    <xf numFmtId="0" fontId="127" fillId="0" borderId="5" xfId="0" applyFont="1" applyBorder="1" applyAlignment="1">
      <alignment horizontal="center" vertical="center" wrapText="1"/>
    </xf>
    <xf numFmtId="0" fontId="127" fillId="0" borderId="5" xfId="0" applyFont="1" applyBorder="1" applyAlignment="1">
      <alignment vertical="center" wrapText="1"/>
    </xf>
    <xf numFmtId="0" fontId="127" fillId="5" borderId="5" xfId="0" applyFont="1" applyFill="1" applyBorder="1" applyAlignment="1">
      <alignment horizontal="center" vertical="center" wrapText="1"/>
    </xf>
    <xf numFmtId="180" fontId="39" fillId="5" borderId="5" xfId="0" applyNumberFormat="1" applyFont="1" applyFill="1" applyBorder="1" applyAlignment="1">
      <alignment horizontal="right" vertical="center" wrapText="1"/>
    </xf>
    <xf numFmtId="180" fontId="42" fillId="5" borderId="5" xfId="0" applyNumberFormat="1" applyFont="1" applyFill="1" applyBorder="1" applyAlignment="1">
      <alignment horizontal="right" vertical="center" wrapText="1"/>
    </xf>
    <xf numFmtId="0" fontId="11" fillId="5" borderId="5" xfId="0" applyFont="1" applyFill="1" applyBorder="1" applyAlignment="1">
      <alignment vertical="center" wrapText="1"/>
    </xf>
    <xf numFmtId="0" fontId="127" fillId="5" borderId="5" xfId="0" applyFont="1" applyFill="1" applyBorder="1" applyAlignment="1">
      <alignment vertical="center" wrapText="1"/>
    </xf>
    <xf numFmtId="180" fontId="124" fillId="0" borderId="5" xfId="0" applyNumberFormat="1" applyFont="1" applyFill="1" applyBorder="1" applyAlignment="1">
      <alignment horizontal="right" vertical="center" wrapText="1"/>
    </xf>
    <xf numFmtId="180" fontId="11" fillId="5" borderId="5" xfId="0" applyNumberFormat="1" applyFont="1" applyFill="1" applyBorder="1" applyAlignment="1">
      <alignment vertical="center" wrapText="1"/>
    </xf>
    <xf numFmtId="180" fontId="128" fillId="0" borderId="5" xfId="0" applyNumberFormat="1" applyFont="1" applyBorder="1" applyAlignment="1">
      <alignment vertical="center" wrapText="1"/>
    </xf>
    <xf numFmtId="0" fontId="127" fillId="5" borderId="5" xfId="0" applyFont="1" applyFill="1" applyBorder="1" applyAlignment="1">
      <alignment horizontal="center" vertical="top" wrapText="1"/>
    </xf>
    <xf numFmtId="0" fontId="127" fillId="0" borderId="5" xfId="0" applyFont="1" applyBorder="1" applyAlignment="1">
      <alignment vertical="top" wrapText="1"/>
    </xf>
    <xf numFmtId="180" fontId="11" fillId="5" borderId="5" xfId="0" applyNumberFormat="1" applyFont="1" applyFill="1" applyBorder="1" applyAlignment="1">
      <alignment vertical="top" wrapText="1"/>
    </xf>
    <xf numFmtId="180" fontId="11" fillId="5" borderId="5" xfId="0" applyNumberFormat="1" applyFont="1" applyFill="1" applyBorder="1" applyAlignment="1">
      <alignment horizontal="right" vertical="center" wrapText="1"/>
    </xf>
    <xf numFmtId="0" fontId="127" fillId="5" borderId="5" xfId="0" applyFont="1" applyFill="1" applyBorder="1" applyAlignment="1">
      <alignment vertical="top" wrapText="1"/>
    </xf>
    <xf numFmtId="180" fontId="39" fillId="0" borderId="5" xfId="0" applyNumberFormat="1" applyFont="1" applyFill="1" applyBorder="1" applyAlignment="1">
      <alignment vertical="top" wrapText="1"/>
    </xf>
    <xf numFmtId="180" fontId="42" fillId="0" borderId="5" xfId="0" applyNumberFormat="1" applyFont="1" applyFill="1" applyBorder="1" applyAlignment="1">
      <alignment horizontal="right" vertical="top" wrapText="1"/>
    </xf>
    <xf numFmtId="0" fontId="128" fillId="5" borderId="5" xfId="0" applyFont="1" applyFill="1" applyBorder="1" applyAlignment="1">
      <alignment horizontal="center" vertical="top" wrapText="1"/>
    </xf>
    <xf numFmtId="0" fontId="128" fillId="5" borderId="5" xfId="0" applyFont="1" applyFill="1" applyBorder="1" applyAlignment="1">
      <alignment vertical="top" wrapText="1"/>
    </xf>
    <xf numFmtId="180" fontId="39" fillId="0" borderId="5" xfId="0" applyNumberFormat="1" applyFont="1" applyBorder="1" applyAlignment="1">
      <alignment vertical="top" wrapText="1"/>
    </xf>
    <xf numFmtId="0" fontId="129" fillId="5" borderId="5" xfId="0" applyFont="1" applyFill="1" applyBorder="1" applyAlignment="1">
      <alignment horizontal="center" vertical="center" wrapText="1"/>
    </xf>
    <xf numFmtId="180" fontId="42" fillId="5" borderId="5" xfId="0" applyNumberFormat="1" applyFont="1" applyFill="1" applyBorder="1" applyAlignment="1">
      <alignment vertical="top" wrapText="1"/>
    </xf>
    <xf numFmtId="180" fontId="132" fillId="5" borderId="5" xfId="0" applyNumberFormat="1" applyFont="1" applyFill="1" applyBorder="1" applyAlignment="1">
      <alignment vertical="top" wrapText="1"/>
    </xf>
    <xf numFmtId="180" fontId="128" fillId="5" borderId="5" xfId="0" applyNumberFormat="1" applyFont="1" applyFill="1" applyBorder="1" applyAlignment="1">
      <alignment horizontal="right" vertical="center" wrapText="1"/>
    </xf>
    <xf numFmtId="180" fontId="132" fillId="5" borderId="5" xfId="0" applyNumberFormat="1" applyFont="1" applyFill="1" applyBorder="1" applyAlignment="1">
      <alignment horizontal="right" vertical="center" wrapText="1"/>
    </xf>
    <xf numFmtId="0" fontId="134" fillId="0" borderId="5" xfId="0" applyFont="1" applyBorder="1" applyAlignment="1">
      <alignment vertical="center" wrapText="1"/>
    </xf>
    <xf numFmtId="0" fontId="11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top"/>
    </xf>
    <xf numFmtId="0" fontId="135" fillId="0" borderId="5" xfId="0" applyNumberFormat="1" applyFont="1" applyBorder="1" applyAlignment="1">
      <alignment vertical="top" wrapText="1"/>
    </xf>
    <xf numFmtId="0" fontId="135" fillId="5" borderId="5" xfId="0" applyNumberFormat="1" applyFont="1" applyFill="1" applyBorder="1" applyAlignment="1">
      <alignment vertical="top" wrapText="1"/>
    </xf>
    <xf numFmtId="180" fontId="128" fillId="0" borderId="5" xfId="0" applyNumberFormat="1" applyFont="1" applyFill="1" applyBorder="1" applyAlignment="1">
      <alignment horizontal="right" vertical="center" wrapText="1"/>
    </xf>
    <xf numFmtId="180" fontId="11" fillId="0" borderId="5" xfId="0" applyNumberFormat="1" applyFont="1" applyFill="1" applyBorder="1" applyAlignment="1">
      <alignment horizontal="right" vertical="center"/>
    </xf>
    <xf numFmtId="180" fontId="11" fillId="5" borderId="5" xfId="0" applyNumberFormat="1" applyFont="1" applyFill="1" applyBorder="1" applyAlignment="1">
      <alignment vertical="top"/>
    </xf>
    <xf numFmtId="0" fontId="135" fillId="5" borderId="5" xfId="0" applyNumberFormat="1" applyFont="1" applyFill="1" applyBorder="1" applyAlignment="1">
      <alignment horizontal="left" vertical="center" wrapText="1"/>
    </xf>
    <xf numFmtId="0" fontId="129" fillId="5" borderId="5" xfId="0" applyFont="1" applyFill="1" applyBorder="1" applyAlignment="1">
      <alignment vertical="top" wrapText="1"/>
    </xf>
    <xf numFmtId="180" fontId="39" fillId="5" borderId="5" xfId="0" applyNumberFormat="1" applyFont="1" applyFill="1" applyBorder="1" applyAlignment="1">
      <alignment vertical="top" wrapText="1"/>
    </xf>
    <xf numFmtId="0" fontId="128" fillId="0" borderId="5" xfId="0" applyFont="1" applyBorder="1" applyAlignment="1">
      <alignment vertical="center" wrapText="1"/>
    </xf>
    <xf numFmtId="180" fontId="11" fillId="0" borderId="5" xfId="0" applyNumberFormat="1" applyFont="1" applyBorder="1" applyAlignment="1">
      <alignment vertical="top" wrapText="1"/>
    </xf>
    <xf numFmtId="49" fontId="11" fillId="5" borderId="5" xfId="0" applyNumberFormat="1" applyFont="1" applyFill="1" applyBorder="1" applyAlignment="1">
      <alignment horizontal="center" vertical="center" wrapText="1"/>
    </xf>
    <xf numFmtId="180" fontId="131" fillId="0" borderId="5" xfId="0" applyNumberFormat="1" applyFont="1" applyFill="1" applyBorder="1" applyAlignment="1">
      <alignment horizontal="right" vertical="center" wrapText="1"/>
    </xf>
    <xf numFmtId="180" fontId="135" fillId="0" borderId="5" xfId="0" applyNumberFormat="1" applyFont="1" applyFill="1" applyBorder="1" applyAlignment="1">
      <alignment horizontal="right" vertical="center" wrapText="1"/>
    </xf>
    <xf numFmtId="180" fontId="11" fillId="0" borderId="5" xfId="0" applyNumberFormat="1" applyFont="1" applyFill="1" applyBorder="1" applyAlignment="1">
      <alignment vertical="center" wrapText="1"/>
    </xf>
    <xf numFmtId="180" fontId="11" fillId="0" borderId="5" xfId="0" applyNumberFormat="1" applyFont="1" applyFill="1" applyBorder="1" applyAlignment="1">
      <alignment vertical="top" wrapText="1"/>
    </xf>
    <xf numFmtId="180" fontId="42" fillId="0" borderId="5" xfId="0" applyNumberFormat="1" applyFont="1" applyFill="1" applyBorder="1" applyAlignment="1">
      <alignment vertical="top" wrapText="1"/>
    </xf>
    <xf numFmtId="180" fontId="132" fillId="0" borderId="5" xfId="0" applyNumberFormat="1" applyFont="1" applyFill="1" applyBorder="1" applyAlignment="1">
      <alignment vertical="top" wrapText="1"/>
    </xf>
    <xf numFmtId="0" fontId="11" fillId="5" borderId="5" xfId="0" applyFont="1" applyFill="1" applyBorder="1" applyAlignment="1">
      <alignment horizontal="center" vertical="center" wrapText="1"/>
    </xf>
    <xf numFmtId="0" fontId="132" fillId="5" borderId="5" xfId="0" applyFont="1" applyFill="1" applyBorder="1" applyAlignment="1">
      <alignment horizontal="center" vertical="center" wrapText="1"/>
    </xf>
    <xf numFmtId="0" fontId="135" fillId="0" borderId="5" xfId="0" applyFont="1" applyBorder="1" applyAlignment="1" applyProtection="1">
      <alignment vertical="center" wrapText="1"/>
    </xf>
    <xf numFmtId="0" fontId="135" fillId="5" borderId="5" xfId="0" applyFont="1" applyFill="1" applyBorder="1" applyAlignment="1" applyProtection="1">
      <alignment vertical="center" wrapText="1"/>
    </xf>
    <xf numFmtId="180" fontId="135" fillId="5" borderId="5" xfId="0" applyNumberFormat="1" applyFont="1" applyFill="1" applyBorder="1" applyAlignment="1">
      <alignment horizontal="right" vertical="center" wrapText="1"/>
    </xf>
    <xf numFmtId="180" fontId="39" fillId="0" borderId="5" xfId="0" applyNumberFormat="1" applyFont="1" applyBorder="1" applyAlignment="1">
      <alignment vertical="center" wrapText="1"/>
    </xf>
    <xf numFmtId="0" fontId="11" fillId="5" borderId="5" xfId="0" applyFont="1" applyFill="1" applyBorder="1" applyAlignment="1">
      <alignment horizontal="center" vertical="top" wrapText="1"/>
    </xf>
    <xf numFmtId="0" fontId="11" fillId="5" borderId="5" xfId="0" applyFont="1" applyFill="1" applyBorder="1" applyAlignment="1">
      <alignment vertical="top" wrapText="1"/>
    </xf>
    <xf numFmtId="180" fontId="11" fillId="5" borderId="5" xfId="0" applyNumberFormat="1" applyFont="1" applyFill="1" applyBorder="1" applyAlignment="1">
      <alignment horizontal="right" vertical="top" wrapText="1"/>
    </xf>
    <xf numFmtId="180" fontId="11" fillId="5" borderId="5" xfId="0" applyNumberFormat="1" applyFont="1" applyFill="1" applyBorder="1" applyAlignment="1">
      <alignment horizontal="center" vertical="top" wrapText="1"/>
    </xf>
    <xf numFmtId="180" fontId="135" fillId="0" borderId="5" xfId="0" applyNumberFormat="1" applyFont="1" applyFill="1" applyBorder="1" applyAlignment="1">
      <alignment vertical="top" wrapText="1"/>
    </xf>
    <xf numFmtId="180" fontId="132" fillId="5" borderId="5" xfId="0" applyNumberFormat="1" applyFont="1" applyFill="1" applyBorder="1" applyAlignment="1">
      <alignment vertical="center" wrapText="1"/>
    </xf>
    <xf numFmtId="0" fontId="134" fillId="5" borderId="5" xfId="0" applyFont="1" applyFill="1" applyBorder="1" applyAlignment="1">
      <alignment vertical="center" wrapText="1"/>
    </xf>
    <xf numFmtId="180" fontId="135" fillId="0" borderId="5" xfId="0" applyNumberFormat="1" applyFont="1" applyBorder="1" applyAlignment="1" applyProtection="1">
      <alignment vertical="top" wrapText="1"/>
      <protection locked="0"/>
    </xf>
    <xf numFmtId="180" fontId="135" fillId="5" borderId="5" xfId="0" applyNumberFormat="1" applyFont="1" applyFill="1" applyBorder="1" applyAlignment="1">
      <alignment vertical="top" wrapText="1"/>
    </xf>
    <xf numFmtId="0" fontId="135" fillId="5" borderId="5" xfId="0" applyFont="1" applyFill="1" applyBorder="1" applyAlignment="1" applyProtection="1">
      <alignment horizontal="justify" vertical="center" wrapText="1"/>
    </xf>
    <xf numFmtId="0" fontId="138" fillId="5" borderId="5" xfId="0" applyFont="1" applyFill="1" applyBorder="1" applyAlignment="1">
      <alignment horizontal="center" vertical="center" wrapText="1"/>
    </xf>
    <xf numFmtId="180" fontId="138" fillId="0" borderId="5" xfId="0" applyNumberFormat="1" applyFont="1" applyFill="1" applyBorder="1" applyAlignment="1">
      <alignment horizontal="right" vertical="center" wrapText="1"/>
    </xf>
    <xf numFmtId="0" fontId="139" fillId="0" borderId="2" xfId="0" applyFont="1" applyBorder="1" applyAlignment="1">
      <alignment horizontal="center"/>
    </xf>
    <xf numFmtId="0" fontId="92" fillId="5" borderId="0" xfId="0" applyFont="1" applyFill="1"/>
    <xf numFmtId="0" fontId="140" fillId="5" borderId="0" xfId="0" applyFont="1" applyFill="1"/>
    <xf numFmtId="0" fontId="139" fillId="5" borderId="0" xfId="0" applyFont="1" applyFill="1"/>
    <xf numFmtId="0" fontId="141" fillId="5" borderId="0" xfId="0" applyFont="1" applyFill="1"/>
    <xf numFmtId="0" fontId="139" fillId="0" borderId="0" xfId="0" applyFont="1"/>
    <xf numFmtId="0" fontId="0" fillId="5" borderId="0" xfId="0" applyFill="1" applyAlignment="1">
      <alignment horizontal="center"/>
    </xf>
    <xf numFmtId="0" fontId="19" fillId="5" borderId="0" xfId="0" applyFont="1" applyFill="1" applyAlignment="1">
      <alignment horizontal="center"/>
    </xf>
    <xf numFmtId="0" fontId="143" fillId="5" borderId="0" xfId="0" applyFont="1" applyFill="1" applyBorder="1" applyAlignment="1">
      <alignment horizontal="center" vertical="center" wrapText="1"/>
    </xf>
    <xf numFmtId="0" fontId="135" fillId="0" borderId="5" xfId="0" applyFont="1" applyFill="1" applyBorder="1" applyAlignment="1">
      <alignment horizontal="center" vertical="center" wrapText="1"/>
    </xf>
    <xf numFmtId="0" fontId="145" fillId="0" borderId="0" xfId="0" applyFont="1" applyFill="1"/>
    <xf numFmtId="0" fontId="135" fillId="5" borderId="5" xfId="0" applyFont="1" applyFill="1" applyBorder="1" applyAlignment="1">
      <alignment horizontal="center"/>
    </xf>
    <xf numFmtId="0" fontId="135" fillId="5" borderId="5" xfId="0" applyFont="1" applyFill="1" applyBorder="1"/>
    <xf numFmtId="0" fontId="1" fillId="0" borderId="0" xfId="0" applyFont="1"/>
    <xf numFmtId="0" fontId="144" fillId="0" borderId="5" xfId="0" applyFont="1" applyBorder="1" applyAlignment="1">
      <alignment horizontal="center"/>
    </xf>
    <xf numFmtId="0" fontId="144" fillId="0" borderId="5" xfId="0" applyFont="1" applyBorder="1"/>
    <xf numFmtId="180" fontId="0" fillId="0" borderId="0" xfId="0" applyNumberFormat="1"/>
    <xf numFmtId="0" fontId="142" fillId="0" borderId="5" xfId="0" applyFont="1" applyBorder="1" applyAlignment="1">
      <alignment horizontal="center"/>
    </xf>
    <xf numFmtId="0" fontId="142" fillId="0" borderId="5" xfId="0" applyFont="1" applyBorder="1" applyAlignment="1">
      <alignment horizontal="left" wrapText="1"/>
    </xf>
    <xf numFmtId="0" fontId="142" fillId="0" borderId="5" xfId="0" applyFont="1" applyBorder="1" applyAlignment="1">
      <alignment wrapText="1"/>
    </xf>
    <xf numFmtId="0" fontId="148" fillId="0" borderId="0" xfId="0" applyFont="1" applyFill="1" applyAlignment="1">
      <alignment horizontal="center"/>
    </xf>
    <xf numFmtId="0" fontId="68" fillId="0" borderId="0" xfId="0" applyFont="1" applyBorder="1" applyAlignment="1">
      <alignment horizontal="center"/>
    </xf>
    <xf numFmtId="0" fontId="68" fillId="0" borderId="0" xfId="0" applyFont="1" applyBorder="1"/>
    <xf numFmtId="0" fontId="149" fillId="0" borderId="0" xfId="0" applyFont="1"/>
    <xf numFmtId="180" fontId="149" fillId="0" borderId="0" xfId="0" applyNumberFormat="1" applyFont="1"/>
    <xf numFmtId="0" fontId="63" fillId="0" borderId="0" xfId="0" applyFont="1" applyAlignment="1">
      <alignment horizontal="center"/>
    </xf>
    <xf numFmtId="0" fontId="94" fillId="5" borderId="0" xfId="0" applyFont="1" applyFill="1" applyAlignment="1">
      <alignment horizontal="center" vertical="center"/>
    </xf>
    <xf numFmtId="180" fontId="139" fillId="0" borderId="0" xfId="0" applyNumberFormat="1" applyFont="1"/>
    <xf numFmtId="0" fontId="13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80" fontId="135" fillId="5" borderId="5" xfId="0" applyNumberFormat="1" applyFont="1" applyFill="1" applyBorder="1" applyAlignment="1">
      <alignment vertical="center" wrapText="1"/>
    </xf>
    <xf numFmtId="180" fontId="42" fillId="5" borderId="5" xfId="0" applyNumberFormat="1" applyFont="1" applyFill="1" applyBorder="1" applyAlignment="1">
      <alignment vertical="center" wrapText="1"/>
    </xf>
    <xf numFmtId="180" fontId="113" fillId="0" borderId="0" xfId="0" applyNumberFormat="1" applyFont="1" applyFill="1" applyBorder="1" applyAlignment="1">
      <alignment horizontal="right" vertical="top" wrapText="1"/>
    </xf>
    <xf numFmtId="213" fontId="111" fillId="0" borderId="0" xfId="0" applyNumberFormat="1" applyFont="1" applyFill="1" applyBorder="1" applyAlignment="1" applyProtection="1">
      <alignment vertical="top" wrapText="1"/>
      <protection locked="0"/>
    </xf>
    <xf numFmtId="180" fontId="95" fillId="0" borderId="0" xfId="0" applyNumberFormat="1" applyFont="1" applyFill="1" applyBorder="1" applyAlignment="1">
      <alignment vertical="top" wrapText="1"/>
    </xf>
    <xf numFmtId="181" fontId="57" fillId="0" borderId="0" xfId="0" applyNumberFormat="1" applyFont="1" applyFill="1" applyBorder="1"/>
    <xf numFmtId="0" fontId="53" fillId="0" borderId="0" xfId="0" applyFont="1" applyFill="1" applyBorder="1"/>
    <xf numFmtId="181" fontId="86" fillId="0" borderId="0" xfId="0" applyNumberFormat="1" applyFont="1" applyFill="1" applyBorder="1"/>
    <xf numFmtId="181" fontId="73" fillId="0" borderId="0" xfId="0" applyNumberFormat="1" applyFont="1" applyFill="1" applyBorder="1"/>
    <xf numFmtId="0" fontId="57" fillId="0" borderId="0" xfId="0" applyFont="1" applyFill="1"/>
    <xf numFmtId="180" fontId="114" fillId="0" borderId="0" xfId="0" applyNumberFormat="1" applyFont="1" applyFill="1"/>
    <xf numFmtId="0" fontId="115" fillId="0" borderId="0" xfId="0" applyFont="1" applyFill="1"/>
    <xf numFmtId="180" fontId="120" fillId="0" borderId="0" xfId="0" applyNumberFormat="1" applyFont="1" applyFill="1"/>
    <xf numFmtId="0" fontId="114" fillId="0" borderId="0" xfId="0" applyFont="1" applyFill="1"/>
    <xf numFmtId="0" fontId="49" fillId="0" borderId="0" xfId="0" applyFont="1" applyFill="1"/>
    <xf numFmtId="0" fontId="14" fillId="0" borderId="0" xfId="0" applyFont="1" applyFill="1"/>
    <xf numFmtId="0" fontId="124" fillId="5" borderId="0" xfId="0" applyFont="1" applyFill="1" applyBorder="1"/>
    <xf numFmtId="180" fontId="39" fillId="5" borderId="5" xfId="0" applyNumberFormat="1" applyFont="1" applyFill="1" applyBorder="1" applyAlignment="1">
      <alignment vertical="center" wrapText="1"/>
    </xf>
    <xf numFmtId="180" fontId="11" fillId="5" borderId="5" xfId="0" applyNumberFormat="1" applyFont="1" applyFill="1" applyBorder="1" applyAlignment="1">
      <alignment vertical="center"/>
    </xf>
    <xf numFmtId="180" fontId="131" fillId="5" borderId="5" xfId="0" applyNumberFormat="1" applyFont="1" applyFill="1" applyBorder="1" applyAlignment="1">
      <alignment vertical="center" wrapText="1"/>
    </xf>
    <xf numFmtId="181" fontId="139" fillId="0" borderId="2" xfId="0" applyNumberFormat="1" applyFont="1" applyBorder="1" applyAlignment="1">
      <alignment horizontal="center"/>
    </xf>
    <xf numFmtId="180" fontId="39" fillId="0" borderId="5" xfId="0" applyNumberFormat="1" applyFont="1" applyFill="1" applyBorder="1" applyAlignment="1">
      <alignment vertical="center" wrapText="1"/>
    </xf>
    <xf numFmtId="0" fontId="135" fillId="5" borderId="5" xfId="0" applyFont="1" applyFill="1" applyBorder="1" applyAlignment="1">
      <alignment horizontal="left" vertical="center" wrapText="1"/>
    </xf>
    <xf numFmtId="0" fontId="135" fillId="5" borderId="5" xfId="0" applyFont="1" applyFill="1" applyBorder="1" applyAlignment="1">
      <alignment vertical="center" wrapText="1"/>
    </xf>
    <xf numFmtId="0" fontId="130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80" fontId="154" fillId="5" borderId="0" xfId="0" applyNumberFormat="1" applyFont="1" applyFill="1" applyBorder="1"/>
    <xf numFmtId="0" fontId="155" fillId="5" borderId="0" xfId="0" applyFont="1" applyFill="1" applyBorder="1"/>
    <xf numFmtId="180" fontId="155" fillId="5" borderId="0" xfId="0" applyNumberFormat="1" applyFont="1" applyFill="1" applyBorder="1" applyAlignment="1">
      <alignment vertical="top" wrapText="1"/>
    </xf>
    <xf numFmtId="0" fontId="155" fillId="5" borderId="0" xfId="0" applyFont="1" applyFill="1"/>
    <xf numFmtId="49" fontId="38" fillId="5" borderId="5" xfId="0" applyNumberFormat="1" applyFont="1" applyFill="1" applyBorder="1" applyAlignment="1">
      <alignment horizontal="center" vertical="center" wrapText="1"/>
    </xf>
    <xf numFmtId="180" fontId="38" fillId="5" borderId="5" xfId="0" applyNumberFormat="1" applyFont="1" applyFill="1" applyBorder="1" applyAlignment="1">
      <alignment horizontal="center" vertical="center" wrapText="1"/>
    </xf>
    <xf numFmtId="180" fontId="38" fillId="5" borderId="5" xfId="0" applyNumberFormat="1" applyFont="1" applyFill="1" applyBorder="1" applyAlignment="1">
      <alignment horizontal="right" vertical="center" wrapText="1"/>
    </xf>
    <xf numFmtId="180" fontId="52" fillId="5" borderId="5" xfId="0" applyNumberFormat="1" applyFont="1" applyFill="1" applyBorder="1" applyAlignment="1">
      <alignment horizontal="left" vertical="center" wrapText="1"/>
    </xf>
    <xf numFmtId="180" fontId="52" fillId="5" borderId="5" xfId="0" applyNumberFormat="1" applyFont="1" applyFill="1" applyBorder="1" applyAlignment="1">
      <alignment horizontal="right" vertical="center" wrapText="1"/>
    </xf>
    <xf numFmtId="180" fontId="52" fillId="5" borderId="5" xfId="0" applyNumberFormat="1" applyFont="1" applyFill="1" applyBorder="1" applyAlignment="1">
      <alignment vertical="center" wrapText="1"/>
    </xf>
    <xf numFmtId="181" fontId="52" fillId="5" borderId="5" xfId="0" applyNumberFormat="1" applyFont="1" applyFill="1" applyBorder="1" applyAlignment="1">
      <alignment horizontal="right" vertical="center" wrapText="1"/>
    </xf>
    <xf numFmtId="180" fontId="110" fillId="0" borderId="5" xfId="0" applyNumberFormat="1" applyFont="1" applyBorder="1" applyAlignment="1">
      <alignment vertical="center" wrapText="1"/>
    </xf>
    <xf numFmtId="0" fontId="110" fillId="0" borderId="5" xfId="0" applyFont="1" applyBorder="1" applyAlignment="1">
      <alignment vertical="center" wrapText="1"/>
    </xf>
    <xf numFmtId="180" fontId="105" fillId="5" borderId="5" xfId="0" applyNumberFormat="1" applyFont="1" applyFill="1" applyBorder="1" applyAlignment="1">
      <alignment vertical="top" wrapText="1"/>
    </xf>
    <xf numFmtId="181" fontId="52" fillId="5" borderId="5" xfId="0" applyNumberFormat="1" applyFont="1" applyFill="1" applyBorder="1" applyAlignment="1">
      <alignment vertical="center" wrapText="1"/>
    </xf>
    <xf numFmtId="0" fontId="110" fillId="5" borderId="5" xfId="0" applyFont="1" applyFill="1" applyBorder="1" applyAlignment="1">
      <alignment vertical="top" wrapText="1"/>
    </xf>
    <xf numFmtId="181" fontId="105" fillId="5" borderId="5" xfId="0" applyNumberFormat="1" applyFont="1" applyFill="1" applyBorder="1" applyAlignment="1">
      <alignment vertical="top" wrapText="1"/>
    </xf>
    <xf numFmtId="49" fontId="64" fillId="5" borderId="5" xfId="0" applyNumberFormat="1" applyFont="1" applyFill="1" applyBorder="1" applyAlignment="1">
      <alignment horizontal="center" vertical="center" wrapText="1"/>
    </xf>
    <xf numFmtId="181" fontId="38" fillId="5" borderId="5" xfId="0" applyNumberFormat="1" applyFont="1" applyFill="1" applyBorder="1" applyAlignment="1">
      <alignment vertical="center" wrapText="1"/>
    </xf>
    <xf numFmtId="181" fontId="19" fillId="5" borderId="5" xfId="0" applyNumberFormat="1" applyFont="1" applyFill="1" applyBorder="1" applyAlignment="1">
      <alignment vertical="center" wrapText="1"/>
    </xf>
    <xf numFmtId="0" fontId="136" fillId="5" borderId="5" xfId="0" applyFont="1" applyFill="1" applyBorder="1" applyAlignment="1">
      <alignment horizontal="center" vertical="center" wrapText="1"/>
    </xf>
    <xf numFmtId="180" fontId="96" fillId="5" borderId="0" xfId="0" applyNumberFormat="1" applyFont="1" applyFill="1"/>
    <xf numFmtId="0" fontId="156" fillId="5" borderId="0" xfId="0" applyFont="1" applyFill="1"/>
    <xf numFmtId="0" fontId="154" fillId="5" borderId="0" xfId="0" applyFont="1" applyFill="1"/>
    <xf numFmtId="180" fontId="133" fillId="0" borderId="0" xfId="0" applyNumberFormat="1" applyFont="1"/>
    <xf numFmtId="181" fontId="133" fillId="0" borderId="0" xfId="0" applyNumberFormat="1" applyFont="1"/>
    <xf numFmtId="181" fontId="49" fillId="5" borderId="5" xfId="0" applyNumberFormat="1" applyFont="1" applyFill="1" applyBorder="1" applyAlignment="1">
      <alignment vertical="center" wrapText="1"/>
    </xf>
    <xf numFmtId="180" fontId="52" fillId="0" borderId="5" xfId="0" applyNumberFormat="1" applyFont="1" applyBorder="1" applyAlignment="1">
      <alignment vertical="center" wrapText="1"/>
    </xf>
    <xf numFmtId="0" fontId="133" fillId="0" borderId="0" xfId="0" applyFont="1"/>
    <xf numFmtId="0" fontId="14" fillId="5" borderId="5" xfId="0" applyFont="1" applyFill="1" applyBorder="1" applyAlignment="1">
      <alignment horizontal="center" vertical="center" wrapText="1"/>
    </xf>
    <xf numFmtId="0" fontId="158" fillId="0" borderId="0" xfId="0" applyFont="1"/>
    <xf numFmtId="0" fontId="106" fillId="5" borderId="5" xfId="0" applyFont="1" applyFill="1" applyBorder="1" applyAlignment="1">
      <alignment vertical="top" wrapText="1"/>
    </xf>
    <xf numFmtId="180" fontId="42" fillId="5" borderId="5" xfId="0" applyNumberFormat="1" applyFont="1" applyFill="1" applyBorder="1" applyAlignment="1">
      <alignment horizontal="right" vertical="top" wrapText="1"/>
    </xf>
    <xf numFmtId="180" fontId="153" fillId="5" borderId="5" xfId="0" applyNumberFormat="1" applyFont="1" applyFill="1" applyBorder="1" applyAlignment="1">
      <alignment horizontal="right" vertical="center" wrapText="1"/>
    </xf>
    <xf numFmtId="0" fontId="139" fillId="0" borderId="5" xfId="0" applyFont="1" applyBorder="1" applyAlignment="1">
      <alignment horizontal="center"/>
    </xf>
    <xf numFmtId="0" fontId="129" fillId="5" borderId="5" xfId="0" applyFont="1" applyFill="1" applyBorder="1" applyAlignment="1">
      <alignment horizontal="center" vertical="top" wrapText="1"/>
    </xf>
    <xf numFmtId="0" fontId="0" fillId="0" borderId="5" xfId="0" applyBorder="1"/>
    <xf numFmtId="0" fontId="127" fillId="0" borderId="5" xfId="0" applyFont="1" applyBorder="1" applyAlignment="1">
      <alignment horizontal="center" vertical="top" wrapText="1"/>
    </xf>
    <xf numFmtId="0" fontId="127" fillId="0" borderId="5" xfId="0" applyFont="1" applyBorder="1" applyAlignment="1">
      <alignment horizontal="left" vertical="top" wrapText="1"/>
    </xf>
    <xf numFmtId="180" fontId="39" fillId="0" borderId="5" xfId="0" applyNumberFormat="1" applyFont="1" applyBorder="1" applyAlignment="1">
      <alignment horizontal="center" vertical="top" wrapText="1"/>
    </xf>
    <xf numFmtId="0" fontId="130" fillId="0" borderId="5" xfId="0" applyFont="1" applyBorder="1" applyAlignment="1">
      <alignment horizontal="center" vertical="top" wrapText="1"/>
    </xf>
    <xf numFmtId="0" fontId="130" fillId="0" borderId="5" xfId="0" applyFont="1" applyBorder="1" applyAlignment="1">
      <alignment vertical="top" wrapText="1"/>
    </xf>
    <xf numFmtId="0" fontId="126" fillId="5" borderId="5" xfId="0" applyFont="1" applyFill="1" applyBorder="1" applyAlignment="1">
      <alignment horizontal="center" vertical="top" wrapText="1"/>
    </xf>
    <xf numFmtId="0" fontId="126" fillId="0" borderId="5" xfId="0" applyFont="1" applyBorder="1" applyAlignment="1">
      <alignment vertical="top" wrapText="1"/>
    </xf>
    <xf numFmtId="0" fontId="128" fillId="0" borderId="5" xfId="0" applyFont="1" applyBorder="1" applyAlignment="1">
      <alignment horizontal="center" vertical="top" wrapText="1"/>
    </xf>
    <xf numFmtId="0" fontId="128" fillId="0" borderId="5" xfId="0" applyFont="1" applyBorder="1" applyAlignment="1">
      <alignment vertical="top" wrapText="1"/>
    </xf>
    <xf numFmtId="0" fontId="133" fillId="5" borderId="5" xfId="0" applyFont="1" applyFill="1" applyBorder="1" applyAlignment="1">
      <alignment horizontal="center" vertical="center" wrapText="1"/>
    </xf>
    <xf numFmtId="0" fontId="128" fillId="0" borderId="5" xfId="0" applyFont="1" applyBorder="1" applyAlignment="1">
      <alignment horizontal="justify" vertical="justify" wrapText="1"/>
    </xf>
    <xf numFmtId="180" fontId="128" fillId="5" borderId="5" xfId="0" applyNumberFormat="1" applyFont="1" applyFill="1" applyBorder="1" applyAlignment="1">
      <alignment vertical="top" wrapText="1"/>
    </xf>
    <xf numFmtId="0" fontId="135" fillId="5" borderId="5" xfId="0" applyNumberFormat="1" applyFont="1" applyFill="1" applyBorder="1" applyAlignment="1">
      <alignment vertical="center" wrapText="1"/>
    </xf>
    <xf numFmtId="180" fontId="11" fillId="5" borderId="5" xfId="0" applyNumberFormat="1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justify" vertical="justify"/>
    </xf>
    <xf numFmtId="0" fontId="39" fillId="0" borderId="5" xfId="0" applyFont="1" applyBorder="1" applyAlignment="1">
      <alignment horizontal="center"/>
    </xf>
    <xf numFmtId="180" fontId="135" fillId="0" borderId="5" xfId="0" applyNumberFormat="1" applyFont="1" applyBorder="1" applyAlignment="1">
      <alignment vertical="center" wrapText="1"/>
    </xf>
    <xf numFmtId="0" fontId="129" fillId="0" borderId="5" xfId="0" applyFont="1" applyBorder="1" applyAlignment="1">
      <alignment vertical="top" wrapText="1"/>
    </xf>
    <xf numFmtId="180" fontId="11" fillId="5" borderId="5" xfId="0" applyNumberFormat="1" applyFont="1" applyFill="1" applyBorder="1" applyAlignment="1">
      <alignment horizontal="right" vertical="top"/>
    </xf>
    <xf numFmtId="180" fontId="11" fillId="5" borderId="5" xfId="0" applyNumberFormat="1" applyFont="1" applyFill="1" applyBorder="1" applyAlignment="1">
      <alignment horizontal="center" vertical="top"/>
    </xf>
    <xf numFmtId="180" fontId="133" fillId="5" borderId="5" xfId="0" applyNumberFormat="1" applyFont="1" applyFill="1" applyBorder="1" applyAlignment="1">
      <alignment horizontal="center" vertical="top"/>
    </xf>
    <xf numFmtId="180" fontId="133" fillId="5" borderId="5" xfId="0" applyNumberFormat="1" applyFont="1" applyFill="1" applyBorder="1" applyAlignment="1">
      <alignment horizontal="right" vertical="top"/>
    </xf>
    <xf numFmtId="0" fontId="136" fillId="0" borderId="5" xfId="0" applyFont="1" applyBorder="1" applyAlignment="1">
      <alignment vertical="top" wrapText="1"/>
    </xf>
    <xf numFmtId="0" fontId="135" fillId="0" borderId="5" xfId="0" applyFont="1" applyBorder="1" applyAlignment="1">
      <alignment vertical="center" wrapText="1"/>
    </xf>
    <xf numFmtId="49" fontId="11" fillId="0" borderId="5" xfId="0" applyNumberFormat="1" applyFont="1" applyBorder="1" applyAlignment="1">
      <alignment horizontal="center" vertical="top" wrapText="1"/>
    </xf>
    <xf numFmtId="49" fontId="11" fillId="5" borderId="5" xfId="0" applyNumberFormat="1" applyFont="1" applyFill="1" applyBorder="1" applyAlignment="1">
      <alignment horizontal="center" vertical="top" wrapText="1"/>
    </xf>
    <xf numFmtId="0" fontId="42" fillId="5" borderId="5" xfId="0" applyFont="1" applyFill="1" applyBorder="1" applyAlignment="1">
      <alignment horizontal="center" vertical="top" wrapText="1"/>
    </xf>
    <xf numFmtId="0" fontId="137" fillId="5" borderId="5" xfId="0" applyFont="1" applyFill="1" applyBorder="1" applyAlignment="1">
      <alignment vertical="top" wrapText="1"/>
    </xf>
    <xf numFmtId="0" fontId="135" fillId="5" borderId="5" xfId="0" applyFont="1" applyFill="1" applyBorder="1" applyAlignment="1">
      <alignment horizontal="left" wrapText="1"/>
    </xf>
    <xf numFmtId="0" fontId="134" fillId="5" borderId="5" xfId="0" applyFont="1" applyFill="1" applyBorder="1" applyAlignment="1">
      <alignment vertical="top" wrapText="1"/>
    </xf>
    <xf numFmtId="0" fontId="135" fillId="0" borderId="5" xfId="0" applyFont="1" applyBorder="1" applyAlignment="1" applyProtection="1">
      <alignment vertical="top" wrapText="1"/>
      <protection locked="0"/>
    </xf>
    <xf numFmtId="0" fontId="132" fillId="5" borderId="5" xfId="0" applyFont="1" applyFill="1" applyBorder="1" applyAlignment="1">
      <alignment horizontal="center" vertical="top" wrapText="1"/>
    </xf>
    <xf numFmtId="0" fontId="135" fillId="0" borderId="5" xfId="0" applyFont="1" applyBorder="1" applyAlignment="1" applyProtection="1">
      <alignment vertical="center" wrapText="1"/>
      <protection locked="0"/>
    </xf>
    <xf numFmtId="0" fontId="135" fillId="5" borderId="5" xfId="0" applyFont="1" applyFill="1" applyBorder="1" applyAlignment="1" applyProtection="1">
      <alignment vertical="top" wrapText="1"/>
    </xf>
    <xf numFmtId="0" fontId="135" fillId="0" borderId="5" xfId="0" applyFont="1" applyBorder="1" applyAlignment="1" applyProtection="1">
      <alignment vertical="top" wrapText="1"/>
    </xf>
    <xf numFmtId="0" fontId="135" fillId="0" borderId="5" xfId="0" applyFont="1" applyBorder="1" applyAlignment="1" applyProtection="1">
      <alignment horizontal="left" vertical="top" wrapText="1"/>
      <protection locked="0"/>
    </xf>
    <xf numFmtId="0" fontId="135" fillId="0" borderId="5" xfId="0" applyFont="1" applyBorder="1" applyAlignment="1" applyProtection="1">
      <alignment horizontal="left" vertical="center" wrapText="1"/>
      <protection locked="0"/>
    </xf>
    <xf numFmtId="0" fontId="135" fillId="5" borderId="5" xfId="0" applyFont="1" applyFill="1" applyBorder="1" applyAlignment="1">
      <alignment horizontal="left" vertical="top" wrapText="1"/>
    </xf>
    <xf numFmtId="0" fontId="138" fillId="5" borderId="5" xfId="0" applyFont="1" applyFill="1" applyBorder="1" applyAlignment="1">
      <alignment horizontal="center" vertical="top" wrapText="1"/>
    </xf>
    <xf numFmtId="180" fontId="162" fillId="0" borderId="5" xfId="0" applyNumberFormat="1" applyFont="1" applyFill="1" applyBorder="1" applyAlignment="1">
      <alignment vertical="center" wrapText="1"/>
    </xf>
    <xf numFmtId="180" fontId="49" fillId="0" borderId="5" xfId="0" applyNumberFormat="1" applyFont="1" applyFill="1" applyBorder="1" applyAlignment="1">
      <alignment horizontal="right" vertical="center" wrapText="1"/>
    </xf>
    <xf numFmtId="0" fontId="164" fillId="5" borderId="5" xfId="0" applyFont="1" applyFill="1" applyBorder="1" applyAlignment="1">
      <alignment vertical="top" wrapText="1"/>
    </xf>
    <xf numFmtId="180" fontId="165" fillId="0" borderId="5" xfId="0" applyNumberFormat="1" applyFont="1" applyFill="1" applyBorder="1" applyAlignment="1">
      <alignment horizontal="right" vertical="center" wrapText="1"/>
    </xf>
    <xf numFmtId="180" fontId="165" fillId="0" borderId="5" xfId="0" applyNumberFormat="1" applyFont="1" applyFill="1" applyBorder="1" applyAlignment="1">
      <alignment vertical="center" wrapText="1"/>
    </xf>
    <xf numFmtId="0" fontId="47" fillId="5" borderId="5" xfId="0" applyFont="1" applyFill="1" applyBorder="1" applyAlignment="1">
      <alignment vertical="top" wrapText="1"/>
    </xf>
    <xf numFmtId="0" fontId="134" fillId="5" borderId="5" xfId="0" applyFont="1" applyFill="1" applyBorder="1" applyAlignment="1">
      <alignment horizontal="center" vertical="center" wrapText="1"/>
    </xf>
    <xf numFmtId="0" fontId="159" fillId="5" borderId="5" xfId="0" applyFont="1" applyFill="1" applyBorder="1" applyAlignment="1">
      <alignment vertical="center" wrapText="1"/>
    </xf>
    <xf numFmtId="180" fontId="161" fillId="0" borderId="5" xfId="0" applyNumberFormat="1" applyFont="1" applyFill="1" applyBorder="1" applyAlignment="1">
      <alignment horizontal="right" vertical="center" wrapText="1"/>
    </xf>
    <xf numFmtId="180" fontId="160" fillId="5" borderId="5" xfId="0" applyNumberFormat="1" applyFont="1" applyFill="1" applyBorder="1" applyAlignment="1">
      <alignment vertical="center" wrapText="1"/>
    </xf>
    <xf numFmtId="180" fontId="138" fillId="5" borderId="5" xfId="0" applyNumberFormat="1" applyFont="1" applyFill="1" applyBorder="1" applyAlignment="1">
      <alignment vertical="center" wrapText="1"/>
    </xf>
    <xf numFmtId="180" fontId="163" fillId="0" borderId="5" xfId="0" applyNumberFormat="1" applyFont="1" applyFill="1" applyBorder="1" applyAlignment="1">
      <alignment vertical="center" wrapText="1"/>
    </xf>
    <xf numFmtId="180" fontId="162" fillId="5" borderId="5" xfId="0" applyNumberFormat="1" applyFont="1" applyFill="1" applyBorder="1" applyAlignment="1">
      <alignment vertical="center" wrapText="1"/>
    </xf>
    <xf numFmtId="180" fontId="138" fillId="0" borderId="5" xfId="0" applyNumberFormat="1" applyFont="1" applyFill="1" applyBorder="1" applyAlignment="1">
      <alignment vertical="top" wrapText="1"/>
    </xf>
    <xf numFmtId="180" fontId="49" fillId="5" borderId="5" xfId="0" applyNumberFormat="1" applyFont="1" applyFill="1" applyBorder="1" applyAlignment="1">
      <alignment vertical="top" wrapText="1"/>
    </xf>
    <xf numFmtId="180" fontId="11" fillId="5" borderId="0" xfId="0" applyNumberFormat="1" applyFont="1" applyFill="1" applyBorder="1" applyAlignment="1">
      <alignment vertical="center"/>
    </xf>
    <xf numFmtId="180" fontId="49" fillId="0" borderId="5" xfId="0" applyNumberFormat="1" applyFont="1" applyBorder="1" applyAlignment="1">
      <alignment vertical="top" wrapText="1"/>
    </xf>
    <xf numFmtId="0" fontId="118" fillId="5" borderId="5" xfId="0" applyFont="1" applyFill="1" applyBorder="1" applyAlignment="1">
      <alignment vertical="top" wrapText="1"/>
    </xf>
    <xf numFmtId="180" fontId="49" fillId="0" borderId="5" xfId="0" applyNumberFormat="1" applyFont="1" applyFill="1" applyBorder="1" applyAlignment="1">
      <alignment vertical="center" wrapText="1"/>
    </xf>
    <xf numFmtId="180" fontId="89" fillId="0" borderId="0" xfId="0" applyNumberFormat="1" applyFont="1"/>
    <xf numFmtId="4" fontId="132" fillId="5" borderId="5" xfId="0" applyNumberFormat="1" applyFont="1" applyFill="1" applyBorder="1" applyAlignment="1">
      <alignment horizontal="right" vertical="center" wrapText="1"/>
    </xf>
    <xf numFmtId="0" fontId="47" fillId="0" borderId="5" xfId="0" applyFont="1" applyBorder="1" applyAlignment="1">
      <alignment vertical="center" wrapText="1"/>
    </xf>
    <xf numFmtId="0" fontId="134" fillId="5" borderId="5" xfId="0" applyFont="1" applyFill="1" applyBorder="1" applyAlignment="1">
      <alignment horizontal="left" vertical="center" wrapText="1"/>
    </xf>
    <xf numFmtId="0" fontId="110" fillId="5" borderId="5" xfId="0" applyFont="1" applyFill="1" applyBorder="1" applyAlignment="1">
      <alignment horizontal="left" vertical="center" wrapText="1"/>
    </xf>
    <xf numFmtId="4" fontId="38" fillId="5" borderId="5" xfId="0" applyNumberFormat="1" applyFont="1" applyFill="1" applyBorder="1" applyAlignment="1">
      <alignment vertical="center" wrapText="1"/>
    </xf>
    <xf numFmtId="4" fontId="52" fillId="5" borderId="5" xfId="0" applyNumberFormat="1" applyFont="1" applyFill="1" applyBorder="1" applyAlignment="1">
      <alignment vertical="center" wrapText="1"/>
    </xf>
    <xf numFmtId="4" fontId="42" fillId="0" borderId="5" xfId="0" applyNumberFormat="1" applyFont="1" applyFill="1" applyBorder="1" applyAlignment="1">
      <alignment horizontal="right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4" fontId="39" fillId="0" borderId="5" xfId="0" applyNumberFormat="1" applyFont="1" applyFill="1" applyBorder="1" applyAlignment="1">
      <alignment horizontal="right" vertical="center" wrapText="1"/>
    </xf>
    <xf numFmtId="4" fontId="124" fillId="0" borderId="5" xfId="0" applyNumberFormat="1" applyFont="1" applyFill="1" applyBorder="1" applyAlignment="1">
      <alignment horizontal="right" vertical="center" wrapText="1"/>
    </xf>
    <xf numFmtId="4" fontId="132" fillId="0" borderId="5" xfId="0" applyNumberFormat="1" applyFont="1" applyFill="1" applyBorder="1" applyAlignment="1">
      <alignment horizontal="right" vertical="center" wrapText="1"/>
    </xf>
    <xf numFmtId="4" fontId="11" fillId="5" borderId="5" xfId="0" applyNumberFormat="1" applyFont="1" applyFill="1" applyBorder="1" applyAlignment="1">
      <alignment horizontal="right" vertical="center" wrapText="1"/>
    </xf>
    <xf numFmtId="4" fontId="39" fillId="0" borderId="5" xfId="0" applyNumberFormat="1" applyFont="1" applyBorder="1" applyAlignment="1">
      <alignment vertical="center" wrapText="1"/>
    </xf>
    <xf numFmtId="4" fontId="39" fillId="5" borderId="5" xfId="0" applyNumberFormat="1" applyFont="1" applyFill="1" applyBorder="1" applyAlignment="1">
      <alignment horizontal="right" vertical="center" wrapText="1"/>
    </xf>
    <xf numFmtId="4" fontId="11" fillId="0" borderId="5" xfId="0" applyNumberFormat="1" applyFont="1" applyFill="1" applyBorder="1" applyAlignment="1">
      <alignment vertical="center" wrapText="1"/>
    </xf>
    <xf numFmtId="4" fontId="11" fillId="5" borderId="5" xfId="0" applyNumberFormat="1" applyFont="1" applyFill="1" applyBorder="1" applyAlignment="1">
      <alignment vertical="center" wrapText="1"/>
    </xf>
    <xf numFmtId="4" fontId="11" fillId="5" borderId="5" xfId="0" applyNumberFormat="1" applyFont="1" applyFill="1" applyBorder="1" applyAlignment="1">
      <alignment horizontal="center" vertical="center" wrapText="1"/>
    </xf>
    <xf numFmtId="4" fontId="128" fillId="5" borderId="5" xfId="0" applyNumberFormat="1" applyFont="1" applyFill="1" applyBorder="1" applyAlignment="1">
      <alignment horizontal="right" vertical="center" wrapText="1"/>
    </xf>
    <xf numFmtId="4" fontId="11" fillId="5" borderId="5" xfId="0" applyNumberFormat="1" applyFont="1" applyFill="1" applyBorder="1" applyAlignment="1">
      <alignment vertical="top"/>
    </xf>
    <xf numFmtId="4" fontId="11" fillId="5" borderId="5" xfId="0" applyNumberFormat="1" applyFont="1" applyFill="1" applyBorder="1" applyAlignment="1">
      <alignment vertical="center"/>
    </xf>
    <xf numFmtId="4" fontId="11" fillId="0" borderId="5" xfId="0" applyNumberFormat="1" applyFont="1" applyFill="1" applyBorder="1" applyAlignment="1">
      <alignment horizontal="right" vertical="center"/>
    </xf>
    <xf numFmtId="4" fontId="39" fillId="5" borderId="5" xfId="0" applyNumberFormat="1" applyFont="1" applyFill="1" applyBorder="1" applyAlignment="1">
      <alignment vertical="center" wrapText="1"/>
    </xf>
    <xf numFmtId="4" fontId="39" fillId="0" borderId="5" xfId="0" applyNumberFormat="1" applyFont="1" applyFill="1" applyBorder="1" applyAlignment="1">
      <alignment vertical="center" wrapText="1"/>
    </xf>
    <xf numFmtId="4" fontId="132" fillId="0" borderId="5" xfId="0" applyNumberFormat="1" applyFont="1" applyFill="1" applyBorder="1" applyAlignment="1">
      <alignment vertical="center" wrapText="1"/>
    </xf>
    <xf numFmtId="4" fontId="42" fillId="5" borderId="5" xfId="0" applyNumberFormat="1" applyFont="1" applyFill="1" applyBorder="1" applyAlignment="1">
      <alignment vertical="center" wrapText="1"/>
    </xf>
    <xf numFmtId="4" fontId="39" fillId="0" borderId="5" xfId="0" applyNumberFormat="1" applyFont="1" applyBorder="1" applyAlignment="1">
      <alignment vertical="top" wrapText="1"/>
    </xf>
    <xf numFmtId="4" fontId="42" fillId="0" borderId="5" xfId="0" applyNumberFormat="1" applyFont="1" applyFill="1" applyBorder="1" applyAlignment="1">
      <alignment horizontal="right" vertical="top" wrapText="1"/>
    </xf>
    <xf numFmtId="4" fontId="11" fillId="0" borderId="5" xfId="0" applyNumberFormat="1" applyFont="1" applyBorder="1" applyAlignment="1">
      <alignment vertical="center" wrapText="1"/>
    </xf>
    <xf numFmtId="4" fontId="132" fillId="5" borderId="5" xfId="0" applyNumberFormat="1" applyFont="1" applyFill="1" applyBorder="1" applyAlignment="1">
      <alignment vertical="center" wrapText="1"/>
    </xf>
    <xf numFmtId="4" fontId="11" fillId="0" borderId="5" xfId="0" applyNumberFormat="1" applyFont="1" applyFill="1" applyBorder="1" applyAlignment="1">
      <alignment vertical="top" wrapText="1"/>
    </xf>
    <xf numFmtId="4" fontId="42" fillId="5" borderId="5" xfId="0" applyNumberFormat="1" applyFont="1" applyFill="1" applyBorder="1" applyAlignment="1">
      <alignment horizontal="right" vertical="center" wrapText="1"/>
    </xf>
    <xf numFmtId="4" fontId="42" fillId="5" borderId="5" xfId="0" applyNumberFormat="1" applyFont="1" applyFill="1" applyBorder="1" applyAlignment="1">
      <alignment vertical="top" wrapText="1"/>
    </xf>
    <xf numFmtId="4" fontId="39" fillId="5" borderId="5" xfId="0" applyNumberFormat="1" applyFont="1" applyFill="1" applyBorder="1" applyAlignment="1">
      <alignment vertical="top" wrapText="1"/>
    </xf>
    <xf numFmtId="4" fontId="132" fillId="0" borderId="5" xfId="0" applyNumberFormat="1" applyFont="1" applyFill="1" applyBorder="1" applyAlignment="1">
      <alignment vertical="top" wrapText="1"/>
    </xf>
    <xf numFmtId="4" fontId="42" fillId="0" borderId="5" xfId="0" applyNumberFormat="1" applyFont="1" applyFill="1" applyBorder="1" applyAlignment="1">
      <alignment vertical="top" wrapText="1"/>
    </xf>
    <xf numFmtId="4" fontId="11" fillId="5" borderId="5" xfId="0" applyNumberFormat="1" applyFont="1" applyFill="1" applyBorder="1" applyAlignment="1">
      <alignment vertical="top" wrapText="1"/>
    </xf>
    <xf numFmtId="4" fontId="38" fillId="5" borderId="5" xfId="0" applyNumberFormat="1" applyFont="1" applyFill="1" applyBorder="1" applyAlignment="1">
      <alignment horizontal="right" vertical="center" wrapText="1"/>
    </xf>
    <xf numFmtId="4" fontId="52" fillId="5" borderId="5" xfId="0" applyNumberFormat="1" applyFont="1" applyFill="1" applyBorder="1" applyAlignment="1">
      <alignment horizontal="right" vertical="center" wrapText="1"/>
    </xf>
    <xf numFmtId="4" fontId="49" fillId="5" borderId="5" xfId="0" applyNumberFormat="1" applyFont="1" applyFill="1" applyBorder="1" applyAlignment="1">
      <alignment horizontal="right" vertical="center" wrapText="1"/>
    </xf>
    <xf numFmtId="4" fontId="49" fillId="5" borderId="5" xfId="0" applyNumberFormat="1" applyFont="1" applyFill="1" applyBorder="1" applyAlignment="1">
      <alignment vertical="center" wrapText="1"/>
    </xf>
    <xf numFmtId="4" fontId="4" fillId="5" borderId="5" xfId="0" applyNumberFormat="1" applyFont="1" applyFill="1" applyBorder="1" applyAlignment="1">
      <alignment horizontal="right" vertical="center" wrapText="1"/>
    </xf>
    <xf numFmtId="4" fontId="19" fillId="5" borderId="5" xfId="0" applyNumberFormat="1" applyFont="1" applyFill="1" applyBorder="1" applyAlignment="1">
      <alignment vertical="top" wrapText="1"/>
    </xf>
    <xf numFmtId="4" fontId="105" fillId="5" borderId="5" xfId="0" applyNumberFormat="1" applyFont="1" applyFill="1" applyBorder="1" applyAlignment="1">
      <alignment vertical="top" wrapText="1"/>
    </xf>
    <xf numFmtId="4" fontId="49" fillId="0" borderId="5" xfId="0" applyNumberFormat="1" applyFont="1" applyFill="1" applyBorder="1" applyAlignment="1">
      <alignment horizontal="right" vertical="center" wrapText="1"/>
    </xf>
    <xf numFmtId="4" fontId="49" fillId="0" borderId="5" xfId="0" applyNumberFormat="1" applyFont="1" applyFill="1" applyBorder="1" applyAlignment="1">
      <alignment vertical="center" wrapText="1"/>
    </xf>
    <xf numFmtId="0" fontId="151" fillId="5" borderId="5" xfId="0" applyFont="1" applyFill="1" applyBorder="1" applyAlignment="1">
      <alignment horizontal="center" vertical="center" wrapText="1"/>
    </xf>
    <xf numFmtId="0" fontId="52" fillId="0" borderId="5" xfId="0" applyFont="1" applyBorder="1" applyAlignment="1">
      <alignment horizontal="left" vertical="center" wrapText="1"/>
    </xf>
    <xf numFmtId="0" fontId="52" fillId="0" borderId="5" xfId="0" applyFont="1" applyBorder="1" applyAlignment="1" applyProtection="1">
      <alignment vertical="center" wrapText="1"/>
      <protection locked="0"/>
    </xf>
    <xf numFmtId="181" fontId="4" fillId="5" borderId="5" xfId="0" applyNumberFormat="1" applyFont="1" applyFill="1" applyBorder="1" applyAlignment="1">
      <alignment vertical="center" wrapText="1"/>
    </xf>
    <xf numFmtId="180" fontId="89" fillId="5" borderId="0" xfId="0" applyNumberFormat="1" applyFont="1" applyFill="1" applyBorder="1" applyAlignment="1">
      <alignment vertical="center"/>
    </xf>
    <xf numFmtId="4" fontId="52" fillId="5" borderId="5" xfId="0" applyNumberFormat="1" applyFont="1" applyFill="1" applyBorder="1" applyAlignment="1">
      <alignment horizontal="left" vertical="center" wrapText="1"/>
    </xf>
    <xf numFmtId="4" fontId="135" fillId="5" borderId="5" xfId="0" applyNumberFormat="1" applyFont="1" applyFill="1" applyBorder="1" applyAlignment="1">
      <alignment horizontal="right" vertical="center" wrapText="1"/>
    </xf>
    <xf numFmtId="180" fontId="69" fillId="5" borderId="5" xfId="0" applyNumberFormat="1" applyFont="1" applyFill="1" applyBorder="1" applyAlignment="1">
      <alignment horizontal="center" vertical="center" wrapText="1"/>
    </xf>
    <xf numFmtId="180" fontId="132" fillId="0" borderId="5" xfId="0" applyNumberFormat="1" applyFont="1" applyFill="1" applyBorder="1" applyAlignment="1">
      <alignment vertical="center" wrapText="1"/>
    </xf>
    <xf numFmtId="180" fontId="162" fillId="0" borderId="5" xfId="0" applyNumberFormat="1" applyFont="1" applyFill="1" applyBorder="1" applyAlignment="1">
      <alignment horizontal="right" vertical="center" wrapText="1"/>
    </xf>
    <xf numFmtId="180" fontId="135" fillId="0" borderId="5" xfId="0" applyNumberFormat="1" applyFont="1" applyFill="1" applyBorder="1" applyAlignment="1">
      <alignment vertical="center" wrapText="1"/>
    </xf>
    <xf numFmtId="49" fontId="128" fillId="5" borderId="5" xfId="0" applyNumberFormat="1" applyFont="1" applyFill="1" applyBorder="1" applyAlignment="1">
      <alignment horizontal="center" vertical="center" wrapText="1"/>
    </xf>
    <xf numFmtId="0" fontId="0" fillId="0" borderId="2" xfId="0" applyBorder="1"/>
    <xf numFmtId="1" fontId="135" fillId="0" borderId="7" xfId="0" applyNumberFormat="1" applyFont="1" applyBorder="1" applyAlignment="1">
      <alignment horizontal="left" wrapText="1"/>
    </xf>
    <xf numFmtId="0" fontId="170" fillId="0" borderId="5" xfId="0" applyFont="1" applyBorder="1" applyAlignment="1">
      <alignment vertical="center" wrapText="1"/>
    </xf>
    <xf numFmtId="0" fontId="170" fillId="0" borderId="0" xfId="0" applyFont="1" applyAlignment="1">
      <alignment vertical="center" wrapText="1"/>
    </xf>
    <xf numFmtId="0" fontId="128" fillId="5" borderId="8" xfId="0" applyFont="1" applyFill="1" applyBorder="1" applyAlignment="1">
      <alignment vertical="center" wrapText="1"/>
    </xf>
    <xf numFmtId="4" fontId="123" fillId="0" borderId="5" xfId="0" applyNumberFormat="1" applyFont="1" applyBorder="1" applyAlignment="1">
      <alignment vertical="center" wrapText="1"/>
    </xf>
    <xf numFmtId="4" fontId="133" fillId="0" borderId="5" xfId="0" applyNumberFormat="1" applyFont="1" applyFill="1" applyBorder="1" applyAlignment="1">
      <alignment horizontal="right" vertical="center" wrapText="1"/>
    </xf>
    <xf numFmtId="4" fontId="128" fillId="0" borderId="5" xfId="0" applyNumberFormat="1" applyFont="1" applyFill="1" applyBorder="1" applyAlignment="1">
      <alignment horizontal="right" vertical="center" wrapText="1"/>
    </xf>
    <xf numFmtId="4" fontId="42" fillId="0" borderId="5" xfId="0" applyNumberFormat="1" applyFont="1" applyFill="1" applyBorder="1" applyAlignment="1">
      <alignment vertical="center" wrapText="1"/>
    </xf>
    <xf numFmtId="4" fontId="49" fillId="5" borderId="0" xfId="0" applyNumberFormat="1" applyFont="1" applyFill="1" applyAlignment="1">
      <alignment horizontal="left" indent="2"/>
    </xf>
    <xf numFmtId="0" fontId="52" fillId="5" borderId="5" xfId="0" applyNumberFormat="1" applyFont="1" applyFill="1" applyBorder="1" applyAlignment="1">
      <alignment vertical="center" wrapText="1"/>
    </xf>
    <xf numFmtId="4" fontId="19" fillId="5" borderId="5" xfId="0" applyNumberFormat="1" applyFont="1" applyFill="1" applyBorder="1" applyAlignment="1">
      <alignment vertical="center" wrapText="1"/>
    </xf>
    <xf numFmtId="180" fontId="49" fillId="5" borderId="5" xfId="0" applyNumberFormat="1" applyFont="1" applyFill="1" applyBorder="1" applyAlignment="1">
      <alignment horizontal="left" vertical="center" wrapText="1"/>
    </xf>
    <xf numFmtId="4" fontId="4" fillId="5" borderId="5" xfId="0" applyNumberFormat="1" applyFont="1" applyFill="1" applyBorder="1" applyAlignment="1">
      <alignment vertical="center" wrapText="1"/>
    </xf>
    <xf numFmtId="4" fontId="104" fillId="5" borderId="5" xfId="0" applyNumberFormat="1" applyFont="1" applyFill="1" applyBorder="1" applyAlignment="1">
      <alignment vertical="top" wrapText="1"/>
    </xf>
    <xf numFmtId="4" fontId="104" fillId="5" borderId="5" xfId="0" applyNumberFormat="1" applyFont="1" applyFill="1" applyBorder="1" applyAlignment="1">
      <alignment vertical="center" wrapText="1"/>
    </xf>
    <xf numFmtId="4" fontId="108" fillId="5" borderId="5" xfId="0" applyNumberFormat="1" applyFont="1" applyFill="1" applyBorder="1" applyAlignment="1">
      <alignment horizontal="right" vertical="center" wrapText="1"/>
    </xf>
    <xf numFmtId="4" fontId="69" fillId="5" borderId="5" xfId="0" applyNumberFormat="1" applyFont="1" applyFill="1" applyBorder="1" applyAlignment="1">
      <alignment horizontal="right" vertical="center" wrapText="1"/>
    </xf>
    <xf numFmtId="0" fontId="134" fillId="5" borderId="4" xfId="0" applyFont="1" applyFill="1" applyBorder="1" applyAlignment="1">
      <alignment horizontal="left" vertical="center" wrapText="1"/>
    </xf>
    <xf numFmtId="0" fontId="135" fillId="0" borderId="5" xfId="0" applyFont="1" applyBorder="1" applyAlignment="1">
      <alignment horizontal="left" vertical="center" wrapText="1"/>
    </xf>
    <xf numFmtId="0" fontId="135" fillId="0" borderId="4" xfId="0" applyFont="1" applyFill="1" applyBorder="1" applyAlignment="1">
      <alignment horizontal="left" vertical="center" wrapText="1"/>
    </xf>
    <xf numFmtId="4" fontId="106" fillId="5" borderId="5" xfId="0" applyNumberFormat="1" applyFont="1" applyFill="1" applyBorder="1" applyAlignment="1">
      <alignment vertical="center" wrapText="1"/>
    </xf>
    <xf numFmtId="4" fontId="143" fillId="0" borderId="0" xfId="0" applyNumberFormat="1" applyFont="1" applyBorder="1" applyAlignment="1">
      <alignment horizontal="center" vertical="center"/>
    </xf>
    <xf numFmtId="4" fontId="143" fillId="5" borderId="0" xfId="0" applyNumberFormat="1" applyFont="1" applyFill="1" applyAlignment="1">
      <alignment horizontal="center" vertical="center"/>
    </xf>
    <xf numFmtId="2" fontId="94" fillId="5" borderId="0" xfId="0" applyNumberFormat="1" applyFont="1" applyFill="1" applyAlignment="1">
      <alignment horizontal="center" vertical="center"/>
    </xf>
    <xf numFmtId="0" fontId="110" fillId="0" borderId="5" xfId="0" applyFont="1" applyBorder="1" applyAlignment="1">
      <alignment horizontal="left" vertical="center" wrapText="1"/>
    </xf>
    <xf numFmtId="0" fontId="52" fillId="0" borderId="5" xfId="0" applyFont="1" applyBorder="1" applyAlignment="1" applyProtection="1">
      <alignment horizontal="left" vertical="center" wrapText="1"/>
      <protection locked="0"/>
    </xf>
    <xf numFmtId="1" fontId="135" fillId="0" borderId="9" xfId="0" applyNumberFormat="1" applyFont="1" applyBorder="1" applyAlignment="1">
      <alignment vertical="center" wrapText="1"/>
    </xf>
    <xf numFmtId="49" fontId="15" fillId="5" borderId="5" xfId="0" applyNumberFormat="1" applyFont="1" applyFill="1" applyBorder="1" applyAlignment="1">
      <alignment horizontal="center" vertical="center" wrapText="1"/>
    </xf>
    <xf numFmtId="213" fontId="157" fillId="0" borderId="0" xfId="0" applyNumberFormat="1" applyFont="1" applyAlignment="1">
      <alignment horizontal="center"/>
    </xf>
    <xf numFmtId="0" fontId="142" fillId="5" borderId="0" xfId="0" applyFont="1" applyFill="1" applyAlignment="1">
      <alignment horizontal="center"/>
    </xf>
    <xf numFmtId="180" fontId="153" fillId="5" borderId="5" xfId="0" applyNumberFormat="1" applyFont="1" applyFill="1" applyBorder="1" applyAlignment="1">
      <alignment horizontal="left" vertical="center" wrapText="1"/>
    </xf>
    <xf numFmtId="4" fontId="153" fillId="5" borderId="5" xfId="0" applyNumberFormat="1" applyFont="1" applyFill="1" applyBorder="1" applyAlignment="1">
      <alignment horizontal="right" vertical="center" wrapText="1"/>
    </xf>
    <xf numFmtId="180" fontId="171" fillId="5" borderId="5" xfId="0" applyNumberFormat="1" applyFont="1" applyFill="1" applyBorder="1" applyAlignment="1">
      <alignment vertical="top" wrapText="1"/>
    </xf>
    <xf numFmtId="0" fontId="106" fillId="0" borderId="5" xfId="0" applyFont="1" applyBorder="1" applyAlignment="1">
      <alignment vertical="center" wrapText="1"/>
    </xf>
    <xf numFmtId="0" fontId="127" fillId="0" borderId="5" xfId="0" applyFont="1" applyBorder="1" applyAlignment="1">
      <alignment horizontal="left" vertical="center" wrapText="1"/>
    </xf>
    <xf numFmtId="0" fontId="118" fillId="0" borderId="5" xfId="0" applyFont="1" applyBorder="1" applyAlignment="1">
      <alignment horizontal="left" vertical="center" wrapText="1"/>
    </xf>
    <xf numFmtId="49" fontId="49" fillId="5" borderId="5" xfId="0" applyNumberFormat="1" applyFont="1" applyFill="1" applyBorder="1" applyAlignment="1">
      <alignment horizontal="left" vertical="center" wrapText="1"/>
    </xf>
    <xf numFmtId="181" fontId="49" fillId="5" borderId="5" xfId="0" applyNumberFormat="1" applyFont="1" applyFill="1" applyBorder="1" applyAlignment="1">
      <alignment vertical="top" wrapText="1"/>
    </xf>
    <xf numFmtId="4" fontId="11" fillId="5" borderId="5" xfId="0" applyNumberFormat="1" applyFont="1" applyFill="1" applyBorder="1" applyAlignment="1">
      <alignment horizontal="center" vertical="top" wrapText="1"/>
    </xf>
    <xf numFmtId="0" fontId="142" fillId="5" borderId="0" xfId="0" applyFont="1" applyFill="1" applyAlignment="1">
      <alignment horizontal="center" wrapText="1"/>
    </xf>
    <xf numFmtId="0" fontId="123" fillId="5" borderId="5" xfId="0" applyFont="1" applyFill="1" applyBorder="1" applyAlignment="1">
      <alignment horizontal="center" vertical="center" wrapText="1"/>
    </xf>
    <xf numFmtId="49" fontId="49" fillId="5" borderId="5" xfId="0" applyNumberFormat="1" applyFont="1" applyFill="1" applyBorder="1" applyAlignment="1">
      <alignment horizontal="center" vertical="center" wrapText="1"/>
    </xf>
    <xf numFmtId="49" fontId="49" fillId="5" borderId="5" xfId="0" applyNumberFormat="1" applyFont="1" applyFill="1" applyBorder="1" applyAlignment="1">
      <alignment horizontal="center" vertical="top" wrapText="1"/>
    </xf>
    <xf numFmtId="0" fontId="52" fillId="0" borderId="5" xfId="0" applyNumberFormat="1" applyFont="1" applyBorder="1" applyAlignment="1">
      <alignment vertical="top" wrapText="1"/>
    </xf>
    <xf numFmtId="0" fontId="52" fillId="5" borderId="5" xfId="0" applyFont="1" applyFill="1" applyBorder="1" applyAlignment="1" applyProtection="1">
      <alignment vertical="center" wrapText="1"/>
    </xf>
    <xf numFmtId="0" fontId="52" fillId="0" borderId="5" xfId="0" applyFont="1" applyFill="1" applyBorder="1" applyAlignment="1">
      <alignment horizontal="left" vertical="center" wrapText="1"/>
    </xf>
    <xf numFmtId="0" fontId="116" fillId="5" borderId="5" xfId="0" applyFont="1" applyFill="1" applyBorder="1" applyAlignment="1">
      <alignment vertical="center" wrapText="1"/>
    </xf>
    <xf numFmtId="1" fontId="52" fillId="0" borderId="5" xfId="0" applyNumberFormat="1" applyFont="1" applyBorder="1" applyAlignment="1">
      <alignment vertical="center" wrapText="1"/>
    </xf>
    <xf numFmtId="0" fontId="47" fillId="5" borderId="5" xfId="0" applyFont="1" applyFill="1" applyBorder="1" applyAlignment="1">
      <alignment horizontal="left" vertical="center" wrapText="1"/>
    </xf>
    <xf numFmtId="180" fontId="50" fillId="5" borderId="5" xfId="0" applyNumberFormat="1" applyFont="1" applyFill="1" applyBorder="1" applyAlignment="1">
      <alignment vertical="center" wrapText="1"/>
    </xf>
    <xf numFmtId="180" fontId="153" fillId="5" borderId="5" xfId="0" applyNumberFormat="1" applyFont="1" applyFill="1" applyBorder="1" applyAlignment="1">
      <alignment vertical="center" wrapText="1"/>
    </xf>
    <xf numFmtId="180" fontId="17" fillId="5" borderId="5" xfId="0" applyNumberFormat="1" applyFont="1" applyFill="1" applyBorder="1" applyAlignment="1">
      <alignment vertical="center" wrapText="1"/>
    </xf>
    <xf numFmtId="180" fontId="12" fillId="5" borderId="5" xfId="0" applyNumberFormat="1" applyFont="1" applyFill="1" applyBorder="1" applyAlignment="1">
      <alignment vertical="center" wrapText="1"/>
    </xf>
    <xf numFmtId="180" fontId="17" fillId="5" borderId="5" xfId="0" applyNumberFormat="1" applyFont="1" applyFill="1" applyBorder="1" applyAlignment="1">
      <alignment horizontal="center" vertical="center" wrapText="1"/>
    </xf>
    <xf numFmtId="4" fontId="135" fillId="5" borderId="5" xfId="0" applyNumberFormat="1" applyFont="1" applyFill="1" applyBorder="1" applyAlignment="1">
      <alignment vertical="center" wrapText="1"/>
    </xf>
    <xf numFmtId="49" fontId="14" fillId="5" borderId="5" xfId="0" applyNumberFormat="1" applyFont="1" applyFill="1" applyBorder="1" applyAlignment="1">
      <alignment horizontal="center" vertical="center" wrapText="1"/>
    </xf>
    <xf numFmtId="49" fontId="19" fillId="5" borderId="5" xfId="0" applyNumberFormat="1" applyFont="1" applyFill="1" applyBorder="1" applyAlignment="1">
      <alignment horizontal="center" vertical="top" wrapText="1"/>
    </xf>
    <xf numFmtId="49" fontId="47" fillId="5" borderId="5" xfId="0" applyNumberFormat="1" applyFont="1" applyFill="1" applyBorder="1" applyAlignment="1">
      <alignment horizontal="center" vertical="center" wrapText="1"/>
    </xf>
    <xf numFmtId="49" fontId="104" fillId="5" borderId="5" xfId="0" applyNumberFormat="1" applyFont="1" applyFill="1" applyBorder="1" applyAlignment="1">
      <alignment horizontal="center" vertical="center" wrapText="1"/>
    </xf>
    <xf numFmtId="49" fontId="110" fillId="5" borderId="5" xfId="0" applyNumberFormat="1" applyFont="1" applyFill="1" applyBorder="1" applyAlignment="1">
      <alignment horizontal="center" vertical="center" wrapText="1"/>
    </xf>
    <xf numFmtId="49" fontId="52" fillId="5" borderId="5" xfId="0" applyNumberFormat="1" applyFont="1" applyFill="1" applyBorder="1" applyAlignment="1">
      <alignment horizontal="center" vertical="center" wrapText="1"/>
    </xf>
    <xf numFmtId="49" fontId="14" fillId="5" borderId="5" xfId="0" applyNumberFormat="1" applyFont="1" applyFill="1" applyBorder="1" applyAlignment="1">
      <alignment horizontal="center" vertical="top" wrapText="1"/>
    </xf>
    <xf numFmtId="49" fontId="105" fillId="5" borderId="5" xfId="0" applyNumberFormat="1" applyFont="1" applyFill="1" applyBorder="1" applyAlignment="1">
      <alignment horizontal="center" vertical="center" wrapText="1"/>
    </xf>
    <xf numFmtId="0" fontId="49" fillId="5" borderId="5" xfId="0" applyFont="1" applyFill="1" applyBorder="1" applyAlignment="1">
      <alignment horizontal="center" vertical="top"/>
    </xf>
    <xf numFmtId="49" fontId="19" fillId="5" borderId="5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center" vertical="top" wrapText="1"/>
    </xf>
    <xf numFmtId="49" fontId="104" fillId="5" borderId="5" xfId="0" applyNumberFormat="1" applyFont="1" applyFill="1" applyBorder="1" applyAlignment="1">
      <alignment horizontal="center" vertical="top" wrapText="1"/>
    </xf>
    <xf numFmtId="49" fontId="150" fillId="5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top" wrapText="1"/>
    </xf>
    <xf numFmtId="0" fontId="49" fillId="5" borderId="5" xfId="0" applyFont="1" applyFill="1" applyBorder="1" applyAlignment="1">
      <alignment horizontal="center" vertical="center" wrapText="1"/>
    </xf>
    <xf numFmtId="49" fontId="13" fillId="5" borderId="5" xfId="0" applyNumberFormat="1" applyFont="1" applyFill="1" applyBorder="1" applyAlignment="1">
      <alignment horizontal="center" vertical="top" wrapText="1"/>
    </xf>
    <xf numFmtId="180" fontId="4" fillId="5" borderId="10" xfId="0" applyNumberFormat="1" applyFont="1" applyFill="1" applyBorder="1"/>
    <xf numFmtId="180" fontId="89" fillId="5" borderId="10" xfId="0" applyNumberFormat="1" applyFont="1" applyFill="1" applyBorder="1"/>
    <xf numFmtId="180" fontId="104" fillId="5" borderId="5" xfId="0" applyNumberFormat="1" applyFont="1" applyFill="1" applyBorder="1" applyAlignment="1">
      <alignment horizontal="left" vertical="center" wrapText="1"/>
    </xf>
    <xf numFmtId="180" fontId="104" fillId="5" borderId="5" xfId="0" applyNumberFormat="1" applyFont="1" applyFill="1" applyBorder="1" applyAlignment="1">
      <alignment horizontal="right" vertical="top" wrapText="1"/>
    </xf>
    <xf numFmtId="181" fontId="104" fillId="5" borderId="5" xfId="0" applyNumberFormat="1" applyFont="1" applyFill="1" applyBorder="1" applyAlignment="1">
      <alignment vertical="center" wrapText="1"/>
    </xf>
    <xf numFmtId="0" fontId="45" fillId="0" borderId="5" xfId="0" applyFont="1" applyBorder="1" applyAlignment="1">
      <alignment vertical="top" wrapText="1"/>
    </xf>
    <xf numFmtId="49" fontId="44" fillId="5" borderId="5" xfId="0" applyNumberFormat="1" applyFont="1" applyFill="1" applyBorder="1" applyAlignment="1">
      <alignment horizontal="center" vertical="top" wrapText="1"/>
    </xf>
    <xf numFmtId="0" fontId="44" fillId="5" borderId="5" xfId="0" applyFont="1" applyFill="1" applyBorder="1" applyAlignment="1">
      <alignment vertical="center" wrapText="1"/>
    </xf>
    <xf numFmtId="180" fontId="7" fillId="5" borderId="5" xfId="0" applyNumberFormat="1" applyFont="1" applyFill="1" applyBorder="1" applyAlignment="1">
      <alignment vertical="center" wrapText="1"/>
    </xf>
    <xf numFmtId="0" fontId="19" fillId="5" borderId="5" xfId="0" applyNumberFormat="1" applyFont="1" applyFill="1" applyBorder="1" applyAlignment="1">
      <alignment horizontal="left" vertical="center" wrapText="1"/>
    </xf>
    <xf numFmtId="0" fontId="121" fillId="5" borderId="5" xfId="0" applyFont="1" applyFill="1" applyBorder="1" applyAlignment="1">
      <alignment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180" fontId="165" fillId="5" borderId="5" xfId="0" applyNumberFormat="1" applyFont="1" applyFill="1" applyBorder="1" applyAlignment="1">
      <alignment vertical="center" wrapText="1"/>
    </xf>
    <xf numFmtId="0" fontId="44" fillId="5" borderId="5" xfId="0" applyFont="1" applyFill="1" applyBorder="1" applyAlignment="1">
      <alignment vertical="top" wrapText="1"/>
    </xf>
    <xf numFmtId="4" fontId="4" fillId="5" borderId="5" xfId="0" applyNumberFormat="1" applyFont="1" applyFill="1" applyBorder="1" applyAlignment="1">
      <alignment vertical="top" wrapText="1"/>
    </xf>
    <xf numFmtId="0" fontId="45" fillId="5" borderId="5" xfId="0" applyFont="1" applyFill="1" applyBorder="1" applyAlignment="1">
      <alignment vertical="top" wrapText="1"/>
    </xf>
    <xf numFmtId="0" fontId="122" fillId="5" borderId="5" xfId="0" applyFont="1" applyFill="1" applyBorder="1" applyAlignment="1">
      <alignment vertical="center" wrapText="1"/>
    </xf>
    <xf numFmtId="0" fontId="19" fillId="5" borderId="5" xfId="0" applyFont="1" applyFill="1" applyBorder="1" applyAlignment="1">
      <alignment horizontal="left" wrapText="1"/>
    </xf>
    <xf numFmtId="181" fontId="153" fillId="5" borderId="5" xfId="0" applyNumberFormat="1" applyFont="1" applyFill="1" applyBorder="1" applyAlignment="1">
      <alignment horizontal="right" vertical="center" wrapText="1"/>
    </xf>
    <xf numFmtId="0" fontId="105" fillId="0" borderId="5" xfId="0" applyFont="1" applyBorder="1" applyAlignment="1" applyProtection="1">
      <alignment vertical="top" wrapText="1"/>
      <protection locked="0"/>
    </xf>
    <xf numFmtId="180" fontId="19" fillId="0" borderId="5" xfId="0" applyNumberFormat="1" applyFont="1" applyBorder="1" applyAlignment="1" applyProtection="1">
      <alignment vertical="top" wrapText="1"/>
      <protection locked="0"/>
    </xf>
    <xf numFmtId="181" fontId="104" fillId="5" borderId="5" xfId="0" applyNumberFormat="1" applyFont="1" applyFill="1" applyBorder="1" applyAlignment="1">
      <alignment horizontal="right" vertical="top" wrapText="1"/>
    </xf>
    <xf numFmtId="180" fontId="104" fillId="5" borderId="5" xfId="0" applyNumberFormat="1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51" fillId="5" borderId="5" xfId="0" applyFont="1" applyFill="1" applyBorder="1" applyAlignment="1">
      <alignment vertical="top" wrapText="1"/>
    </xf>
    <xf numFmtId="0" fontId="109" fillId="5" borderId="5" xfId="0" applyFont="1" applyFill="1" applyBorder="1" applyAlignment="1">
      <alignment vertical="top" wrapText="1"/>
    </xf>
    <xf numFmtId="0" fontId="19" fillId="0" borderId="5" xfId="0" applyFont="1" applyBorder="1" applyAlignment="1" applyProtection="1">
      <alignment vertical="top" wrapText="1"/>
    </xf>
    <xf numFmtId="0" fontId="19" fillId="5" borderId="5" xfId="0" applyFont="1" applyFill="1" applyBorder="1" applyAlignment="1">
      <alignment vertical="center" wrapText="1"/>
    </xf>
    <xf numFmtId="0" fontId="66" fillId="5" borderId="5" xfId="0" applyFont="1" applyFill="1" applyBorder="1" applyAlignment="1">
      <alignment vertical="top" wrapText="1"/>
    </xf>
    <xf numFmtId="0" fontId="19" fillId="5" borderId="5" xfId="0" applyFont="1" applyFill="1" applyBorder="1" applyAlignment="1">
      <alignment horizontal="left" vertical="top" wrapText="1"/>
    </xf>
    <xf numFmtId="0" fontId="105" fillId="5" borderId="5" xfId="0" applyFont="1" applyFill="1" applyBorder="1" applyAlignment="1" applyProtection="1">
      <alignment vertical="top" wrapText="1"/>
    </xf>
    <xf numFmtId="0" fontId="4" fillId="5" borderId="5" xfId="0" applyFont="1" applyFill="1" applyBorder="1" applyAlignment="1">
      <alignment horizontal="center" vertical="top"/>
    </xf>
    <xf numFmtId="0" fontId="104" fillId="5" borderId="5" xfId="0" applyFont="1" applyFill="1" applyBorder="1" applyAlignment="1">
      <alignment horizontal="center"/>
    </xf>
    <xf numFmtId="180" fontId="104" fillId="0" borderId="5" xfId="0" applyNumberFormat="1" applyFont="1" applyFill="1" applyBorder="1" applyAlignment="1">
      <alignment vertical="center" wrapText="1"/>
    </xf>
    <xf numFmtId="180" fontId="37" fillId="5" borderId="5" xfId="0" applyNumberFormat="1" applyFont="1" applyFill="1" applyBorder="1" applyAlignment="1">
      <alignment vertical="center" wrapText="1"/>
    </xf>
    <xf numFmtId="180" fontId="109" fillId="5" borderId="5" xfId="0" applyNumberFormat="1" applyFont="1" applyFill="1" applyBorder="1" applyAlignment="1">
      <alignment vertical="center" wrapText="1"/>
    </xf>
    <xf numFmtId="180" fontId="16" fillId="5" borderId="5" xfId="0" applyNumberFormat="1" applyFont="1" applyFill="1" applyBorder="1" applyAlignment="1">
      <alignment vertical="center" wrapText="1"/>
    </xf>
    <xf numFmtId="180" fontId="14" fillId="5" borderId="5" xfId="0" applyNumberFormat="1" applyFont="1" applyFill="1" applyBorder="1" applyAlignment="1">
      <alignment vertical="top" wrapText="1"/>
    </xf>
    <xf numFmtId="4" fontId="14" fillId="5" borderId="5" xfId="0" applyNumberFormat="1" applyFont="1" applyFill="1" applyBorder="1" applyAlignment="1">
      <alignment vertical="center" wrapText="1"/>
    </xf>
    <xf numFmtId="181" fontId="14" fillId="5" borderId="5" xfId="0" applyNumberFormat="1" applyFont="1" applyFill="1" applyBorder="1" applyAlignment="1">
      <alignment vertical="top" wrapText="1"/>
    </xf>
    <xf numFmtId="49" fontId="105" fillId="5" borderId="5" xfId="0" applyNumberFormat="1" applyFont="1" applyFill="1" applyBorder="1" applyAlignment="1">
      <alignment horizontal="center" vertical="top" wrapText="1"/>
    </xf>
    <xf numFmtId="0" fontId="44" fillId="5" borderId="5" xfId="0" applyFont="1" applyFill="1" applyBorder="1" applyAlignment="1">
      <alignment horizontal="left" vertical="top" wrapText="1"/>
    </xf>
    <xf numFmtId="0" fontId="51" fillId="0" borderId="5" xfId="0" applyFont="1" applyBorder="1" applyAlignment="1">
      <alignment vertical="top" wrapText="1"/>
    </xf>
    <xf numFmtId="49" fontId="15" fillId="5" borderId="5" xfId="0" applyNumberFormat="1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vertical="top" wrapText="1"/>
    </xf>
    <xf numFmtId="0" fontId="104" fillId="5" borderId="5" xfId="0" applyFont="1" applyFill="1" applyBorder="1" applyAlignment="1">
      <alignment horizontal="justify" vertical="center"/>
    </xf>
    <xf numFmtId="49" fontId="14" fillId="5" borderId="5" xfId="0" applyNumberFormat="1" applyFont="1" applyFill="1" applyBorder="1" applyAlignment="1">
      <alignment horizontal="right" vertical="top" wrapText="1"/>
    </xf>
    <xf numFmtId="0" fontId="61" fillId="5" borderId="5" xfId="0" applyFont="1" applyFill="1" applyBorder="1" applyAlignment="1">
      <alignment vertical="center" wrapText="1"/>
    </xf>
    <xf numFmtId="49" fontId="48" fillId="5" borderId="5" xfId="0" applyNumberFormat="1" applyFont="1" applyFill="1" applyBorder="1" applyAlignment="1">
      <alignment horizontal="left" vertical="center" wrapText="1"/>
    </xf>
    <xf numFmtId="180" fontId="107" fillId="0" borderId="5" xfId="0" applyNumberFormat="1" applyFont="1" applyFill="1" applyBorder="1" applyAlignment="1">
      <alignment vertical="center" wrapText="1"/>
    </xf>
    <xf numFmtId="0" fontId="8" fillId="5" borderId="5" xfId="0" applyFont="1" applyFill="1" applyBorder="1" applyAlignment="1">
      <alignment vertical="center" wrapText="1"/>
    </xf>
    <xf numFmtId="0" fontId="104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180" fontId="18" fillId="5" borderId="5" xfId="0" applyNumberFormat="1" applyFont="1" applyFill="1" applyBorder="1" applyAlignment="1">
      <alignment vertical="center" wrapText="1"/>
    </xf>
    <xf numFmtId="180" fontId="62" fillId="5" borderId="5" xfId="0" applyNumberFormat="1" applyFont="1" applyFill="1" applyBorder="1" applyAlignment="1">
      <alignment vertical="center" wrapText="1"/>
    </xf>
    <xf numFmtId="4" fontId="52" fillId="5" borderId="5" xfId="0" applyNumberFormat="1" applyFont="1" applyFill="1" applyBorder="1" applyAlignment="1">
      <alignment horizontal="center" vertical="center" wrapText="1"/>
    </xf>
    <xf numFmtId="49" fontId="104" fillId="5" borderId="11" xfId="0" applyNumberFormat="1" applyFont="1" applyFill="1" applyBorder="1" applyAlignment="1">
      <alignment horizontal="center" vertical="center" wrapText="1"/>
    </xf>
    <xf numFmtId="49" fontId="104" fillId="5" borderId="10" xfId="0" applyNumberFormat="1" applyFont="1" applyFill="1" applyBorder="1" applyAlignment="1">
      <alignment horizontal="center" vertical="center" wrapText="1"/>
    </xf>
    <xf numFmtId="0" fontId="172" fillId="5" borderId="5" xfId="0" applyFont="1" applyFill="1" applyBorder="1" applyAlignment="1">
      <alignment horizontal="center" vertical="center" wrapText="1"/>
    </xf>
    <xf numFmtId="0" fontId="135" fillId="5" borderId="5" xfId="0" applyFont="1" applyFill="1" applyBorder="1" applyAlignment="1">
      <alignment horizontal="center" vertical="center" wrapText="1"/>
    </xf>
    <xf numFmtId="49" fontId="52" fillId="5" borderId="5" xfId="0" applyNumberFormat="1" applyFont="1" applyFill="1" applyBorder="1" applyAlignment="1">
      <alignment horizontal="center" vertical="top" wrapText="1"/>
    </xf>
    <xf numFmtId="49" fontId="110" fillId="5" borderId="5" xfId="0" applyNumberFormat="1" applyFont="1" applyFill="1" applyBorder="1" applyAlignment="1">
      <alignment horizontal="center" vertical="top" wrapText="1"/>
    </xf>
    <xf numFmtId="49" fontId="52" fillId="5" borderId="11" xfId="0" applyNumberFormat="1" applyFont="1" applyFill="1" applyBorder="1" applyAlignment="1">
      <alignment horizontal="center" vertical="center" wrapText="1"/>
    </xf>
    <xf numFmtId="49" fontId="52" fillId="5" borderId="10" xfId="0" applyNumberFormat="1" applyFont="1" applyFill="1" applyBorder="1" applyAlignment="1">
      <alignment horizontal="center" vertical="center" wrapText="1"/>
    </xf>
    <xf numFmtId="4" fontId="52" fillId="5" borderId="5" xfId="0" applyNumberFormat="1" applyFont="1" applyFill="1" applyBorder="1" applyAlignment="1">
      <alignment vertical="top" wrapText="1"/>
    </xf>
    <xf numFmtId="49" fontId="172" fillId="5" borderId="5" xfId="0" applyNumberFormat="1" applyFont="1" applyFill="1" applyBorder="1" applyAlignment="1">
      <alignment horizontal="center" vertical="center" wrapText="1"/>
    </xf>
    <xf numFmtId="0" fontId="172" fillId="5" borderId="5" xfId="0" applyFont="1" applyFill="1" applyBorder="1" applyAlignment="1">
      <alignment vertical="center" wrapText="1"/>
    </xf>
    <xf numFmtId="4" fontId="123" fillId="0" borderId="5" xfId="0" applyNumberFormat="1" applyFont="1" applyFill="1" applyBorder="1" applyAlignment="1">
      <alignment horizontal="right" vertical="center" wrapText="1"/>
    </xf>
    <xf numFmtId="4" fontId="123" fillId="5" borderId="5" xfId="0" applyNumberFormat="1" applyFont="1" applyFill="1" applyBorder="1" applyAlignment="1">
      <alignment vertical="center" wrapText="1"/>
    </xf>
    <xf numFmtId="49" fontId="134" fillId="5" borderId="5" xfId="0" applyNumberFormat="1" applyFont="1" applyFill="1" applyBorder="1" applyAlignment="1">
      <alignment horizontal="center" vertical="center" wrapText="1"/>
    </xf>
    <xf numFmtId="4" fontId="135" fillId="0" borderId="5" xfId="0" applyNumberFormat="1" applyFont="1" applyFill="1" applyBorder="1" applyAlignment="1">
      <alignment horizontal="right" vertical="center" wrapText="1"/>
    </xf>
    <xf numFmtId="4" fontId="135" fillId="0" borderId="5" xfId="0" applyNumberFormat="1" applyFont="1" applyBorder="1" applyAlignment="1">
      <alignment vertical="center" wrapText="1"/>
    </xf>
    <xf numFmtId="4" fontId="135" fillId="0" borderId="5" xfId="0" applyNumberFormat="1" applyFont="1" applyFill="1" applyBorder="1" applyAlignment="1">
      <alignment vertical="center" wrapText="1"/>
    </xf>
    <xf numFmtId="0" fontId="134" fillId="0" borderId="5" xfId="0" applyFont="1" applyBorder="1" applyAlignment="1">
      <alignment vertical="top" wrapText="1"/>
    </xf>
    <xf numFmtId="180" fontId="134" fillId="0" borderId="5" xfId="0" applyNumberFormat="1" applyFont="1" applyBorder="1" applyAlignment="1">
      <alignment vertical="top" wrapText="1"/>
    </xf>
    <xf numFmtId="180" fontId="134" fillId="0" borderId="5" xfId="0" applyNumberFormat="1" applyFont="1" applyBorder="1" applyAlignment="1">
      <alignment vertical="center" wrapText="1"/>
    </xf>
    <xf numFmtId="4" fontId="135" fillId="5" borderId="5" xfId="0" applyNumberFormat="1" applyFont="1" applyFill="1" applyBorder="1" applyAlignment="1">
      <alignment horizontal="center" vertical="center" wrapText="1"/>
    </xf>
    <xf numFmtId="0" fontId="172" fillId="5" borderId="5" xfId="0" applyFont="1" applyFill="1" applyBorder="1" applyAlignment="1">
      <alignment horizontal="center" vertical="top" wrapText="1"/>
    </xf>
    <xf numFmtId="0" fontId="172" fillId="5" borderId="5" xfId="0" applyFont="1" applyFill="1" applyBorder="1" applyAlignment="1">
      <alignment vertical="top" wrapText="1"/>
    </xf>
    <xf numFmtId="0" fontId="134" fillId="5" borderId="5" xfId="0" applyFont="1" applyFill="1" applyBorder="1" applyAlignment="1">
      <alignment horizontal="center" vertical="top" wrapText="1"/>
    </xf>
    <xf numFmtId="4" fontId="135" fillId="0" borderId="5" xfId="0" applyNumberFormat="1" applyFont="1" applyFill="1" applyBorder="1" applyAlignment="1">
      <alignment vertical="top" wrapText="1"/>
    </xf>
    <xf numFmtId="4" fontId="123" fillId="0" borderId="5" xfId="0" applyNumberFormat="1" applyFont="1" applyFill="1" applyBorder="1" applyAlignment="1">
      <alignment horizontal="right" vertical="top" wrapText="1"/>
    </xf>
    <xf numFmtId="4" fontId="172" fillId="5" borderId="5" xfId="0" applyNumberFormat="1" applyFont="1" applyFill="1" applyBorder="1" applyAlignment="1">
      <alignment horizontal="right" vertical="center" wrapText="1"/>
    </xf>
    <xf numFmtId="4" fontId="134" fillId="5" borderId="5" xfId="0" applyNumberFormat="1" applyFont="1" applyFill="1" applyBorder="1" applyAlignment="1">
      <alignment horizontal="right" vertical="center" wrapText="1"/>
    </xf>
    <xf numFmtId="180" fontId="134" fillId="5" borderId="5" xfId="0" applyNumberFormat="1" applyFont="1" applyFill="1" applyBorder="1" applyAlignment="1">
      <alignment horizontal="right" vertical="center" wrapText="1"/>
    </xf>
    <xf numFmtId="180" fontId="123" fillId="0" borderId="5" xfId="0" applyNumberFormat="1" applyFont="1" applyFill="1" applyBorder="1" applyAlignment="1">
      <alignment horizontal="right" vertical="center" wrapText="1"/>
    </xf>
    <xf numFmtId="4" fontId="123" fillId="5" borderId="5" xfId="0" applyNumberFormat="1" applyFont="1" applyFill="1" applyBorder="1" applyAlignment="1">
      <alignment horizontal="right" vertical="center" wrapText="1"/>
    </xf>
    <xf numFmtId="0" fontId="135" fillId="5" borderId="5" xfId="0" applyFont="1" applyFill="1" applyBorder="1" applyAlignment="1">
      <alignment horizontal="center" vertical="center"/>
    </xf>
    <xf numFmtId="180" fontId="135" fillId="0" borderId="5" xfId="0" applyNumberFormat="1" applyFont="1" applyFill="1" applyBorder="1" applyAlignment="1">
      <alignment horizontal="right" vertical="center"/>
    </xf>
    <xf numFmtId="4" fontId="135" fillId="0" borderId="5" xfId="0" applyNumberFormat="1" applyFont="1" applyFill="1" applyBorder="1" applyAlignment="1">
      <alignment horizontal="right" vertical="center"/>
    </xf>
    <xf numFmtId="4" fontId="135" fillId="0" borderId="5" xfId="0" applyNumberFormat="1" applyFont="1" applyFill="1" applyBorder="1" applyAlignment="1">
      <alignment vertical="center"/>
    </xf>
    <xf numFmtId="0" fontId="135" fillId="0" borderId="5" xfId="0" applyFont="1" applyBorder="1" applyAlignment="1">
      <alignment horizontal="justify" vertical="center"/>
    </xf>
    <xf numFmtId="4" fontId="135" fillId="5" borderId="5" xfId="0" applyNumberFormat="1" applyFont="1" applyFill="1" applyBorder="1" applyAlignment="1">
      <alignment vertical="center"/>
    </xf>
    <xf numFmtId="4" fontId="123" fillId="0" borderId="5" xfId="0" applyNumberFormat="1" applyFont="1" applyFill="1" applyBorder="1" applyAlignment="1">
      <alignment horizontal="right" vertical="center"/>
    </xf>
    <xf numFmtId="0" fontId="172" fillId="5" borderId="5" xfId="0" applyFont="1" applyFill="1" applyBorder="1" applyAlignment="1">
      <alignment horizontal="left" vertical="center" wrapText="1"/>
    </xf>
    <xf numFmtId="4" fontId="123" fillId="5" borderId="5" xfId="0" applyNumberFormat="1" applyFont="1" applyFill="1" applyBorder="1" applyAlignment="1">
      <alignment horizontal="right" vertical="center"/>
    </xf>
    <xf numFmtId="4" fontId="135" fillId="5" borderId="5" xfId="0" applyNumberFormat="1" applyFont="1" applyFill="1" applyBorder="1" applyAlignment="1">
      <alignment horizontal="right" vertical="center"/>
    </xf>
    <xf numFmtId="4" fontId="135" fillId="5" borderId="5" xfId="0" applyNumberFormat="1" applyFont="1" applyFill="1" applyBorder="1" applyAlignment="1">
      <alignment horizontal="right" vertical="top"/>
    </xf>
    <xf numFmtId="0" fontId="134" fillId="0" borderId="5" xfId="0" applyFont="1" applyBorder="1" applyAlignment="1">
      <alignment horizontal="center" vertical="center" wrapText="1"/>
    </xf>
    <xf numFmtId="0" fontId="123" fillId="5" borderId="5" xfId="0" applyFont="1" applyFill="1" applyBorder="1" applyAlignment="1">
      <alignment vertical="center" wrapText="1"/>
    </xf>
    <xf numFmtId="49" fontId="135" fillId="5" borderId="5" xfId="0" applyNumberFormat="1" applyFont="1" applyFill="1" applyBorder="1" applyAlignment="1">
      <alignment horizontal="center" vertical="center" wrapText="1"/>
    </xf>
    <xf numFmtId="4" fontId="123" fillId="0" borderId="5" xfId="0" applyNumberFormat="1" applyFont="1" applyFill="1" applyBorder="1" applyAlignment="1">
      <alignment vertical="center" wrapText="1"/>
    </xf>
    <xf numFmtId="4" fontId="123" fillId="0" borderId="5" xfId="0" applyNumberFormat="1" applyFont="1" applyBorder="1" applyAlignment="1">
      <alignment horizontal="right" vertical="center" wrapText="1"/>
    </xf>
    <xf numFmtId="0" fontId="135" fillId="5" borderId="5" xfId="0" applyFont="1" applyFill="1" applyBorder="1" applyAlignment="1">
      <alignment vertical="top" wrapText="1"/>
    </xf>
    <xf numFmtId="0" fontId="173" fillId="5" borderId="5" xfId="0" applyFont="1" applyFill="1" applyBorder="1" applyAlignment="1">
      <alignment horizontal="center" vertical="center" wrapText="1"/>
    </xf>
    <xf numFmtId="0" fontId="174" fillId="5" borderId="5" xfId="0" applyFont="1" applyFill="1" applyBorder="1" applyAlignment="1">
      <alignment horizontal="justify" vertical="center" wrapText="1"/>
    </xf>
    <xf numFmtId="4" fontId="173" fillId="5" borderId="5" xfId="0" applyNumberFormat="1" applyFont="1" applyFill="1" applyBorder="1" applyAlignment="1">
      <alignment vertical="center" wrapText="1"/>
    </xf>
    <xf numFmtId="4" fontId="173" fillId="0" borderId="5" xfId="0" applyNumberFormat="1" applyFont="1" applyFill="1" applyBorder="1" applyAlignment="1">
      <alignment horizontal="right" vertical="center" wrapText="1"/>
    </xf>
    <xf numFmtId="180" fontId="52" fillId="5" borderId="5" xfId="0" applyNumberFormat="1" applyFont="1" applyFill="1" applyBorder="1" applyAlignment="1">
      <alignment vertical="top" wrapText="1"/>
    </xf>
    <xf numFmtId="180" fontId="52" fillId="5" borderId="5" xfId="0" applyNumberFormat="1" applyFont="1" applyFill="1" applyBorder="1" applyAlignment="1">
      <alignment horizontal="right" vertical="top" wrapText="1"/>
    </xf>
    <xf numFmtId="181" fontId="52" fillId="5" borderId="5" xfId="0" applyNumberFormat="1" applyFont="1" applyFill="1" applyBorder="1" applyAlignment="1">
      <alignment vertical="top" wrapText="1"/>
    </xf>
    <xf numFmtId="180" fontId="153" fillId="5" borderId="5" xfId="0" applyNumberFormat="1" applyFont="1" applyFill="1" applyBorder="1" applyAlignment="1">
      <alignment vertical="top" wrapText="1"/>
    </xf>
    <xf numFmtId="4" fontId="52" fillId="0" borderId="5" xfId="0" applyNumberFormat="1" applyFont="1" applyFill="1" applyBorder="1" applyAlignment="1">
      <alignment horizontal="right" vertical="center" wrapText="1"/>
    </xf>
    <xf numFmtId="0" fontId="110" fillId="0" borderId="5" xfId="0" applyFont="1" applyBorder="1" applyAlignment="1">
      <alignment vertical="top" wrapText="1"/>
    </xf>
    <xf numFmtId="49" fontId="52" fillId="5" borderId="11" xfId="0" applyNumberFormat="1" applyFont="1" applyFill="1" applyBorder="1" applyAlignment="1">
      <alignment horizontal="center" vertical="top" wrapText="1"/>
    </xf>
    <xf numFmtId="49" fontId="52" fillId="5" borderId="10" xfId="0" applyNumberFormat="1" applyFont="1" applyFill="1" applyBorder="1" applyAlignment="1">
      <alignment horizontal="center" vertical="top" wrapText="1"/>
    </xf>
    <xf numFmtId="0" fontId="142" fillId="5" borderId="0" xfId="0" applyFont="1" applyFill="1" applyAlignment="1">
      <alignment horizontal="left"/>
    </xf>
    <xf numFmtId="0" fontId="123" fillId="5" borderId="0" xfId="0" applyFont="1" applyFill="1" applyAlignment="1">
      <alignment horizontal="center" vertical="center" wrapText="1"/>
    </xf>
    <xf numFmtId="0" fontId="124" fillId="5" borderId="0" xfId="0" applyFont="1" applyFill="1" applyAlignment="1">
      <alignment horizontal="center" wrapText="1"/>
    </xf>
    <xf numFmtId="0" fontId="121" fillId="5" borderId="4" xfId="0" applyFont="1" applyFill="1" applyBorder="1" applyAlignment="1">
      <alignment horizontal="center" vertical="center" wrapText="1"/>
    </xf>
    <xf numFmtId="0" fontId="121" fillId="5" borderId="7" xfId="0" applyFont="1" applyFill="1" applyBorder="1" applyAlignment="1">
      <alignment horizontal="center" vertical="center" wrapText="1"/>
    </xf>
    <xf numFmtId="0" fontId="151" fillId="5" borderId="3" xfId="0" applyFont="1" applyFill="1" applyBorder="1" applyAlignment="1">
      <alignment horizontal="center" vertical="center" wrapText="1"/>
    </xf>
    <xf numFmtId="0" fontId="121" fillId="5" borderId="5" xfId="0" applyFont="1" applyFill="1" applyBorder="1" applyAlignment="1">
      <alignment horizontal="center" vertical="center" wrapText="1"/>
    </xf>
    <xf numFmtId="0" fontId="182" fillId="5" borderId="3" xfId="0" applyFont="1" applyFill="1" applyBorder="1" applyAlignment="1">
      <alignment horizontal="center" vertical="top" wrapText="1"/>
    </xf>
    <xf numFmtId="0" fontId="64" fillId="5" borderId="0" xfId="0" applyFont="1" applyFill="1" applyAlignment="1">
      <alignment horizontal="center" wrapText="1"/>
    </xf>
    <xf numFmtId="0" fontId="143" fillId="5" borderId="0" xfId="0" applyFont="1" applyFill="1" applyAlignment="1">
      <alignment horizontal="center" vertical="center" wrapText="1"/>
    </xf>
    <xf numFmtId="0" fontId="176" fillId="5" borderId="0" xfId="0" applyFont="1" applyFill="1" applyAlignment="1">
      <alignment horizontal="right"/>
    </xf>
    <xf numFmtId="0" fontId="177" fillId="5" borderId="0" xfId="0" applyFont="1" applyFill="1" applyAlignment="1">
      <alignment horizontal="right"/>
    </xf>
    <xf numFmtId="0" fontId="19" fillId="5" borderId="0" xfId="0" applyFont="1" applyFill="1" applyAlignment="1">
      <alignment horizontal="right"/>
    </xf>
    <xf numFmtId="0" fontId="40" fillId="5" borderId="0" xfId="0" applyFont="1" applyFill="1" applyAlignment="1">
      <alignment wrapText="1"/>
    </xf>
    <xf numFmtId="0" fontId="172" fillId="5" borderId="0" xfId="0" applyFont="1" applyFill="1" applyAlignment="1">
      <alignment horizontal="center"/>
    </xf>
    <xf numFmtId="0" fontId="1" fillId="5" borderId="0" xfId="0" applyFont="1" applyFill="1"/>
    <xf numFmtId="0" fontId="180" fillId="5" borderId="5" xfId="0" applyFont="1" applyFill="1" applyBorder="1" applyAlignment="1">
      <alignment horizontal="center" vertical="top" wrapText="1"/>
    </xf>
    <xf numFmtId="180" fontId="46" fillId="5" borderId="5" xfId="0" applyNumberFormat="1" applyFont="1" applyFill="1" applyBorder="1" applyAlignment="1">
      <alignment vertical="top" wrapText="1"/>
    </xf>
    <xf numFmtId="180" fontId="66" fillId="5" borderId="5" xfId="0" applyNumberFormat="1" applyFont="1" applyFill="1" applyBorder="1" applyAlignment="1">
      <alignment horizontal="right" wrapText="1"/>
    </xf>
    <xf numFmtId="180" fontId="181" fillId="5" borderId="5" xfId="0" applyNumberFormat="1" applyFont="1" applyFill="1" applyBorder="1" applyAlignment="1">
      <alignment horizontal="right" wrapText="1"/>
    </xf>
    <xf numFmtId="181" fontId="88" fillId="5" borderId="0" xfId="0" applyNumberFormat="1" applyFont="1" applyFill="1"/>
    <xf numFmtId="0" fontId="151" fillId="5" borderId="5" xfId="0" applyFont="1" applyFill="1" applyBorder="1" applyAlignment="1">
      <alignment horizontal="center" vertical="top" wrapText="1"/>
    </xf>
    <xf numFmtId="0" fontId="66" fillId="5" borderId="5" xfId="0" applyFont="1" applyFill="1" applyBorder="1" applyAlignment="1">
      <alignment horizontal="left" vertical="center" wrapText="1"/>
    </xf>
    <xf numFmtId="0" fontId="66" fillId="5" borderId="3" xfId="0" applyFont="1" applyFill="1" applyBorder="1" applyAlignment="1">
      <alignment horizontal="left" vertical="center" wrapText="1"/>
    </xf>
    <xf numFmtId="180" fontId="66" fillId="5" borderId="3" xfId="0" applyNumberFormat="1" applyFont="1" applyFill="1" applyBorder="1" applyAlignment="1">
      <alignment horizontal="right" wrapText="1"/>
    </xf>
    <xf numFmtId="180" fontId="181" fillId="5" borderId="3" xfId="0" applyNumberFormat="1" applyFont="1" applyFill="1" applyBorder="1" applyAlignment="1">
      <alignment horizontal="right" wrapText="1"/>
    </xf>
    <xf numFmtId="49" fontId="180" fillId="5" borderId="12" xfId="0" applyNumberFormat="1" applyFont="1" applyFill="1" applyBorder="1" applyAlignment="1">
      <alignment horizontal="center" vertical="top" wrapText="1"/>
    </xf>
    <xf numFmtId="180" fontId="46" fillId="5" borderId="12" xfId="0" applyNumberFormat="1" applyFont="1" applyFill="1" applyBorder="1" applyAlignment="1">
      <alignment vertical="center" wrapText="1"/>
    </xf>
    <xf numFmtId="180" fontId="66" fillId="5" borderId="12" xfId="0" applyNumberFormat="1" applyFont="1" applyFill="1" applyBorder="1" applyAlignment="1">
      <alignment horizontal="right" wrapText="1"/>
    </xf>
    <xf numFmtId="0" fontId="151" fillId="5" borderId="12" xfId="0" applyFont="1" applyFill="1" applyBorder="1" applyAlignment="1">
      <alignment horizontal="center" vertical="top" wrapText="1"/>
    </xf>
    <xf numFmtId="180" fontId="4" fillId="5" borderId="12" xfId="0" applyNumberFormat="1" applyFont="1" applyFill="1" applyBorder="1" applyAlignment="1">
      <alignment vertical="top" wrapText="1"/>
    </xf>
    <xf numFmtId="180" fontId="66" fillId="0" borderId="12" xfId="0" applyNumberFormat="1" applyFont="1" applyBorder="1" applyAlignment="1">
      <alignment horizontal="right" wrapText="1"/>
    </xf>
    <xf numFmtId="0" fontId="151" fillId="5" borderId="13" xfId="0" applyFont="1" applyFill="1" applyBorder="1" applyAlignment="1">
      <alignment horizontal="center" vertical="top" wrapText="1"/>
    </xf>
    <xf numFmtId="0" fontId="66" fillId="5" borderId="13" xfId="0" applyFont="1" applyFill="1" applyBorder="1" applyAlignment="1">
      <alignment horizontal="left" vertical="center" wrapText="1"/>
    </xf>
    <xf numFmtId="180" fontId="66" fillId="0" borderId="13" xfId="0" applyNumberFormat="1" applyFont="1" applyBorder="1" applyAlignment="1">
      <alignment horizontal="right" wrapText="1"/>
    </xf>
    <xf numFmtId="180" fontId="66" fillId="5" borderId="13" xfId="0" applyNumberFormat="1" applyFont="1" applyFill="1" applyBorder="1" applyAlignment="1">
      <alignment horizontal="right" wrapText="1"/>
    </xf>
    <xf numFmtId="180" fontId="181" fillId="0" borderId="13" xfId="0" applyNumberFormat="1" applyFont="1" applyBorder="1" applyAlignment="1">
      <alignment horizontal="right" wrapText="1"/>
    </xf>
    <xf numFmtId="49" fontId="172" fillId="5" borderId="12" xfId="0" applyNumberFormat="1" applyFont="1" applyFill="1" applyBorder="1" applyAlignment="1">
      <alignment horizontal="center" vertical="center" wrapText="1"/>
    </xf>
    <xf numFmtId="180" fontId="123" fillId="5" borderId="5" xfId="0" applyNumberFormat="1" applyFont="1" applyFill="1" applyBorder="1" applyAlignment="1">
      <alignment horizontal="center" vertical="center" wrapText="1"/>
    </xf>
    <xf numFmtId="4" fontId="172" fillId="0" borderId="5" xfId="0" applyNumberFormat="1" applyFont="1" applyBorder="1" applyAlignment="1">
      <alignment horizontal="right" vertical="center" wrapText="1"/>
    </xf>
    <xf numFmtId="181" fontId="1" fillId="0" borderId="0" xfId="0" applyNumberFormat="1" applyFont="1"/>
    <xf numFmtId="0" fontId="135" fillId="0" borderId="5" xfId="0" applyFont="1" applyBorder="1" applyAlignment="1">
      <alignment horizontal="center" vertical="center" wrapText="1"/>
    </xf>
    <xf numFmtId="180" fontId="11" fillId="5" borderId="5" xfId="0" applyNumberFormat="1" applyFont="1" applyFill="1" applyBorder="1" applyAlignment="1">
      <alignment horizontal="left" vertical="top" wrapText="1"/>
    </xf>
    <xf numFmtId="4" fontId="134" fillId="0" borderId="5" xfId="0" applyNumberFormat="1" applyFont="1" applyBorder="1" applyAlignment="1">
      <alignment horizontal="right" vertical="center" wrapText="1"/>
    </xf>
    <xf numFmtId="0" fontId="134" fillId="0" borderId="5" xfId="0" applyFont="1" applyBorder="1" applyAlignment="1">
      <alignment horizontal="left" vertical="center" wrapText="1"/>
    </xf>
    <xf numFmtId="0" fontId="134" fillId="0" borderId="5" xfId="0" applyFont="1" applyBorder="1" applyAlignment="1">
      <alignment horizontal="left" wrapText="1"/>
    </xf>
    <xf numFmtId="0" fontId="134" fillId="0" borderId="5" xfId="0" applyFont="1" applyBorder="1" applyAlignment="1">
      <alignment horizontal="left" vertical="top" wrapText="1"/>
    </xf>
    <xf numFmtId="49" fontId="124" fillId="5" borderId="5" xfId="0" applyNumberFormat="1" applyFont="1" applyFill="1" applyBorder="1" applyAlignment="1">
      <alignment horizontal="center" vertical="center" wrapText="1"/>
    </xf>
    <xf numFmtId="180" fontId="124" fillId="5" borderId="5" xfId="0" applyNumberFormat="1" applyFont="1" applyFill="1" applyBorder="1" applyAlignment="1">
      <alignment horizontal="center" vertical="center" wrapText="1"/>
    </xf>
    <xf numFmtId="0" fontId="183" fillId="0" borderId="14" xfId="0" applyFont="1" applyBorder="1" applyAlignment="1">
      <alignment horizontal="center" vertical="top" wrapText="1"/>
    </xf>
    <xf numFmtId="0" fontId="182" fillId="0" borderId="3" xfId="0" applyFont="1" applyBorder="1" applyAlignment="1">
      <alignment horizontal="left" wrapText="1"/>
    </xf>
    <xf numFmtId="180" fontId="66" fillId="0" borderId="3" xfId="0" applyNumberFormat="1" applyFont="1" applyBorder="1" applyAlignment="1">
      <alignment horizontal="right" wrapText="1"/>
    </xf>
    <xf numFmtId="180" fontId="181" fillId="0" borderId="3" xfId="0" applyNumberFormat="1" applyFont="1" applyBorder="1" applyAlignment="1">
      <alignment horizontal="right" wrapText="1"/>
    </xf>
    <xf numFmtId="0" fontId="183" fillId="0" borderId="15" xfId="0" applyFont="1" applyBorder="1" applyAlignment="1">
      <alignment horizontal="center" vertical="top" wrapText="1"/>
    </xf>
    <xf numFmtId="0" fontId="182" fillId="0" borderId="15" xfId="0" applyFont="1" applyBorder="1" applyAlignment="1">
      <alignment horizontal="left" vertical="center" wrapText="1"/>
    </xf>
    <xf numFmtId="180" fontId="66" fillId="0" borderId="15" xfId="0" applyNumberFormat="1" applyFont="1" applyBorder="1" applyAlignment="1">
      <alignment horizontal="right" wrapText="1"/>
    </xf>
    <xf numFmtId="180" fontId="181" fillId="0" borderId="15" xfId="0" applyNumberFormat="1" applyFont="1" applyBorder="1" applyAlignment="1">
      <alignment horizontal="right" wrapText="1"/>
    </xf>
    <xf numFmtId="0" fontId="173" fillId="5" borderId="5" xfId="0" applyFont="1" applyFill="1" applyBorder="1" applyAlignment="1">
      <alignment wrapText="1"/>
    </xf>
    <xf numFmtId="4" fontId="174" fillId="5" borderId="5" xfId="0" applyNumberFormat="1" applyFont="1" applyFill="1" applyBorder="1" applyAlignment="1">
      <alignment horizontal="right" vertical="center" wrapText="1"/>
    </xf>
    <xf numFmtId="0" fontId="152" fillId="5" borderId="0" xfId="0" applyFont="1" applyFill="1"/>
    <xf numFmtId="0" fontId="64" fillId="5" borderId="5" xfId="0" applyFont="1" applyFill="1" applyBorder="1" applyAlignment="1">
      <alignment horizontal="center" wrapText="1"/>
    </xf>
    <xf numFmtId="0" fontId="153" fillId="5" borderId="5" xfId="0" applyFont="1" applyFill="1" applyBorder="1" applyAlignment="1">
      <alignment wrapText="1"/>
    </xf>
    <xf numFmtId="180" fontId="184" fillId="5" borderId="5" xfId="0" applyNumberFormat="1" applyFont="1" applyFill="1" applyBorder="1" applyAlignment="1">
      <alignment horizontal="right" wrapText="1"/>
    </xf>
    <xf numFmtId="0" fontId="64" fillId="5" borderId="0" xfId="0" applyFont="1" applyFill="1" applyBorder="1" applyAlignment="1">
      <alignment horizontal="center" wrapText="1"/>
    </xf>
    <xf numFmtId="0" fontId="38" fillId="5" borderId="0" xfId="0" applyFont="1" applyFill="1" applyBorder="1" applyAlignment="1">
      <alignment wrapText="1"/>
    </xf>
    <xf numFmtId="181" fontId="181" fillId="5" borderId="0" xfId="0" applyNumberFormat="1" applyFont="1" applyFill="1" applyBorder="1" applyAlignment="1">
      <alignment horizontal="right" wrapText="1"/>
    </xf>
    <xf numFmtId="0" fontId="0" fillId="5" borderId="0" xfId="0" applyFill="1" applyAlignment="1">
      <alignment vertical="center"/>
    </xf>
    <xf numFmtId="181" fontId="0" fillId="5" borderId="0" xfId="0" applyNumberFormat="1" applyFill="1"/>
    <xf numFmtId="0" fontId="64" fillId="5" borderId="0" xfId="0" applyFont="1" applyFill="1" applyAlignment="1">
      <alignment vertical="center" wrapText="1"/>
    </xf>
    <xf numFmtId="0" fontId="64" fillId="5" borderId="0" xfId="0" applyFont="1" applyFill="1" applyAlignment="1">
      <alignment wrapText="1"/>
    </xf>
    <xf numFmtId="0" fontId="185" fillId="5" borderId="0" xfId="0" applyFont="1" applyFill="1" applyAlignment="1">
      <alignment horizontal="center"/>
    </xf>
    <xf numFmtId="0" fontId="63" fillId="5" borderId="0" xfId="0" applyFont="1" applyFill="1" applyAlignment="1">
      <alignment horizontal="center" wrapText="1"/>
    </xf>
    <xf numFmtId="0" fontId="19" fillId="5" borderId="0" xfId="0" applyFont="1" applyFill="1" applyAlignment="1">
      <alignment wrapText="1"/>
    </xf>
    <xf numFmtId="0" fontId="87" fillId="5" borderId="0" xfId="0" applyFont="1" applyFill="1" applyAlignment="1">
      <alignment wrapText="1"/>
    </xf>
    <xf numFmtId="0" fontId="19" fillId="5" borderId="0" xfId="0" applyFont="1" applyFill="1" applyAlignment="1"/>
    <xf numFmtId="0" fontId="87" fillId="5" borderId="0" xfId="0" applyFont="1" applyFill="1" applyAlignment="1"/>
    <xf numFmtId="0" fontId="187" fillId="5" borderId="0" xfId="0" applyFont="1" applyFill="1" applyAlignment="1">
      <alignment horizontal="center"/>
    </xf>
    <xf numFmtId="0" fontId="64" fillId="5" borderId="5" xfId="0" applyFont="1" applyFill="1" applyBorder="1" applyAlignment="1" applyProtection="1">
      <alignment horizontal="center"/>
    </xf>
    <xf numFmtId="0" fontId="64" fillId="5" borderId="5" xfId="0" applyFont="1" applyFill="1" applyBorder="1" applyAlignment="1" applyProtection="1">
      <alignment horizontal="center" vertical="center" wrapText="1"/>
    </xf>
    <xf numFmtId="4" fontId="64" fillId="5" borderId="5" xfId="0" applyNumberFormat="1" applyFont="1" applyFill="1" applyBorder="1" applyAlignment="1">
      <alignment horizontal="right" vertical="center" wrapText="1"/>
    </xf>
    <xf numFmtId="180" fontId="19" fillId="5" borderId="0" xfId="0" applyNumberFormat="1" applyFont="1" applyFill="1"/>
    <xf numFmtId="0" fontId="188" fillId="5" borderId="14" xfId="0" applyFont="1" applyFill="1" applyBorder="1" applyAlignment="1" applyProtection="1">
      <alignment horizontal="center"/>
    </xf>
    <xf numFmtId="0" fontId="188" fillId="5" borderId="14" xfId="0" applyFont="1" applyFill="1" applyBorder="1" applyAlignment="1" applyProtection="1">
      <alignment vertical="center" wrapText="1"/>
    </xf>
    <xf numFmtId="180" fontId="183" fillId="5" borderId="14" xfId="0" applyNumberFormat="1" applyFont="1" applyFill="1" applyBorder="1" applyAlignment="1">
      <alignment horizontal="center" wrapText="1"/>
    </xf>
    <xf numFmtId="0" fontId="188" fillId="5" borderId="9" xfId="0" applyFont="1" applyFill="1" applyBorder="1" applyAlignment="1" applyProtection="1">
      <alignment horizontal="center"/>
    </xf>
    <xf numFmtId="0" fontId="183" fillId="5" borderId="9" xfId="0" applyFont="1" applyFill="1" applyBorder="1" applyAlignment="1" applyProtection="1">
      <alignment vertical="center" wrapText="1"/>
    </xf>
    <xf numFmtId="180" fontId="183" fillId="5" borderId="9" xfId="0" applyNumberFormat="1" applyFont="1" applyFill="1" applyBorder="1" applyAlignment="1">
      <alignment horizontal="center" wrapText="1"/>
    </xf>
    <xf numFmtId="0" fontId="183" fillId="5" borderId="9" xfId="0" applyFont="1" applyFill="1" applyBorder="1" applyAlignment="1" applyProtection="1">
      <alignment horizontal="center"/>
    </xf>
    <xf numFmtId="0" fontId="189" fillId="5" borderId="9" xfId="0" applyFont="1" applyFill="1" applyBorder="1" applyAlignment="1" applyProtection="1">
      <alignment vertical="center" wrapText="1"/>
    </xf>
    <xf numFmtId="0" fontId="188" fillId="5" borderId="9" xfId="0" applyFont="1" applyFill="1" applyBorder="1" applyAlignment="1" applyProtection="1">
      <alignment vertical="center" wrapText="1"/>
    </xf>
    <xf numFmtId="180" fontId="183" fillId="5" borderId="9" xfId="0" applyNumberFormat="1" applyFont="1" applyFill="1" applyBorder="1" applyAlignment="1">
      <alignment horizontal="center"/>
    </xf>
    <xf numFmtId="0" fontId="63" fillId="5" borderId="9" xfId="0" applyFont="1" applyFill="1" applyBorder="1" applyAlignment="1" applyProtection="1">
      <alignment horizontal="center"/>
    </xf>
    <xf numFmtId="0" fontId="63" fillId="5" borderId="9" xfId="0" applyFont="1" applyFill="1" applyBorder="1" applyAlignment="1" applyProtection="1">
      <alignment horizontal="left" vertical="center" wrapText="1"/>
    </xf>
    <xf numFmtId="180" fontId="63" fillId="5" borderId="9" xfId="0" applyNumberFormat="1" applyFont="1" applyFill="1" applyBorder="1" applyAlignment="1"/>
    <xf numFmtId="180" fontId="63" fillId="5" borderId="9" xfId="0" applyNumberFormat="1" applyFont="1" applyFill="1" applyBorder="1" applyAlignment="1">
      <alignment wrapText="1"/>
    </xf>
    <xf numFmtId="0" fontId="19" fillId="5" borderId="9" xfId="0" applyFont="1" applyFill="1" applyBorder="1" applyAlignment="1" applyProtection="1">
      <alignment horizontal="center"/>
    </xf>
    <xf numFmtId="0" fontId="19" fillId="5" borderId="9" xfId="0" applyFont="1" applyFill="1" applyBorder="1" applyAlignment="1" applyProtection="1">
      <alignment vertical="center" wrapText="1"/>
    </xf>
    <xf numFmtId="180" fontId="19" fillId="5" borderId="9" xfId="0" applyNumberFormat="1" applyFont="1" applyFill="1" applyBorder="1" applyAlignment="1"/>
    <xf numFmtId="0" fontId="183" fillId="5" borderId="15" xfId="0" applyFont="1" applyFill="1" applyBorder="1" applyAlignment="1" applyProtection="1">
      <alignment horizontal="center"/>
    </xf>
    <xf numFmtId="0" fontId="189" fillId="5" borderId="15" xfId="0" applyFont="1" applyFill="1" applyBorder="1" applyAlignment="1" applyProtection="1">
      <alignment vertical="center" wrapText="1"/>
    </xf>
    <xf numFmtId="180" fontId="183" fillId="5" borderId="15" xfId="0" applyNumberFormat="1" applyFont="1" applyFill="1" applyBorder="1" applyAlignment="1">
      <alignment horizontal="center"/>
    </xf>
    <xf numFmtId="180" fontId="183" fillId="5" borderId="15" xfId="0" applyNumberFormat="1" applyFont="1" applyFill="1" applyBorder="1" applyAlignment="1">
      <alignment horizontal="center" wrapText="1"/>
    </xf>
    <xf numFmtId="0" fontId="64" fillId="5" borderId="5" xfId="0" applyFont="1" applyFill="1" applyBorder="1" applyAlignment="1" applyProtection="1">
      <alignment horizontal="center" vertical="center"/>
    </xf>
    <xf numFmtId="0" fontId="64" fillId="5" borderId="5" xfId="0" applyFont="1" applyFill="1" applyBorder="1" applyAlignment="1" applyProtection="1">
      <alignment vertical="center" wrapText="1"/>
    </xf>
    <xf numFmtId="4" fontId="150" fillId="5" borderId="5" xfId="0" applyNumberFormat="1" applyFont="1" applyFill="1" applyBorder="1" applyAlignment="1">
      <alignment horizontal="right"/>
    </xf>
    <xf numFmtId="4" fontId="150" fillId="5" borderId="5" xfId="0" applyNumberFormat="1" applyFont="1" applyFill="1" applyBorder="1" applyAlignment="1">
      <alignment horizontal="right" wrapText="1"/>
    </xf>
    <xf numFmtId="0" fontId="150" fillId="5" borderId="5" xfId="0" applyFont="1" applyFill="1" applyBorder="1" applyAlignment="1" applyProtection="1">
      <alignment horizontal="center"/>
    </xf>
    <xf numFmtId="0" fontId="150" fillId="5" borderId="5" xfId="0" applyFont="1" applyFill="1" applyBorder="1" applyAlignment="1" applyProtection="1">
      <alignment vertical="center" wrapText="1"/>
    </xf>
    <xf numFmtId="4" fontId="150" fillId="5" borderId="5" xfId="0" applyNumberFormat="1" applyFont="1" applyFill="1" applyBorder="1" applyAlignment="1">
      <alignment horizontal="right" vertical="center"/>
    </xf>
    <xf numFmtId="4" fontId="150" fillId="5" borderId="5" xfId="0" applyNumberFormat="1" applyFont="1" applyFill="1" applyBorder="1" applyAlignment="1">
      <alignment horizontal="right" vertical="center" wrapText="1"/>
    </xf>
    <xf numFmtId="0" fontId="150" fillId="5" borderId="5" xfId="0" applyFont="1" applyFill="1" applyBorder="1" applyAlignment="1" applyProtection="1">
      <alignment horizontal="center" vertical="center"/>
    </xf>
    <xf numFmtId="0" fontId="190" fillId="5" borderId="0" xfId="0" applyFont="1" applyFill="1" applyAlignment="1">
      <alignment horizontal="left" indent="2"/>
    </xf>
    <xf numFmtId="180" fontId="183" fillId="5" borderId="14" xfId="0" applyNumberFormat="1" applyFont="1" applyFill="1" applyBorder="1" applyAlignment="1">
      <alignment horizontal="center"/>
    </xf>
    <xf numFmtId="0" fontId="190" fillId="5" borderId="0" xfId="0" applyFont="1" applyFill="1" applyBorder="1"/>
    <xf numFmtId="0" fontId="183" fillId="5" borderId="15" xfId="0" applyFont="1" applyFill="1" applyBorder="1" applyAlignment="1" applyProtection="1">
      <alignment vertical="center" wrapText="1"/>
    </xf>
    <xf numFmtId="0" fontId="64" fillId="5" borderId="5" xfId="0" applyFont="1" applyFill="1" applyBorder="1" applyAlignment="1" applyProtection="1">
      <alignment horizontal="left" vertical="center" wrapText="1"/>
    </xf>
    <xf numFmtId="4" fontId="64" fillId="5" borderId="5" xfId="0" applyNumberFormat="1" applyFont="1" applyFill="1" applyBorder="1" applyAlignment="1">
      <alignment horizontal="right"/>
    </xf>
    <xf numFmtId="4" fontId="64" fillId="5" borderId="5" xfId="0" applyNumberFormat="1" applyFont="1" applyFill="1" applyBorder="1" applyAlignment="1">
      <alignment horizontal="right" wrapText="1"/>
    </xf>
    <xf numFmtId="0" fontId="150" fillId="5" borderId="5" xfId="0" applyFont="1" applyFill="1" applyBorder="1" applyAlignment="1" applyProtection="1">
      <alignment horizontal="left" wrapText="1"/>
    </xf>
    <xf numFmtId="0" fontId="188" fillId="5" borderId="9" xfId="0" applyFont="1" applyFill="1" applyBorder="1" applyAlignment="1" applyProtection="1">
      <alignment horizontal="center" vertical="center" wrapText="1"/>
    </xf>
    <xf numFmtId="0" fontId="63" fillId="5" borderId="14" xfId="0" applyFont="1" applyFill="1" applyBorder="1" applyAlignment="1" applyProtection="1">
      <alignment horizontal="center"/>
    </xf>
    <xf numFmtId="0" fontId="63" fillId="5" borderId="14" xfId="0" applyFont="1" applyFill="1" applyBorder="1" applyAlignment="1" applyProtection="1">
      <alignment horizontal="center" vertical="center" wrapText="1"/>
    </xf>
    <xf numFmtId="180" fontId="63" fillId="5" borderId="14" xfId="0" applyNumberFormat="1" applyFont="1" applyFill="1" applyBorder="1" applyAlignment="1"/>
    <xf numFmtId="180" fontId="63" fillId="5" borderId="14" xfId="0" applyNumberFormat="1" applyFont="1" applyFill="1" applyBorder="1" applyAlignment="1">
      <alignment wrapText="1"/>
    </xf>
    <xf numFmtId="0" fontId="191" fillId="5" borderId="9" xfId="0" applyFont="1" applyFill="1" applyBorder="1" applyAlignment="1" applyProtection="1">
      <alignment horizontal="center" vertical="top" wrapText="1"/>
    </xf>
    <xf numFmtId="0" fontId="192" fillId="5" borderId="0" xfId="0" applyFont="1" applyFill="1"/>
    <xf numFmtId="0" fontId="193" fillId="5" borderId="0" xfId="0" applyFont="1" applyFill="1"/>
    <xf numFmtId="0" fontId="194" fillId="5" borderId="0" xfId="0" applyFont="1" applyFill="1"/>
    <xf numFmtId="0" fontId="67" fillId="5" borderId="5" xfId="0" applyFont="1" applyFill="1" applyBorder="1" applyAlignment="1" applyProtection="1">
      <alignment horizontal="center" vertical="top" wrapText="1"/>
    </xf>
    <xf numFmtId="0" fontId="67" fillId="5" borderId="5" xfId="0" applyFont="1" applyFill="1" applyBorder="1" applyAlignment="1" applyProtection="1">
      <alignment horizontal="left" vertical="top" wrapText="1"/>
    </xf>
    <xf numFmtId="0" fontId="188" fillId="5" borderId="3" xfId="0" applyFont="1" applyFill="1" applyBorder="1" applyAlignment="1" applyProtection="1">
      <alignment horizontal="center"/>
      <protection hidden="1"/>
    </xf>
    <xf numFmtId="0" fontId="188" fillId="5" borderId="3" xfId="0" applyFont="1" applyFill="1" applyBorder="1" applyAlignment="1" applyProtection="1">
      <alignment vertical="center" wrapText="1"/>
    </xf>
    <xf numFmtId="180" fontId="183" fillId="5" borderId="3" xfId="0" applyNumberFormat="1" applyFont="1" applyFill="1" applyBorder="1" applyAlignment="1">
      <alignment horizontal="center"/>
    </xf>
    <xf numFmtId="180" fontId="183" fillId="5" borderId="3" xfId="0" applyNumberFormat="1" applyFont="1" applyFill="1" applyBorder="1" applyAlignment="1">
      <alignment horizontal="center" wrapText="1"/>
    </xf>
    <xf numFmtId="0" fontId="64" fillId="5" borderId="5" xfId="0" applyFont="1" applyFill="1" applyBorder="1" applyAlignment="1" applyProtection="1">
      <alignment horizontal="center"/>
      <protection hidden="1"/>
    </xf>
    <xf numFmtId="0" fontId="150" fillId="5" borderId="5" xfId="0" applyFont="1" applyFill="1" applyBorder="1" applyAlignment="1" applyProtection="1">
      <alignment horizontal="center"/>
      <protection hidden="1"/>
    </xf>
    <xf numFmtId="0" fontId="183" fillId="5" borderId="3" xfId="0" applyFont="1" applyFill="1" applyBorder="1" applyAlignment="1" applyProtection="1">
      <alignment horizontal="center"/>
    </xf>
    <xf numFmtId="0" fontId="183" fillId="5" borderId="3" xfId="0" applyFont="1" applyFill="1" applyBorder="1" applyAlignment="1" applyProtection="1">
      <alignment vertical="center" wrapText="1"/>
    </xf>
    <xf numFmtId="0" fontId="188" fillId="5" borderId="14" xfId="0" applyFont="1" applyFill="1" applyBorder="1" applyAlignment="1" applyProtection="1">
      <alignment horizontal="center"/>
      <protection hidden="1"/>
    </xf>
    <xf numFmtId="0" fontId="188" fillId="5" borderId="15" xfId="0" applyFont="1" applyFill="1" applyBorder="1" applyAlignment="1" applyProtection="1">
      <alignment horizontal="center"/>
      <protection hidden="1"/>
    </xf>
    <xf numFmtId="0" fontId="188" fillId="5" borderId="15" xfId="0" applyFont="1" applyFill="1" applyBorder="1" applyAlignment="1" applyProtection="1">
      <alignment vertical="center" wrapText="1"/>
    </xf>
    <xf numFmtId="0" fontId="183" fillId="5" borderId="9" xfId="0" applyFont="1" applyFill="1" applyBorder="1" applyAlignment="1" applyProtection="1">
      <alignment horizontal="center"/>
      <protection hidden="1"/>
    </xf>
    <xf numFmtId="0" fontId="183" fillId="5" borderId="15" xfId="0" applyFont="1" applyFill="1" applyBorder="1" applyAlignment="1" applyProtection="1">
      <alignment horizontal="center"/>
      <protection hidden="1"/>
    </xf>
    <xf numFmtId="0" fontId="150" fillId="5" borderId="5" xfId="0" applyFont="1" applyFill="1" applyBorder="1" applyProtection="1"/>
    <xf numFmtId="0" fontId="64" fillId="5" borderId="5" xfId="0" applyFont="1" applyFill="1" applyBorder="1" applyAlignment="1" applyProtection="1">
      <alignment horizontal="left" vertical="center" wrapText="1"/>
      <protection hidden="1"/>
    </xf>
    <xf numFmtId="0" fontId="195" fillId="5" borderId="5" xfId="0" applyFont="1" applyFill="1" applyBorder="1"/>
    <xf numFmtId="0" fontId="68" fillId="5" borderId="5" xfId="48" applyFont="1" applyFill="1" applyBorder="1" applyAlignment="1" applyProtection="1">
      <alignment horizontal="left" vertical="center" wrapText="1"/>
      <protection hidden="1"/>
    </xf>
    <xf numFmtId="4" fontId="68" fillId="5" borderId="5" xfId="57" applyNumberFormat="1" applyFont="1" applyFill="1" applyBorder="1" applyAlignment="1" applyProtection="1">
      <alignment horizontal="right" vertical="center"/>
    </xf>
    <xf numFmtId="0" fontId="195" fillId="5" borderId="0" xfId="0" applyFont="1" applyFill="1" applyBorder="1"/>
    <xf numFmtId="0" fontId="68" fillId="5" borderId="0" xfId="48" applyFont="1" applyFill="1" applyBorder="1" applyAlignment="1" applyProtection="1">
      <alignment horizontal="left" vertical="center" wrapText="1"/>
      <protection hidden="1"/>
    </xf>
    <xf numFmtId="180" fontId="68" fillId="5" borderId="0" xfId="57" applyNumberFormat="1" applyFont="1" applyFill="1" applyBorder="1" applyAlignment="1" applyProtection="1">
      <alignment vertical="center"/>
    </xf>
    <xf numFmtId="180" fontId="68" fillId="0" borderId="0" xfId="57" applyNumberFormat="1" applyFont="1" applyFill="1" applyBorder="1" applyAlignment="1" applyProtection="1">
      <alignment vertical="center"/>
    </xf>
    <xf numFmtId="180" fontId="1" fillId="0" borderId="0" xfId="0" applyNumberFormat="1" applyFont="1" applyFill="1"/>
    <xf numFmtId="180" fontId="54" fillId="5" borderId="0" xfId="0" applyNumberFormat="1" applyFont="1" applyFill="1"/>
    <xf numFmtId="0" fontId="94" fillId="5" borderId="0" xfId="0" applyFont="1" applyFill="1" applyBorder="1" applyAlignment="1">
      <alignment horizontal="left"/>
    </xf>
    <xf numFmtId="0" fontId="64" fillId="5" borderId="0" xfId="0" applyFont="1" applyFill="1" applyBorder="1" applyAlignment="1">
      <alignment horizontal="left"/>
    </xf>
    <xf numFmtId="180" fontId="65" fillId="5" borderId="0" xfId="0" applyNumberFormat="1" applyFont="1" applyFill="1"/>
    <xf numFmtId="213" fontId="65" fillId="5" borderId="0" xfId="0" applyNumberFormat="1" applyFont="1" applyFill="1"/>
    <xf numFmtId="0" fontId="196" fillId="5" borderId="0" xfId="0" applyFont="1" applyFill="1"/>
    <xf numFmtId="0" fontId="143" fillId="5" borderId="0" xfId="0" applyFont="1" applyFill="1" applyAlignment="1">
      <alignment horizontal="center" vertical="center"/>
    </xf>
    <xf numFmtId="0" fontId="161" fillId="5" borderId="0" xfId="0" applyFont="1" applyFill="1" applyBorder="1" applyAlignment="1">
      <alignment horizontal="center" vertical="center" wrapText="1"/>
    </xf>
    <xf numFmtId="4" fontId="144" fillId="0" borderId="5" xfId="0" applyNumberFormat="1" applyFont="1" applyBorder="1"/>
    <xf numFmtId="4" fontId="144" fillId="0" borderId="5" xfId="0" applyNumberFormat="1" applyFont="1" applyBorder="1" applyAlignment="1">
      <alignment horizontal="right"/>
    </xf>
    <xf numFmtId="4" fontId="142" fillId="0" borderId="5" xfId="0" applyNumberFormat="1" applyFont="1" applyBorder="1"/>
    <xf numFmtId="0" fontId="144" fillId="0" borderId="5" xfId="0" applyFont="1" applyFill="1" applyBorder="1" applyAlignment="1">
      <alignment horizontal="left" vertical="center" wrapText="1"/>
    </xf>
    <xf numFmtId="0" fontId="135" fillId="0" borderId="5" xfId="0" applyFont="1" applyFill="1" applyBorder="1" applyAlignment="1">
      <alignment horizontal="left" vertical="center" wrapText="1"/>
    </xf>
    <xf numFmtId="4" fontId="147" fillId="0" borderId="5" xfId="0" applyNumberFormat="1" applyFont="1" applyFill="1" applyBorder="1" applyAlignment="1">
      <alignment horizontal="right"/>
    </xf>
    <xf numFmtId="181" fontId="68" fillId="0" borderId="0" xfId="0" applyNumberFormat="1" applyFont="1" applyBorder="1"/>
    <xf numFmtId="2" fontId="157" fillId="5" borderId="0" xfId="0" applyNumberFormat="1" applyFont="1" applyFill="1" applyAlignment="1">
      <alignment horizontal="center" vertical="center"/>
    </xf>
    <xf numFmtId="180" fontId="150" fillId="0" borderId="0" xfId="0" applyNumberFormat="1" applyFont="1" applyAlignment="1">
      <alignment horizontal="center"/>
    </xf>
    <xf numFmtId="180" fontId="19" fillId="0" borderId="0" xfId="0" applyNumberFormat="1" applyFont="1"/>
    <xf numFmtId="0" fontId="179" fillId="0" borderId="5" xfId="0" applyNumberFormat="1" applyFont="1" applyFill="1" applyBorder="1" applyAlignment="1">
      <alignment horizontal="center" vertical="center" wrapText="1"/>
    </xf>
    <xf numFmtId="180" fontId="52" fillId="0" borderId="5" xfId="0" applyNumberFormat="1" applyFont="1" applyBorder="1" applyAlignment="1" applyProtection="1">
      <alignment vertical="top" wrapText="1"/>
      <protection locked="0"/>
    </xf>
    <xf numFmtId="0" fontId="198" fillId="5" borderId="5" xfId="0" applyFont="1" applyFill="1" applyBorder="1" applyAlignment="1">
      <alignment vertical="center" wrapText="1"/>
    </xf>
    <xf numFmtId="0" fontId="123" fillId="5" borderId="0" xfId="0" applyFont="1" applyFill="1" applyBorder="1" applyAlignment="1">
      <alignment horizontal="left"/>
    </xf>
    <xf numFmtId="0" fontId="123" fillId="5" borderId="0" xfId="0" applyFont="1" applyFill="1" applyAlignment="1">
      <alignment horizontal="left"/>
    </xf>
    <xf numFmtId="0" fontId="123" fillId="5" borderId="0" xfId="0" applyFont="1" applyFill="1" applyAlignment="1">
      <alignment horizontal="center"/>
    </xf>
    <xf numFmtId="0" fontId="150" fillId="0" borderId="5" xfId="0" applyFont="1" applyBorder="1" applyAlignment="1">
      <alignment horizontal="center" vertical="center" wrapText="1"/>
    </xf>
    <xf numFmtId="0" fontId="150" fillId="0" borderId="5" xfId="0" applyFont="1" applyBorder="1" applyAlignment="1">
      <alignment horizontal="center" vertical="center"/>
    </xf>
    <xf numFmtId="180" fontId="64" fillId="5" borderId="5" xfId="0" applyNumberFormat="1" applyFont="1" applyFill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/>
    </xf>
    <xf numFmtId="4" fontId="64" fillId="0" borderId="5" xfId="0" applyNumberFormat="1" applyFont="1" applyBorder="1" applyAlignment="1">
      <alignment horizontal="center" vertical="center"/>
    </xf>
    <xf numFmtId="49" fontId="150" fillId="0" borderId="5" xfId="0" applyNumberFormat="1" applyFont="1" applyBorder="1" applyAlignment="1">
      <alignment horizontal="center" vertical="center"/>
    </xf>
    <xf numFmtId="0" fontId="151" fillId="0" borderId="5" xfId="0" applyFont="1" applyBorder="1" applyAlignment="1">
      <alignment horizontal="center" vertical="center" wrapText="1"/>
    </xf>
    <xf numFmtId="4" fontId="150" fillId="0" borderId="5" xfId="0" applyNumberFormat="1" applyFont="1" applyBorder="1" applyAlignment="1">
      <alignment horizontal="center" vertical="center"/>
    </xf>
    <xf numFmtId="49" fontId="64" fillId="0" borderId="5" xfId="0" applyNumberFormat="1" applyFont="1" applyBorder="1" applyAlignment="1">
      <alignment horizontal="center" vertical="center"/>
    </xf>
    <xf numFmtId="0" fontId="64" fillId="0" borderId="5" xfId="0" applyFont="1" applyBorder="1" applyAlignment="1">
      <alignment horizontal="center" vertical="center" wrapText="1"/>
    </xf>
    <xf numFmtId="180" fontId="14" fillId="0" borderId="5" xfId="0" applyNumberFormat="1" applyFont="1" applyFill="1" applyBorder="1" applyAlignment="1">
      <alignment horizontal="center" vertical="center" wrapText="1"/>
    </xf>
    <xf numFmtId="49" fontId="13" fillId="5" borderId="3" xfId="0" applyNumberFormat="1" applyFont="1" applyFill="1" applyBorder="1" applyAlignment="1">
      <alignment horizontal="center" vertical="center" wrapText="1"/>
    </xf>
    <xf numFmtId="180" fontId="14" fillId="0" borderId="3" xfId="0" applyNumberFormat="1" applyFont="1" applyFill="1" applyBorder="1" applyAlignment="1">
      <alignment horizontal="center" vertical="center" wrapText="1"/>
    </xf>
    <xf numFmtId="0" fontId="150" fillId="0" borderId="3" xfId="0" applyFont="1" applyBorder="1" applyAlignment="1">
      <alignment horizontal="center" vertical="center" wrapText="1"/>
    </xf>
    <xf numFmtId="4" fontId="150" fillId="0" borderId="3" xfId="0" applyNumberFormat="1" applyFont="1" applyBorder="1" applyAlignment="1">
      <alignment horizontal="center" vertical="center"/>
    </xf>
    <xf numFmtId="4" fontId="64" fillId="0" borderId="3" xfId="0" applyNumberFormat="1" applyFont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80" fontId="14" fillId="5" borderId="5" xfId="0" applyNumberFormat="1" applyFont="1" applyFill="1" applyBorder="1" applyAlignment="1">
      <alignment horizontal="center" vertical="center" wrapText="1"/>
    </xf>
    <xf numFmtId="49" fontId="150" fillId="0" borderId="7" xfId="0" applyNumberFormat="1" applyFont="1" applyBorder="1" applyAlignment="1">
      <alignment horizontal="center" vertical="center"/>
    </xf>
    <xf numFmtId="0" fontId="121" fillId="0" borderId="7" xfId="0" applyFont="1" applyBorder="1" applyAlignment="1">
      <alignment horizontal="center" vertical="center" wrapText="1"/>
    </xf>
    <xf numFmtId="0" fontId="151" fillId="0" borderId="7" xfId="0" applyFont="1" applyBorder="1" applyAlignment="1">
      <alignment horizontal="center" vertical="center" wrapText="1"/>
    </xf>
    <xf numFmtId="4" fontId="150" fillId="0" borderId="7" xfId="0" applyNumberFormat="1" applyFont="1" applyBorder="1" applyAlignment="1">
      <alignment horizontal="center" vertical="center"/>
    </xf>
    <xf numFmtId="4" fontId="150" fillId="0" borderId="7" xfId="0" applyNumberFormat="1" applyFont="1" applyBorder="1" applyAlignment="1">
      <alignment horizontal="center" vertical="center" wrapText="1"/>
    </xf>
    <xf numFmtId="49" fontId="150" fillId="0" borderId="4" xfId="0" applyNumberFormat="1" applyFont="1" applyBorder="1" applyAlignment="1">
      <alignment horizontal="center" vertical="center"/>
    </xf>
    <xf numFmtId="0" fontId="121" fillId="0" borderId="4" xfId="0" applyFont="1" applyBorder="1" applyAlignment="1">
      <alignment horizontal="center" vertical="center" wrapText="1"/>
    </xf>
    <xf numFmtId="0" fontId="151" fillId="0" borderId="4" xfId="0" applyFont="1" applyBorder="1" applyAlignment="1">
      <alignment horizontal="center" vertical="center" wrapText="1"/>
    </xf>
    <xf numFmtId="4" fontId="150" fillId="0" borderId="4" xfId="0" applyNumberFormat="1" applyFont="1" applyBorder="1" applyAlignment="1">
      <alignment horizontal="center" vertical="center"/>
    </xf>
    <xf numFmtId="4" fontId="150" fillId="0" borderId="4" xfId="0" applyNumberFormat="1" applyFont="1" applyBorder="1" applyAlignment="1">
      <alignment horizontal="center" vertical="center" wrapText="1"/>
    </xf>
    <xf numFmtId="49" fontId="64" fillId="0" borderId="7" xfId="0" applyNumberFormat="1" applyFont="1" applyBorder="1" applyAlignment="1">
      <alignment horizontal="center" vertical="center"/>
    </xf>
    <xf numFmtId="180" fontId="64" fillId="5" borderId="7" xfId="0" applyNumberFormat="1" applyFont="1" applyFill="1" applyBorder="1" applyAlignment="1">
      <alignment horizontal="center" vertical="center" wrapText="1"/>
    </xf>
    <xf numFmtId="0" fontId="64" fillId="0" borderId="7" xfId="0" applyFont="1" applyBorder="1" applyAlignment="1">
      <alignment horizontal="center" vertical="center"/>
    </xf>
    <xf numFmtId="4" fontId="64" fillId="0" borderId="7" xfId="0" applyNumberFormat="1" applyFont="1" applyBorder="1" applyAlignment="1">
      <alignment horizontal="center" vertical="center"/>
    </xf>
    <xf numFmtId="180" fontId="14" fillId="0" borderId="4" xfId="0" applyNumberFormat="1" applyFont="1" applyFill="1" applyBorder="1" applyAlignment="1">
      <alignment horizontal="center" vertical="center" wrapText="1"/>
    </xf>
    <xf numFmtId="0" fontId="150" fillId="0" borderId="4" xfId="0" applyFont="1" applyBorder="1" applyAlignment="1">
      <alignment horizontal="center" vertical="center" wrapText="1"/>
    </xf>
    <xf numFmtId="4" fontId="64" fillId="0" borderId="4" xfId="0" applyNumberFormat="1" applyFont="1" applyBorder="1" applyAlignment="1">
      <alignment horizontal="center" vertical="center"/>
    </xf>
    <xf numFmtId="180" fontId="200" fillId="5" borderId="7" xfId="0" applyNumberFormat="1" applyFont="1" applyFill="1" applyBorder="1" applyAlignment="1">
      <alignment horizontal="center" vertical="center" wrapText="1"/>
    </xf>
    <xf numFmtId="180" fontId="14" fillId="5" borderId="7" xfId="0" applyNumberFormat="1" applyFont="1" applyFill="1" applyBorder="1" applyAlignment="1">
      <alignment horizontal="center" vertical="center" wrapText="1"/>
    </xf>
    <xf numFmtId="0" fontId="150" fillId="0" borderId="7" xfId="0" applyFont="1" applyBorder="1" applyAlignment="1">
      <alignment horizontal="center" vertical="center" wrapText="1"/>
    </xf>
    <xf numFmtId="180" fontId="150" fillId="0" borderId="7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" fontId="14" fillId="5" borderId="5" xfId="0" applyNumberFormat="1" applyFont="1" applyFill="1" applyBorder="1" applyAlignment="1">
      <alignment horizontal="center" vertical="center" wrapText="1"/>
    </xf>
    <xf numFmtId="180" fontId="200" fillId="5" borderId="5" xfId="0" applyNumberFormat="1" applyFont="1" applyFill="1" applyBorder="1" applyAlignment="1">
      <alignment horizontal="center" vertical="center" wrapText="1"/>
    </xf>
    <xf numFmtId="180" fontId="200" fillId="5" borderId="4" xfId="0" applyNumberFormat="1" applyFont="1" applyFill="1" applyBorder="1" applyAlignment="1">
      <alignment horizontal="center" vertical="center" wrapText="1"/>
    </xf>
    <xf numFmtId="49" fontId="150" fillId="0" borderId="3" xfId="0" applyNumberFormat="1" applyFont="1" applyBorder="1" applyAlignment="1">
      <alignment horizontal="center" vertical="center"/>
    </xf>
    <xf numFmtId="0" fontId="121" fillId="5" borderId="3" xfId="0" applyFont="1" applyFill="1" applyBorder="1" applyAlignment="1">
      <alignment horizontal="center" vertical="center" wrapText="1"/>
    </xf>
    <xf numFmtId="4" fontId="150" fillId="0" borderId="3" xfId="0" applyNumberFormat="1" applyFont="1" applyBorder="1" applyAlignment="1">
      <alignment horizontal="center" vertical="center" wrapText="1"/>
    </xf>
    <xf numFmtId="4" fontId="150" fillId="0" borderId="5" xfId="0" applyNumberFormat="1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180" fontId="14" fillId="5" borderId="3" xfId="0" applyNumberFormat="1" applyFont="1" applyFill="1" applyBorder="1" applyAlignment="1">
      <alignment horizontal="center" vertical="center" wrapText="1"/>
    </xf>
    <xf numFmtId="4" fontId="200" fillId="5" borderId="3" xfId="0" applyNumberFormat="1" applyFont="1" applyFill="1" applyBorder="1" applyAlignment="1">
      <alignment horizontal="center" vertical="center" wrapText="1"/>
    </xf>
    <xf numFmtId="180" fontId="199" fillId="5" borderId="5" xfId="0" applyNumberFormat="1" applyFont="1" applyFill="1" applyBorder="1" applyAlignment="1">
      <alignment horizontal="center" vertical="center" wrapText="1"/>
    </xf>
    <xf numFmtId="4" fontId="52" fillId="0" borderId="5" xfId="0" applyNumberFormat="1" applyFont="1" applyBorder="1" applyAlignment="1">
      <alignment horizontal="center" vertical="center"/>
    </xf>
    <xf numFmtId="49" fontId="200" fillId="5" borderId="5" xfId="0" applyNumberFormat="1" applyFont="1" applyFill="1" applyBorder="1" applyAlignment="1">
      <alignment horizontal="center" vertical="center" wrapText="1"/>
    </xf>
    <xf numFmtId="49" fontId="200" fillId="5" borderId="3" xfId="0" applyNumberFormat="1" applyFont="1" applyFill="1" applyBorder="1" applyAlignment="1">
      <alignment horizontal="center" vertical="center" wrapText="1"/>
    </xf>
    <xf numFmtId="0" fontId="151" fillId="0" borderId="3" xfId="0" applyFont="1" applyBorder="1" applyAlignment="1">
      <alignment horizontal="center" vertical="center" wrapText="1"/>
    </xf>
    <xf numFmtId="4" fontId="151" fillId="0" borderId="5" xfId="0" applyNumberFormat="1" applyFont="1" applyBorder="1" applyAlignment="1">
      <alignment horizontal="center" vertical="center" wrapText="1"/>
    </xf>
    <xf numFmtId="180" fontId="15" fillId="5" borderId="5" xfId="0" applyNumberFormat="1" applyFont="1" applyFill="1" applyBorder="1" applyAlignment="1">
      <alignment horizontal="center" vertical="center" wrapText="1"/>
    </xf>
    <xf numFmtId="180" fontId="14" fillId="0" borderId="7" xfId="0" applyNumberFormat="1" applyFont="1" applyFill="1" applyBorder="1" applyAlignment="1">
      <alignment horizontal="center" vertical="center" wrapText="1"/>
    </xf>
    <xf numFmtId="180" fontId="14" fillId="0" borderId="7" xfId="0" applyNumberFormat="1" applyFont="1" applyBorder="1" applyAlignment="1">
      <alignment horizontal="center" vertical="center" wrapText="1"/>
    </xf>
    <xf numFmtId="180" fontId="150" fillId="0" borderId="7" xfId="0" applyNumberFormat="1" applyFont="1" applyBorder="1" applyAlignment="1">
      <alignment horizontal="center" vertical="center" wrapText="1"/>
    </xf>
    <xf numFmtId="180" fontId="14" fillId="0" borderId="5" xfId="0" applyNumberFormat="1" applyFont="1" applyBorder="1" applyAlignment="1">
      <alignment horizontal="center" vertical="center" wrapText="1"/>
    </xf>
    <xf numFmtId="180" fontId="150" fillId="0" borderId="5" xfId="0" applyNumberFormat="1" applyFont="1" applyBorder="1" applyAlignment="1">
      <alignment horizontal="center" vertical="center"/>
    </xf>
    <xf numFmtId="180" fontId="14" fillId="0" borderId="4" xfId="0" applyNumberFormat="1" applyFont="1" applyBorder="1" applyAlignment="1">
      <alignment horizontal="center" vertical="center" wrapText="1"/>
    </xf>
    <xf numFmtId="180" fontId="150" fillId="0" borderId="4" xfId="0" applyNumberFormat="1" applyFont="1" applyBorder="1" applyAlignment="1">
      <alignment horizontal="center" vertical="center"/>
    </xf>
    <xf numFmtId="180" fontId="183" fillId="0" borderId="7" xfId="0" applyNumberFormat="1" applyFont="1" applyBorder="1" applyAlignment="1">
      <alignment horizontal="right" vertical="center"/>
    </xf>
    <xf numFmtId="180" fontId="38" fillId="0" borderId="5" xfId="0" applyNumberFormat="1" applyFont="1" applyFill="1" applyBorder="1" applyAlignment="1">
      <alignment horizontal="center" vertical="center" wrapText="1"/>
    </xf>
    <xf numFmtId="180" fontId="64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7" fillId="5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180" fontId="150" fillId="5" borderId="5" xfId="0" applyNumberFormat="1" applyFont="1" applyFill="1" applyBorder="1" applyAlignment="1">
      <alignment horizontal="center" vertical="center" wrapText="1"/>
    </xf>
    <xf numFmtId="0" fontId="150" fillId="0" borderId="5" xfId="0" applyFont="1" applyFill="1" applyBorder="1" applyAlignment="1">
      <alignment horizontal="center" vertical="center" wrapText="1"/>
    </xf>
    <xf numFmtId="180" fontId="150" fillId="5" borderId="7" xfId="0" applyNumberFormat="1" applyFont="1" applyFill="1" applyBorder="1" applyAlignment="1">
      <alignment horizontal="center" vertical="center" wrapText="1"/>
    </xf>
    <xf numFmtId="0" fontId="150" fillId="0" borderId="7" xfId="0" applyFont="1" applyBorder="1" applyAlignment="1">
      <alignment horizontal="center" vertical="center"/>
    </xf>
    <xf numFmtId="0" fontId="150" fillId="0" borderId="7" xfId="0" applyFont="1" applyBorder="1" applyAlignment="1">
      <alignment horizontal="right" vertical="center"/>
    </xf>
    <xf numFmtId="4" fontId="19" fillId="0" borderId="5" xfId="0" applyNumberFormat="1" applyFont="1" applyBorder="1" applyAlignment="1">
      <alignment horizontal="center" vertical="center"/>
    </xf>
    <xf numFmtId="180" fontId="14" fillId="5" borderId="4" xfId="0" applyNumberFormat="1" applyFont="1" applyFill="1" applyBorder="1" applyAlignment="1">
      <alignment horizontal="center" vertical="center" wrapText="1"/>
    </xf>
    <xf numFmtId="49" fontId="199" fillId="5" borderId="5" xfId="0" applyNumberFormat="1" applyFont="1" applyFill="1" applyBorder="1" applyAlignment="1">
      <alignment horizontal="center" vertical="center" wrapText="1"/>
    </xf>
    <xf numFmtId="180" fontId="3" fillId="0" borderId="5" xfId="0" applyNumberFormat="1" applyFont="1" applyFill="1" applyBorder="1" applyAlignment="1">
      <alignment horizontal="left" vertical="center" wrapText="1"/>
    </xf>
    <xf numFmtId="0" fontId="121" fillId="0" borderId="3" xfId="0" applyFont="1" applyBorder="1" applyAlignment="1">
      <alignment horizontal="center" vertical="top" wrapText="1"/>
    </xf>
    <xf numFmtId="0" fontId="64" fillId="0" borderId="5" xfId="0" applyFont="1" applyBorder="1" applyAlignment="1">
      <alignment horizontal="left" vertical="center"/>
    </xf>
    <xf numFmtId="49" fontId="122" fillId="5" borderId="5" xfId="0" applyNumberFormat="1" applyFont="1" applyFill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122" fillId="5" borderId="5" xfId="0" applyFont="1" applyFill="1" applyBorder="1" applyAlignment="1">
      <alignment horizontal="center" vertical="center" wrapText="1"/>
    </xf>
    <xf numFmtId="0" fontId="122" fillId="0" borderId="3" xfId="0" applyFont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49" fontId="188" fillId="0" borderId="5" xfId="0" applyNumberFormat="1" applyFont="1" applyBorder="1" applyAlignment="1">
      <alignment horizontal="center" vertical="center"/>
    </xf>
    <xf numFmtId="0" fontId="188" fillId="0" borderId="5" xfId="0" applyFont="1" applyBorder="1" applyAlignment="1">
      <alignment horizontal="left" vertical="center" wrapText="1"/>
    </xf>
    <xf numFmtId="0" fontId="188" fillId="0" borderId="5" xfId="0" applyFont="1" applyBorder="1" applyAlignment="1">
      <alignment horizontal="left" vertical="center"/>
    </xf>
    <xf numFmtId="180" fontId="188" fillId="0" borderId="5" xfId="0" applyNumberFormat="1" applyFont="1" applyBorder="1" applyAlignment="1">
      <alignment horizontal="right" vertical="center"/>
    </xf>
    <xf numFmtId="0" fontId="188" fillId="0" borderId="5" xfId="0" applyFont="1" applyBorder="1"/>
    <xf numFmtId="49" fontId="183" fillId="0" borderId="5" xfId="0" applyNumberFormat="1" applyFont="1" applyBorder="1" applyAlignment="1">
      <alignment horizontal="center" vertical="center"/>
    </xf>
    <xf numFmtId="0" fontId="182" fillId="0" borderId="5" xfId="0" applyFont="1" applyBorder="1" applyAlignment="1">
      <alignment horizontal="left" vertical="center" wrapText="1"/>
    </xf>
    <xf numFmtId="180" fontId="183" fillId="0" borderId="5" xfId="0" applyNumberFormat="1" applyFont="1" applyBorder="1" applyAlignment="1">
      <alignment horizontal="right" vertical="center"/>
    </xf>
    <xf numFmtId="0" fontId="183" fillId="0" borderId="5" xfId="0" applyFont="1" applyBorder="1"/>
    <xf numFmtId="180" fontId="63" fillId="0" borderId="5" xfId="0" applyNumberFormat="1" applyFont="1" applyBorder="1" applyAlignment="1">
      <alignment horizontal="right" vertical="center"/>
    </xf>
    <xf numFmtId="0" fontId="183" fillId="0" borderId="5" xfId="0" applyFont="1" applyBorder="1" applyAlignment="1">
      <alignment horizontal="left" vertical="center" wrapText="1"/>
    </xf>
    <xf numFmtId="0" fontId="183" fillId="0" borderId="5" xfId="0" applyFont="1" applyBorder="1" applyAlignment="1">
      <alignment horizontal="left" vertical="center"/>
    </xf>
    <xf numFmtId="49" fontId="183" fillId="0" borderId="4" xfId="0" applyNumberFormat="1" applyFont="1" applyBorder="1" applyAlignment="1">
      <alignment horizontal="center" vertical="center"/>
    </xf>
    <xf numFmtId="0" fontId="183" fillId="0" borderId="4" xfId="0" applyFont="1" applyBorder="1" applyAlignment="1">
      <alignment horizontal="left" vertical="center"/>
    </xf>
    <xf numFmtId="0" fontId="183" fillId="0" borderId="4" xfId="0" applyFont="1" applyBorder="1" applyAlignment="1">
      <alignment horizontal="left" vertical="center" wrapText="1"/>
    </xf>
    <xf numFmtId="180" fontId="183" fillId="0" borderId="4" xfId="0" applyNumberFormat="1" applyFont="1" applyBorder="1" applyAlignment="1">
      <alignment horizontal="right" vertical="center"/>
    </xf>
    <xf numFmtId="0" fontId="183" fillId="0" borderId="4" xfId="0" applyFont="1" applyBorder="1"/>
    <xf numFmtId="49" fontId="52" fillId="0" borderId="5" xfId="0" applyNumberFormat="1" applyFont="1" applyBorder="1" applyAlignment="1">
      <alignment horizontal="center" vertical="center"/>
    </xf>
    <xf numFmtId="4" fontId="52" fillId="0" borderId="5" xfId="0" applyNumberFormat="1" applyFont="1" applyBorder="1"/>
    <xf numFmtId="4" fontId="52" fillId="0" borderId="5" xfId="0" applyNumberFormat="1" applyFont="1" applyBorder="1" applyAlignment="1">
      <alignment horizontal="right" vertical="center"/>
    </xf>
    <xf numFmtId="49" fontId="52" fillId="0" borderId="3" xfId="0" applyNumberFormat="1" applyFont="1" applyBorder="1" applyAlignment="1">
      <alignment horizontal="center" vertical="center"/>
    </xf>
    <xf numFmtId="4" fontId="52" fillId="0" borderId="3" xfId="0" applyNumberFormat="1" applyFont="1" applyBorder="1"/>
    <xf numFmtId="4" fontId="52" fillId="0" borderId="3" xfId="0" applyNumberFormat="1" applyFont="1" applyBorder="1" applyAlignment="1">
      <alignment horizontal="right" vertical="center"/>
    </xf>
    <xf numFmtId="4" fontId="52" fillId="0" borderId="3" xfId="0" applyNumberFormat="1" applyFont="1" applyBorder="1" applyAlignment="1">
      <alignment horizontal="center" vertical="center"/>
    </xf>
    <xf numFmtId="0" fontId="122" fillId="0" borderId="7" xfId="0" applyFont="1" applyBorder="1" applyAlignment="1">
      <alignment horizontal="center" vertical="center" wrapText="1"/>
    </xf>
    <xf numFmtId="4" fontId="52" fillId="0" borderId="7" xfId="0" applyNumberFormat="1" applyFont="1" applyBorder="1" applyAlignment="1">
      <alignment horizontal="center" vertical="center"/>
    </xf>
    <xf numFmtId="49" fontId="52" fillId="0" borderId="4" xfId="0" applyNumberFormat="1" applyFont="1" applyBorder="1" applyAlignment="1">
      <alignment horizontal="center" vertical="center"/>
    </xf>
    <xf numFmtId="0" fontId="150" fillId="0" borderId="4" xfId="0" applyFont="1" applyBorder="1" applyAlignment="1">
      <alignment horizontal="center" vertical="center"/>
    </xf>
    <xf numFmtId="4" fontId="52" fillId="0" borderId="4" xfId="0" applyNumberFormat="1" applyFont="1" applyBorder="1"/>
    <xf numFmtId="4" fontId="52" fillId="0" borderId="4" xfId="0" applyNumberFormat="1" applyFont="1" applyBorder="1" applyAlignment="1">
      <alignment horizontal="right" vertical="center"/>
    </xf>
    <xf numFmtId="0" fontId="64" fillId="0" borderId="5" xfId="0" applyFont="1" applyBorder="1"/>
    <xf numFmtId="180" fontId="202" fillId="0" borderId="0" xfId="0" applyNumberFormat="1" applyFont="1"/>
    <xf numFmtId="0" fontId="122" fillId="5" borderId="4" xfId="0" applyFont="1" applyFill="1" applyBorder="1" applyAlignment="1">
      <alignment horizontal="center" vertical="center" wrapText="1"/>
    </xf>
    <xf numFmtId="0" fontId="122" fillId="5" borderId="3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49" fontId="188" fillId="0" borderId="7" xfId="0" applyNumberFormat="1" applyFont="1" applyBorder="1" applyAlignment="1">
      <alignment horizontal="center" vertical="center"/>
    </xf>
    <xf numFmtId="180" fontId="63" fillId="5" borderId="7" xfId="0" applyNumberFormat="1" applyFont="1" applyFill="1" applyBorder="1" applyAlignment="1">
      <alignment horizontal="center" vertical="center" wrapText="1"/>
    </xf>
    <xf numFmtId="0" fontId="188" fillId="0" borderId="7" xfId="0" applyFont="1" applyBorder="1" applyAlignment="1">
      <alignment horizontal="left" vertical="center"/>
    </xf>
    <xf numFmtId="180" fontId="63" fillId="0" borderId="7" xfId="0" applyNumberFormat="1" applyFont="1" applyBorder="1" applyAlignment="1">
      <alignment horizontal="right" vertical="center"/>
    </xf>
    <xf numFmtId="0" fontId="188" fillId="0" borderId="7" xfId="0" applyFont="1" applyBorder="1"/>
    <xf numFmtId="0" fontId="45" fillId="0" borderId="4" xfId="0" applyFont="1" applyBorder="1" applyAlignment="1">
      <alignment horizontal="left" vertical="center" wrapText="1"/>
    </xf>
    <xf numFmtId="0" fontId="183" fillId="0" borderId="4" xfId="0" applyFont="1" applyBorder="1" applyAlignment="1">
      <alignment horizontal="center" vertical="center" wrapText="1"/>
    </xf>
    <xf numFmtId="180" fontId="183" fillId="0" borderId="4" xfId="0" applyNumberFormat="1" applyFont="1" applyBorder="1" applyAlignment="1">
      <alignment horizontal="center" vertical="center"/>
    </xf>
    <xf numFmtId="4" fontId="183" fillId="0" borderId="5" xfId="0" applyNumberFormat="1" applyFont="1" applyBorder="1" applyAlignment="1">
      <alignment horizontal="center" vertical="center" wrapText="1"/>
    </xf>
    <xf numFmtId="4" fontId="183" fillId="0" borderId="5" xfId="0" applyNumberFormat="1" applyFont="1" applyBorder="1" applyAlignment="1">
      <alignment horizontal="center" vertical="center"/>
    </xf>
    <xf numFmtId="4" fontId="183" fillId="0" borderId="3" xfId="0" applyNumberFormat="1" applyFont="1" applyBorder="1" applyAlignment="1">
      <alignment horizontal="center" vertical="center" wrapText="1"/>
    </xf>
    <xf numFmtId="4" fontId="183" fillId="0" borderId="3" xfId="0" applyNumberFormat="1" applyFont="1" applyBorder="1" applyAlignment="1">
      <alignment horizontal="center" vertical="center"/>
    </xf>
    <xf numFmtId="4" fontId="64" fillId="0" borderId="5" xfId="0" applyNumberFormat="1" applyFont="1" applyBorder="1" applyAlignment="1">
      <alignment horizontal="center"/>
    </xf>
    <xf numFmtId="0" fontId="150" fillId="5" borderId="5" xfId="0" applyFont="1" applyFill="1" applyBorder="1" applyAlignment="1" applyProtection="1">
      <alignment horizontal="center" vertical="center" wrapText="1"/>
    </xf>
    <xf numFmtId="4" fontId="150" fillId="5" borderId="5" xfId="0" applyNumberFormat="1" applyFont="1" applyFill="1" applyBorder="1" applyAlignment="1">
      <alignment horizontal="center" vertical="center" wrapText="1"/>
    </xf>
    <xf numFmtId="0" fontId="150" fillId="0" borderId="5" xfId="0" applyFont="1" applyBorder="1" applyAlignment="1">
      <alignment horizontal="left" vertical="center" wrapText="1"/>
    </xf>
    <xf numFmtId="180" fontId="150" fillId="0" borderId="5" xfId="0" applyNumberFormat="1" applyFont="1" applyBorder="1" applyAlignment="1">
      <alignment horizontal="right" vertical="center"/>
    </xf>
    <xf numFmtId="0" fontId="150" fillId="0" borderId="5" xfId="0" applyFont="1" applyBorder="1"/>
    <xf numFmtId="4" fontId="183" fillId="0" borderId="4" xfId="0" applyNumberFormat="1" applyFont="1" applyBorder="1" applyAlignment="1">
      <alignment horizontal="center" vertical="center" wrapText="1"/>
    </xf>
    <xf numFmtId="4" fontId="183" fillId="0" borderId="4" xfId="0" applyNumberFormat="1" applyFont="1" applyBorder="1" applyAlignment="1">
      <alignment horizontal="center" vertical="center"/>
    </xf>
    <xf numFmtId="0" fontId="150" fillId="5" borderId="3" xfId="0" applyNumberFormat="1" applyFont="1" applyFill="1" applyBorder="1" applyAlignment="1">
      <alignment horizontal="center" vertical="center" wrapText="1"/>
    </xf>
    <xf numFmtId="0" fontId="135" fillId="5" borderId="3" xfId="0" applyNumberFormat="1" applyFont="1" applyFill="1" applyBorder="1" applyAlignment="1">
      <alignment vertical="top" wrapText="1"/>
    </xf>
    <xf numFmtId="0" fontId="121" fillId="0" borderId="5" xfId="0" applyFont="1" applyBorder="1" applyAlignment="1">
      <alignment horizontal="center" vertical="center" wrapText="1"/>
    </xf>
    <xf numFmtId="180" fontId="150" fillId="0" borderId="3" xfId="0" applyNumberFormat="1" applyFont="1" applyBorder="1" applyAlignment="1">
      <alignment horizontal="center" vertical="center"/>
    </xf>
    <xf numFmtId="180" fontId="150" fillId="5" borderId="3" xfId="0" applyNumberFormat="1" applyFont="1" applyFill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/>
    </xf>
    <xf numFmtId="0" fontId="64" fillId="0" borderId="7" xfId="0" applyFont="1" applyBorder="1" applyAlignment="1">
      <alignment horizontal="center" vertical="center" wrapText="1"/>
    </xf>
    <xf numFmtId="4" fontId="123" fillId="0" borderId="5" xfId="0" applyNumberFormat="1" applyFont="1" applyBorder="1" applyAlignment="1">
      <alignment horizontal="center" vertical="center"/>
    </xf>
    <xf numFmtId="4" fontId="135" fillId="0" borderId="5" xfId="0" applyNumberFormat="1" applyFont="1" applyBorder="1" applyAlignment="1">
      <alignment horizontal="center" vertical="center"/>
    </xf>
    <xf numFmtId="4" fontId="0" fillId="0" borderId="0" xfId="0" applyNumberFormat="1"/>
    <xf numFmtId="49" fontId="183" fillId="0" borderId="0" xfId="0" applyNumberFormat="1" applyFont="1" applyAlignment="1">
      <alignment horizontal="center" vertical="center"/>
    </xf>
    <xf numFmtId="0" fontId="183" fillId="0" borderId="0" xfId="0" applyFont="1"/>
    <xf numFmtId="180" fontId="183" fillId="0" borderId="0" xfId="0" applyNumberFormat="1" applyFont="1"/>
    <xf numFmtId="49" fontId="183" fillId="0" borderId="0" xfId="0" applyNumberFormat="1" applyFont="1" applyBorder="1" applyAlignment="1">
      <alignment horizontal="center" vertical="center"/>
    </xf>
    <xf numFmtId="0" fontId="135" fillId="0" borderId="0" xfId="0" applyFont="1"/>
    <xf numFmtId="180" fontId="135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38" fillId="5" borderId="5" xfId="0" applyFont="1" applyFill="1" applyBorder="1" applyAlignment="1">
      <alignment vertical="center" wrapText="1"/>
    </xf>
    <xf numFmtId="0" fontId="52" fillId="5" borderId="5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52" fillId="5" borderId="3" xfId="0" applyFont="1" applyFill="1" applyBorder="1" applyAlignment="1">
      <alignment horizontal="center" vertical="center" wrapText="1"/>
    </xf>
    <xf numFmtId="0" fontId="167" fillId="5" borderId="0" xfId="0" applyFont="1" applyFill="1" applyAlignment="1">
      <alignment horizontal="center" vertical="center"/>
    </xf>
    <xf numFmtId="0" fontId="52" fillId="5" borderId="3" xfId="0" applyFont="1" applyFill="1" applyBorder="1" applyAlignment="1">
      <alignment vertical="center" wrapText="1"/>
    </xf>
    <xf numFmtId="4" fontId="52" fillId="5" borderId="3" xfId="0" applyNumberFormat="1" applyFont="1" applyFill="1" applyBorder="1" applyAlignment="1">
      <alignment vertical="center" wrapText="1"/>
    </xf>
    <xf numFmtId="4" fontId="38" fillId="5" borderId="3" xfId="0" applyNumberFormat="1" applyFont="1" applyFill="1" applyBorder="1" applyAlignment="1">
      <alignment vertical="center" wrapText="1"/>
    </xf>
    <xf numFmtId="0" fontId="52" fillId="5" borderId="7" xfId="0" applyFont="1" applyFill="1" applyBorder="1" applyAlignment="1">
      <alignment horizontal="center" vertical="center" wrapText="1"/>
    </xf>
    <xf numFmtId="0" fontId="52" fillId="5" borderId="7" xfId="0" applyFont="1" applyFill="1" applyBorder="1" applyAlignment="1">
      <alignment vertical="center" wrapText="1"/>
    </xf>
    <xf numFmtId="4" fontId="52" fillId="5" borderId="7" xfId="0" applyNumberFormat="1" applyFont="1" applyFill="1" applyBorder="1" applyAlignment="1">
      <alignment vertical="center" wrapText="1"/>
    </xf>
    <xf numFmtId="4" fontId="38" fillId="5" borderId="7" xfId="0" applyNumberFormat="1" applyFont="1" applyFill="1" applyBorder="1" applyAlignment="1">
      <alignment vertical="center" wrapText="1"/>
    </xf>
    <xf numFmtId="0" fontId="52" fillId="5" borderId="4" xfId="0" applyFont="1" applyFill="1" applyBorder="1" applyAlignment="1">
      <alignment horizontal="center" vertical="center" wrapText="1"/>
    </xf>
    <xf numFmtId="0" fontId="52" fillId="5" borderId="4" xfId="0" applyFont="1" applyFill="1" applyBorder="1" applyAlignment="1">
      <alignment vertical="center" wrapText="1"/>
    </xf>
    <xf numFmtId="4" fontId="52" fillId="5" borderId="4" xfId="0" applyNumberFormat="1" applyFont="1" applyFill="1" applyBorder="1" applyAlignment="1">
      <alignment vertical="center" wrapText="1"/>
    </xf>
    <xf numFmtId="4" fontId="38" fillId="5" borderId="4" xfId="0" applyNumberFormat="1" applyFont="1" applyFill="1" applyBorder="1" applyAlignment="1">
      <alignment vertical="center" wrapText="1"/>
    </xf>
    <xf numFmtId="1" fontId="38" fillId="5" borderId="5" xfId="0" applyNumberFormat="1" applyFont="1" applyFill="1" applyBorder="1" applyAlignment="1">
      <alignment horizontal="center" vertical="center" wrapText="1"/>
    </xf>
    <xf numFmtId="0" fontId="35" fillId="5" borderId="3" xfId="0" applyFont="1" applyFill="1" applyBorder="1" applyAlignment="1">
      <alignment vertical="top" wrapText="1"/>
    </xf>
    <xf numFmtId="180" fontId="35" fillId="5" borderId="3" xfId="0" applyNumberFormat="1" applyFont="1" applyFill="1" applyBorder="1" applyAlignment="1">
      <alignment vertical="top" wrapText="1"/>
    </xf>
    <xf numFmtId="180" fontId="205" fillId="5" borderId="3" xfId="0" applyNumberFormat="1" applyFont="1" applyFill="1" applyBorder="1" applyAlignment="1">
      <alignment horizontal="center" vertical="top" wrapText="1"/>
    </xf>
    <xf numFmtId="180" fontId="36" fillId="5" borderId="3" xfId="0" applyNumberFormat="1" applyFont="1" applyFill="1" applyBorder="1" applyAlignment="1">
      <alignment vertical="top" wrapText="1"/>
    </xf>
    <xf numFmtId="1" fontId="198" fillId="5" borderId="5" xfId="0" applyNumberFormat="1" applyFont="1" applyFill="1" applyBorder="1" applyAlignment="1">
      <alignment horizontal="center" vertical="center" wrapText="1"/>
    </xf>
    <xf numFmtId="0" fontId="38" fillId="5" borderId="7" xfId="0" applyFont="1" applyFill="1" applyBorder="1" applyAlignment="1">
      <alignment horizontal="center" vertical="center" wrapText="1"/>
    </xf>
    <xf numFmtId="0" fontId="185" fillId="0" borderId="7" xfId="0" applyFont="1" applyBorder="1" applyAlignment="1">
      <alignment vertical="center" wrapText="1"/>
    </xf>
    <xf numFmtId="0" fontId="110" fillId="0" borderId="4" xfId="0" applyFont="1" applyBorder="1" applyAlignment="1">
      <alignment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vertical="center" wrapText="1"/>
    </xf>
    <xf numFmtId="180" fontId="19" fillId="5" borderId="7" xfId="0" applyNumberFormat="1" applyFont="1" applyFill="1" applyBorder="1" applyAlignment="1">
      <alignment vertical="center" wrapText="1"/>
    </xf>
    <xf numFmtId="180" fontId="38" fillId="5" borderId="7" xfId="0" applyNumberFormat="1" applyFont="1" applyFill="1" applyBorder="1" applyAlignment="1">
      <alignment vertical="center" wrapText="1"/>
    </xf>
    <xf numFmtId="180" fontId="52" fillId="5" borderId="4" xfId="0" applyNumberFormat="1" applyFont="1" applyFill="1" applyBorder="1" applyAlignment="1">
      <alignment vertical="center" wrapText="1"/>
    </xf>
    <xf numFmtId="180" fontId="38" fillId="5" borderId="4" xfId="0" applyNumberFormat="1" applyFont="1" applyFill="1" applyBorder="1" applyAlignment="1">
      <alignment vertical="center" wrapText="1"/>
    </xf>
    <xf numFmtId="1" fontId="52" fillId="0" borderId="7" xfId="0" applyNumberFormat="1" applyFont="1" applyBorder="1" applyAlignment="1">
      <alignment wrapText="1"/>
    </xf>
    <xf numFmtId="180" fontId="52" fillId="5" borderId="7" xfId="0" applyNumberFormat="1" applyFont="1" applyFill="1" applyBorder="1" applyAlignment="1">
      <alignment vertical="center" wrapText="1"/>
    </xf>
    <xf numFmtId="1" fontId="52" fillId="0" borderId="5" xfId="0" applyNumberFormat="1" applyFont="1" applyBorder="1" applyAlignment="1">
      <alignment wrapText="1"/>
    </xf>
    <xf numFmtId="0" fontId="183" fillId="5" borderId="3" xfId="0" applyFont="1" applyFill="1" applyBorder="1" applyAlignment="1">
      <alignment horizontal="center" vertical="center" wrapText="1"/>
    </xf>
    <xf numFmtId="0" fontId="183" fillId="5" borderId="3" xfId="0" applyFont="1" applyFill="1" applyBorder="1" applyAlignment="1">
      <alignment vertical="center" wrapText="1"/>
    </xf>
    <xf numFmtId="180" fontId="19" fillId="5" borderId="3" xfId="0" applyNumberFormat="1" applyFont="1" applyFill="1" applyBorder="1" applyAlignment="1">
      <alignment vertical="center" wrapText="1"/>
    </xf>
    <xf numFmtId="180" fontId="38" fillId="5" borderId="3" xfId="0" applyNumberFormat="1" applyFont="1" applyFill="1" applyBorder="1" applyAlignment="1">
      <alignment vertical="center" wrapText="1"/>
    </xf>
    <xf numFmtId="0" fontId="52" fillId="5" borderId="16" xfId="0" applyFont="1" applyFill="1" applyBorder="1" applyAlignment="1">
      <alignment vertical="center" wrapText="1"/>
    </xf>
    <xf numFmtId="4" fontId="19" fillId="5" borderId="3" xfId="0" applyNumberFormat="1" applyFont="1" applyFill="1" applyBorder="1" applyAlignment="1">
      <alignment vertical="center" wrapText="1"/>
    </xf>
    <xf numFmtId="0" fontId="207" fillId="0" borderId="5" xfId="0" applyFont="1" applyBorder="1" applyAlignment="1">
      <alignment horizontal="center" vertical="center"/>
    </xf>
    <xf numFmtId="0" fontId="207" fillId="0" borderId="5" xfId="0" applyFont="1" applyBorder="1" applyAlignment="1">
      <alignment vertical="center" wrapText="1"/>
    </xf>
    <xf numFmtId="4" fontId="63" fillId="5" borderId="5" xfId="0" applyNumberFormat="1" applyFont="1" applyFill="1" applyBorder="1" applyAlignment="1">
      <alignment vertical="center" wrapText="1"/>
    </xf>
    <xf numFmtId="0" fontId="208" fillId="0" borderId="5" xfId="0" applyFont="1" applyBorder="1" applyAlignment="1">
      <alignment horizontal="center" vertical="center"/>
    </xf>
    <xf numFmtId="0" fontId="208" fillId="0" borderId="5" xfId="0" applyFont="1" applyBorder="1" applyAlignment="1">
      <alignment vertical="center" wrapText="1"/>
    </xf>
    <xf numFmtId="180" fontId="52" fillId="5" borderId="3" xfId="0" applyNumberFormat="1" applyFont="1" applyFill="1" applyBorder="1" applyAlignment="1">
      <alignment vertical="center" wrapText="1"/>
    </xf>
    <xf numFmtId="0" fontId="19" fillId="5" borderId="5" xfId="0" applyFont="1" applyFill="1" applyBorder="1"/>
    <xf numFmtId="0" fontId="38" fillId="5" borderId="5" xfId="0" applyFont="1" applyFill="1" applyBorder="1" applyAlignment="1">
      <alignment horizontal="center" vertical="center"/>
    </xf>
    <xf numFmtId="180" fontId="210" fillId="5" borderId="3" xfId="0" applyNumberFormat="1" applyFont="1" applyFill="1" applyBorder="1" applyAlignment="1">
      <alignment vertical="top" wrapText="1"/>
    </xf>
    <xf numFmtId="0" fontId="198" fillId="5" borderId="5" xfId="0" applyFont="1" applyFill="1" applyBorder="1" applyAlignment="1">
      <alignment horizontal="center" vertical="center" wrapText="1"/>
    </xf>
    <xf numFmtId="180" fontId="35" fillId="5" borderId="3" xfId="0" applyNumberFormat="1" applyFont="1" applyFill="1" applyBorder="1" applyAlignment="1">
      <alignment horizontal="right" vertical="top" wrapText="1"/>
    </xf>
    <xf numFmtId="180" fontId="205" fillId="5" borderId="3" xfId="0" applyNumberFormat="1" applyFont="1" applyFill="1" applyBorder="1" applyAlignment="1">
      <alignment horizontal="right" vertical="top" wrapText="1"/>
    </xf>
    <xf numFmtId="180" fontId="36" fillId="5" borderId="3" xfId="0" applyNumberFormat="1" applyFont="1" applyFill="1" applyBorder="1" applyAlignment="1">
      <alignment horizontal="right" vertical="top" wrapText="1"/>
    </xf>
    <xf numFmtId="4" fontId="205" fillId="5" borderId="5" xfId="0" applyNumberFormat="1" applyFont="1" applyFill="1" applyBorder="1" applyAlignment="1">
      <alignment horizontal="right" vertical="top" wrapText="1"/>
    </xf>
    <xf numFmtId="0" fontId="35" fillId="5" borderId="7" xfId="0" applyFont="1" applyFill="1" applyBorder="1" applyAlignment="1">
      <alignment vertical="top" wrapText="1"/>
    </xf>
    <xf numFmtId="180" fontId="35" fillId="5" borderId="7" xfId="0" applyNumberFormat="1" applyFont="1" applyFill="1" applyBorder="1" applyAlignment="1">
      <alignment vertical="top" wrapText="1"/>
    </xf>
    <xf numFmtId="180" fontId="205" fillId="5" borderId="7" xfId="0" applyNumberFormat="1" applyFont="1" applyFill="1" applyBorder="1" applyAlignment="1">
      <alignment horizontal="center" vertical="top" wrapText="1"/>
    </xf>
    <xf numFmtId="0" fontId="35" fillId="5" borderId="4" xfId="0" applyFont="1" applyFill="1" applyBorder="1" applyAlignment="1">
      <alignment vertical="top" wrapText="1"/>
    </xf>
    <xf numFmtId="180" fontId="205" fillId="5" borderId="4" xfId="0" applyNumberFormat="1" applyFont="1" applyFill="1" applyBorder="1" applyAlignment="1">
      <alignment horizontal="center" vertical="top" wrapText="1"/>
    </xf>
    <xf numFmtId="180" fontId="35" fillId="5" borderId="4" xfId="0" applyNumberFormat="1" applyFont="1" applyFill="1" applyBorder="1" applyAlignment="1">
      <alignment vertical="top" wrapText="1"/>
    </xf>
    <xf numFmtId="180" fontId="36" fillId="5" borderId="4" xfId="0" applyNumberFormat="1" applyFont="1" applyFill="1" applyBorder="1" applyAlignment="1">
      <alignment vertical="top" wrapText="1"/>
    </xf>
    <xf numFmtId="0" fontId="63" fillId="5" borderId="5" xfId="0" applyFont="1" applyFill="1" applyBorder="1" applyAlignment="1">
      <alignment vertical="top" wrapText="1"/>
    </xf>
    <xf numFmtId="180" fontId="63" fillId="5" borderId="5" xfId="0" applyNumberFormat="1" applyFont="1" applyFill="1" applyBorder="1" applyAlignment="1">
      <alignment horizontal="right" vertical="top" wrapText="1"/>
    </xf>
    <xf numFmtId="180" fontId="19" fillId="5" borderId="5" xfId="0" applyNumberFormat="1" applyFont="1" applyFill="1" applyBorder="1" applyAlignment="1">
      <alignment horizontal="right" vertical="top" wrapText="1"/>
    </xf>
    <xf numFmtId="180" fontId="38" fillId="5" borderId="5" xfId="0" applyNumberFormat="1" applyFont="1" applyFill="1" applyBorder="1" applyAlignment="1">
      <alignment vertical="top" wrapText="1"/>
    </xf>
    <xf numFmtId="0" fontId="19" fillId="5" borderId="5" xfId="0" applyFont="1" applyFill="1" applyBorder="1" applyAlignment="1">
      <alignment vertical="top" wrapText="1"/>
    </xf>
    <xf numFmtId="0" fontId="19" fillId="5" borderId="7" xfId="0" applyFont="1" applyFill="1" applyBorder="1" applyAlignment="1">
      <alignment vertical="top" wrapText="1"/>
    </xf>
    <xf numFmtId="180" fontId="36" fillId="5" borderId="7" xfId="0" applyNumberFormat="1" applyFont="1" applyFill="1" applyBorder="1" applyAlignment="1">
      <alignment vertical="top" wrapText="1"/>
    </xf>
    <xf numFmtId="0" fontId="19" fillId="5" borderId="4" xfId="0" applyFont="1" applyFill="1" applyBorder="1" applyAlignment="1">
      <alignment vertical="top" wrapText="1"/>
    </xf>
    <xf numFmtId="0" fontId="63" fillId="5" borderId="7" xfId="0" applyFont="1" applyFill="1" applyBorder="1" applyAlignment="1">
      <alignment horizontal="center" vertical="center" wrapText="1"/>
    </xf>
    <xf numFmtId="0" fontId="63" fillId="5" borderId="7" xfId="0" applyFont="1" applyFill="1" applyBorder="1" applyAlignment="1">
      <alignment vertical="center" wrapText="1"/>
    </xf>
    <xf numFmtId="180" fontId="63" fillId="5" borderId="7" xfId="0" applyNumberFormat="1" applyFont="1" applyFill="1" applyBorder="1" applyAlignment="1">
      <alignment vertical="center" wrapText="1"/>
    </xf>
    <xf numFmtId="0" fontId="19" fillId="5" borderId="7" xfId="0" applyFont="1" applyFill="1" applyBorder="1" applyAlignment="1">
      <alignment horizontal="right" vertical="center" wrapText="1"/>
    </xf>
    <xf numFmtId="1" fontId="19" fillId="5" borderId="3" xfId="0" applyNumberFormat="1" applyFont="1" applyFill="1" applyBorder="1" applyAlignment="1">
      <alignment vertical="top" wrapText="1"/>
    </xf>
    <xf numFmtId="0" fontId="19" fillId="5" borderId="3" xfId="0" applyFont="1" applyFill="1" applyBorder="1" applyAlignment="1">
      <alignment vertical="top" wrapText="1"/>
    </xf>
    <xf numFmtId="180" fontId="19" fillId="5" borderId="3" xfId="0" applyNumberFormat="1" applyFont="1" applyFill="1" applyBorder="1" applyAlignment="1">
      <alignment vertical="top" wrapText="1"/>
    </xf>
    <xf numFmtId="180" fontId="205" fillId="5" borderId="5" xfId="0" applyNumberFormat="1" applyFont="1" applyFill="1" applyBorder="1" applyAlignment="1">
      <alignment horizontal="center" vertical="top" wrapText="1"/>
    </xf>
    <xf numFmtId="180" fontId="36" fillId="5" borderId="5" xfId="0" applyNumberFormat="1" applyFont="1" applyFill="1" applyBorder="1" applyAlignment="1">
      <alignment vertical="top" wrapText="1"/>
    </xf>
    <xf numFmtId="0" fontId="38" fillId="5" borderId="5" xfId="0" applyFont="1" applyFill="1" applyBorder="1" applyAlignment="1">
      <alignment vertical="top" wrapText="1"/>
    </xf>
    <xf numFmtId="4" fontId="198" fillId="5" borderId="5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top" wrapText="1"/>
    </xf>
    <xf numFmtId="180" fontId="2" fillId="5" borderId="5" xfId="0" applyNumberFormat="1" applyFont="1" applyFill="1" applyBorder="1" applyAlignment="1">
      <alignment vertical="top" wrapText="1"/>
    </xf>
    <xf numFmtId="0" fontId="35" fillId="5" borderId="5" xfId="0" applyFont="1" applyFill="1" applyBorder="1" applyAlignment="1">
      <alignment vertical="top" wrapText="1"/>
    </xf>
    <xf numFmtId="0" fontId="38" fillId="5" borderId="5" xfId="0" applyFont="1" applyFill="1" applyBorder="1" applyAlignment="1">
      <alignment horizontal="center" vertical="top" wrapText="1"/>
    </xf>
    <xf numFmtId="4" fontId="38" fillId="5" borderId="5" xfId="0" applyNumberFormat="1" applyFont="1" applyFill="1" applyBorder="1" applyAlignment="1">
      <alignment vertical="top" wrapText="1"/>
    </xf>
    <xf numFmtId="4" fontId="36" fillId="5" borderId="5" xfId="0" applyNumberFormat="1" applyFont="1" applyFill="1" applyBorder="1" applyAlignment="1">
      <alignment vertical="top" wrapText="1"/>
    </xf>
    <xf numFmtId="0" fontId="0" fillId="5" borderId="11" xfId="0" applyFill="1" applyBorder="1"/>
    <xf numFmtId="4" fontId="38" fillId="5" borderId="5" xfId="0" applyNumberFormat="1" applyFont="1" applyFill="1" applyBorder="1" applyAlignment="1">
      <alignment horizontal="center" vertical="center" wrapText="1"/>
    </xf>
    <xf numFmtId="4" fontId="36" fillId="5" borderId="5" xfId="0" applyNumberFormat="1" applyFont="1" applyFill="1" applyBorder="1" applyAlignment="1">
      <alignment vertical="center" wrapText="1"/>
    </xf>
    <xf numFmtId="180" fontId="19" fillId="5" borderId="7" xfId="0" applyNumberFormat="1" applyFont="1" applyFill="1" applyBorder="1" applyAlignment="1">
      <alignment vertical="top" wrapText="1"/>
    </xf>
    <xf numFmtId="180" fontId="43" fillId="5" borderId="5" xfId="0" applyNumberFormat="1" applyFont="1" applyFill="1" applyBorder="1" applyAlignment="1">
      <alignment vertical="top" wrapText="1"/>
    </xf>
    <xf numFmtId="180" fontId="35" fillId="5" borderId="5" xfId="0" applyNumberFormat="1" applyFont="1" applyFill="1" applyBorder="1" applyAlignment="1">
      <alignment horizontal="right" vertical="top" wrapText="1"/>
    </xf>
    <xf numFmtId="180" fontId="35" fillId="5" borderId="4" xfId="0" applyNumberFormat="1" applyFont="1" applyFill="1" applyBorder="1" applyAlignment="1">
      <alignment horizontal="right" vertical="top" wrapText="1"/>
    </xf>
    <xf numFmtId="180" fontId="43" fillId="5" borderId="4" xfId="0" applyNumberFormat="1" applyFont="1" applyFill="1" applyBorder="1" applyAlignment="1">
      <alignment vertical="top" wrapText="1"/>
    </xf>
    <xf numFmtId="0" fontId="35" fillId="5" borderId="4" xfId="0" applyFont="1" applyFill="1" applyBorder="1" applyAlignment="1">
      <alignment horizontal="center" vertical="top" wrapText="1"/>
    </xf>
    <xf numFmtId="4" fontId="35" fillId="5" borderId="5" xfId="0" applyNumberFormat="1" applyFont="1" applyFill="1" applyBorder="1" applyAlignment="1">
      <alignment vertical="center" wrapText="1"/>
    </xf>
    <xf numFmtId="4" fontId="198" fillId="5" borderId="5" xfId="0" applyNumberFormat="1" applyFont="1" applyFill="1" applyBorder="1" applyAlignment="1">
      <alignment horizontal="right" vertical="center" wrapText="1"/>
    </xf>
    <xf numFmtId="4" fontId="205" fillId="5" borderId="5" xfId="0" applyNumberFormat="1" applyFont="1" applyFill="1" applyBorder="1" applyAlignment="1">
      <alignment horizontal="center" vertical="center" wrapText="1"/>
    </xf>
    <xf numFmtId="4" fontId="43" fillId="5" borderId="5" xfId="0" applyNumberFormat="1" applyFont="1" applyFill="1" applyBorder="1" applyAlignment="1">
      <alignment vertical="center" wrapText="1"/>
    </xf>
    <xf numFmtId="0" fontId="198" fillId="5" borderId="7" xfId="0" applyFont="1" applyFill="1" applyBorder="1" applyAlignment="1">
      <alignment horizontal="center" vertical="center" wrapText="1"/>
    </xf>
    <xf numFmtId="0" fontId="198" fillId="5" borderId="7" xfId="0" applyFont="1" applyFill="1" applyBorder="1" applyAlignment="1">
      <alignment vertical="center" wrapText="1"/>
    </xf>
    <xf numFmtId="180" fontId="198" fillId="5" borderId="7" xfId="0" applyNumberFormat="1" applyFont="1" applyFill="1" applyBorder="1" applyAlignment="1">
      <alignment vertical="center" wrapText="1"/>
    </xf>
    <xf numFmtId="180" fontId="198" fillId="5" borderId="7" xfId="0" applyNumberFormat="1" applyFont="1" applyFill="1" applyBorder="1" applyAlignment="1">
      <alignment horizontal="right" vertical="center" wrapText="1"/>
    </xf>
    <xf numFmtId="180" fontId="36" fillId="5" borderId="7" xfId="0" applyNumberFormat="1" applyFont="1" applyFill="1" applyBorder="1" applyAlignment="1">
      <alignment vertical="center" wrapText="1"/>
    </xf>
    <xf numFmtId="0" fontId="198" fillId="5" borderId="4" xfId="0" applyFont="1" applyFill="1" applyBorder="1" applyAlignment="1">
      <alignment horizontal="center" vertical="center" wrapText="1"/>
    </xf>
    <xf numFmtId="0" fontId="198" fillId="5" borderId="4" xfId="0" applyFont="1" applyFill="1" applyBorder="1" applyAlignment="1">
      <alignment vertical="center" wrapText="1"/>
    </xf>
    <xf numFmtId="180" fontId="198" fillId="5" borderId="4" xfId="0" applyNumberFormat="1" applyFont="1" applyFill="1" applyBorder="1" applyAlignment="1">
      <alignment vertical="center" wrapText="1"/>
    </xf>
    <xf numFmtId="180" fontId="198" fillId="5" borderId="4" xfId="0" applyNumberFormat="1" applyFont="1" applyFill="1" applyBorder="1" applyAlignment="1">
      <alignment horizontal="right" vertical="center" wrapText="1"/>
    </xf>
    <xf numFmtId="180" fontId="43" fillId="5" borderId="4" xfId="0" applyNumberFormat="1" applyFont="1" applyFill="1" applyBorder="1" applyAlignment="1">
      <alignment vertical="center" wrapText="1"/>
    </xf>
    <xf numFmtId="0" fontId="63" fillId="5" borderId="0" xfId="0" applyFont="1" applyFill="1"/>
    <xf numFmtId="49" fontId="36" fillId="5" borderId="5" xfId="0" applyNumberFormat="1" applyFont="1" applyFill="1" applyBorder="1" applyAlignment="1" applyProtection="1">
      <alignment horizontal="center" vertical="center"/>
    </xf>
    <xf numFmtId="0" fontId="36" fillId="5" borderId="5" xfId="0" applyFont="1" applyFill="1" applyBorder="1" applyAlignment="1">
      <alignment vertical="center" wrapText="1"/>
    </xf>
    <xf numFmtId="1" fontId="36" fillId="5" borderId="5" xfId="0" applyNumberFormat="1" applyFont="1" applyFill="1" applyBorder="1" applyAlignment="1" applyProtection="1">
      <alignment horizontal="center" vertical="center"/>
    </xf>
    <xf numFmtId="1" fontId="52" fillId="5" borderId="5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top" wrapText="1"/>
    </xf>
    <xf numFmtId="0" fontId="52" fillId="5" borderId="5" xfId="0" applyFont="1" applyFill="1" applyBorder="1" applyAlignment="1">
      <alignment horizontal="center" vertical="center"/>
    </xf>
    <xf numFmtId="181" fontId="87" fillId="5" borderId="0" xfId="0" applyNumberFormat="1" applyFont="1" applyFill="1"/>
    <xf numFmtId="0" fontId="4" fillId="5" borderId="7" xfId="0" applyFont="1" applyFill="1" applyBorder="1" applyAlignment="1">
      <alignment vertical="top" wrapText="1"/>
    </xf>
    <xf numFmtId="180" fontId="212" fillId="5" borderId="7" xfId="0" applyNumberFormat="1" applyFont="1" applyFill="1" applyBorder="1" applyAlignment="1">
      <alignment horizontal="right" vertical="top" wrapText="1"/>
    </xf>
    <xf numFmtId="180" fontId="4" fillId="5" borderId="7" xfId="0" applyNumberFormat="1" applyFont="1" applyFill="1" applyBorder="1" applyAlignment="1">
      <alignment horizontal="right" vertical="top" wrapText="1"/>
    </xf>
    <xf numFmtId="180" fontId="43" fillId="5" borderId="7" xfId="0" applyNumberFormat="1" applyFont="1" applyFill="1" applyBorder="1" applyAlignment="1">
      <alignment vertical="top" wrapText="1"/>
    </xf>
    <xf numFmtId="180" fontId="205" fillId="5" borderId="5" xfId="0" applyNumberFormat="1" applyFont="1" applyFill="1" applyBorder="1" applyAlignment="1">
      <alignment horizontal="right" vertical="top" wrapText="1"/>
    </xf>
    <xf numFmtId="180" fontId="205" fillId="5" borderId="4" xfId="0" applyNumberFormat="1" applyFont="1" applyFill="1" applyBorder="1" applyAlignment="1">
      <alignment horizontal="right" vertical="top" wrapText="1"/>
    </xf>
    <xf numFmtId="180" fontId="192" fillId="5" borderId="0" xfId="0" applyNumberFormat="1" applyFont="1" applyFill="1"/>
    <xf numFmtId="213" fontId="35" fillId="5" borderId="3" xfId="0" applyNumberFormat="1" applyFont="1" applyFill="1" applyBorder="1" applyAlignment="1">
      <alignment vertical="top" wrapText="1"/>
    </xf>
    <xf numFmtId="213" fontId="205" fillId="5" borderId="3" xfId="0" applyNumberFormat="1" applyFont="1" applyFill="1" applyBorder="1" applyAlignment="1">
      <alignment horizontal="center" vertical="top" wrapText="1"/>
    </xf>
    <xf numFmtId="213" fontId="36" fillId="5" borderId="3" xfId="0" applyNumberFormat="1" applyFont="1" applyFill="1" applyBorder="1" applyAlignment="1">
      <alignment vertical="top" wrapText="1"/>
    </xf>
    <xf numFmtId="180" fontId="38" fillId="5" borderId="3" xfId="0" applyNumberFormat="1" applyFont="1" applyFill="1" applyBorder="1" applyAlignment="1">
      <alignment vertical="top" wrapText="1"/>
    </xf>
    <xf numFmtId="0" fontId="208" fillId="0" borderId="7" xfId="0" applyFont="1" applyBorder="1" applyAlignment="1">
      <alignment vertical="center" wrapText="1"/>
    </xf>
    <xf numFmtId="4" fontId="19" fillId="5" borderId="7" xfId="0" applyNumberFormat="1" applyFont="1" applyFill="1" applyBorder="1" applyAlignment="1">
      <alignment vertical="center" wrapText="1"/>
    </xf>
    <xf numFmtId="1" fontId="52" fillId="0" borderId="7" xfId="0" applyNumberFormat="1" applyFont="1" applyBorder="1" applyAlignment="1">
      <alignment horizontal="left" wrapText="1"/>
    </xf>
    <xf numFmtId="4" fontId="19" fillId="5" borderId="7" xfId="0" applyNumberFormat="1" applyFont="1" applyFill="1" applyBorder="1" applyAlignment="1">
      <alignment vertical="top" wrapText="1"/>
    </xf>
    <xf numFmtId="4" fontId="38" fillId="5" borderId="7" xfId="0" applyNumberFormat="1" applyFont="1" applyFill="1" applyBorder="1" applyAlignment="1">
      <alignment vertical="top" wrapText="1"/>
    </xf>
    <xf numFmtId="0" fontId="208" fillId="0" borderId="0" xfId="0" applyFont="1" applyAlignment="1">
      <alignment vertical="center" wrapText="1"/>
    </xf>
    <xf numFmtId="4" fontId="179" fillId="5" borderId="4" xfId="0" applyNumberFormat="1" applyFont="1" applyFill="1" applyBorder="1" applyAlignment="1">
      <alignment horizontal="right" vertical="top" wrapText="1"/>
    </xf>
    <xf numFmtId="4" fontId="38" fillId="5" borderId="4" xfId="0" applyNumberFormat="1" applyFont="1" applyFill="1" applyBorder="1" applyAlignment="1">
      <alignment vertical="top" wrapText="1"/>
    </xf>
    <xf numFmtId="0" fontId="52" fillId="5" borderId="4" xfId="0" applyFont="1" applyFill="1" applyBorder="1" applyAlignment="1" applyProtection="1">
      <alignment horizontal="justify" vertical="center" wrapText="1"/>
    </xf>
    <xf numFmtId="0" fontId="38" fillId="5" borderId="16" xfId="0" applyFont="1" applyFill="1" applyBorder="1" applyAlignment="1">
      <alignment vertical="top" wrapText="1"/>
    </xf>
    <xf numFmtId="181" fontId="19" fillId="5" borderId="0" xfId="0" applyNumberFormat="1" applyFont="1" applyFill="1"/>
    <xf numFmtId="180" fontId="63" fillId="5" borderId="3" xfId="0" applyNumberFormat="1" applyFont="1" applyFill="1" applyBorder="1" applyAlignment="1">
      <alignment vertical="top" wrapText="1"/>
    </xf>
    <xf numFmtId="180" fontId="52" fillId="5" borderId="3" xfId="0" applyNumberFormat="1" applyFont="1" applyFill="1" applyBorder="1" applyAlignment="1">
      <alignment vertical="top" wrapText="1"/>
    </xf>
    <xf numFmtId="0" fontId="50" fillId="5" borderId="5" xfId="0" applyFont="1" applyFill="1" applyBorder="1" applyAlignment="1">
      <alignment vertical="top" wrapText="1"/>
    </xf>
    <xf numFmtId="4" fontId="179" fillId="5" borderId="5" xfId="0" applyNumberFormat="1" applyFont="1" applyFill="1" applyBorder="1" applyAlignment="1">
      <alignment horizontal="right" vertical="center" wrapText="1"/>
    </xf>
    <xf numFmtId="0" fontId="52" fillId="5" borderId="3" xfId="0" applyFont="1" applyFill="1" applyBorder="1" applyAlignment="1">
      <alignment horizontal="left" vertical="center" wrapText="1"/>
    </xf>
    <xf numFmtId="4" fontId="19" fillId="5" borderId="3" xfId="0" applyNumberFormat="1" applyFont="1" applyFill="1" applyBorder="1" applyAlignment="1">
      <alignment horizontal="right" vertical="top" wrapText="1"/>
    </xf>
    <xf numFmtId="0" fontId="19" fillId="5" borderId="3" xfId="0" applyNumberFormat="1" applyFont="1" applyFill="1" applyBorder="1" applyAlignment="1">
      <alignment vertical="center" wrapText="1"/>
    </xf>
    <xf numFmtId="0" fontId="52" fillId="5" borderId="7" xfId="0" applyNumberFormat="1" applyFont="1" applyFill="1" applyBorder="1" applyAlignment="1">
      <alignment vertical="center" wrapText="1"/>
    </xf>
    <xf numFmtId="0" fontId="183" fillId="5" borderId="7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 applyProtection="1">
      <alignment vertical="center" wrapText="1"/>
    </xf>
    <xf numFmtId="0" fontId="183" fillId="5" borderId="17" xfId="0" applyFont="1" applyFill="1" applyBorder="1" applyAlignment="1">
      <alignment horizontal="right" vertical="top" wrapText="1"/>
    </xf>
    <xf numFmtId="0" fontId="19" fillId="5" borderId="7" xfId="0" applyFont="1" applyFill="1" applyBorder="1" applyAlignment="1">
      <alignment horizontal="left" wrapText="1"/>
    </xf>
    <xf numFmtId="180" fontId="19" fillId="5" borderId="18" xfId="0" applyNumberFormat="1" applyFont="1" applyFill="1" applyBorder="1" applyAlignment="1">
      <alignment vertical="top" wrapText="1"/>
    </xf>
    <xf numFmtId="180" fontId="38" fillId="5" borderId="7" xfId="0" applyNumberFormat="1" applyFont="1" applyFill="1" applyBorder="1" applyAlignment="1">
      <alignment vertical="top" wrapText="1"/>
    </xf>
    <xf numFmtId="0" fontId="183" fillId="5" borderId="17" xfId="0" applyFont="1" applyFill="1" applyBorder="1" applyAlignment="1">
      <alignment vertical="top" wrapText="1"/>
    </xf>
    <xf numFmtId="4" fontId="19" fillId="5" borderId="5" xfId="0" applyNumberFormat="1" applyFont="1" applyFill="1" applyBorder="1" applyAlignment="1">
      <alignment horizontal="right" vertical="center" wrapText="1"/>
    </xf>
    <xf numFmtId="0" fontId="183" fillId="5" borderId="19" xfId="0" applyFont="1" applyFill="1" applyBorder="1" applyAlignment="1">
      <alignment horizontal="right" vertical="top" wrapText="1"/>
    </xf>
    <xf numFmtId="0" fontId="19" fillId="5" borderId="4" xfId="0" applyFont="1" applyFill="1" applyBorder="1" applyAlignment="1">
      <alignment horizontal="left" wrapText="1"/>
    </xf>
    <xf numFmtId="180" fontId="19" fillId="5" borderId="20" xfId="0" applyNumberFormat="1" applyFont="1" applyFill="1" applyBorder="1" applyAlignment="1">
      <alignment vertical="top" wrapText="1"/>
    </xf>
    <xf numFmtId="180" fontId="19" fillId="5" borderId="4" xfId="0" applyNumberFormat="1" applyFont="1" applyFill="1" applyBorder="1" applyAlignment="1">
      <alignment vertical="top" wrapText="1"/>
    </xf>
    <xf numFmtId="180" fontId="38" fillId="5" borderId="4" xfId="0" applyNumberFormat="1" applyFont="1" applyFill="1" applyBorder="1" applyAlignment="1">
      <alignment vertical="top" wrapText="1"/>
    </xf>
    <xf numFmtId="180" fontId="43" fillId="5" borderId="7" xfId="0" applyNumberFormat="1" applyFont="1" applyFill="1" applyBorder="1" applyAlignment="1">
      <alignment horizontal="center" vertical="center" wrapText="1"/>
    </xf>
    <xf numFmtId="180" fontId="4" fillId="5" borderId="7" xfId="0" applyNumberFormat="1" applyFont="1" applyFill="1" applyBorder="1" applyAlignment="1">
      <alignment vertical="center" wrapText="1"/>
    </xf>
    <xf numFmtId="0" fontId="183" fillId="5" borderId="7" xfId="0" applyFont="1" applyFill="1" applyBorder="1" applyAlignment="1">
      <alignment horizontal="right" vertical="top" wrapText="1"/>
    </xf>
    <xf numFmtId="0" fontId="19" fillId="5" borderId="7" xfId="0" applyFont="1" applyFill="1" applyBorder="1" applyAlignment="1">
      <alignment horizontal="left" vertical="top" wrapText="1"/>
    </xf>
    <xf numFmtId="0" fontId="183" fillId="5" borderId="17" xfId="0" applyFont="1" applyFill="1" applyBorder="1" applyAlignment="1">
      <alignment horizontal="center" vertical="top" wrapText="1"/>
    </xf>
    <xf numFmtId="0" fontId="183" fillId="5" borderId="2" xfId="0" applyFont="1" applyFill="1" applyBorder="1" applyAlignment="1">
      <alignment horizontal="right" vertical="top" wrapText="1"/>
    </xf>
    <xf numFmtId="0" fontId="19" fillId="5" borderId="15" xfId="0" applyFont="1" applyFill="1" applyBorder="1" applyAlignment="1" applyProtection="1">
      <alignment horizontal="justify" vertical="center" wrapText="1"/>
    </xf>
    <xf numFmtId="180" fontId="19" fillId="5" borderId="16" xfId="0" applyNumberFormat="1" applyFont="1" applyFill="1" applyBorder="1" applyAlignment="1">
      <alignment vertical="top" wrapText="1"/>
    </xf>
    <xf numFmtId="0" fontId="19" fillId="0" borderId="7" xfId="0" applyFont="1" applyBorder="1" applyAlignment="1" applyProtection="1">
      <alignment vertical="center" wrapText="1"/>
      <protection locked="0"/>
    </xf>
    <xf numFmtId="180" fontId="35" fillId="5" borderId="7" xfId="0" applyNumberFormat="1" applyFont="1" applyFill="1" applyBorder="1" applyAlignment="1">
      <alignment vertical="center" wrapText="1"/>
    </xf>
    <xf numFmtId="180" fontId="35" fillId="5" borderId="7" xfId="0" applyNumberFormat="1" applyFont="1" applyFill="1" applyBorder="1" applyAlignment="1">
      <alignment horizontal="right" vertical="center" wrapText="1"/>
    </xf>
    <xf numFmtId="180" fontId="205" fillId="5" borderId="7" xfId="0" applyNumberFormat="1" applyFont="1" applyFill="1" applyBorder="1" applyAlignment="1">
      <alignment horizontal="center" vertical="center" wrapText="1"/>
    </xf>
    <xf numFmtId="0" fontId="183" fillId="5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 applyProtection="1">
      <alignment vertical="center" wrapText="1"/>
    </xf>
    <xf numFmtId="0" fontId="210" fillId="5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 applyProtection="1">
      <alignment vertical="center" wrapText="1"/>
      <protection locked="0"/>
    </xf>
    <xf numFmtId="180" fontId="35" fillId="5" borderId="5" xfId="0" applyNumberFormat="1" applyFont="1" applyFill="1" applyBorder="1" applyAlignment="1">
      <alignment vertical="center" wrapText="1"/>
    </xf>
    <xf numFmtId="0" fontId="19" fillId="5" borderId="5" xfId="0" applyFont="1" applyFill="1" applyBorder="1" applyAlignment="1" applyProtection="1">
      <alignment horizontal="justify" vertical="center" wrapText="1"/>
    </xf>
    <xf numFmtId="0" fontId="183" fillId="5" borderId="7" xfId="0" applyFont="1" applyFill="1" applyBorder="1" applyAlignment="1">
      <alignment vertical="top" wrapText="1"/>
    </xf>
    <xf numFmtId="180" fontId="19" fillId="5" borderId="7" xfId="0" applyNumberFormat="1" applyFont="1" applyFill="1" applyBorder="1" applyAlignment="1">
      <alignment horizontal="right" vertical="top" wrapText="1"/>
    </xf>
    <xf numFmtId="180" fontId="63" fillId="5" borderId="7" xfId="0" applyNumberFormat="1" applyFont="1" applyFill="1" applyBorder="1" applyAlignment="1">
      <alignment horizontal="right" vertical="top" wrapText="1"/>
    </xf>
    <xf numFmtId="180" fontId="52" fillId="5" borderId="7" xfId="0" applyNumberFormat="1" applyFont="1" applyFill="1" applyBorder="1" applyAlignment="1">
      <alignment vertical="top" wrapText="1"/>
    </xf>
    <xf numFmtId="0" fontId="213" fillId="5" borderId="7" xfId="0" applyFont="1" applyFill="1" applyBorder="1" applyAlignment="1">
      <alignment vertical="top" wrapText="1"/>
    </xf>
    <xf numFmtId="0" fontId="210" fillId="5" borderId="5" xfId="0" applyFont="1" applyFill="1" applyBorder="1" applyAlignment="1">
      <alignment vertical="top" wrapText="1"/>
    </xf>
    <xf numFmtId="0" fontId="210" fillId="5" borderId="4" xfId="0" applyFont="1" applyFill="1" applyBorder="1" applyAlignment="1">
      <alignment vertical="top" wrapText="1"/>
    </xf>
    <xf numFmtId="180" fontId="35" fillId="5" borderId="20" xfId="0" applyNumberFormat="1" applyFont="1" applyFill="1" applyBorder="1" applyAlignment="1">
      <alignment vertical="top" wrapText="1"/>
    </xf>
    <xf numFmtId="0" fontId="210" fillId="5" borderId="21" xfId="0" applyFont="1" applyFill="1" applyBorder="1" applyAlignment="1">
      <alignment vertical="top" wrapText="1"/>
    </xf>
    <xf numFmtId="0" fontId="19" fillId="5" borderId="21" xfId="0" applyFont="1" applyFill="1" applyBorder="1" applyAlignment="1">
      <alignment vertical="top" wrapText="1"/>
    </xf>
    <xf numFmtId="180" fontId="35" fillId="5" borderId="21" xfId="0" applyNumberFormat="1" applyFont="1" applyFill="1" applyBorder="1" applyAlignment="1">
      <alignment vertical="top" wrapText="1"/>
    </xf>
    <xf numFmtId="180" fontId="205" fillId="5" borderId="21" xfId="0" applyNumberFormat="1" applyFont="1" applyFill="1" applyBorder="1" applyAlignment="1">
      <alignment horizontal="center" vertical="top" wrapText="1"/>
    </xf>
    <xf numFmtId="180" fontId="38" fillId="5" borderId="21" xfId="0" applyNumberFormat="1" applyFont="1" applyFill="1" applyBorder="1" applyAlignment="1">
      <alignment vertical="top" wrapText="1"/>
    </xf>
    <xf numFmtId="0" fontId="210" fillId="5" borderId="15" xfId="0" applyFont="1" applyFill="1" applyBorder="1" applyAlignment="1">
      <alignment vertical="center" wrapText="1"/>
    </xf>
    <xf numFmtId="0" fontId="19" fillId="0" borderId="15" xfId="0" applyFont="1" applyBorder="1" applyAlignment="1" applyProtection="1">
      <alignment vertical="center" wrapText="1"/>
      <protection locked="0"/>
    </xf>
    <xf numFmtId="180" fontId="35" fillId="5" borderId="15" xfId="0" applyNumberFormat="1" applyFont="1" applyFill="1" applyBorder="1" applyAlignment="1">
      <alignment vertical="center" wrapText="1"/>
    </xf>
    <xf numFmtId="180" fontId="35" fillId="5" borderId="15" xfId="0" applyNumberFormat="1" applyFont="1" applyFill="1" applyBorder="1" applyAlignment="1">
      <alignment horizontal="right" vertical="center" wrapText="1"/>
    </xf>
    <xf numFmtId="180" fontId="205" fillId="5" borderId="15" xfId="0" applyNumberFormat="1" applyFont="1" applyFill="1" applyBorder="1" applyAlignment="1">
      <alignment horizontal="center" vertical="center" wrapText="1"/>
    </xf>
    <xf numFmtId="180" fontId="38" fillId="5" borderId="15" xfId="0" applyNumberFormat="1" applyFont="1" applyFill="1" applyBorder="1" applyAlignment="1">
      <alignment vertical="center" wrapText="1"/>
    </xf>
    <xf numFmtId="0" fontId="52" fillId="0" borderId="7" xfId="0" applyFont="1" applyBorder="1" applyAlignment="1" applyProtection="1">
      <alignment vertical="center" wrapText="1"/>
      <protection locked="0"/>
    </xf>
    <xf numFmtId="4" fontId="35" fillId="5" borderId="7" xfId="0" applyNumberFormat="1" applyFont="1" applyFill="1" applyBorder="1" applyAlignment="1">
      <alignment vertical="center" wrapText="1"/>
    </xf>
    <xf numFmtId="4" fontId="205" fillId="5" borderId="7" xfId="0" applyNumberFormat="1" applyFont="1" applyFill="1" applyBorder="1" applyAlignment="1">
      <alignment horizontal="center" vertical="center" wrapText="1"/>
    </xf>
    <xf numFmtId="0" fontId="52" fillId="0" borderId="4" xfId="0" applyFont="1" applyBorder="1" applyAlignment="1" applyProtection="1">
      <alignment vertical="center" wrapText="1"/>
      <protection locked="0"/>
    </xf>
    <xf numFmtId="4" fontId="35" fillId="5" borderId="4" xfId="0" applyNumberFormat="1" applyFont="1" applyFill="1" applyBorder="1" applyAlignment="1">
      <alignment vertical="center" wrapText="1"/>
    </xf>
    <xf numFmtId="4" fontId="205" fillId="5" borderId="4" xfId="0" applyNumberFormat="1" applyFont="1" applyFill="1" applyBorder="1" applyAlignment="1">
      <alignment horizontal="center" vertical="center" wrapText="1"/>
    </xf>
    <xf numFmtId="0" fontId="210" fillId="5" borderId="7" xfId="0" applyFont="1" applyFill="1" applyBorder="1" applyAlignment="1">
      <alignment vertical="center" wrapText="1"/>
    </xf>
    <xf numFmtId="0" fontId="52" fillId="0" borderId="5" xfId="0" applyFont="1" applyBorder="1" applyAlignment="1" applyProtection="1">
      <alignment horizontal="left" vertical="top" wrapText="1"/>
      <protection locked="0"/>
    </xf>
    <xf numFmtId="4" fontId="198" fillId="5" borderId="5" xfId="0" applyNumberFormat="1" applyFont="1" applyFill="1" applyBorder="1" applyAlignment="1">
      <alignment vertical="center" wrapText="1"/>
    </xf>
    <xf numFmtId="1" fontId="52" fillId="0" borderId="9" xfId="0" applyNumberFormat="1" applyFont="1" applyBorder="1" applyAlignment="1">
      <alignment wrapText="1"/>
    </xf>
    <xf numFmtId="0" fontId="210" fillId="5" borderId="3" xfId="0" applyFont="1" applyFill="1" applyBorder="1" applyAlignment="1">
      <alignment vertical="top" wrapText="1"/>
    </xf>
    <xf numFmtId="180" fontId="19" fillId="0" borderId="3" xfId="0" applyNumberFormat="1" applyFont="1" applyBorder="1" applyAlignment="1" applyProtection="1">
      <alignment vertical="top" wrapText="1"/>
      <protection locked="0"/>
    </xf>
    <xf numFmtId="180" fontId="35" fillId="5" borderId="16" xfId="0" applyNumberFormat="1" applyFont="1" applyFill="1" applyBorder="1" applyAlignment="1">
      <alignment vertical="top" wrapText="1"/>
    </xf>
    <xf numFmtId="180" fontId="19" fillId="0" borderId="21" xfId="0" applyNumberFormat="1" applyFont="1" applyBorder="1" applyAlignment="1" applyProtection="1">
      <alignment vertical="top" wrapText="1"/>
      <protection locked="0"/>
    </xf>
    <xf numFmtId="0" fontId="210" fillId="5" borderId="8" xfId="0" applyFont="1" applyFill="1" applyBorder="1" applyAlignment="1">
      <alignment vertical="center" wrapText="1"/>
    </xf>
    <xf numFmtId="0" fontId="19" fillId="5" borderId="8" xfId="0" applyNumberFormat="1" applyFont="1" applyFill="1" applyBorder="1" applyAlignment="1">
      <alignment vertical="center" wrapText="1"/>
    </xf>
    <xf numFmtId="180" fontId="35" fillId="5" borderId="8" xfId="0" applyNumberFormat="1" applyFont="1" applyFill="1" applyBorder="1" applyAlignment="1">
      <alignment vertical="center" wrapText="1"/>
    </xf>
    <xf numFmtId="180" fontId="205" fillId="5" borderId="8" xfId="0" applyNumberFormat="1" applyFont="1" applyFill="1" applyBorder="1" applyAlignment="1">
      <alignment horizontal="center" vertical="center" wrapText="1"/>
    </xf>
    <xf numFmtId="180" fontId="38" fillId="5" borderId="8" xfId="0" applyNumberFormat="1" applyFont="1" applyFill="1" applyBorder="1" applyAlignment="1">
      <alignment vertical="center" wrapText="1"/>
    </xf>
    <xf numFmtId="0" fontId="210" fillId="5" borderId="7" xfId="0" applyFont="1" applyFill="1" applyBorder="1" applyAlignment="1">
      <alignment vertical="top" wrapText="1"/>
    </xf>
    <xf numFmtId="180" fontId="35" fillId="5" borderId="18" xfId="0" applyNumberFormat="1" applyFont="1" applyFill="1" applyBorder="1" applyAlignment="1">
      <alignment vertical="top" wrapText="1"/>
    </xf>
    <xf numFmtId="180" fontId="35" fillId="5" borderId="7" xfId="0" applyNumberFormat="1" applyFont="1" applyFill="1" applyBorder="1" applyAlignment="1">
      <alignment horizontal="right" vertical="top" wrapText="1"/>
    </xf>
    <xf numFmtId="0" fontId="183" fillId="5" borderId="5" xfId="0" applyFont="1" applyFill="1" applyBorder="1" applyAlignment="1">
      <alignment vertical="top" wrapText="1"/>
    </xf>
    <xf numFmtId="180" fontId="19" fillId="5" borderId="10" xfId="0" applyNumberFormat="1" applyFont="1" applyFill="1" applyBorder="1" applyAlignment="1">
      <alignment vertical="top" wrapText="1"/>
    </xf>
    <xf numFmtId="0" fontId="183" fillId="5" borderId="4" xfId="0" applyFont="1" applyFill="1" applyBorder="1" applyAlignment="1">
      <alignment vertical="top" wrapText="1"/>
    </xf>
    <xf numFmtId="0" fontId="183" fillId="5" borderId="21" xfId="0" applyFont="1" applyFill="1" applyBorder="1" applyAlignment="1">
      <alignment vertical="center" wrapText="1"/>
    </xf>
    <xf numFmtId="0" fontId="19" fillId="5" borderId="21" xfId="0" applyFont="1" applyFill="1" applyBorder="1" applyAlignment="1" applyProtection="1">
      <alignment vertical="center" wrapText="1"/>
    </xf>
    <xf numFmtId="180" fontId="19" fillId="5" borderId="21" xfId="0" applyNumberFormat="1" applyFont="1" applyFill="1" applyBorder="1" applyAlignment="1">
      <alignment vertical="center" wrapText="1"/>
    </xf>
    <xf numFmtId="180" fontId="35" fillId="5" borderId="21" xfId="0" applyNumberFormat="1" applyFont="1" applyFill="1" applyBorder="1" applyAlignment="1">
      <alignment vertical="center" wrapText="1"/>
    </xf>
    <xf numFmtId="180" fontId="38" fillId="5" borderId="21" xfId="0" applyNumberFormat="1" applyFont="1" applyFill="1" applyBorder="1" applyAlignment="1">
      <alignment vertical="center" wrapText="1"/>
    </xf>
    <xf numFmtId="0" fontId="183" fillId="5" borderId="9" xfId="0" applyFont="1" applyFill="1" applyBorder="1" applyAlignment="1">
      <alignment vertical="center" wrapText="1"/>
    </xf>
    <xf numFmtId="0" fontId="19" fillId="0" borderId="9" xfId="0" applyFont="1" applyBorder="1" applyAlignment="1" applyProtection="1">
      <alignment vertical="center" wrapText="1"/>
    </xf>
    <xf numFmtId="180" fontId="19" fillId="5" borderId="9" xfId="0" applyNumberFormat="1" applyFont="1" applyFill="1" applyBorder="1" applyAlignment="1">
      <alignment vertical="center" wrapText="1"/>
    </xf>
    <xf numFmtId="180" fontId="35" fillId="5" borderId="9" xfId="0" applyNumberFormat="1" applyFont="1" applyFill="1" applyBorder="1" applyAlignment="1">
      <alignment vertical="center" wrapText="1"/>
    </xf>
    <xf numFmtId="180" fontId="38" fillId="5" borderId="9" xfId="0" applyNumberFormat="1" applyFont="1" applyFill="1" applyBorder="1" applyAlignment="1">
      <alignment vertical="center" wrapText="1"/>
    </xf>
    <xf numFmtId="0" fontId="183" fillId="5" borderId="9" xfId="0" applyFont="1" applyFill="1" applyBorder="1" applyAlignment="1">
      <alignment vertical="top" wrapText="1"/>
    </xf>
    <xf numFmtId="0" fontId="19" fillId="0" borderId="9" xfId="0" applyFont="1" applyBorder="1" applyAlignment="1" applyProtection="1">
      <alignment vertical="top" wrapText="1"/>
    </xf>
    <xf numFmtId="180" fontId="19" fillId="5" borderId="9" xfId="0" applyNumberFormat="1" applyFont="1" applyFill="1" applyBorder="1" applyAlignment="1">
      <alignment vertical="top" wrapText="1"/>
    </xf>
    <xf numFmtId="180" fontId="35" fillId="5" borderId="9" xfId="0" applyNumberFormat="1" applyFont="1" applyFill="1" applyBorder="1" applyAlignment="1">
      <alignment vertical="top" wrapText="1"/>
    </xf>
    <xf numFmtId="180" fontId="38" fillId="5" borderId="9" xfId="0" applyNumberFormat="1" applyFont="1" applyFill="1" applyBorder="1" applyAlignment="1">
      <alignment vertical="top" wrapText="1"/>
    </xf>
    <xf numFmtId="0" fontId="19" fillId="0" borderId="15" xfId="0" applyFont="1" applyBorder="1" applyAlignment="1" applyProtection="1">
      <alignment vertical="center" wrapText="1"/>
    </xf>
    <xf numFmtId="0" fontId="198" fillId="5" borderId="8" xfId="0" applyFont="1" applyFill="1" applyBorder="1" applyAlignment="1">
      <alignment horizontal="center" vertical="center" wrapText="1"/>
    </xf>
    <xf numFmtId="4" fontId="50" fillId="5" borderId="8" xfId="0" applyNumberFormat="1" applyFont="1" applyFill="1" applyBorder="1" applyAlignment="1">
      <alignment horizontal="right" vertical="center" wrapText="1"/>
    </xf>
    <xf numFmtId="4" fontId="4" fillId="5" borderId="8" xfId="0" applyNumberFormat="1" applyFont="1" applyFill="1" applyBorder="1" applyAlignment="1">
      <alignment vertical="center" wrapText="1"/>
    </xf>
    <xf numFmtId="4" fontId="38" fillId="5" borderId="8" xfId="0" applyNumberFormat="1" applyFont="1" applyFill="1" applyBorder="1" applyAlignment="1">
      <alignment vertical="center" wrapText="1"/>
    </xf>
    <xf numFmtId="0" fontId="198" fillId="5" borderId="3" xfId="0" applyFont="1" applyFill="1" applyBorder="1" applyAlignment="1">
      <alignment horizontal="center" vertical="center" wrapText="1"/>
    </xf>
    <xf numFmtId="0" fontId="49" fillId="5" borderId="3" xfId="0" applyFont="1" applyFill="1" applyBorder="1" applyAlignment="1">
      <alignment vertical="center" wrapText="1"/>
    </xf>
    <xf numFmtId="4" fontId="198" fillId="5" borderId="7" xfId="0" applyNumberFormat="1" applyFont="1" applyFill="1" applyBorder="1" applyAlignment="1">
      <alignment vertical="center" wrapText="1"/>
    </xf>
    <xf numFmtId="4" fontId="4" fillId="5" borderId="3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top" wrapText="1"/>
    </xf>
    <xf numFmtId="180" fontId="43" fillId="5" borderId="4" xfId="0" applyNumberFormat="1" applyFont="1" applyFill="1" applyBorder="1" applyAlignment="1">
      <alignment horizontal="center" vertical="top" wrapText="1"/>
    </xf>
    <xf numFmtId="181" fontId="76" fillId="5" borderId="0" xfId="0" applyNumberFormat="1" applyFont="1" applyFill="1"/>
    <xf numFmtId="0" fontId="10" fillId="5" borderId="4" xfId="0" applyFont="1" applyFill="1" applyBorder="1" applyAlignment="1">
      <alignment vertical="top" wrapText="1"/>
    </xf>
    <xf numFmtId="0" fontId="38" fillId="5" borderId="4" xfId="0" applyFont="1" applyFill="1" applyBorder="1" applyAlignment="1">
      <alignment horizontal="center" vertical="center" wrapText="1"/>
    </xf>
    <xf numFmtId="0" fontId="43" fillId="5" borderId="4" xfId="0" applyFont="1" applyFill="1" applyBorder="1" applyAlignment="1">
      <alignment vertical="center" wrapText="1"/>
    </xf>
    <xf numFmtId="4" fontId="43" fillId="5" borderId="4" xfId="0" applyNumberFormat="1" applyFont="1" applyFill="1" applyBorder="1" applyAlignment="1">
      <alignment horizontal="center" vertical="center" wrapText="1"/>
    </xf>
    <xf numFmtId="4" fontId="108" fillId="5" borderId="4" xfId="0" applyNumberFormat="1" applyFont="1" applyFill="1" applyBorder="1" applyAlignment="1">
      <alignment vertical="center" wrapText="1"/>
    </xf>
    <xf numFmtId="0" fontId="69" fillId="5" borderId="5" xfId="0" applyFont="1" applyFill="1" applyBorder="1" applyAlignment="1">
      <alignment horizontal="center" vertical="center" wrapText="1"/>
    </xf>
    <xf numFmtId="0" fontId="68" fillId="5" borderId="5" xfId="0" applyFont="1" applyFill="1" applyBorder="1" applyAlignment="1">
      <alignment vertical="center" wrapText="1"/>
    </xf>
    <xf numFmtId="4" fontId="68" fillId="5" borderId="5" xfId="0" applyNumberFormat="1" applyFont="1" applyFill="1" applyBorder="1" applyAlignment="1">
      <alignment vertical="center" wrapText="1"/>
    </xf>
    <xf numFmtId="180" fontId="1" fillId="5" borderId="0" xfId="0" applyNumberFormat="1" applyFont="1" applyFill="1"/>
    <xf numFmtId="0" fontId="39" fillId="5" borderId="0" xfId="0" applyFont="1" applyFill="1"/>
    <xf numFmtId="180" fontId="190" fillId="5" borderId="0" xfId="0" applyNumberFormat="1" applyFont="1" applyFill="1" applyBorder="1"/>
    <xf numFmtId="180" fontId="11" fillId="5" borderId="0" xfId="0" applyNumberFormat="1" applyFont="1" applyFill="1"/>
    <xf numFmtId="180" fontId="101" fillId="5" borderId="0" xfId="0" applyNumberFormat="1" applyFont="1" applyFill="1"/>
    <xf numFmtId="49" fontId="63" fillId="5" borderId="3" xfId="57" applyNumberFormat="1" applyFont="1" applyFill="1" applyBorder="1" applyAlignment="1" applyProtection="1">
      <alignment horizontal="center" vertical="center" wrapText="1"/>
    </xf>
    <xf numFmtId="0" fontId="63" fillId="5" borderId="15" xfId="0" applyFont="1" applyFill="1" applyBorder="1" applyAlignment="1" applyProtection="1">
      <alignment horizontal="center" vertical="center" wrapText="1"/>
    </xf>
    <xf numFmtId="180" fontId="19" fillId="5" borderId="4" xfId="0" applyNumberFormat="1" applyFont="1" applyFill="1" applyBorder="1" applyAlignment="1">
      <alignment wrapText="1"/>
    </xf>
    <xf numFmtId="0" fontId="63" fillId="5" borderId="5" xfId="0" applyFont="1" applyFill="1" applyBorder="1" applyAlignment="1" applyProtection="1">
      <alignment horizontal="center"/>
    </xf>
    <xf numFmtId="0" fontId="63" fillId="5" borderId="5" xfId="0" applyFont="1" applyFill="1" applyBorder="1" applyAlignment="1" applyProtection="1">
      <alignment horizontal="center" vertical="center" wrapText="1"/>
    </xf>
    <xf numFmtId="180" fontId="63" fillId="5" borderId="5" xfId="0" applyNumberFormat="1" applyFont="1" applyFill="1" applyBorder="1" applyAlignment="1">
      <alignment wrapText="1"/>
    </xf>
    <xf numFmtId="0" fontId="63" fillId="5" borderId="21" xfId="0" applyFont="1" applyFill="1" applyBorder="1" applyAlignment="1" applyProtection="1">
      <alignment horizontal="center"/>
    </xf>
    <xf numFmtId="0" fontId="63" fillId="5" borderId="21" xfId="0" applyFont="1" applyFill="1" applyBorder="1" applyAlignment="1" applyProtection="1">
      <alignment horizontal="left" vertical="center" wrapText="1"/>
    </xf>
    <xf numFmtId="180" fontId="63" fillId="5" borderId="21" xfId="0" applyNumberFormat="1" applyFont="1" applyFill="1" applyBorder="1" applyAlignment="1"/>
    <xf numFmtId="180" fontId="63" fillId="5" borderId="21" xfId="0" applyNumberFormat="1" applyFont="1" applyFill="1" applyBorder="1" applyAlignment="1">
      <alignment wrapText="1"/>
    </xf>
    <xf numFmtId="0" fontId="52" fillId="5" borderId="8" xfId="0" applyFont="1" applyFill="1" applyBorder="1" applyAlignment="1" applyProtection="1">
      <alignment horizontal="center"/>
    </xf>
    <xf numFmtId="0" fontId="52" fillId="5" borderId="8" xfId="0" applyFont="1" applyFill="1" applyBorder="1" applyAlignment="1" applyProtection="1">
      <alignment vertical="center" wrapText="1"/>
    </xf>
    <xf numFmtId="180" fontId="19" fillId="5" borderId="8" xfId="0" applyNumberFormat="1" applyFont="1" applyFill="1" applyBorder="1" applyAlignment="1">
      <alignment horizontal="right"/>
    </xf>
    <xf numFmtId="180" fontId="19" fillId="5" borderId="8" xfId="0" applyNumberFormat="1" applyFont="1" applyFill="1" applyBorder="1" applyAlignment="1"/>
    <xf numFmtId="180" fontId="52" fillId="5" borderId="8" xfId="0" applyNumberFormat="1" applyFont="1" applyFill="1" applyBorder="1" applyAlignment="1">
      <alignment horizontal="center"/>
    </xf>
    <xf numFmtId="180" fontId="63" fillId="5" borderId="8" xfId="0" applyNumberFormat="1" applyFont="1" applyFill="1" applyBorder="1" applyAlignment="1">
      <alignment wrapText="1"/>
    </xf>
    <xf numFmtId="0" fontId="19" fillId="5" borderId="5" xfId="0" applyFont="1" applyFill="1" applyBorder="1" applyAlignment="1" applyProtection="1">
      <alignment horizontal="center"/>
    </xf>
    <xf numFmtId="0" fontId="63" fillId="5" borderId="5" xfId="0" applyFont="1" applyFill="1" applyBorder="1" applyAlignment="1" applyProtection="1">
      <alignment horizontal="left" vertical="center" wrapText="1"/>
    </xf>
    <xf numFmtId="180" fontId="63" fillId="5" borderId="5" xfId="0" applyNumberFormat="1" applyFont="1" applyFill="1" applyBorder="1" applyAlignment="1"/>
    <xf numFmtId="0" fontId="188" fillId="5" borderId="9" xfId="0" applyFont="1" applyFill="1" applyBorder="1" applyAlignment="1" applyProtection="1">
      <alignment horizontal="center" vertical="top" wrapText="1"/>
    </xf>
    <xf numFmtId="0" fontId="63" fillId="5" borderId="5" xfId="0" applyFont="1" applyFill="1" applyBorder="1" applyAlignment="1" applyProtection="1">
      <alignment horizontal="center" vertical="top" wrapText="1"/>
    </xf>
    <xf numFmtId="0" fontId="63" fillId="5" borderId="5" xfId="0" applyFont="1" applyFill="1" applyBorder="1" applyAlignment="1" applyProtection="1">
      <alignment horizontal="left" vertical="top" wrapText="1"/>
    </xf>
    <xf numFmtId="0" fontId="63" fillId="5" borderId="21" xfId="0" applyFont="1" applyFill="1" applyBorder="1" applyAlignment="1" applyProtection="1">
      <alignment horizontal="center"/>
      <protection hidden="1"/>
    </xf>
    <xf numFmtId="0" fontId="63" fillId="5" borderId="21" xfId="0" applyFont="1" applyFill="1" applyBorder="1" applyAlignment="1" applyProtection="1">
      <alignment vertical="center" wrapText="1"/>
    </xf>
    <xf numFmtId="0" fontId="19" fillId="5" borderId="9" xfId="0" applyFont="1" applyFill="1" applyBorder="1" applyAlignment="1" applyProtection="1">
      <alignment horizontal="center"/>
      <protection hidden="1"/>
    </xf>
    <xf numFmtId="0" fontId="19" fillId="5" borderId="8" xfId="0" applyFont="1" applyFill="1" applyBorder="1" applyAlignment="1" applyProtection="1">
      <alignment horizontal="center"/>
      <protection hidden="1"/>
    </xf>
    <xf numFmtId="0" fontId="19" fillId="5" borderId="8" xfId="0" applyFont="1" applyFill="1" applyBorder="1" applyAlignment="1" applyProtection="1">
      <alignment vertical="center" wrapText="1"/>
    </xf>
    <xf numFmtId="0" fontId="183" fillId="5" borderId="14" xfId="0" applyFont="1" applyFill="1" applyBorder="1" applyAlignment="1" applyProtection="1">
      <alignment horizontal="center"/>
    </xf>
    <xf numFmtId="0" fontId="183" fillId="5" borderId="14" xfId="0" applyFont="1" applyFill="1" applyBorder="1" applyAlignment="1" applyProtection="1">
      <alignment vertical="center" wrapText="1"/>
    </xf>
    <xf numFmtId="0" fontId="188" fillId="5" borderId="9" xfId="0" applyFont="1" applyFill="1" applyBorder="1" applyAlignment="1" applyProtection="1">
      <alignment horizontal="center"/>
      <protection hidden="1"/>
    </xf>
    <xf numFmtId="0" fontId="19" fillId="5" borderId="21" xfId="0" applyFont="1" applyFill="1" applyBorder="1" applyProtection="1"/>
    <xf numFmtId="0" fontId="63" fillId="5" borderId="21" xfId="0" applyFont="1" applyFill="1" applyBorder="1" applyAlignment="1" applyProtection="1">
      <alignment horizontal="left" vertical="center" wrapText="1"/>
      <protection hidden="1"/>
    </xf>
    <xf numFmtId="0" fontId="214" fillId="5" borderId="8" xfId="0" applyFont="1" applyFill="1" applyBorder="1"/>
    <xf numFmtId="0" fontId="68" fillId="5" borderId="8" xfId="48" applyFont="1" applyFill="1" applyBorder="1" applyAlignment="1" applyProtection="1">
      <alignment horizontal="left" vertical="center" wrapText="1"/>
      <protection hidden="1"/>
    </xf>
    <xf numFmtId="180" fontId="68" fillId="5" borderId="8" xfId="57" applyNumberFormat="1" applyFont="1" applyFill="1" applyBorder="1" applyAlignment="1" applyProtection="1">
      <alignment vertical="center"/>
    </xf>
    <xf numFmtId="0" fontId="214" fillId="5" borderId="0" xfId="0" applyFont="1" applyFill="1" applyBorder="1"/>
    <xf numFmtId="180" fontId="68" fillId="6" borderId="0" xfId="57" applyNumberFormat="1" applyFont="1" applyFill="1" applyBorder="1" applyAlignment="1" applyProtection="1">
      <alignment vertical="center"/>
    </xf>
    <xf numFmtId="0" fontId="19" fillId="5" borderId="0" xfId="0" applyFont="1" applyFill="1" applyBorder="1" applyAlignment="1">
      <alignment horizontal="center"/>
    </xf>
    <xf numFmtId="0" fontId="19" fillId="5" borderId="0" xfId="0" applyFont="1" applyFill="1" applyBorder="1"/>
    <xf numFmtId="180" fontId="19" fillId="5" borderId="0" xfId="0" applyNumberFormat="1" applyFont="1" applyFill="1" applyBorder="1"/>
    <xf numFmtId="180" fontId="1" fillId="0" borderId="0" xfId="0" applyNumberFormat="1" applyFont="1" applyFill="1" applyBorder="1"/>
    <xf numFmtId="180" fontId="1" fillId="5" borderId="0" xfId="0" applyNumberFormat="1" applyFont="1" applyFill="1" applyBorder="1"/>
    <xf numFmtId="0" fontId="1" fillId="5" borderId="0" xfId="0" applyFont="1" applyFill="1" applyBorder="1"/>
    <xf numFmtId="0" fontId="215" fillId="5" borderId="0" xfId="0" applyFont="1" applyFill="1" applyBorder="1"/>
    <xf numFmtId="0" fontId="142" fillId="5" borderId="0" xfId="0" applyFont="1" applyFill="1" applyBorder="1" applyAlignment="1">
      <alignment horizontal="center"/>
    </xf>
    <xf numFmtId="0" fontId="65" fillId="5" borderId="0" xfId="0" applyFont="1" applyFill="1" applyAlignment="1">
      <alignment horizontal="center"/>
    </xf>
    <xf numFmtId="4" fontId="65" fillId="5" borderId="0" xfId="0" applyNumberFormat="1" applyFont="1" applyFill="1"/>
    <xf numFmtId="0" fontId="167" fillId="5" borderId="0" xfId="0" applyFont="1" applyFill="1" applyAlignment="1">
      <alignment horizontal="center" vertical="center" wrapText="1"/>
    </xf>
    <xf numFmtId="0" fontId="123" fillId="5" borderId="0" xfId="0" applyFont="1" applyFill="1" applyAlignment="1">
      <alignment horizontal="center" wrapText="1"/>
    </xf>
    <xf numFmtId="0" fontId="197" fillId="5" borderId="0" xfId="0" applyFont="1" applyFill="1" applyAlignment="1">
      <alignment horizontal="center" vertical="center" wrapText="1"/>
    </xf>
    <xf numFmtId="49" fontId="14" fillId="5" borderId="11" xfId="0" applyNumberFormat="1" applyFont="1" applyFill="1" applyBorder="1" applyAlignment="1">
      <alignment horizontal="center" vertical="center" wrapText="1"/>
    </xf>
    <xf numFmtId="49" fontId="14" fillId="5" borderId="10" xfId="0" applyNumberFormat="1" applyFont="1" applyFill="1" applyBorder="1" applyAlignment="1">
      <alignment horizontal="center" vertical="center" wrapText="1"/>
    </xf>
    <xf numFmtId="180" fontId="200" fillId="5" borderId="3" xfId="0" applyNumberFormat="1" applyFont="1" applyFill="1" applyBorder="1" applyAlignment="1">
      <alignment horizontal="center" vertical="center" wrapText="1"/>
    </xf>
    <xf numFmtId="49" fontId="49" fillId="5" borderId="11" xfId="0" applyNumberFormat="1" applyFont="1" applyFill="1" applyBorder="1" applyAlignment="1">
      <alignment horizontal="center" vertical="center" wrapText="1"/>
    </xf>
    <xf numFmtId="49" fontId="13" fillId="5" borderId="5" xfId="0" applyNumberFormat="1" applyFont="1" applyFill="1" applyBorder="1" applyAlignment="1">
      <alignment horizontal="center" vertical="center" wrapText="1"/>
    </xf>
    <xf numFmtId="180" fontId="52" fillId="5" borderId="5" xfId="0" applyNumberFormat="1" applyFont="1" applyFill="1" applyBorder="1" applyAlignment="1">
      <alignment horizontal="center" vertical="center" wrapText="1"/>
    </xf>
    <xf numFmtId="0" fontId="216" fillId="0" borderId="0" xfId="0" applyFont="1" applyAlignment="1">
      <alignment vertical="center" wrapText="1"/>
    </xf>
    <xf numFmtId="4" fontId="19" fillId="0" borderId="4" xfId="0" applyNumberFormat="1" applyFont="1" applyBorder="1" applyAlignment="1">
      <alignment horizontal="center" vertical="center"/>
    </xf>
    <xf numFmtId="0" fontId="150" fillId="5" borderId="5" xfId="0" applyNumberFormat="1" applyFont="1" applyFill="1" applyBorder="1" applyAlignment="1">
      <alignment horizontal="center" vertical="center" wrapText="1"/>
    </xf>
    <xf numFmtId="0" fontId="197" fillId="5" borderId="0" xfId="0" applyFont="1" applyFill="1" applyAlignment="1">
      <alignment horizontal="left" vertical="center"/>
    </xf>
    <xf numFmtId="180" fontId="150" fillId="5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4" fontId="151" fillId="0" borderId="4" xfId="0" applyNumberFormat="1" applyFont="1" applyBorder="1" applyAlignment="1">
      <alignment horizontal="center" vertical="center" wrapText="1"/>
    </xf>
    <xf numFmtId="4" fontId="52" fillId="0" borderId="4" xfId="0" applyNumberFormat="1" applyFont="1" applyBorder="1" applyAlignment="1">
      <alignment horizontal="center" vertical="center"/>
    </xf>
    <xf numFmtId="0" fontId="150" fillId="0" borderId="4" xfId="0" applyFont="1" applyBorder="1" applyAlignment="1">
      <alignment horizontal="right" vertical="center"/>
    </xf>
    <xf numFmtId="0" fontId="122" fillId="0" borderId="4" xfId="0" applyFont="1" applyBorder="1" applyAlignment="1">
      <alignment horizontal="center" vertical="center" wrapText="1"/>
    </xf>
    <xf numFmtId="0" fontId="45" fillId="0" borderId="4" xfId="0" applyFont="1" applyBorder="1" applyAlignment="1">
      <alignment vertical="center" wrapText="1"/>
    </xf>
    <xf numFmtId="0" fontId="183" fillId="0" borderId="4" xfId="0" applyFont="1" applyBorder="1" applyAlignment="1">
      <alignment wrapText="1"/>
    </xf>
    <xf numFmtId="49" fontId="14" fillId="5" borderId="7" xfId="0" applyNumberFormat="1" applyFont="1" applyFill="1" applyBorder="1" applyAlignment="1">
      <alignment horizontal="center" vertical="center" wrapText="1"/>
    </xf>
    <xf numFmtId="180" fontId="14" fillId="0" borderId="3" xfId="0" applyNumberFormat="1" applyFont="1" applyBorder="1" applyAlignment="1">
      <alignment horizontal="center" vertical="center" wrapText="1"/>
    </xf>
    <xf numFmtId="0" fontId="151" fillId="5" borderId="7" xfId="0" applyFont="1" applyFill="1" applyBorder="1" applyAlignment="1">
      <alignment horizontal="center" vertical="top" wrapText="1"/>
    </xf>
    <xf numFmtId="4" fontId="19" fillId="0" borderId="3" xfId="0" applyNumberFormat="1" applyFont="1" applyBorder="1" applyAlignment="1">
      <alignment horizontal="center" vertical="center"/>
    </xf>
    <xf numFmtId="4" fontId="19" fillId="0" borderId="7" xfId="0" applyNumberFormat="1" applyFont="1" applyBorder="1" applyAlignment="1">
      <alignment horizontal="center" vertical="center"/>
    </xf>
    <xf numFmtId="49" fontId="122" fillId="5" borderId="3" xfId="0" applyNumberFormat="1" applyFont="1" applyFill="1" applyBorder="1" applyAlignment="1">
      <alignment horizontal="center" vertical="center" wrapText="1"/>
    </xf>
    <xf numFmtId="49" fontId="15" fillId="5" borderId="7" xfId="0" applyNumberFormat="1" applyFont="1" applyFill="1" applyBorder="1" applyAlignment="1">
      <alignment horizontal="center" vertical="center" wrapText="1"/>
    </xf>
    <xf numFmtId="180" fontId="199" fillId="5" borderId="7" xfId="0" applyNumberFormat="1" applyFont="1" applyFill="1" applyBorder="1" applyAlignment="1">
      <alignment horizontal="center" vertical="center" wrapText="1"/>
    </xf>
    <xf numFmtId="49" fontId="64" fillId="5" borderId="7" xfId="0" applyNumberFormat="1" applyFont="1" applyFill="1" applyBorder="1" applyAlignment="1">
      <alignment horizontal="center" vertical="center" wrapText="1"/>
    </xf>
    <xf numFmtId="1" fontId="52" fillId="0" borderId="9" xfId="0" applyNumberFormat="1" applyFont="1" applyBorder="1" applyAlignment="1">
      <alignment horizontal="left" vertical="center" wrapText="1"/>
    </xf>
    <xf numFmtId="1" fontId="135" fillId="0" borderId="9" xfId="0" applyNumberFormat="1" applyFont="1" applyBorder="1" applyAlignment="1">
      <alignment horizontal="left" vertical="center" wrapText="1"/>
    </xf>
    <xf numFmtId="0" fontId="110" fillId="5" borderId="5" xfId="0" applyFont="1" applyFill="1" applyBorder="1" applyAlignment="1">
      <alignment horizontal="center" vertical="center" wrapText="1"/>
    </xf>
    <xf numFmtId="4" fontId="200" fillId="5" borderId="5" xfId="0" applyNumberFormat="1" applyFont="1" applyFill="1" applyBorder="1" applyAlignment="1">
      <alignment horizontal="center" vertical="center" wrapText="1"/>
    </xf>
    <xf numFmtId="4" fontId="143" fillId="0" borderId="0" xfId="0" applyNumberFormat="1" applyFont="1" applyAlignment="1">
      <alignment horizontal="center"/>
    </xf>
    <xf numFmtId="4" fontId="133" fillId="0" borderId="0" xfId="0" applyNumberFormat="1" applyFont="1"/>
    <xf numFmtId="0" fontId="150" fillId="5" borderId="5" xfId="0" applyFont="1" applyFill="1" applyBorder="1" applyAlignment="1">
      <alignment horizontal="center" vertical="top" wrapText="1"/>
    </xf>
    <xf numFmtId="0" fontId="150" fillId="5" borderId="3" xfId="0" applyFont="1" applyFill="1" applyBorder="1" applyAlignment="1">
      <alignment horizontal="center" vertical="top" wrapText="1"/>
    </xf>
    <xf numFmtId="0" fontId="151" fillId="5" borderId="5" xfId="0" applyFont="1" applyFill="1" applyBorder="1" applyAlignment="1">
      <alignment horizontal="center" vertical="top" wrapText="1"/>
    </xf>
    <xf numFmtId="0" fontId="151" fillId="5" borderId="3" xfId="0" applyFont="1" applyFill="1" applyBorder="1" applyAlignment="1">
      <alignment horizontal="center" vertical="top" wrapText="1"/>
    </xf>
    <xf numFmtId="0" fontId="123" fillId="5" borderId="0" xfId="0" applyFont="1" applyFill="1" applyAlignment="1">
      <alignment horizontal="center" vertical="center" wrapText="1"/>
    </xf>
    <xf numFmtId="0" fontId="124" fillId="5" borderId="0" xfId="0" applyFont="1" applyFill="1" applyAlignment="1">
      <alignment horizontal="center" wrapText="1"/>
    </xf>
    <xf numFmtId="0" fontId="67" fillId="5" borderId="5" xfId="0" applyFont="1" applyFill="1" applyBorder="1" applyAlignment="1">
      <alignment horizontal="center" vertical="center" wrapText="1"/>
    </xf>
    <xf numFmtId="0" fontId="178" fillId="5" borderId="0" xfId="0" applyFont="1" applyFill="1" applyAlignment="1">
      <alignment horizontal="center" wrapText="1"/>
    </xf>
    <xf numFmtId="0" fontId="151" fillId="5" borderId="5" xfId="0" applyFont="1" applyFill="1" applyBorder="1" applyAlignment="1">
      <alignment horizontal="center" vertical="center" wrapText="1"/>
    </xf>
    <xf numFmtId="0" fontId="142" fillId="5" borderId="0" xfId="0" applyFont="1" applyFill="1" applyBorder="1" applyAlignment="1">
      <alignment horizontal="center" wrapText="1"/>
    </xf>
    <xf numFmtId="0" fontId="150" fillId="5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5" borderId="0" xfId="0" applyFont="1" applyFill="1" applyAlignment="1">
      <alignment horizontal="justify" wrapText="1"/>
    </xf>
    <xf numFmtId="0" fontId="4" fillId="5" borderId="0" xfId="0" applyFont="1" applyFill="1" applyAlignment="1">
      <alignment wrapText="1"/>
    </xf>
    <xf numFmtId="0" fontId="121" fillId="5" borderId="5" xfId="0" applyFont="1" applyFill="1" applyBorder="1" applyAlignment="1">
      <alignment horizontal="center" vertical="center" wrapText="1"/>
    </xf>
    <xf numFmtId="0" fontId="67" fillId="5" borderId="19" xfId="0" applyFont="1" applyFill="1" applyBorder="1" applyAlignment="1">
      <alignment horizontal="center" vertical="center"/>
    </xf>
    <xf numFmtId="0" fontId="67" fillId="5" borderId="22" xfId="0" applyFont="1" applyFill="1" applyBorder="1" applyAlignment="1">
      <alignment horizontal="center" vertical="center"/>
    </xf>
    <xf numFmtId="0" fontId="67" fillId="5" borderId="20" xfId="0" applyFont="1" applyFill="1" applyBorder="1" applyAlignment="1">
      <alignment horizontal="center" vertical="center"/>
    </xf>
    <xf numFmtId="0" fontId="67" fillId="5" borderId="17" xfId="0" applyFont="1" applyFill="1" applyBorder="1" applyAlignment="1">
      <alignment horizontal="center" vertical="center"/>
    </xf>
    <xf numFmtId="0" fontId="67" fillId="5" borderId="23" xfId="0" applyFont="1" applyFill="1" applyBorder="1" applyAlignment="1">
      <alignment horizontal="center" vertical="center"/>
    </xf>
    <xf numFmtId="0" fontId="67" fillId="5" borderId="18" xfId="0" applyFont="1" applyFill="1" applyBorder="1" applyAlignment="1">
      <alignment horizontal="center" vertical="center"/>
    </xf>
    <xf numFmtId="0" fontId="67" fillId="5" borderId="19" xfId="0" applyFont="1" applyFill="1" applyBorder="1" applyAlignment="1">
      <alignment horizontal="center" vertical="center" wrapText="1"/>
    </xf>
    <xf numFmtId="0" fontId="67" fillId="5" borderId="22" xfId="0" applyFont="1" applyFill="1" applyBorder="1" applyAlignment="1">
      <alignment horizontal="center" vertical="center" wrapText="1"/>
    </xf>
    <xf numFmtId="0" fontId="67" fillId="5" borderId="20" xfId="0" applyFont="1" applyFill="1" applyBorder="1" applyAlignment="1">
      <alignment horizontal="center" vertical="center" wrapText="1"/>
    </xf>
    <xf numFmtId="0" fontId="67" fillId="5" borderId="17" xfId="0" applyFont="1" applyFill="1" applyBorder="1" applyAlignment="1">
      <alignment horizontal="center" vertical="center" wrapText="1"/>
    </xf>
    <xf numFmtId="0" fontId="67" fillId="5" borderId="23" xfId="0" applyFont="1" applyFill="1" applyBorder="1" applyAlignment="1">
      <alignment horizontal="center" vertical="center" wrapText="1"/>
    </xf>
    <xf numFmtId="0" fontId="67" fillId="5" borderId="18" xfId="0" applyFont="1" applyFill="1" applyBorder="1" applyAlignment="1">
      <alignment horizontal="center" vertical="center" wrapText="1"/>
    </xf>
    <xf numFmtId="0" fontId="121" fillId="5" borderId="4" xfId="0" applyFont="1" applyFill="1" applyBorder="1" applyAlignment="1">
      <alignment horizontal="center" vertical="center" wrapText="1"/>
    </xf>
    <xf numFmtId="0" fontId="121" fillId="5" borderId="7" xfId="0" applyFont="1" applyFill="1" applyBorder="1" applyAlignment="1">
      <alignment horizontal="center" vertical="center" wrapText="1"/>
    </xf>
    <xf numFmtId="0" fontId="151" fillId="5" borderId="4" xfId="0" applyFont="1" applyFill="1" applyBorder="1" applyAlignment="1">
      <alignment horizontal="center" vertical="center" wrapText="1"/>
    </xf>
    <xf numFmtId="0" fontId="151" fillId="5" borderId="3" xfId="0" applyFont="1" applyFill="1" applyBorder="1" applyAlignment="1">
      <alignment horizontal="center" vertical="center" wrapText="1"/>
    </xf>
    <xf numFmtId="0" fontId="151" fillId="5" borderId="7" xfId="0" applyFont="1" applyFill="1" applyBorder="1" applyAlignment="1">
      <alignment horizontal="center" vertical="center" wrapText="1"/>
    </xf>
    <xf numFmtId="0" fontId="142" fillId="5" borderId="0" xfId="0" applyFont="1" applyFill="1" applyAlignment="1">
      <alignment horizontal="center" wrapText="1"/>
    </xf>
    <xf numFmtId="0" fontId="166" fillId="5" borderId="0" xfId="0" applyFont="1" applyFill="1" applyAlignment="1">
      <alignment horizontal="center" wrapText="1"/>
    </xf>
    <xf numFmtId="0" fontId="151" fillId="5" borderId="11" xfId="0" applyFont="1" applyFill="1" applyBorder="1" applyAlignment="1">
      <alignment horizontal="center" vertical="center" wrapText="1"/>
    </xf>
    <xf numFmtId="0" fontId="151" fillId="5" borderId="10" xfId="0" applyFont="1" applyFill="1" applyBorder="1" applyAlignment="1">
      <alignment horizontal="center" vertical="center" wrapText="1"/>
    </xf>
    <xf numFmtId="49" fontId="14" fillId="5" borderId="5" xfId="0" applyNumberFormat="1" applyFont="1" applyFill="1" applyBorder="1" applyAlignment="1">
      <alignment horizontal="center" vertical="top" wrapText="1"/>
    </xf>
    <xf numFmtId="49" fontId="52" fillId="5" borderId="5" xfId="0" applyNumberFormat="1" applyFont="1" applyFill="1" applyBorder="1" applyAlignment="1">
      <alignment horizontal="center" vertical="center" wrapText="1"/>
    </xf>
    <xf numFmtId="49" fontId="52" fillId="5" borderId="5" xfId="0" applyNumberFormat="1" applyFont="1" applyFill="1" applyBorder="1" applyAlignment="1">
      <alignment horizontal="center" vertical="top" wrapText="1"/>
    </xf>
    <xf numFmtId="49" fontId="52" fillId="5" borderId="11" xfId="0" applyNumberFormat="1" applyFont="1" applyFill="1" applyBorder="1" applyAlignment="1">
      <alignment horizontal="center" vertical="center" wrapText="1"/>
    </xf>
    <xf numFmtId="49" fontId="52" fillId="5" borderId="10" xfId="0" applyNumberFormat="1" applyFont="1" applyFill="1" applyBorder="1" applyAlignment="1">
      <alignment horizontal="center" vertical="center" wrapText="1"/>
    </xf>
    <xf numFmtId="49" fontId="49" fillId="5" borderId="11" xfId="0" applyNumberFormat="1" applyFont="1" applyFill="1" applyBorder="1" applyAlignment="1">
      <alignment horizontal="center" vertical="center" wrapText="1"/>
    </xf>
    <xf numFmtId="49" fontId="49" fillId="5" borderId="10" xfId="0" applyNumberFormat="1" applyFont="1" applyFill="1" applyBorder="1" applyAlignment="1">
      <alignment horizontal="center" vertical="center" wrapText="1"/>
    </xf>
    <xf numFmtId="0" fontId="101" fillId="5" borderId="0" xfId="0" applyFont="1" applyFill="1" applyAlignment="1">
      <alignment horizontal="center"/>
    </xf>
    <xf numFmtId="49" fontId="13" fillId="5" borderId="5" xfId="0" applyNumberFormat="1" applyFont="1" applyFill="1" applyBorder="1" applyAlignment="1">
      <alignment horizontal="center" vertical="top" wrapText="1"/>
    </xf>
    <xf numFmtId="49" fontId="110" fillId="5" borderId="5" xfId="0" applyNumberFormat="1" applyFont="1" applyFill="1" applyBorder="1" applyAlignment="1">
      <alignment horizontal="center" vertical="top" wrapText="1"/>
    </xf>
    <xf numFmtId="0" fontId="14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76" fillId="5" borderId="0" xfId="0" applyFont="1" applyFill="1" applyBorder="1" applyAlignment="1">
      <alignment horizontal="center"/>
    </xf>
    <xf numFmtId="0" fontId="46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top" wrapText="1"/>
    </xf>
    <xf numFmtId="0" fontId="15" fillId="5" borderId="5" xfId="0" applyFont="1" applyFill="1" applyBorder="1" applyAlignment="1">
      <alignment horizontal="center" vertical="center" wrapText="1"/>
    </xf>
    <xf numFmtId="0" fontId="84" fillId="5" borderId="0" xfId="0" applyFont="1" applyFill="1" applyBorder="1" applyAlignment="1">
      <alignment horizontal="center"/>
    </xf>
    <xf numFmtId="0" fontId="85" fillId="5" borderId="0" xfId="0" applyFont="1" applyFill="1" applyBorder="1" applyAlignment="1">
      <alignment horizontal="center" vertical="top" wrapText="1"/>
    </xf>
    <xf numFmtId="0" fontId="15" fillId="5" borderId="5" xfId="0" applyFont="1" applyFill="1" applyBorder="1" applyAlignment="1">
      <alignment vertical="center" textRotation="255" wrapText="1"/>
    </xf>
    <xf numFmtId="0" fontId="15" fillId="5" borderId="5" xfId="0" applyFont="1" applyFill="1" applyBorder="1" applyAlignment="1">
      <alignment vertical="center"/>
    </xf>
    <xf numFmtId="0" fontId="10" fillId="5" borderId="5" xfId="0" applyFont="1" applyFill="1" applyBorder="1"/>
    <xf numFmtId="0" fontId="14" fillId="5" borderId="5" xfId="0" applyFont="1" applyFill="1" applyBorder="1" applyAlignment="1">
      <alignment horizontal="center" vertical="center"/>
    </xf>
    <xf numFmtId="49" fontId="14" fillId="5" borderId="5" xfId="0" applyNumberFormat="1" applyFont="1" applyFill="1" applyBorder="1" applyAlignment="1">
      <alignment horizontal="center" vertical="center" wrapText="1"/>
    </xf>
    <xf numFmtId="180" fontId="52" fillId="5" borderId="5" xfId="0" applyNumberFormat="1" applyFont="1" applyFill="1" applyBorder="1" applyAlignment="1">
      <alignment horizontal="center" vertical="center" wrapText="1"/>
    </xf>
    <xf numFmtId="49" fontId="14" fillId="5" borderId="11" xfId="0" applyNumberFormat="1" applyFont="1" applyFill="1" applyBorder="1" applyAlignment="1">
      <alignment horizontal="center" vertical="center" wrapText="1"/>
    </xf>
    <xf numFmtId="49" fontId="14" fillId="5" borderId="10" xfId="0" applyNumberFormat="1" applyFont="1" applyFill="1" applyBorder="1" applyAlignment="1">
      <alignment horizontal="center" vertical="center" wrapText="1"/>
    </xf>
    <xf numFmtId="49" fontId="104" fillId="5" borderId="5" xfId="0" applyNumberFormat="1" applyFont="1" applyFill="1" applyBorder="1" applyAlignment="1">
      <alignment horizontal="center" vertical="center" wrapText="1"/>
    </xf>
    <xf numFmtId="49" fontId="110" fillId="5" borderId="5" xfId="0" applyNumberFormat="1" applyFont="1" applyFill="1" applyBorder="1" applyAlignment="1">
      <alignment horizontal="center" vertical="center" wrapText="1"/>
    </xf>
    <xf numFmtId="49" fontId="13" fillId="5" borderId="5" xfId="0" applyNumberFormat="1" applyFont="1" applyFill="1" applyBorder="1" applyAlignment="1">
      <alignment horizontal="center" vertical="center" wrapText="1"/>
    </xf>
    <xf numFmtId="49" fontId="104" fillId="5" borderId="11" xfId="0" applyNumberFormat="1" applyFont="1" applyFill="1" applyBorder="1" applyAlignment="1">
      <alignment horizontal="center" vertical="center" wrapText="1"/>
    </xf>
    <xf numFmtId="49" fontId="104" fillId="5" borderId="10" xfId="0" applyNumberFormat="1" applyFont="1" applyFill="1" applyBorder="1" applyAlignment="1">
      <alignment horizontal="center" vertical="center" wrapText="1"/>
    </xf>
    <xf numFmtId="49" fontId="49" fillId="5" borderId="5" xfId="0" applyNumberFormat="1" applyFont="1" applyFill="1" applyBorder="1" applyAlignment="1">
      <alignment horizontal="center" vertical="center" wrapText="1"/>
    </xf>
    <xf numFmtId="0" fontId="178" fillId="5" borderId="0" xfId="0" applyFont="1" applyFill="1" applyAlignment="1">
      <alignment horizontal="center" vertical="center" wrapText="1"/>
    </xf>
    <xf numFmtId="0" fontId="134" fillId="5" borderId="5" xfId="0" applyFont="1" applyFill="1" applyBorder="1" applyAlignment="1">
      <alignment horizontal="center" vertical="center" wrapText="1"/>
    </xf>
    <xf numFmtId="0" fontId="172" fillId="5" borderId="5" xfId="0" applyFont="1" applyFill="1" applyBorder="1" applyAlignment="1">
      <alignment horizontal="center" vertical="center" wrapText="1"/>
    </xf>
    <xf numFmtId="0" fontId="123" fillId="5" borderId="0" xfId="0" applyFont="1" applyFill="1" applyAlignment="1">
      <alignment horizontal="center" wrapText="1"/>
    </xf>
    <xf numFmtId="0" fontId="182" fillId="5" borderId="3" xfId="0" applyFont="1" applyFill="1" applyBorder="1" applyAlignment="1">
      <alignment horizontal="center" vertical="top" wrapText="1"/>
    </xf>
    <xf numFmtId="0" fontId="64" fillId="5" borderId="0" xfId="0" applyFont="1" applyFill="1" applyAlignment="1">
      <alignment horizontal="center" wrapText="1"/>
    </xf>
    <xf numFmtId="0" fontId="19" fillId="5" borderId="3" xfId="0" applyFont="1" applyFill="1" applyBorder="1" applyAlignment="1">
      <alignment horizontal="center" vertical="top" wrapText="1"/>
    </xf>
    <xf numFmtId="0" fontId="66" fillId="5" borderId="3" xfId="0" applyFont="1" applyFill="1" applyBorder="1" applyAlignment="1">
      <alignment horizontal="center" vertical="top" wrapText="1"/>
    </xf>
    <xf numFmtId="0" fontId="143" fillId="5" borderId="0" xfId="0" applyFont="1" applyFill="1" applyAlignment="1">
      <alignment horizontal="center" vertical="center" wrapText="1"/>
    </xf>
    <xf numFmtId="0" fontId="135" fillId="0" borderId="4" xfId="0" applyFont="1" applyFill="1" applyBorder="1" applyAlignment="1">
      <alignment horizontal="center" vertical="center" wrapText="1"/>
    </xf>
    <xf numFmtId="0" fontId="135" fillId="0" borderId="7" xfId="0" applyFont="1" applyFill="1" applyBorder="1" applyAlignment="1">
      <alignment horizontal="center" vertical="center" wrapText="1"/>
    </xf>
    <xf numFmtId="0" fontId="135" fillId="5" borderId="5" xfId="0" applyFont="1" applyFill="1" applyBorder="1" applyAlignment="1">
      <alignment horizontal="center" vertical="center" wrapText="1"/>
    </xf>
    <xf numFmtId="0" fontId="123" fillId="0" borderId="5" xfId="0" applyFont="1" applyBorder="1" applyAlignment="1">
      <alignment horizontal="center" vertical="center" wrapText="1"/>
    </xf>
    <xf numFmtId="0" fontId="123" fillId="0" borderId="19" xfId="0" applyFont="1" applyFill="1" applyBorder="1" applyAlignment="1">
      <alignment horizontal="center" vertical="center"/>
    </xf>
    <xf numFmtId="0" fontId="123" fillId="0" borderId="20" xfId="0" applyFont="1" applyFill="1" applyBorder="1" applyAlignment="1">
      <alignment horizontal="center" vertical="center"/>
    </xf>
    <xf numFmtId="0" fontId="167" fillId="5" borderId="0" xfId="0" applyFont="1" applyFill="1" applyAlignment="1">
      <alignment horizontal="center" vertical="center"/>
    </xf>
    <xf numFmtId="0" fontId="167" fillId="5" borderId="0" xfId="0" applyFont="1" applyFill="1" applyAlignment="1">
      <alignment horizontal="center" vertical="center" wrapText="1"/>
    </xf>
    <xf numFmtId="180" fontId="135" fillId="0" borderId="4" xfId="0" applyNumberFormat="1" applyFont="1" applyBorder="1" applyAlignment="1" applyProtection="1">
      <alignment horizontal="center" vertical="center" wrapText="1"/>
      <protection locked="0"/>
    </xf>
    <xf numFmtId="180" fontId="135" fillId="0" borderId="7" xfId="0" applyNumberFormat="1" applyFont="1" applyBorder="1" applyAlignment="1" applyProtection="1">
      <alignment horizontal="center" vertical="center" wrapText="1"/>
      <protection locked="0"/>
    </xf>
    <xf numFmtId="0" fontId="136" fillId="5" borderId="11" xfId="0" applyFont="1" applyFill="1" applyBorder="1" applyAlignment="1">
      <alignment horizontal="center" vertical="center" wrapText="1"/>
    </xf>
    <xf numFmtId="0" fontId="136" fillId="5" borderId="10" xfId="0" applyFont="1" applyFill="1" applyBorder="1" applyAlignment="1">
      <alignment horizontal="center" vertical="center" wrapText="1"/>
    </xf>
    <xf numFmtId="0" fontId="147" fillId="0" borderId="5" xfId="0" applyFont="1" applyFill="1" applyBorder="1" applyAlignment="1">
      <alignment horizontal="center"/>
    </xf>
    <xf numFmtId="0" fontId="135" fillId="0" borderId="5" xfId="0" applyFont="1" applyFill="1" applyBorder="1" applyAlignment="1">
      <alignment horizontal="center" vertical="center" wrapText="1"/>
    </xf>
    <xf numFmtId="0" fontId="135" fillId="5" borderId="5" xfId="0" applyFont="1" applyFill="1" applyBorder="1" applyAlignment="1" applyProtection="1">
      <alignment horizontal="center" vertical="center" wrapText="1"/>
    </xf>
    <xf numFmtId="0" fontId="143" fillId="0" borderId="5" xfId="0" applyFont="1" applyFill="1" applyBorder="1" applyAlignment="1">
      <alignment horizontal="center" vertical="center" wrapText="1"/>
    </xf>
    <xf numFmtId="0" fontId="129" fillId="5" borderId="4" xfId="0" applyFont="1" applyFill="1" applyBorder="1" applyAlignment="1">
      <alignment horizontal="center" vertical="center" wrapText="1"/>
    </xf>
    <xf numFmtId="0" fontId="129" fillId="5" borderId="7" xfId="0" applyFont="1" applyFill="1" applyBorder="1" applyAlignment="1">
      <alignment horizontal="center" vertical="center" wrapText="1"/>
    </xf>
    <xf numFmtId="0" fontId="136" fillId="5" borderId="5" xfId="0" applyFont="1" applyFill="1" applyBorder="1" applyAlignment="1">
      <alignment horizontal="center" vertical="center" wrapText="1"/>
    </xf>
    <xf numFmtId="0" fontId="129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24" fillId="5" borderId="5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top" wrapText="1"/>
    </xf>
    <xf numFmtId="0" fontId="14" fillId="5" borderId="0" xfId="0" applyFont="1" applyFill="1" applyBorder="1" applyAlignment="1">
      <alignment horizontal="center" vertical="top" wrapText="1"/>
    </xf>
    <xf numFmtId="0" fontId="122" fillId="0" borderId="4" xfId="0" applyFont="1" applyBorder="1" applyAlignment="1">
      <alignment horizontal="center" vertical="center" wrapText="1"/>
    </xf>
    <xf numFmtId="0" fontId="122" fillId="0" borderId="7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180" fontId="200" fillId="5" borderId="4" xfId="0" applyNumberFormat="1" applyFont="1" applyFill="1" applyBorder="1" applyAlignment="1">
      <alignment horizontal="center" vertical="center" wrapText="1"/>
    </xf>
    <xf numFmtId="180" fontId="200" fillId="5" borderId="3" xfId="0" applyNumberFormat="1" applyFont="1" applyFill="1" applyBorder="1" applyAlignment="1">
      <alignment horizontal="center" vertical="center" wrapText="1"/>
    </xf>
    <xf numFmtId="180" fontId="200" fillId="5" borderId="7" xfId="0" applyNumberFormat="1" applyFont="1" applyFill="1" applyBorder="1" applyAlignment="1">
      <alignment horizontal="center" vertical="center" wrapText="1"/>
    </xf>
    <xf numFmtId="0" fontId="150" fillId="5" borderId="4" xfId="0" applyNumberFormat="1" applyFont="1" applyFill="1" applyBorder="1" applyAlignment="1">
      <alignment horizontal="center" vertical="center" wrapText="1"/>
    </xf>
    <xf numFmtId="0" fontId="150" fillId="5" borderId="3" xfId="0" applyNumberFormat="1" applyFont="1" applyFill="1" applyBorder="1" applyAlignment="1">
      <alignment horizontal="center" vertical="center" wrapText="1"/>
    </xf>
    <xf numFmtId="0" fontId="150" fillId="5" borderId="7" xfId="0" applyNumberFormat="1" applyFont="1" applyFill="1" applyBorder="1" applyAlignment="1">
      <alignment horizontal="center" vertical="center" wrapText="1"/>
    </xf>
    <xf numFmtId="0" fontId="64" fillId="5" borderId="0" xfId="0" applyFont="1" applyFill="1" applyAlignment="1">
      <alignment horizontal="center" vertical="center" wrapText="1"/>
    </xf>
    <xf numFmtId="0" fontId="199" fillId="5" borderId="0" xfId="0" applyFont="1" applyFill="1" applyAlignment="1">
      <alignment horizontal="center" wrapText="1"/>
    </xf>
    <xf numFmtId="0" fontId="142" fillId="0" borderId="0" xfId="0" applyFont="1" applyAlignment="1">
      <alignment horizontal="center" vertical="center" wrapText="1"/>
    </xf>
    <xf numFmtId="180" fontId="14" fillId="5" borderId="4" xfId="0" applyNumberFormat="1" applyFont="1" applyFill="1" applyBorder="1" applyAlignment="1">
      <alignment horizontal="center" vertical="center" wrapText="1"/>
    </xf>
    <xf numFmtId="180" fontId="14" fillId="5" borderId="3" xfId="0" applyNumberFormat="1" applyFont="1" applyFill="1" applyBorder="1" applyAlignment="1">
      <alignment horizontal="center" vertical="center" wrapText="1"/>
    </xf>
    <xf numFmtId="180" fontId="14" fillId="5" borderId="7" xfId="0" applyNumberFormat="1" applyFont="1" applyFill="1" applyBorder="1" applyAlignment="1">
      <alignment horizontal="center" vertical="center" wrapText="1"/>
    </xf>
    <xf numFmtId="49" fontId="123" fillId="0" borderId="5" xfId="0" applyNumberFormat="1" applyFont="1" applyBorder="1" applyAlignment="1">
      <alignment horizontal="center" vertical="center"/>
    </xf>
    <xf numFmtId="0" fontId="150" fillId="0" borderId="5" xfId="0" applyFont="1" applyBorder="1" applyAlignment="1">
      <alignment horizontal="center" vertical="center" wrapText="1"/>
    </xf>
    <xf numFmtId="180" fontId="150" fillId="5" borderId="5" xfId="0" applyNumberFormat="1" applyFont="1" applyFill="1" applyBorder="1" applyAlignment="1">
      <alignment horizontal="center" vertical="center" wrapText="1"/>
    </xf>
    <xf numFmtId="0" fontId="122" fillId="5" borderId="4" xfId="0" applyFont="1" applyFill="1" applyBorder="1" applyAlignment="1">
      <alignment horizontal="center" vertical="center" wrapText="1"/>
    </xf>
    <xf numFmtId="0" fontId="122" fillId="5" borderId="7" xfId="0" applyFont="1" applyFill="1" applyBorder="1" applyAlignment="1">
      <alignment horizontal="center" vertical="center" wrapText="1"/>
    </xf>
    <xf numFmtId="49" fontId="150" fillId="0" borderId="5" xfId="0" applyNumberFormat="1" applyFont="1" applyBorder="1" applyAlignment="1">
      <alignment horizontal="center" vertical="center"/>
    </xf>
    <xf numFmtId="0" fontId="150" fillId="0" borderId="3" xfId="0" applyFont="1" applyBorder="1" applyAlignment="1">
      <alignment horizontal="center" vertical="center" wrapText="1"/>
    </xf>
    <xf numFmtId="4" fontId="64" fillId="0" borderId="3" xfId="0" applyNumberFormat="1" applyFont="1" applyBorder="1" applyAlignment="1">
      <alignment horizontal="center" vertical="center"/>
    </xf>
    <xf numFmtId="4" fontId="64" fillId="0" borderId="5" xfId="0" applyNumberFormat="1" applyFont="1" applyBorder="1" applyAlignment="1">
      <alignment horizontal="center" vertical="center"/>
    </xf>
    <xf numFmtId="0" fontId="151" fillId="0" borderId="5" xfId="0" applyFont="1" applyBorder="1" applyAlignment="1">
      <alignment horizontal="center" vertical="center" wrapText="1"/>
    </xf>
    <xf numFmtId="180" fontId="200" fillId="5" borderId="5" xfId="0" applyNumberFormat="1" applyFont="1" applyFill="1" applyBorder="1" applyAlignment="1">
      <alignment horizontal="center" vertical="center" wrapText="1"/>
    </xf>
    <xf numFmtId="0" fontId="150" fillId="0" borderId="4" xfId="0" applyFont="1" applyBorder="1" applyAlignment="1">
      <alignment horizontal="center" vertical="center" wrapText="1"/>
    </xf>
    <xf numFmtId="0" fontId="150" fillId="0" borderId="5" xfId="0" applyFont="1" applyBorder="1" applyAlignment="1">
      <alignment horizontal="center" vertical="center"/>
    </xf>
    <xf numFmtId="0" fontId="150" fillId="0" borderId="4" xfId="0" applyFont="1" applyBorder="1" applyAlignment="1">
      <alignment horizontal="center" vertical="center"/>
    </xf>
    <xf numFmtId="4" fontId="150" fillId="0" borderId="3" xfId="0" applyNumberFormat="1" applyFont="1" applyBorder="1" applyAlignment="1">
      <alignment horizontal="center" vertical="center"/>
    </xf>
    <xf numFmtId="4" fontId="150" fillId="0" borderId="5" xfId="0" applyNumberFormat="1" applyFont="1" applyBorder="1" applyAlignment="1">
      <alignment horizontal="center" vertical="center"/>
    </xf>
    <xf numFmtId="0" fontId="151" fillId="0" borderId="3" xfId="0" applyFont="1" applyBorder="1" applyAlignment="1">
      <alignment horizontal="center" vertical="center" wrapText="1"/>
    </xf>
    <xf numFmtId="180" fontId="14" fillId="0" borderId="5" xfId="0" applyNumberFormat="1" applyFont="1" applyFill="1" applyBorder="1" applyAlignment="1">
      <alignment horizontal="center" vertical="center" wrapText="1"/>
    </xf>
    <xf numFmtId="180" fontId="14" fillId="0" borderId="4" xfId="0" applyNumberFormat="1" applyFont="1" applyFill="1" applyBorder="1" applyAlignment="1">
      <alignment horizontal="center" vertical="center" wrapText="1"/>
    </xf>
    <xf numFmtId="180" fontId="14" fillId="5" borderId="5" xfId="0" applyNumberFormat="1" applyFont="1" applyFill="1" applyBorder="1" applyAlignment="1">
      <alignment horizontal="center" vertical="center" wrapText="1"/>
    </xf>
    <xf numFmtId="0" fontId="0" fillId="0" borderId="5" xfId="0" applyBorder="1"/>
    <xf numFmtId="49" fontId="150" fillId="0" borderId="4" xfId="0" applyNumberFormat="1" applyFont="1" applyBorder="1" applyAlignment="1">
      <alignment horizontal="center" vertical="center"/>
    </xf>
    <xf numFmtId="49" fontId="150" fillId="0" borderId="7" xfId="0" applyNumberFormat="1" applyFont="1" applyBorder="1" applyAlignment="1">
      <alignment horizontal="center" vertical="center"/>
    </xf>
    <xf numFmtId="180" fontId="14" fillId="0" borderId="7" xfId="0" applyNumberFormat="1" applyFont="1" applyFill="1" applyBorder="1" applyAlignment="1">
      <alignment horizontal="center" vertical="center" wrapText="1"/>
    </xf>
    <xf numFmtId="0" fontId="122" fillId="0" borderId="3" xfId="0" applyFont="1" applyBorder="1" applyAlignment="1">
      <alignment horizontal="center" vertical="center" wrapText="1"/>
    </xf>
    <xf numFmtId="180" fontId="14" fillId="0" borderId="3" xfId="0" applyNumberFormat="1" applyFont="1" applyFill="1" applyBorder="1" applyAlignment="1">
      <alignment horizontal="center" vertical="center" wrapText="1"/>
    </xf>
  </cellXfs>
  <cellStyles count="62">
    <cellStyle name="?’ЋѓЋ‚›‰" xfId="1"/>
    <cellStyle name="_Veresen_derg" xfId="2"/>
    <cellStyle name="_Вик01102002 держ" xfId="3"/>
    <cellStyle name="_Книга1" xfId="4"/>
    <cellStyle name="_ПНП" xfId="5"/>
    <cellStyle name="_Прогноз ДМ по районах" xfId="6"/>
    <cellStyle name="”?ЌЂЌ‘Ћ‚›‰" xfId="7"/>
    <cellStyle name="”?Љ‘?ђЋ‚ЂЌЌ›‰" xfId="8"/>
    <cellStyle name="”€ЌЂЌ‘Ћ‚›‰" xfId="9"/>
    <cellStyle name="”€Љ‘€ђЋ‚ЂЌЌ›‰" xfId="10"/>
    <cellStyle name="”ЌЂЌ‘Ћ‚›‰" xfId="11"/>
    <cellStyle name="”Љ‘ђЋ‚ЂЌЌ›‰" xfId="12"/>
    <cellStyle name="„…Ќ…†Ќ›‰" xfId="13"/>
    <cellStyle name="€’ЋѓЋ‚›‰" xfId="14"/>
    <cellStyle name="‡ЂѓЋ‹Ћ‚ЋЉ1" xfId="15"/>
    <cellStyle name="‡ЂѓЋ‹Ћ‚ЋЉ2" xfId="16"/>
    <cellStyle name="’ЋѓЋ‚›‰" xfId="17"/>
    <cellStyle name="" xfId="18"/>
    <cellStyle name="" xfId="19"/>
    <cellStyle name="" xfId="20"/>
    <cellStyle name="" xfId="21"/>
    <cellStyle name="" xfId="22"/>
    <cellStyle name="1" xfId="23"/>
    <cellStyle name="2" xfId="24"/>
    <cellStyle name="Aaia?iue [0]_laroux" xfId="25"/>
    <cellStyle name="Aaia?iue_laroux" xfId="26"/>
    <cellStyle name="C?O" xfId="27"/>
    <cellStyle name="Cena$" xfId="28"/>
    <cellStyle name="CenaZ?" xfId="29"/>
    <cellStyle name="Ceny$" xfId="30"/>
    <cellStyle name="CenyZ?" xfId="31"/>
    <cellStyle name="Comma [0]_1996-1997-план 10 місяців" xfId="32"/>
    <cellStyle name="Comma_1996-1997-план 10 місяців" xfId="33"/>
    <cellStyle name="Currency [0]_1996-1997-план 10 місяців" xfId="34"/>
    <cellStyle name="Currency_1996-1997-план 10 місяців" xfId="35"/>
    <cellStyle name="Data" xfId="36"/>
    <cellStyle name="Dziesietny [0]_Arkusz1" xfId="37"/>
    <cellStyle name="Dziesietny_Arkusz1" xfId="38"/>
    <cellStyle name="Headline I" xfId="39"/>
    <cellStyle name="Headline II" xfId="40"/>
    <cellStyle name="Headline III" xfId="41"/>
    <cellStyle name="Iau?iue_laroux" xfId="42"/>
    <cellStyle name="Marza" xfId="43"/>
    <cellStyle name="Marza%" xfId="44"/>
    <cellStyle name="Marza_Veresen_derg" xfId="45"/>
    <cellStyle name="Nazwa" xfId="46"/>
    <cellStyle name="Normal_1996-1997-план 10 місяців" xfId="47"/>
    <cellStyle name="Normal_Дж" xfId="48"/>
    <cellStyle name="normalni_laroux" xfId="49"/>
    <cellStyle name="Normalny_A-FOUR TECH" xfId="50"/>
    <cellStyle name="Oeiainiaue [0]_laroux" xfId="51"/>
    <cellStyle name="Oeiainiaue_laroux" xfId="52"/>
    <cellStyle name="TrOds" xfId="53"/>
    <cellStyle name="Tytul" xfId="54"/>
    <cellStyle name="Walutowy [0]_Arkusz1" xfId="55"/>
    <cellStyle name="Walutowy_Arkusz1" xfId="56"/>
    <cellStyle name="Обычный" xfId="0" builtinId="0"/>
    <cellStyle name="Обычный_ZV1PIV98" xfId="57"/>
    <cellStyle name="Стиль 1" xfId="58"/>
    <cellStyle name="Тысячи [0]_Розподіл (2)" xfId="59"/>
    <cellStyle name="Тысячи_Розподіл (2)" xfId="60"/>
    <cellStyle name="ЏђЋ–…Ќ’Ќ›‰" xfId="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dget-galya\&#1041;&#1102;&#1076;&#1078;&#1077;&#1090;_2003\&#1052;&#1086;&#1080;%20&#1076;&#1086;&#1082;&#1091;&#1084;&#1077;&#1085;&#1090;&#1099;\&#1041;&#1102;&#1076;&#1078;&#1077;&#1090;_2002\&#1091;&#1090;&#1086;&#1095;&#1085;&#1077;&#1085;&#1085;&#1103;_2002\&#1059;&#1090;_&#1086;&#1073;&#1083;_&#1073;_19_06_&#1054;&#105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demar\c\ZVIT_M\pch_ROZ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\c\&#1052;&#1086;&#1080;%20&#1076;&#1086;&#1082;&#1091;&#1084;&#1077;&#1085;&#1090;&#1099;\Exsel\TABL16_DP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demar\c\&#1052;&#1086;&#1080;%20&#1076;&#1086;&#1082;&#1091;&#1084;&#1077;&#1085;&#1090;&#1099;\Excel\ZVITY\POD\12-02\REZ_PLAN_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41;&#1102;&#1076;&#1078;&#1077;&#1090;_2013/&#1041;&#1102;&#1076;&#1078;&#1077;&#1090;%20&#1089;&#1077;&#1089;&#1110;&#1103;/&#1041;&#1102;&#1076;&#1078;&#1077;&#1090;/&#1079;&#1072;&#1090;&#1074;&#1077;&#1088;&#1076;&#1078;&#1077;&#1085;&#1086;/&#1076;&#1086;&#1076;_1_8_2013%20&#1087;&#1088;&#1072;&#1074;&#1082;&#1080;%20&#1053;&#1072;&#1082;&#1086;&#1085;&#1077;&#1095;&#1085;&#1086;&#111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41;&#1102;&#1076;&#1078;&#1077;&#1090;_2012/&#1041;&#1102;&#1076;&#1078;&#1077;&#1090;%20&#1089;&#1077;&#1089;_&#1103;/&#1041;&#1102;&#1076;&#1078;&#1077;&#1090;/&#1047;&#1072;&#1090;&#1074;&#1077;&#1088;&#1076;&#1078;&#1077;&#1085;&#1086;/&#1076;&#1086;&#1076;_1_8_201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41;&#1102;&#1076;&#1078;&#1077;&#1090;%202007/&#1041;&#1102;&#1076;&#1078;&#1077;&#1090;%20&#1089;&#1077;&#1089;_&#1103;%202007/&#1041;&#1102;&#1076;&#1078;2007/&#1079;&#1072;&#1090;&#1074;&#1077;&#1088;&#1076;&#1078;&#1077;&#1085;&#1086;/&#1076;&#1086;&#1076;_1_7_2007%20&#1087;&#1088;&#1072;&#1074;&#1082;&#1080;%20&#1050;&#1060;&#105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41;&#1102;&#1076;&#1078;&#1077;&#1090;_2013/&#1041;&#1102;&#1076;&#1078;&#1077;&#1090;%20&#1089;&#1077;&#1089;&#1110;&#1103;/&#1041;&#1102;&#1076;&#1078;&#1077;&#1090;/&#1079;&#1072;&#1090;&#1074;&#1077;&#1088;&#1076;&#1078;&#1077;&#1085;&#1086;/&#1050;&#1086;&#1087;&#1080;&#1103;%20&#1076;&#1086;&#1076;_1_8_2011%20&#10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ласний_звичайний (2)"/>
      <sheetName val="зарплата2"/>
      <sheetName val="енергонос_дод3"/>
      <sheetName val="Завдання Дотація6"/>
      <sheetName val="кошти_передан7"/>
      <sheetName val="субсид_додаток10"/>
      <sheetName val="субв_з_облб11"/>
      <sheetName val="дод_інсулін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жер_фінанс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ього"/>
      <sheetName val="Ліценз"/>
      <sheetName val="Ліценз1"/>
      <sheetName val="Акциз"/>
      <sheetName val="Акциз1"/>
      <sheetName val="Надра"/>
      <sheetName val="Надра1"/>
      <sheetName val="Вода"/>
      <sheetName val="Вода1"/>
      <sheetName val="Ліс"/>
      <sheetName val="Ліс1"/>
      <sheetName val="ПДВ"/>
      <sheetName val="ПДВ1"/>
      <sheetName val="ПнП"/>
      <sheetName val="ПнП1"/>
      <sheetName val="Оренда"/>
      <sheetName val="Оренда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4">
          <cell r="A4" t="str">
            <v>№</v>
          </cell>
          <cell r="B4" t="str">
            <v>Район</v>
          </cell>
        </row>
        <row r="5">
          <cell r="A5">
            <v>1</v>
          </cell>
          <cell r="B5" t="str">
            <v>Обласна</v>
          </cell>
        </row>
        <row r="6">
          <cell r="B6" t="str">
            <v>м.Львiв</v>
          </cell>
        </row>
        <row r="7">
          <cell r="A7">
            <v>8</v>
          </cell>
          <cell r="B7" t="str">
            <v>м.Борислав</v>
          </cell>
        </row>
        <row r="8">
          <cell r="A8">
            <v>9</v>
          </cell>
          <cell r="B8" t="str">
            <v>м.Дрогобич</v>
          </cell>
        </row>
        <row r="9">
          <cell r="A9">
            <v>10</v>
          </cell>
          <cell r="B9" t="str">
            <v>м.Самбiр</v>
          </cell>
        </row>
        <row r="10">
          <cell r="A10">
            <v>11</v>
          </cell>
          <cell r="B10" t="str">
            <v>м.Стрий</v>
          </cell>
        </row>
        <row r="11">
          <cell r="A11">
            <v>12</v>
          </cell>
          <cell r="B11" t="str">
            <v>м.Трускавець</v>
          </cell>
        </row>
        <row r="12">
          <cell r="A12">
            <v>13</v>
          </cell>
          <cell r="B12" t="str">
            <v>м.Червоноград</v>
          </cell>
        </row>
        <row r="13">
          <cell r="A13">
            <v>14</v>
          </cell>
          <cell r="B13" t="str">
            <v>Бродiвський р-н</v>
          </cell>
        </row>
        <row r="14">
          <cell r="A14">
            <v>15</v>
          </cell>
          <cell r="B14" t="str">
            <v>Буський р-н</v>
          </cell>
        </row>
        <row r="15">
          <cell r="A15">
            <v>16</v>
          </cell>
          <cell r="B15" t="str">
            <v>Городоцький р-н</v>
          </cell>
        </row>
        <row r="16">
          <cell r="A16">
            <v>17</v>
          </cell>
          <cell r="B16" t="str">
            <v>Дрогобицький р-н</v>
          </cell>
        </row>
        <row r="17">
          <cell r="A17">
            <v>18</v>
          </cell>
          <cell r="B17" t="str">
            <v>Жидачiвський р-н</v>
          </cell>
        </row>
        <row r="18">
          <cell r="A18">
            <v>19</v>
          </cell>
          <cell r="B18" t="str">
            <v>Золочiвський р-н</v>
          </cell>
        </row>
        <row r="19">
          <cell r="A19">
            <v>20</v>
          </cell>
          <cell r="B19" t="str">
            <v>Кам.Бузький р-н</v>
          </cell>
        </row>
        <row r="20">
          <cell r="A20">
            <v>21</v>
          </cell>
          <cell r="B20" t="str">
            <v>Миколаiвський р-н</v>
          </cell>
        </row>
        <row r="21">
          <cell r="A21">
            <v>22</v>
          </cell>
          <cell r="B21" t="str">
            <v>Мостиський р-н</v>
          </cell>
        </row>
        <row r="22">
          <cell r="A22">
            <v>23</v>
          </cell>
          <cell r="B22" t="str">
            <v>Жовкiвський р-н</v>
          </cell>
        </row>
        <row r="23">
          <cell r="A23">
            <v>24</v>
          </cell>
          <cell r="B23" t="str">
            <v>Перемишлянський р-н</v>
          </cell>
        </row>
        <row r="24">
          <cell r="A24">
            <v>25</v>
          </cell>
          <cell r="B24" t="str">
            <v>Пустомитiвський р-н</v>
          </cell>
        </row>
        <row r="25">
          <cell r="A25">
            <v>26</v>
          </cell>
          <cell r="B25" t="str">
            <v>Радехiвський р-н</v>
          </cell>
        </row>
        <row r="26">
          <cell r="A26">
            <v>27</v>
          </cell>
          <cell r="B26" t="str">
            <v>Самбўрський р-н</v>
          </cell>
        </row>
        <row r="27">
          <cell r="A27">
            <v>28</v>
          </cell>
          <cell r="B27" t="str">
            <v>Сколiвський р-н</v>
          </cell>
        </row>
        <row r="28">
          <cell r="A28">
            <v>29</v>
          </cell>
          <cell r="B28" t="str">
            <v>Сокальський р-н</v>
          </cell>
        </row>
        <row r="29">
          <cell r="A29">
            <v>30</v>
          </cell>
          <cell r="B29" t="str">
            <v>Стpийськиий р-н</v>
          </cell>
        </row>
      </sheetData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ходи"/>
      <sheetName val="видатки_затв "/>
      <sheetName val="видатки по розпорядниках"/>
      <sheetName val="дод_4"/>
      <sheetName val="дод5"/>
      <sheetName val="дод_6"/>
      <sheetName val="дод7"/>
      <sheetName val="Дод8"/>
    </sheetNames>
    <sheetDataSet>
      <sheetData sheetId="0" refreshError="1"/>
      <sheetData sheetId="1">
        <row r="19">
          <cell r="F19">
            <v>2575000</v>
          </cell>
        </row>
        <row r="39">
          <cell r="F39">
            <v>37591800</v>
          </cell>
        </row>
        <row r="111">
          <cell r="F111">
            <v>19536200</v>
          </cell>
        </row>
        <row r="117">
          <cell r="F117">
            <v>0</v>
          </cell>
        </row>
        <row r="187">
          <cell r="F187">
            <v>0</v>
          </cell>
        </row>
        <row r="229">
          <cell r="F229">
            <v>16950000</v>
          </cell>
        </row>
        <row r="475">
          <cell r="C475">
            <v>0</v>
          </cell>
          <cell r="J475">
            <v>0</v>
          </cell>
          <cell r="K475">
            <v>0</v>
          </cell>
          <cell r="M47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ходи"/>
      <sheetName val="видатки_затв "/>
      <sheetName val="видатки по розпорядниках"/>
      <sheetName val="видатки по розпорядниках 3,1"/>
      <sheetName val="дод_4"/>
      <sheetName val="дод 5"/>
      <sheetName val="дод_6"/>
      <sheetName val="дод7"/>
      <sheetName val="Дод8"/>
    </sheetNames>
    <sheetDataSet>
      <sheetData sheetId="0" refreshError="1"/>
      <sheetData sheetId="1">
        <row r="321">
          <cell r="M321">
            <v>46718100</v>
          </cell>
        </row>
        <row r="329">
          <cell r="M329">
            <v>2347748595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ходи"/>
      <sheetName val="видатки_затв "/>
      <sheetName val="видатки по розпорядниках"/>
      <sheetName val="додаток_4"/>
      <sheetName val="дод_5"/>
      <sheetName val="дод_6"/>
      <sheetName val="дод_7"/>
    </sheetNames>
    <sheetDataSet>
      <sheetData sheetId="0" refreshError="1"/>
      <sheetData sheetId="1">
        <row r="178">
          <cell r="H178">
            <v>0</v>
          </cell>
        </row>
        <row r="180">
          <cell r="H180">
            <v>0</v>
          </cell>
        </row>
        <row r="193">
          <cell r="H19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ходи"/>
      <sheetName val="видатки_затв "/>
      <sheetName val="видатки по розпорядниках"/>
      <sheetName val="дод_4"/>
      <sheetName val="дод 5"/>
      <sheetName val="дод_6"/>
      <sheetName val="дод7"/>
      <sheetName val="Дод8"/>
    </sheetNames>
    <sheetDataSet>
      <sheetData sheetId="0" refreshError="1"/>
      <sheetData sheetId="1">
        <row r="438">
          <cell r="C438">
            <v>0</v>
          </cell>
          <cell r="K438">
            <v>0</v>
          </cell>
          <cell r="M438">
            <v>0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90"/>
  <sheetViews>
    <sheetView showZeros="0" tabSelected="1" zoomScale="75" zoomScaleNormal="75" zoomScaleSheetLayoutView="75" workbookViewId="0">
      <selection activeCell="B1" sqref="B1"/>
    </sheetView>
  </sheetViews>
  <sheetFormatPr defaultRowHeight="12.75"/>
  <cols>
    <col min="1" max="1" width="3.42578125" style="32" customWidth="1"/>
    <col min="2" max="2" width="13" style="305" customWidth="1"/>
    <col min="3" max="3" width="69.7109375" style="32" customWidth="1"/>
    <col min="4" max="4" width="17.85546875" style="32" customWidth="1"/>
    <col min="5" max="5" width="15.85546875" style="32" customWidth="1"/>
    <col min="6" max="6" width="14.7109375" style="32" customWidth="1"/>
    <col min="7" max="7" width="18.7109375" style="32" customWidth="1"/>
    <col min="8" max="8" width="11.28515625" style="32" bestFit="1" customWidth="1"/>
    <col min="9" max="11" width="9.140625" style="81"/>
    <col min="12" max="16384" width="9.140625" style="32"/>
  </cols>
  <sheetData>
    <row r="1" spans="2:9" ht="18.75">
      <c r="E1" s="1383" t="s">
        <v>891</v>
      </c>
      <c r="F1" s="1383"/>
      <c r="G1" s="1383"/>
    </row>
    <row r="2" spans="2:9" ht="15.6" customHeight="1">
      <c r="E2" s="1383" t="s">
        <v>1448</v>
      </c>
      <c r="F2" s="1383"/>
      <c r="G2" s="1383"/>
    </row>
    <row r="3" spans="2:9" ht="13.15" customHeight="1">
      <c r="E3" s="1383"/>
      <c r="F3" s="1383"/>
      <c r="G3" s="1383"/>
    </row>
    <row r="4" spans="2:9" ht="25.9" customHeight="1">
      <c r="B4" s="767"/>
      <c r="D4" s="768"/>
      <c r="E4" s="1384" t="s">
        <v>239</v>
      </c>
      <c r="F4" s="1384"/>
      <c r="G4" s="1384"/>
      <c r="H4" s="769"/>
      <c r="I4" s="770"/>
    </row>
    <row r="5" spans="2:9" ht="20.25">
      <c r="B5" s="1386"/>
      <c r="C5" s="1386"/>
      <c r="D5" s="1386"/>
      <c r="E5" s="1386"/>
      <c r="F5" s="1386"/>
      <c r="G5" s="1386"/>
      <c r="H5" s="769"/>
      <c r="I5" s="770"/>
    </row>
    <row r="6" spans="2:9" ht="28.9" customHeight="1">
      <c r="B6" s="1386" t="s">
        <v>1122</v>
      </c>
      <c r="C6" s="1386"/>
      <c r="D6" s="1386"/>
      <c r="E6" s="1386"/>
      <c r="F6" s="1386"/>
      <c r="G6" s="1386"/>
      <c r="H6" s="771"/>
      <c r="I6" s="772"/>
    </row>
    <row r="7" spans="2:9" ht="31.9" customHeight="1">
      <c r="B7" s="773"/>
      <c r="G7" s="192" t="s">
        <v>561</v>
      </c>
    </row>
    <row r="8" spans="2:9" ht="18" customHeight="1">
      <c r="B8" s="1387" t="s">
        <v>358</v>
      </c>
      <c r="C8" s="1387" t="s">
        <v>359</v>
      </c>
      <c r="D8" s="1387" t="s">
        <v>416</v>
      </c>
      <c r="E8" s="1387" t="s">
        <v>949</v>
      </c>
      <c r="F8" s="1387"/>
      <c r="G8" s="1385" t="s">
        <v>734</v>
      </c>
    </row>
    <row r="9" spans="2:9" ht="18" customHeight="1">
      <c r="B9" s="1389"/>
      <c r="C9" s="1387"/>
      <c r="D9" s="1387"/>
      <c r="E9" s="1387"/>
      <c r="F9" s="1387"/>
      <c r="G9" s="1385"/>
      <c r="I9" s="32"/>
    </row>
    <row r="10" spans="2:9">
      <c r="B10" s="1389"/>
      <c r="C10" s="1387"/>
      <c r="D10" s="1387"/>
      <c r="E10" s="1387" t="s">
        <v>734</v>
      </c>
      <c r="F10" s="1387" t="s">
        <v>360</v>
      </c>
      <c r="G10" s="1385"/>
    </row>
    <row r="11" spans="2:9" ht="33" customHeight="1">
      <c r="B11" s="1389"/>
      <c r="C11" s="1387"/>
      <c r="D11" s="1387"/>
      <c r="E11" s="1387"/>
      <c r="F11" s="1387"/>
      <c r="G11" s="1385"/>
    </row>
    <row r="12" spans="2:9">
      <c r="B12" s="1381">
        <v>1</v>
      </c>
      <c r="C12" s="1381">
        <v>2</v>
      </c>
      <c r="D12" s="1381">
        <v>3</v>
      </c>
      <c r="E12" s="1381">
        <v>4</v>
      </c>
      <c r="F12" s="1381">
        <v>5</v>
      </c>
      <c r="G12" s="1379">
        <v>6</v>
      </c>
    </row>
    <row r="13" spans="2:9" ht="1.1499999999999999" hidden="1" customHeight="1">
      <c r="B13" s="1382"/>
      <c r="C13" s="1382"/>
      <c r="D13" s="1382"/>
      <c r="E13" s="1382"/>
      <c r="F13" s="1382"/>
      <c r="G13" s="1380"/>
    </row>
    <row r="14" spans="2:9" ht="14.25">
      <c r="B14" s="220">
        <v>10000000</v>
      </c>
      <c r="C14" s="1034" t="s">
        <v>361</v>
      </c>
      <c r="D14" s="455">
        <f>+D15+D36+D45</f>
        <v>859914084</v>
      </c>
      <c r="E14" s="455">
        <f>+E36+E65</f>
        <v>25000000</v>
      </c>
      <c r="F14" s="455"/>
      <c r="G14" s="455">
        <f t="shared" ref="G14:G20" si="0">+D14+E14</f>
        <v>884914084</v>
      </c>
      <c r="H14" s="32">
        <f t="shared" ref="H14:H60" si="1">+G14</f>
        <v>884914084</v>
      </c>
      <c r="I14" s="81">
        <v>1</v>
      </c>
    </row>
    <row r="15" spans="2:9" ht="28.5">
      <c r="B15" s="220">
        <v>11000000</v>
      </c>
      <c r="C15" s="1034" t="s">
        <v>362</v>
      </c>
      <c r="D15" s="455">
        <f>+D16+D32</f>
        <v>798482084</v>
      </c>
      <c r="E15" s="455"/>
      <c r="F15" s="455"/>
      <c r="G15" s="455">
        <f t="shared" si="0"/>
        <v>798482084</v>
      </c>
      <c r="H15" s="32">
        <f t="shared" si="1"/>
        <v>798482084</v>
      </c>
      <c r="I15" s="81">
        <v>1</v>
      </c>
    </row>
    <row r="16" spans="2:9" ht="15">
      <c r="B16" s="220">
        <v>11010000</v>
      </c>
      <c r="C16" s="1034" t="s">
        <v>363</v>
      </c>
      <c r="D16" s="455">
        <f>SUM(D17:D31)</f>
        <v>794451084</v>
      </c>
      <c r="E16" s="456"/>
      <c r="F16" s="456"/>
      <c r="G16" s="455">
        <f t="shared" si="0"/>
        <v>794451084</v>
      </c>
      <c r="H16" s="32">
        <f t="shared" si="1"/>
        <v>794451084</v>
      </c>
      <c r="I16" s="81">
        <v>1</v>
      </c>
    </row>
    <row r="17" spans="2:9" ht="30">
      <c r="B17" s="1035">
        <v>11010100</v>
      </c>
      <c r="C17" s="211" t="s">
        <v>364</v>
      </c>
      <c r="D17" s="456">
        <f>700983900-732000-816</f>
        <v>700251084</v>
      </c>
      <c r="E17" s="456"/>
      <c r="F17" s="456"/>
      <c r="G17" s="455">
        <f t="shared" si="0"/>
        <v>700251084</v>
      </c>
      <c r="H17" s="32">
        <f t="shared" si="1"/>
        <v>700251084</v>
      </c>
    </row>
    <row r="18" spans="2:9" ht="45">
      <c r="B18" s="1035">
        <v>11010200</v>
      </c>
      <c r="C18" s="211" t="s">
        <v>365</v>
      </c>
      <c r="D18" s="456">
        <v>38600000</v>
      </c>
      <c r="E18" s="456"/>
      <c r="F18" s="456"/>
      <c r="G18" s="455">
        <f t="shared" si="0"/>
        <v>38600000</v>
      </c>
      <c r="H18" s="32">
        <f t="shared" si="1"/>
        <v>38600000</v>
      </c>
    </row>
    <row r="19" spans="2:9" ht="30">
      <c r="B19" s="1035">
        <v>11010300</v>
      </c>
      <c r="C19" s="211" t="s">
        <v>366</v>
      </c>
      <c r="D19" s="456">
        <v>21500000</v>
      </c>
      <c r="E19" s="456"/>
      <c r="F19" s="456"/>
      <c r="G19" s="455">
        <f t="shared" si="0"/>
        <v>21500000</v>
      </c>
      <c r="H19" s="32">
        <f t="shared" si="1"/>
        <v>21500000</v>
      </c>
    </row>
    <row r="20" spans="2:9" ht="30">
      <c r="B20" s="1035">
        <v>11010400</v>
      </c>
      <c r="C20" s="211" t="s">
        <v>367</v>
      </c>
      <c r="D20" s="364">
        <v>11100000</v>
      </c>
      <c r="E20" s="364"/>
      <c r="F20" s="364"/>
      <c r="G20" s="176">
        <f t="shared" si="0"/>
        <v>11100000</v>
      </c>
      <c r="H20" s="32">
        <f t="shared" si="1"/>
        <v>11100000</v>
      </c>
    </row>
    <row r="21" spans="2:9" ht="30">
      <c r="B21" s="1036">
        <v>11010500</v>
      </c>
      <c r="C21" s="211" t="s">
        <v>368</v>
      </c>
      <c r="D21" s="364">
        <v>23000000</v>
      </c>
      <c r="E21" s="175"/>
      <c r="F21" s="175"/>
      <c r="G21" s="176">
        <f>+D21</f>
        <v>23000000</v>
      </c>
      <c r="H21" s="32">
        <f t="shared" si="1"/>
        <v>23000000</v>
      </c>
    </row>
    <row r="22" spans="2:9" ht="45" hidden="1">
      <c r="B22" s="1037">
        <v>11010600</v>
      </c>
      <c r="C22" s="1039" t="s">
        <v>369</v>
      </c>
      <c r="D22" s="1040"/>
      <c r="E22" s="1040"/>
      <c r="F22" s="1040"/>
      <c r="G22" s="1041">
        <f>+D22+E22</f>
        <v>0</v>
      </c>
      <c r="H22" s="32">
        <f t="shared" si="1"/>
        <v>0</v>
      </c>
    </row>
    <row r="23" spans="2:9" ht="30" hidden="1">
      <c r="B23" s="1035">
        <v>11010700</v>
      </c>
      <c r="C23" s="367" t="s">
        <v>370</v>
      </c>
      <c r="D23" s="456"/>
      <c r="E23" s="456"/>
      <c r="F23" s="456"/>
      <c r="G23" s="455">
        <f>+D23+E23</f>
        <v>0</v>
      </c>
      <c r="H23" s="32">
        <f t="shared" si="1"/>
        <v>0</v>
      </c>
    </row>
    <row r="24" spans="2:9" ht="30" hidden="1">
      <c r="B24" s="1042">
        <v>11010800</v>
      </c>
      <c r="C24" s="1043" t="s">
        <v>839</v>
      </c>
      <c r="D24" s="1044"/>
      <c r="E24" s="1044"/>
      <c r="F24" s="1044"/>
      <c r="G24" s="1045">
        <f>+D24+E24</f>
        <v>0</v>
      </c>
      <c r="H24" s="32">
        <f t="shared" si="1"/>
        <v>0</v>
      </c>
    </row>
    <row r="25" spans="2:9" ht="30" hidden="1">
      <c r="B25" s="1035">
        <v>11011000</v>
      </c>
      <c r="C25" s="211" t="s">
        <v>840</v>
      </c>
      <c r="D25" s="364"/>
      <c r="E25" s="364"/>
      <c r="F25" s="364"/>
      <c r="G25" s="176">
        <f>+D25</f>
        <v>0</v>
      </c>
      <c r="H25" s="32">
        <f t="shared" si="1"/>
        <v>0</v>
      </c>
    </row>
    <row r="26" spans="2:9" ht="15" hidden="1">
      <c r="B26" s="1035">
        <v>11011100</v>
      </c>
      <c r="C26" s="211" t="s">
        <v>841</v>
      </c>
      <c r="D26" s="456"/>
      <c r="E26" s="456"/>
      <c r="F26" s="456"/>
      <c r="G26" s="455">
        <f t="shared" ref="G26:G32" si="2">+D26+E26</f>
        <v>0</v>
      </c>
      <c r="H26" s="32">
        <f t="shared" si="1"/>
        <v>0</v>
      </c>
    </row>
    <row r="27" spans="2:9" ht="30" hidden="1">
      <c r="B27" s="1035">
        <v>11011200</v>
      </c>
      <c r="C27" s="211" t="s">
        <v>842</v>
      </c>
      <c r="D27" s="456"/>
      <c r="E27" s="456"/>
      <c r="F27" s="456"/>
      <c r="G27" s="455">
        <f t="shared" si="2"/>
        <v>0</v>
      </c>
      <c r="H27" s="32">
        <f t="shared" si="1"/>
        <v>0</v>
      </c>
    </row>
    <row r="28" spans="2:9" ht="30" hidden="1">
      <c r="B28" s="1035">
        <v>11011300</v>
      </c>
      <c r="C28" s="211" t="s">
        <v>843</v>
      </c>
      <c r="D28" s="456"/>
      <c r="E28" s="456"/>
      <c r="F28" s="456"/>
      <c r="G28" s="455">
        <f t="shared" si="2"/>
        <v>0</v>
      </c>
      <c r="H28" s="32">
        <f t="shared" si="1"/>
        <v>0</v>
      </c>
    </row>
    <row r="29" spans="2:9" ht="45" hidden="1">
      <c r="B29" s="1035">
        <v>11011400</v>
      </c>
      <c r="C29" s="211" t="s">
        <v>844</v>
      </c>
      <c r="D29" s="456"/>
      <c r="E29" s="456"/>
      <c r="F29" s="456"/>
      <c r="G29" s="455">
        <f t="shared" si="2"/>
        <v>0</v>
      </c>
      <c r="H29" s="32">
        <f t="shared" si="1"/>
        <v>0</v>
      </c>
    </row>
    <row r="30" spans="2:9" ht="15" hidden="1">
      <c r="B30" s="1035">
        <v>11011500</v>
      </c>
      <c r="C30" s="211" t="s">
        <v>845</v>
      </c>
      <c r="D30" s="456"/>
      <c r="E30" s="456"/>
      <c r="F30" s="456"/>
      <c r="G30" s="455">
        <f t="shared" si="2"/>
        <v>0</v>
      </c>
      <c r="H30" s="32">
        <f t="shared" si="1"/>
        <v>0</v>
      </c>
    </row>
    <row r="31" spans="2:9" ht="30" hidden="1">
      <c r="B31" s="1046">
        <v>11011600</v>
      </c>
      <c r="C31" s="1047" t="s">
        <v>846</v>
      </c>
      <c r="D31" s="1048"/>
      <c r="E31" s="1048"/>
      <c r="F31" s="1048"/>
      <c r="G31" s="1049">
        <f t="shared" si="2"/>
        <v>0</v>
      </c>
      <c r="H31" s="32">
        <f t="shared" si="1"/>
        <v>0</v>
      </c>
    </row>
    <row r="32" spans="2:9" ht="15">
      <c r="B32" s="1050">
        <v>11020000</v>
      </c>
      <c r="C32" s="1034" t="s">
        <v>847</v>
      </c>
      <c r="D32" s="455">
        <f>+D33+D34+D35</f>
        <v>4031000</v>
      </c>
      <c r="E32" s="455"/>
      <c r="F32" s="456"/>
      <c r="G32" s="455">
        <f t="shared" si="2"/>
        <v>4031000</v>
      </c>
      <c r="H32" s="32">
        <f t="shared" si="1"/>
        <v>4031000</v>
      </c>
      <c r="I32" s="81">
        <v>1</v>
      </c>
    </row>
    <row r="33" spans="2:9" s="35" customFormat="1" ht="14.25" hidden="1" customHeight="1">
      <c r="B33" s="1051">
        <v>11020100</v>
      </c>
      <c r="C33" s="1051" t="s">
        <v>848</v>
      </c>
      <c r="D33" s="1052"/>
      <c r="E33" s="1053" t="s">
        <v>849</v>
      </c>
      <c r="F33" s="1053" t="s">
        <v>849</v>
      </c>
      <c r="G33" s="1054">
        <f>+D33</f>
        <v>0</v>
      </c>
      <c r="H33" s="712">
        <f t="shared" si="1"/>
        <v>0</v>
      </c>
    </row>
    <row r="34" spans="2:9" ht="30">
      <c r="B34" s="1055">
        <v>11020200</v>
      </c>
      <c r="C34" s="870" t="s">
        <v>1435</v>
      </c>
      <c r="D34" s="456">
        <f>768000+2000000</f>
        <v>2768000</v>
      </c>
      <c r="E34" s="456"/>
      <c r="F34" s="456"/>
      <c r="G34" s="455">
        <f t="shared" ref="G34:G39" si="3">+D34+E34</f>
        <v>2768000</v>
      </c>
      <c r="H34" s="32">
        <f t="shared" si="1"/>
        <v>2768000</v>
      </c>
      <c r="I34" s="81">
        <v>1</v>
      </c>
    </row>
    <row r="35" spans="2:9" ht="30">
      <c r="B35" s="1055">
        <v>11023200</v>
      </c>
      <c r="C35" s="870" t="s">
        <v>33</v>
      </c>
      <c r="D35" s="456">
        <f>263000+1000000</f>
        <v>1263000</v>
      </c>
      <c r="E35" s="456"/>
      <c r="F35" s="456"/>
      <c r="G35" s="455">
        <f t="shared" si="3"/>
        <v>1263000</v>
      </c>
      <c r="H35" s="32">
        <f t="shared" si="1"/>
        <v>1263000</v>
      </c>
    </row>
    <row r="36" spans="2:9" ht="14.25">
      <c r="B36" s="220">
        <v>12000000</v>
      </c>
      <c r="C36" s="1034" t="s">
        <v>850</v>
      </c>
      <c r="D36" s="455"/>
      <c r="E36" s="455">
        <f>E40+E37</f>
        <v>18000000</v>
      </c>
      <c r="F36" s="455"/>
      <c r="G36" s="455">
        <f t="shared" si="3"/>
        <v>18000000</v>
      </c>
      <c r="H36" s="32">
        <f t="shared" si="1"/>
        <v>18000000</v>
      </c>
      <c r="I36" s="81">
        <v>1</v>
      </c>
    </row>
    <row r="37" spans="2:9" ht="28.5" hidden="1">
      <c r="B37" s="1056">
        <v>12020000</v>
      </c>
      <c r="C37" s="1057" t="s">
        <v>851</v>
      </c>
      <c r="D37" s="1045"/>
      <c r="E37" s="1045">
        <f>+E38+E39</f>
        <v>0</v>
      </c>
      <c r="F37" s="1045"/>
      <c r="G37" s="1045">
        <f t="shared" si="3"/>
        <v>0</v>
      </c>
      <c r="H37" s="32">
        <f t="shared" si="1"/>
        <v>0</v>
      </c>
    </row>
    <row r="38" spans="2:9" ht="30" hidden="1">
      <c r="B38" s="1035">
        <v>12020100</v>
      </c>
      <c r="C38" s="367" t="s">
        <v>852</v>
      </c>
      <c r="D38" s="456"/>
      <c r="E38" s="456"/>
      <c r="F38" s="456"/>
      <c r="G38" s="456">
        <f t="shared" si="3"/>
        <v>0</v>
      </c>
      <c r="H38" s="32">
        <f t="shared" si="1"/>
        <v>0</v>
      </c>
    </row>
    <row r="39" spans="2:9" ht="30" hidden="1">
      <c r="B39" s="1046">
        <v>12020200</v>
      </c>
      <c r="C39" s="1058" t="s">
        <v>853</v>
      </c>
      <c r="D39" s="1048"/>
      <c r="E39" s="1048"/>
      <c r="F39" s="1048"/>
      <c r="G39" s="1048">
        <f t="shared" si="3"/>
        <v>0</v>
      </c>
      <c r="H39" s="32">
        <f t="shared" si="1"/>
        <v>0</v>
      </c>
    </row>
    <row r="40" spans="2:9" ht="15">
      <c r="B40" s="220">
        <v>12030000</v>
      </c>
      <c r="C40" s="1034" t="s">
        <v>854</v>
      </c>
      <c r="D40" s="455"/>
      <c r="E40" s="455">
        <f>E41+E42</f>
        <v>18000000</v>
      </c>
      <c r="F40" s="456"/>
      <c r="G40" s="455">
        <f>E40</f>
        <v>18000000</v>
      </c>
      <c r="H40" s="32">
        <f t="shared" si="1"/>
        <v>18000000</v>
      </c>
    </row>
    <row r="41" spans="2:9" ht="15">
      <c r="B41" s="1035">
        <v>12030100</v>
      </c>
      <c r="C41" s="211" t="s">
        <v>855</v>
      </c>
      <c r="D41" s="456"/>
      <c r="E41" s="456">
        <v>1296000</v>
      </c>
      <c r="F41" s="456"/>
      <c r="G41" s="455">
        <f>+D41+E41</f>
        <v>1296000</v>
      </c>
      <c r="H41" s="32">
        <f t="shared" si="1"/>
        <v>1296000</v>
      </c>
    </row>
    <row r="42" spans="2:9" ht="15">
      <c r="B42" s="1035">
        <v>12030200</v>
      </c>
      <c r="C42" s="211" t="s">
        <v>856</v>
      </c>
      <c r="D42" s="456"/>
      <c r="E42" s="456">
        <v>16704000</v>
      </c>
      <c r="F42" s="456"/>
      <c r="G42" s="455">
        <f>+D42+E42</f>
        <v>16704000</v>
      </c>
      <c r="H42" s="32">
        <f t="shared" si="1"/>
        <v>16704000</v>
      </c>
    </row>
    <row r="43" spans="2:9" ht="21.6" hidden="1" customHeight="1">
      <c r="B43" s="1059">
        <v>120203000</v>
      </c>
      <c r="C43" s="1060" t="s">
        <v>857</v>
      </c>
      <c r="D43" s="1061"/>
      <c r="E43" s="1061"/>
      <c r="F43" s="1061"/>
      <c r="G43" s="1062">
        <f>+E43</f>
        <v>0</v>
      </c>
      <c r="H43" s="32">
        <f t="shared" si="1"/>
        <v>0</v>
      </c>
    </row>
    <row r="44" spans="2:9" ht="15" hidden="1">
      <c r="B44" s="1046">
        <v>12020400</v>
      </c>
      <c r="C44" s="1047" t="s">
        <v>858</v>
      </c>
      <c r="D44" s="1063"/>
      <c r="E44" s="1063"/>
      <c r="F44" s="1063"/>
      <c r="G44" s="1064">
        <f>+E44</f>
        <v>0</v>
      </c>
      <c r="H44" s="32">
        <f t="shared" si="1"/>
        <v>0</v>
      </c>
    </row>
    <row r="45" spans="2:9" ht="14.25">
      <c r="B45" s="220">
        <v>13000000</v>
      </c>
      <c r="C45" s="1034" t="s">
        <v>1522</v>
      </c>
      <c r="D45" s="455">
        <f>+D46+D48+D52+D62</f>
        <v>61432000</v>
      </c>
      <c r="E45" s="455">
        <f>+E46+E48+E52+E56+E62</f>
        <v>0</v>
      </c>
      <c r="F45" s="455">
        <f>+F46+F48+F52+F56+F62</f>
        <v>0</v>
      </c>
      <c r="G45" s="455">
        <f t="shared" ref="G45:G60" si="4">+D45+E45</f>
        <v>61432000</v>
      </c>
      <c r="H45" s="32">
        <f t="shared" si="1"/>
        <v>61432000</v>
      </c>
      <c r="I45" s="81">
        <v>1</v>
      </c>
    </row>
    <row r="46" spans="2:9" ht="15">
      <c r="B46" s="220">
        <v>13010000</v>
      </c>
      <c r="C46" s="1034" t="s">
        <v>1523</v>
      </c>
      <c r="D46" s="455">
        <f>+D47</f>
        <v>7500000</v>
      </c>
      <c r="E46" s="456"/>
      <c r="F46" s="456"/>
      <c r="G46" s="455">
        <f t="shared" si="4"/>
        <v>7500000</v>
      </c>
      <c r="H46" s="32">
        <f t="shared" si="1"/>
        <v>7500000</v>
      </c>
    </row>
    <row r="47" spans="2:9" ht="30">
      <c r="B47" s="1035">
        <v>13010100</v>
      </c>
      <c r="C47" s="211" t="s">
        <v>1524</v>
      </c>
      <c r="D47" s="456">
        <v>7500000</v>
      </c>
      <c r="E47" s="456"/>
      <c r="F47" s="456"/>
      <c r="G47" s="455">
        <f t="shared" si="4"/>
        <v>7500000</v>
      </c>
      <c r="H47" s="32">
        <f t="shared" si="1"/>
        <v>7500000</v>
      </c>
    </row>
    <row r="48" spans="2:9" ht="14.25">
      <c r="B48" s="220">
        <v>13020000</v>
      </c>
      <c r="C48" s="1034" t="s">
        <v>1525</v>
      </c>
      <c r="D48" s="455">
        <f>+D49+D51+D50</f>
        <v>26250000</v>
      </c>
      <c r="E48" s="455">
        <f>+E49+E51+E50</f>
        <v>0</v>
      </c>
      <c r="F48" s="455">
        <f>+F49+F51+F50</f>
        <v>0</v>
      </c>
      <c r="G48" s="455">
        <f t="shared" si="4"/>
        <v>26250000</v>
      </c>
      <c r="H48" s="32">
        <f t="shared" si="1"/>
        <v>26250000</v>
      </c>
    </row>
    <row r="49" spans="2:9" ht="30">
      <c r="B49" s="1035">
        <v>13020100</v>
      </c>
      <c r="C49" s="211" t="s">
        <v>272</v>
      </c>
      <c r="D49" s="456">
        <f>19886000+250000+1000000</f>
        <v>21136000</v>
      </c>
      <c r="E49" s="456"/>
      <c r="F49" s="456"/>
      <c r="G49" s="455">
        <f t="shared" si="4"/>
        <v>21136000</v>
      </c>
      <c r="H49" s="32">
        <f t="shared" si="1"/>
        <v>21136000</v>
      </c>
    </row>
    <row r="50" spans="2:9" ht="15">
      <c r="B50" s="1035">
        <v>130203000</v>
      </c>
      <c r="C50" s="211" t="s">
        <v>1526</v>
      </c>
      <c r="D50" s="456">
        <v>41000</v>
      </c>
      <c r="E50" s="456"/>
      <c r="F50" s="456"/>
      <c r="G50" s="455">
        <f t="shared" si="4"/>
        <v>41000</v>
      </c>
      <c r="H50" s="32">
        <f t="shared" si="1"/>
        <v>41000</v>
      </c>
    </row>
    <row r="51" spans="2:9" ht="30">
      <c r="B51" s="1035">
        <v>13020400</v>
      </c>
      <c r="C51" s="211" t="s">
        <v>1527</v>
      </c>
      <c r="D51" s="456">
        <v>5073000</v>
      </c>
      <c r="E51" s="456"/>
      <c r="F51" s="456"/>
      <c r="G51" s="455">
        <f t="shared" si="4"/>
        <v>5073000</v>
      </c>
      <c r="H51" s="32">
        <f t="shared" si="1"/>
        <v>5073000</v>
      </c>
    </row>
    <row r="52" spans="2:9" ht="15">
      <c r="B52" s="220">
        <v>13030000</v>
      </c>
      <c r="C52" s="1034" t="s">
        <v>1528</v>
      </c>
      <c r="D52" s="455">
        <f>+D54+D55+D53</f>
        <v>27682000</v>
      </c>
      <c r="E52" s="456"/>
      <c r="F52" s="456"/>
      <c r="G52" s="455">
        <f t="shared" si="4"/>
        <v>27682000</v>
      </c>
      <c r="H52" s="32">
        <f t="shared" si="1"/>
        <v>27682000</v>
      </c>
    </row>
    <row r="53" spans="2:9" ht="30">
      <c r="B53" s="1035">
        <v>13030100</v>
      </c>
      <c r="C53" s="211" t="s">
        <v>1529</v>
      </c>
      <c r="D53" s="456">
        <f>25700000+250000+1732000</f>
        <v>27682000</v>
      </c>
      <c r="E53" s="456"/>
      <c r="F53" s="456"/>
      <c r="G53" s="455">
        <f t="shared" si="4"/>
        <v>27682000</v>
      </c>
      <c r="H53" s="32">
        <f t="shared" si="1"/>
        <v>27682000</v>
      </c>
    </row>
    <row r="54" spans="2:9" ht="15" hidden="1">
      <c r="B54" s="1042">
        <v>13030200</v>
      </c>
      <c r="C54" s="1065" t="s">
        <v>1530</v>
      </c>
      <c r="D54" s="1066">
        <f>2000000-2000000</f>
        <v>0</v>
      </c>
      <c r="E54" s="1066"/>
      <c r="F54" s="1066"/>
      <c r="G54" s="1062">
        <f t="shared" si="4"/>
        <v>0</v>
      </c>
      <c r="H54" s="32">
        <f t="shared" si="1"/>
        <v>0</v>
      </c>
    </row>
    <row r="55" spans="2:9" ht="30" hidden="1">
      <c r="B55" s="1035">
        <v>13030600</v>
      </c>
      <c r="C55" s="1067" t="s">
        <v>1531</v>
      </c>
      <c r="D55" s="364">
        <f>2200000-2200000</f>
        <v>0</v>
      </c>
      <c r="E55" s="364"/>
      <c r="F55" s="364"/>
      <c r="G55" s="176">
        <f t="shared" si="4"/>
        <v>0</v>
      </c>
      <c r="H55" s="32">
        <f t="shared" si="1"/>
        <v>0</v>
      </c>
    </row>
    <row r="56" spans="2:9" ht="15" hidden="1">
      <c r="B56" s="220">
        <v>13050000</v>
      </c>
      <c r="C56" s="1034" t="s">
        <v>1532</v>
      </c>
      <c r="D56" s="455">
        <f>SUM(D57:D60)</f>
        <v>0</v>
      </c>
      <c r="E56" s="456"/>
      <c r="F56" s="456"/>
      <c r="G56" s="455">
        <f t="shared" si="4"/>
        <v>0</v>
      </c>
      <c r="H56" s="32">
        <f t="shared" si="1"/>
        <v>0</v>
      </c>
      <c r="I56" s="81">
        <v>1</v>
      </c>
    </row>
    <row r="57" spans="2:9" ht="15" hidden="1">
      <c r="B57" s="1035">
        <v>13050100</v>
      </c>
      <c r="C57" s="211" t="s">
        <v>1533</v>
      </c>
      <c r="D57" s="456"/>
      <c r="E57" s="456"/>
      <c r="F57" s="456"/>
      <c r="G57" s="455">
        <f t="shared" si="4"/>
        <v>0</v>
      </c>
      <c r="H57" s="32">
        <f t="shared" si="1"/>
        <v>0</v>
      </c>
    </row>
    <row r="58" spans="2:9" ht="15" hidden="1">
      <c r="B58" s="1035">
        <v>13050200</v>
      </c>
      <c r="C58" s="211" t="s">
        <v>1534</v>
      </c>
      <c r="D58" s="456"/>
      <c r="E58" s="456"/>
      <c r="F58" s="456"/>
      <c r="G58" s="455">
        <f t="shared" si="4"/>
        <v>0</v>
      </c>
      <c r="H58" s="32">
        <f t="shared" si="1"/>
        <v>0</v>
      </c>
    </row>
    <row r="59" spans="2:9" ht="15" hidden="1">
      <c r="B59" s="1035">
        <v>13050300</v>
      </c>
      <c r="C59" s="211" t="s">
        <v>1535</v>
      </c>
      <c r="D59" s="456"/>
      <c r="E59" s="456"/>
      <c r="F59" s="456"/>
      <c r="G59" s="455">
        <f t="shared" si="4"/>
        <v>0</v>
      </c>
      <c r="H59" s="32">
        <f t="shared" si="1"/>
        <v>0</v>
      </c>
    </row>
    <row r="60" spans="2:9" ht="15" hidden="1">
      <c r="B60" s="1035">
        <v>13050500</v>
      </c>
      <c r="C60" s="211" t="s">
        <v>1536</v>
      </c>
      <c r="D60" s="456"/>
      <c r="E60" s="456"/>
      <c r="F60" s="456"/>
      <c r="G60" s="455">
        <f t="shared" si="4"/>
        <v>0</v>
      </c>
      <c r="H60" s="32">
        <f t="shared" si="1"/>
        <v>0</v>
      </c>
    </row>
    <row r="61" spans="2:9" ht="14.25" hidden="1">
      <c r="B61" s="1068"/>
      <c r="C61" s="1069"/>
      <c r="D61" s="1070"/>
      <c r="E61" s="1070"/>
      <c r="F61" s="1070"/>
      <c r="G61" s="1071"/>
    </row>
    <row r="62" spans="2:9" ht="14.25" hidden="1">
      <c r="B62" s="220">
        <v>13070000</v>
      </c>
      <c r="C62" s="1034" t="s">
        <v>1537</v>
      </c>
      <c r="D62" s="455">
        <f>+D63+D64</f>
        <v>0</v>
      </c>
      <c r="E62" s="519"/>
      <c r="F62" s="519"/>
      <c r="G62" s="455">
        <f t="shared" ref="G62:G81" si="5">+D62+E62</f>
        <v>0</v>
      </c>
      <c r="H62" s="32">
        <f t="shared" ref="H62:H93" si="6">+G62</f>
        <v>0</v>
      </c>
    </row>
    <row r="63" spans="2:9" ht="15" hidden="1">
      <c r="B63" s="1037">
        <v>13070100</v>
      </c>
      <c r="C63" s="1072" t="s">
        <v>1538</v>
      </c>
      <c r="D63" s="1040"/>
      <c r="E63" s="1073"/>
      <c r="F63" s="1073"/>
      <c r="G63" s="1041">
        <f t="shared" si="5"/>
        <v>0</v>
      </c>
      <c r="H63" s="32">
        <f t="shared" si="6"/>
        <v>0</v>
      </c>
    </row>
    <row r="64" spans="2:9" ht="30" hidden="1">
      <c r="B64" s="1035">
        <v>13070300</v>
      </c>
      <c r="C64" s="211" t="s">
        <v>1539</v>
      </c>
      <c r="D64" s="456"/>
      <c r="E64" s="519"/>
      <c r="F64" s="519"/>
      <c r="G64" s="455">
        <f t="shared" si="5"/>
        <v>0</v>
      </c>
      <c r="H64" s="32">
        <f t="shared" si="6"/>
        <v>0</v>
      </c>
    </row>
    <row r="65" spans="2:9" ht="15">
      <c r="B65" s="1074">
        <v>19000000</v>
      </c>
      <c r="C65" s="1075" t="s">
        <v>1540</v>
      </c>
      <c r="D65" s="456"/>
      <c r="E65" s="455">
        <f>+E66</f>
        <v>7000000</v>
      </c>
      <c r="F65" s="1076"/>
      <c r="G65" s="455">
        <f t="shared" si="5"/>
        <v>7000000</v>
      </c>
      <c r="H65" s="32">
        <f t="shared" si="6"/>
        <v>7000000</v>
      </c>
    </row>
    <row r="66" spans="2:9" ht="15">
      <c r="B66" s="1074">
        <v>19010000</v>
      </c>
      <c r="C66" s="1075" t="s">
        <v>1541</v>
      </c>
      <c r="D66" s="456"/>
      <c r="E66" s="455">
        <f>+E67+E68+E69+E70+E71</f>
        <v>7000000</v>
      </c>
      <c r="F66" s="1076"/>
      <c r="G66" s="455">
        <f t="shared" si="5"/>
        <v>7000000</v>
      </c>
      <c r="H66" s="32">
        <f t="shared" si="6"/>
        <v>7000000</v>
      </c>
    </row>
    <row r="67" spans="2:9" ht="30">
      <c r="B67" s="1077">
        <v>19010100</v>
      </c>
      <c r="C67" s="1078" t="s">
        <v>1542</v>
      </c>
      <c r="D67" s="456"/>
      <c r="E67" s="456">
        <v>3897000</v>
      </c>
      <c r="F67" s="519"/>
      <c r="G67" s="455">
        <f t="shared" si="5"/>
        <v>3897000</v>
      </c>
      <c r="H67" s="32">
        <f t="shared" si="6"/>
        <v>3897000</v>
      </c>
    </row>
    <row r="68" spans="2:9" ht="30">
      <c r="B68" s="1077">
        <v>19010200</v>
      </c>
      <c r="C68" s="1078" t="s">
        <v>1543</v>
      </c>
      <c r="D68" s="456"/>
      <c r="E68" s="456">
        <v>428000</v>
      </c>
      <c r="F68" s="519"/>
      <c r="G68" s="455">
        <f t="shared" si="5"/>
        <v>428000</v>
      </c>
      <c r="H68" s="32">
        <f t="shared" si="6"/>
        <v>428000</v>
      </c>
    </row>
    <row r="69" spans="2:9" ht="45">
      <c r="B69" s="1077">
        <v>19010300</v>
      </c>
      <c r="C69" s="1078" t="s">
        <v>1544</v>
      </c>
      <c r="D69" s="456"/>
      <c r="E69" s="456">
        <v>811000</v>
      </c>
      <c r="F69" s="519"/>
      <c r="G69" s="455">
        <f t="shared" si="5"/>
        <v>811000</v>
      </c>
      <c r="H69" s="32">
        <f t="shared" si="6"/>
        <v>811000</v>
      </c>
    </row>
    <row r="70" spans="2:9" ht="45">
      <c r="B70" s="1077">
        <v>19010500</v>
      </c>
      <c r="C70" s="367" t="s">
        <v>1545</v>
      </c>
      <c r="D70" s="456"/>
      <c r="E70" s="456">
        <v>5000</v>
      </c>
      <c r="F70" s="519"/>
      <c r="G70" s="455">
        <f t="shared" si="5"/>
        <v>5000</v>
      </c>
      <c r="H70" s="32">
        <f t="shared" si="6"/>
        <v>5000</v>
      </c>
    </row>
    <row r="71" spans="2:9" ht="30">
      <c r="B71" s="1077">
        <v>19010600</v>
      </c>
      <c r="C71" s="367" t="s">
        <v>1546</v>
      </c>
      <c r="D71" s="456"/>
      <c r="E71" s="456">
        <v>1859000</v>
      </c>
      <c r="F71" s="519"/>
      <c r="G71" s="455">
        <f t="shared" si="5"/>
        <v>1859000</v>
      </c>
      <c r="H71" s="32">
        <f t="shared" si="6"/>
        <v>1859000</v>
      </c>
    </row>
    <row r="72" spans="2:9" ht="15" hidden="1">
      <c r="B72" s="1042"/>
      <c r="C72" s="1043"/>
      <c r="D72" s="1066"/>
      <c r="E72" s="1061"/>
      <c r="F72" s="1061"/>
      <c r="G72" s="1062">
        <f t="shared" si="5"/>
        <v>0</v>
      </c>
      <c r="H72" s="32">
        <f t="shared" si="6"/>
        <v>0</v>
      </c>
    </row>
    <row r="73" spans="2:9" ht="15" hidden="1">
      <c r="B73" s="1035"/>
      <c r="C73" s="211"/>
      <c r="D73" s="1066"/>
      <c r="E73" s="1061"/>
      <c r="F73" s="1061"/>
      <c r="G73" s="176">
        <f t="shared" si="5"/>
        <v>0</v>
      </c>
      <c r="H73" s="32">
        <f t="shared" si="6"/>
        <v>0</v>
      </c>
    </row>
    <row r="74" spans="2:9" ht="15" hidden="1">
      <c r="B74" s="1035"/>
      <c r="C74" s="211"/>
      <c r="D74" s="1066"/>
      <c r="E74" s="1061"/>
      <c r="F74" s="1061"/>
      <c r="G74" s="176">
        <f t="shared" si="5"/>
        <v>0</v>
      </c>
      <c r="H74" s="32">
        <f t="shared" si="6"/>
        <v>0</v>
      </c>
    </row>
    <row r="75" spans="2:9" ht="15" hidden="1">
      <c r="B75" s="1035"/>
      <c r="C75" s="211"/>
      <c r="D75" s="1066"/>
      <c r="E75" s="1061"/>
      <c r="F75" s="1061"/>
      <c r="G75" s="176">
        <f t="shared" si="5"/>
        <v>0</v>
      </c>
      <c r="H75" s="32">
        <f t="shared" si="6"/>
        <v>0</v>
      </c>
    </row>
    <row r="76" spans="2:9" ht="15" hidden="1">
      <c r="B76" s="1035"/>
      <c r="C76" s="211"/>
      <c r="D76" s="1066"/>
      <c r="E76" s="1061"/>
      <c r="F76" s="1061"/>
      <c r="G76" s="176">
        <f t="shared" si="5"/>
        <v>0</v>
      </c>
      <c r="H76" s="32">
        <f t="shared" si="6"/>
        <v>0</v>
      </c>
    </row>
    <row r="77" spans="2:9" ht="15" hidden="1">
      <c r="B77" s="1035"/>
      <c r="C77" s="211"/>
      <c r="D77" s="1066"/>
      <c r="E77" s="1061"/>
      <c r="F77" s="1061"/>
      <c r="G77" s="176">
        <f t="shared" si="5"/>
        <v>0</v>
      </c>
      <c r="H77" s="32">
        <f t="shared" si="6"/>
        <v>0</v>
      </c>
    </row>
    <row r="78" spans="2:9" ht="15" hidden="1">
      <c r="B78" s="1035"/>
      <c r="C78" s="211"/>
      <c r="D78" s="1066"/>
      <c r="E78" s="1061"/>
      <c r="F78" s="1061"/>
      <c r="G78" s="176">
        <f t="shared" si="5"/>
        <v>0</v>
      </c>
      <c r="H78" s="32">
        <f t="shared" si="6"/>
        <v>0</v>
      </c>
    </row>
    <row r="79" spans="2:9" ht="15" hidden="1">
      <c r="B79" s="1046"/>
      <c r="C79" s="1047"/>
      <c r="D79" s="1079"/>
      <c r="E79" s="1070"/>
      <c r="F79" s="1070"/>
      <c r="G79" s="1064">
        <f t="shared" si="5"/>
        <v>0</v>
      </c>
      <c r="H79" s="32">
        <f t="shared" si="6"/>
        <v>0</v>
      </c>
    </row>
    <row r="80" spans="2:9" ht="14.25">
      <c r="B80" s="220">
        <v>20000000</v>
      </c>
      <c r="C80" s="1034" t="s">
        <v>1547</v>
      </c>
      <c r="D80" s="455">
        <f>D81+D89+D111+D118+D113</f>
        <v>64952400</v>
      </c>
      <c r="E80" s="455">
        <f>E118+E131+E87</f>
        <v>75878400</v>
      </c>
      <c r="F80" s="455"/>
      <c r="G80" s="455">
        <f t="shared" si="5"/>
        <v>140830800</v>
      </c>
      <c r="H80" s="32">
        <f t="shared" si="6"/>
        <v>140830800</v>
      </c>
      <c r="I80" s="81">
        <v>1</v>
      </c>
    </row>
    <row r="81" spans="2:9" ht="22.9" customHeight="1">
      <c r="B81" s="220">
        <v>21000000</v>
      </c>
      <c r="C81" s="1034" t="s">
        <v>1548</v>
      </c>
      <c r="D81" s="455">
        <f>D82+D85+D84</f>
        <v>7380000</v>
      </c>
      <c r="E81" s="455">
        <f>+E87</f>
        <v>3600000</v>
      </c>
      <c r="F81" s="455"/>
      <c r="G81" s="455">
        <f t="shared" si="5"/>
        <v>10980000</v>
      </c>
      <c r="H81" s="32">
        <f t="shared" si="6"/>
        <v>10980000</v>
      </c>
    </row>
    <row r="82" spans="2:9" ht="70.150000000000006" customHeight="1">
      <c r="B82" s="220">
        <v>21010000</v>
      </c>
      <c r="C82" s="1034" t="s">
        <v>1436</v>
      </c>
      <c r="D82" s="455">
        <f>D83</f>
        <v>2626000</v>
      </c>
      <c r="E82" s="455"/>
      <c r="F82" s="455"/>
      <c r="G82" s="455">
        <f>D82</f>
        <v>2626000</v>
      </c>
      <c r="H82" s="32">
        <f t="shared" si="6"/>
        <v>2626000</v>
      </c>
    </row>
    <row r="83" spans="2:9" ht="34.9" customHeight="1">
      <c r="B83" s="1035">
        <v>21010300</v>
      </c>
      <c r="C83" s="211" t="s">
        <v>34</v>
      </c>
      <c r="D83" s="456">
        <f>626000+2000000</f>
        <v>2626000</v>
      </c>
      <c r="E83" s="456"/>
      <c r="F83" s="455"/>
      <c r="G83" s="455">
        <f>D83</f>
        <v>2626000</v>
      </c>
      <c r="H83" s="32">
        <f t="shared" si="6"/>
        <v>2626000</v>
      </c>
    </row>
    <row r="84" spans="2:9" ht="20.45" customHeight="1">
      <c r="B84" s="220">
        <v>21050000</v>
      </c>
      <c r="C84" s="1034" t="s">
        <v>1549</v>
      </c>
      <c r="D84" s="455">
        <f>1000000-500000</f>
        <v>500000</v>
      </c>
      <c r="E84" s="455"/>
      <c r="F84" s="455"/>
      <c r="G84" s="455">
        <f>D84</f>
        <v>500000</v>
      </c>
      <c r="H84" s="32">
        <f t="shared" si="6"/>
        <v>500000</v>
      </c>
    </row>
    <row r="85" spans="2:9" ht="20.45" customHeight="1">
      <c r="B85" s="220">
        <v>21080000</v>
      </c>
      <c r="C85" s="1034" t="s">
        <v>1550</v>
      </c>
      <c r="D85" s="455">
        <f>+D86</f>
        <v>4254000</v>
      </c>
      <c r="E85" s="456"/>
      <c r="F85" s="455"/>
      <c r="G85" s="455">
        <f>D85</f>
        <v>4254000</v>
      </c>
      <c r="H85" s="32">
        <f t="shared" si="6"/>
        <v>4254000</v>
      </c>
    </row>
    <row r="86" spans="2:9" ht="18.600000000000001" customHeight="1">
      <c r="B86" s="1035">
        <v>21080500</v>
      </c>
      <c r="C86" s="211" t="s">
        <v>1550</v>
      </c>
      <c r="D86" s="456">
        <f>4000000+254000</f>
        <v>4254000</v>
      </c>
      <c r="E86" s="456"/>
      <c r="F86" s="455"/>
      <c r="G86" s="455">
        <f>D86</f>
        <v>4254000</v>
      </c>
      <c r="H86" s="32">
        <f t="shared" si="6"/>
        <v>4254000</v>
      </c>
    </row>
    <row r="87" spans="2:9" ht="30">
      <c r="B87" s="1035">
        <v>21110000</v>
      </c>
      <c r="C87" s="211" t="s">
        <v>1551</v>
      </c>
      <c r="D87" s="456"/>
      <c r="E87" s="456">
        <f>1200000+2400000</f>
        <v>3600000</v>
      </c>
      <c r="F87" s="1080"/>
      <c r="G87" s="455">
        <f>E87</f>
        <v>3600000</v>
      </c>
      <c r="H87" s="32">
        <f t="shared" si="6"/>
        <v>3600000</v>
      </c>
    </row>
    <row r="88" spans="2:9" ht="28.5">
      <c r="B88" s="1081">
        <v>22000000</v>
      </c>
      <c r="C88" s="1034" t="s">
        <v>1552</v>
      </c>
      <c r="D88" s="455">
        <f>D89+D111+D113</f>
        <v>57572400</v>
      </c>
      <c r="E88" s="455"/>
      <c r="F88" s="455"/>
      <c r="G88" s="455">
        <f>D88</f>
        <v>57572400</v>
      </c>
      <c r="H88" s="32">
        <f t="shared" si="6"/>
        <v>57572400</v>
      </c>
    </row>
    <row r="89" spans="2:9" ht="14.25">
      <c r="B89" s="220">
        <v>22010000</v>
      </c>
      <c r="C89" s="1034" t="s">
        <v>1437</v>
      </c>
      <c r="D89" s="455">
        <f>+D91+D95+D97+D93+D94+D96+D98</f>
        <v>51350000</v>
      </c>
      <c r="E89" s="455"/>
      <c r="F89" s="455"/>
      <c r="G89" s="455">
        <f>+D89+E89</f>
        <v>51350000</v>
      </c>
      <c r="H89" s="32">
        <f t="shared" si="6"/>
        <v>51350000</v>
      </c>
    </row>
    <row r="90" spans="2:9" s="35" customFormat="1" ht="16.899999999999999" hidden="1" customHeight="1">
      <c r="B90" s="1051">
        <v>14060100</v>
      </c>
      <c r="C90" s="1051" t="s">
        <v>1553</v>
      </c>
      <c r="D90" s="1082"/>
      <c r="E90" s="1053" t="s">
        <v>849</v>
      </c>
      <c r="F90" s="1053" t="s">
        <v>849</v>
      </c>
      <c r="G90" s="1054">
        <f>+D90</f>
        <v>0</v>
      </c>
      <c r="H90" s="32">
        <f t="shared" si="6"/>
        <v>0</v>
      </c>
    </row>
    <row r="91" spans="2:9" ht="60">
      <c r="B91" s="1083">
        <v>22010200</v>
      </c>
      <c r="C91" s="870" t="s">
        <v>1554</v>
      </c>
      <c r="D91" s="456">
        <v>50000</v>
      </c>
      <c r="E91" s="456"/>
      <c r="F91" s="456"/>
      <c r="G91" s="455">
        <f>+D91+E91</f>
        <v>50000</v>
      </c>
      <c r="H91" s="32">
        <f t="shared" si="6"/>
        <v>50000</v>
      </c>
      <c r="I91" s="81">
        <v>1</v>
      </c>
    </row>
    <row r="92" spans="2:9" s="35" customFormat="1" ht="21.6" hidden="1" customHeight="1">
      <c r="B92" s="1051">
        <v>14060300</v>
      </c>
      <c r="C92" s="1051" t="s">
        <v>1555</v>
      </c>
      <c r="D92" s="1084"/>
      <c r="E92" s="1085" t="s">
        <v>849</v>
      </c>
      <c r="F92" s="1085" t="s">
        <v>849</v>
      </c>
      <c r="G92" s="1086">
        <f>+D92</f>
        <v>0</v>
      </c>
      <c r="H92" s="32">
        <f t="shared" si="6"/>
        <v>0</v>
      </c>
    </row>
    <row r="93" spans="2:9" s="35" customFormat="1" ht="33.6" customHeight="1">
      <c r="B93" s="1083">
        <v>22010500</v>
      </c>
      <c r="C93" s="870" t="s">
        <v>1556</v>
      </c>
      <c r="D93" s="456">
        <v>4000</v>
      </c>
      <c r="E93" s="456"/>
      <c r="F93" s="456"/>
      <c r="G93" s="455">
        <f t="shared" ref="G93:G98" si="7">+D93+E93</f>
        <v>4000</v>
      </c>
      <c r="H93" s="32">
        <f t="shared" si="6"/>
        <v>4000</v>
      </c>
    </row>
    <row r="94" spans="2:9" s="35" customFormat="1" ht="31.9" customHeight="1">
      <c r="B94" s="1083">
        <v>22010700</v>
      </c>
      <c r="C94" s="870" t="s">
        <v>1557</v>
      </c>
      <c r="D94" s="456">
        <v>6000</v>
      </c>
      <c r="E94" s="1087"/>
      <c r="F94" s="1087"/>
      <c r="G94" s="455">
        <f t="shared" si="7"/>
        <v>6000</v>
      </c>
      <c r="H94" s="32">
        <f t="shared" ref="H94:H125" si="8">+G94</f>
        <v>6000</v>
      </c>
    </row>
    <row r="95" spans="2:9" s="35" customFormat="1" ht="30">
      <c r="B95" s="1083">
        <v>22010900</v>
      </c>
      <c r="C95" s="870" t="s">
        <v>1558</v>
      </c>
      <c r="D95" s="456">
        <v>107000</v>
      </c>
      <c r="E95" s="456"/>
      <c r="F95" s="456"/>
      <c r="G95" s="455">
        <f t="shared" si="7"/>
        <v>107000</v>
      </c>
      <c r="H95" s="32">
        <f t="shared" si="8"/>
        <v>107000</v>
      </c>
    </row>
    <row r="96" spans="2:9" s="35" customFormat="1" ht="30">
      <c r="B96" s="1083">
        <v>22011000</v>
      </c>
      <c r="C96" s="870" t="s">
        <v>1559</v>
      </c>
      <c r="D96" s="456">
        <v>8009000</v>
      </c>
      <c r="E96" s="456"/>
      <c r="F96" s="456"/>
      <c r="G96" s="455">
        <f t="shared" si="7"/>
        <v>8009000</v>
      </c>
      <c r="H96" s="32">
        <f t="shared" si="8"/>
        <v>8009000</v>
      </c>
    </row>
    <row r="97" spans="2:11" ht="30">
      <c r="B97" s="1083">
        <v>22011100</v>
      </c>
      <c r="C97" s="870" t="s">
        <v>1560</v>
      </c>
      <c r="D97" s="456">
        <f>41700000+246000</f>
        <v>41946000</v>
      </c>
      <c r="E97" s="456"/>
      <c r="F97" s="456"/>
      <c r="G97" s="455">
        <f t="shared" si="7"/>
        <v>41946000</v>
      </c>
      <c r="H97" s="32">
        <f t="shared" si="8"/>
        <v>41946000</v>
      </c>
    </row>
    <row r="98" spans="2:11" ht="30">
      <c r="B98" s="1083">
        <v>22011800</v>
      </c>
      <c r="C98" s="870" t="s">
        <v>1561</v>
      </c>
      <c r="D98" s="456">
        <v>1228000</v>
      </c>
      <c r="E98" s="456"/>
      <c r="F98" s="456"/>
      <c r="G98" s="455">
        <f t="shared" si="7"/>
        <v>1228000</v>
      </c>
      <c r="H98" s="32">
        <f t="shared" si="8"/>
        <v>1228000</v>
      </c>
    </row>
    <row r="99" spans="2:11" s="35" customFormat="1" ht="14.25" hidden="1" customHeight="1">
      <c r="B99" s="1088">
        <v>14070000</v>
      </c>
      <c r="C99" s="1088" t="s">
        <v>1562</v>
      </c>
      <c r="D99" s="1089"/>
      <c r="E99" s="1090" t="s">
        <v>849</v>
      </c>
      <c r="F99" s="1090" t="s">
        <v>849</v>
      </c>
      <c r="G99" s="1086">
        <f>+D99</f>
        <v>0</v>
      </c>
      <c r="H99" s="32">
        <f t="shared" si="8"/>
        <v>0</v>
      </c>
    </row>
    <row r="100" spans="2:11" s="35" customFormat="1" ht="31.9" hidden="1" customHeight="1">
      <c r="B100" s="1091">
        <v>14071500</v>
      </c>
      <c r="C100" s="1091" t="s">
        <v>1115</v>
      </c>
      <c r="D100" s="1092" t="s">
        <v>849</v>
      </c>
      <c r="E100" s="1093"/>
      <c r="F100" s="1092" t="s">
        <v>849</v>
      </c>
      <c r="G100" s="1094">
        <f>+E100</f>
        <v>0</v>
      </c>
      <c r="H100" s="712">
        <f t="shared" si="8"/>
        <v>0</v>
      </c>
    </row>
    <row r="101" spans="2:11" ht="14.25" hidden="1">
      <c r="B101" s="1095">
        <v>16000000</v>
      </c>
      <c r="C101" s="1095" t="s">
        <v>1563</v>
      </c>
      <c r="D101" s="1096">
        <f>+D102+D103+D104</f>
        <v>0</v>
      </c>
      <c r="E101" s="1097" t="s">
        <v>849</v>
      </c>
      <c r="F101" s="1097" t="s">
        <v>849</v>
      </c>
      <c r="G101" s="1098">
        <f>+D101</f>
        <v>0</v>
      </c>
      <c r="H101" s="32">
        <f t="shared" si="8"/>
        <v>0</v>
      </c>
      <c r="I101" s="31">
        <v>1</v>
      </c>
      <c r="J101" s="32"/>
      <c r="K101" s="31"/>
    </row>
    <row r="102" spans="2:11" ht="14.25" hidden="1">
      <c r="B102" s="1099">
        <v>16010000</v>
      </c>
      <c r="C102" s="1099" t="s">
        <v>1564</v>
      </c>
      <c r="D102" s="1097"/>
      <c r="E102" s="1097" t="s">
        <v>849</v>
      </c>
      <c r="F102" s="1097" t="s">
        <v>849</v>
      </c>
      <c r="G102" s="1098">
        <f>+D102</f>
        <v>0</v>
      </c>
      <c r="H102" s="32">
        <f t="shared" si="8"/>
        <v>0</v>
      </c>
      <c r="I102" s="31">
        <v>1</v>
      </c>
      <c r="J102" s="32"/>
      <c r="K102" s="31"/>
    </row>
    <row r="103" spans="2:11" s="35" customFormat="1" ht="14.25" hidden="1">
      <c r="B103" s="1100">
        <v>16040000</v>
      </c>
      <c r="C103" s="1100" t="s">
        <v>1565</v>
      </c>
      <c r="D103" s="1089"/>
      <c r="E103" s="1090" t="s">
        <v>849</v>
      </c>
      <c r="F103" s="1090" t="s">
        <v>849</v>
      </c>
      <c r="G103" s="1101">
        <f>+D103</f>
        <v>0</v>
      </c>
      <c r="H103" s="712">
        <f t="shared" si="8"/>
        <v>0</v>
      </c>
    </row>
    <row r="104" spans="2:11" s="35" customFormat="1" ht="14.25" hidden="1">
      <c r="B104" s="1102">
        <v>16050000</v>
      </c>
      <c r="C104" s="1102" t="s">
        <v>1566</v>
      </c>
      <c r="D104" s="1093"/>
      <c r="E104" s="1092" t="s">
        <v>849</v>
      </c>
      <c r="F104" s="1092" t="s">
        <v>849</v>
      </c>
      <c r="G104" s="1094">
        <f>+D104</f>
        <v>0</v>
      </c>
      <c r="H104" s="712">
        <f t="shared" si="8"/>
        <v>0</v>
      </c>
    </row>
    <row r="105" spans="2:11" ht="14.25" hidden="1">
      <c r="B105" s="1103"/>
      <c r="C105" s="1104"/>
      <c r="D105" s="1105"/>
      <c r="E105" s="1105"/>
      <c r="F105" s="1105"/>
      <c r="G105" s="1062">
        <f>+D105+E105</f>
        <v>0</v>
      </c>
      <c r="H105" s="32">
        <f t="shared" si="8"/>
        <v>0</v>
      </c>
    </row>
    <row r="106" spans="2:11" ht="36.6" hidden="1" customHeight="1">
      <c r="B106" s="1106">
        <v>21010800</v>
      </c>
      <c r="C106" s="1060" t="s">
        <v>1567</v>
      </c>
      <c r="D106" s="1105"/>
      <c r="E106" s="1061"/>
      <c r="F106" s="1061">
        <f>+E106</f>
        <v>0</v>
      </c>
      <c r="G106" s="1062">
        <f>+D106+E106</f>
        <v>0</v>
      </c>
      <c r="H106" s="32">
        <f t="shared" si="8"/>
        <v>0</v>
      </c>
    </row>
    <row r="107" spans="2:11" ht="25.5" hidden="1">
      <c r="B107" s="1107">
        <v>21050400</v>
      </c>
      <c r="C107" s="1108" t="s">
        <v>1568</v>
      </c>
      <c r="D107" s="1109"/>
      <c r="E107" s="1109"/>
      <c r="F107" s="1109"/>
      <c r="G107" s="1054">
        <f>+E107</f>
        <v>0</v>
      </c>
      <c r="H107" s="32">
        <f t="shared" si="8"/>
        <v>0</v>
      </c>
    </row>
    <row r="108" spans="2:11" s="35" customFormat="1" ht="19.149999999999999" hidden="1" customHeight="1">
      <c r="B108" s="1100">
        <v>21030000</v>
      </c>
      <c r="C108" s="1100" t="s">
        <v>1569</v>
      </c>
      <c r="D108" s="1089"/>
      <c r="E108" s="1090" t="s">
        <v>849</v>
      </c>
      <c r="F108" s="1090" t="s">
        <v>849</v>
      </c>
      <c r="G108" s="1101">
        <f>+D108</f>
        <v>0</v>
      </c>
      <c r="H108" s="32">
        <f t="shared" si="8"/>
        <v>0</v>
      </c>
    </row>
    <row r="109" spans="2:11" s="35" customFormat="1" ht="28.15" hidden="1" customHeight="1">
      <c r="B109" s="1099">
        <v>21040000</v>
      </c>
      <c r="C109" s="1099" t="s">
        <v>1570</v>
      </c>
      <c r="D109" s="456"/>
      <c r="E109" s="1110" t="s">
        <v>849</v>
      </c>
      <c r="F109" s="1110" t="s">
        <v>849</v>
      </c>
      <c r="G109" s="1111">
        <f>+D109</f>
        <v>0</v>
      </c>
      <c r="H109" s="712">
        <f t="shared" si="8"/>
        <v>0</v>
      </c>
    </row>
    <row r="110" spans="2:11" s="35" customFormat="1" ht="14.25" hidden="1">
      <c r="B110" s="1051">
        <v>22020000</v>
      </c>
      <c r="C110" s="1051" t="s">
        <v>1571</v>
      </c>
      <c r="D110" s="1052"/>
      <c r="E110" s="1053" t="s">
        <v>849</v>
      </c>
      <c r="F110" s="1053" t="s">
        <v>1572</v>
      </c>
      <c r="G110" s="1054">
        <f>+D110</f>
        <v>0</v>
      </c>
      <c r="H110" s="712">
        <f t="shared" si="8"/>
        <v>0</v>
      </c>
    </row>
    <row r="111" spans="2:11" s="35" customFormat="1" ht="33" customHeight="1">
      <c r="B111" s="220">
        <v>22080000</v>
      </c>
      <c r="C111" s="1112" t="s">
        <v>1573</v>
      </c>
      <c r="D111" s="455">
        <f>+D112</f>
        <v>6122400</v>
      </c>
      <c r="E111" s="1113"/>
      <c r="F111" s="1113"/>
      <c r="G111" s="455">
        <f>+D111+E111</f>
        <v>6122400</v>
      </c>
      <c r="H111" s="712">
        <f t="shared" si="8"/>
        <v>6122400</v>
      </c>
    </row>
    <row r="112" spans="2:11" ht="30">
      <c r="B112" s="1083">
        <v>22080400</v>
      </c>
      <c r="C112" s="870" t="s">
        <v>1574</v>
      </c>
      <c r="D112" s="456">
        <f>4085100+2037300</f>
        <v>6122400</v>
      </c>
      <c r="E112" s="456"/>
      <c r="F112" s="456"/>
      <c r="G112" s="455">
        <f>+D112+E112</f>
        <v>6122400</v>
      </c>
      <c r="H112" s="32">
        <f t="shared" si="8"/>
        <v>6122400</v>
      </c>
      <c r="I112" s="81">
        <v>1</v>
      </c>
    </row>
    <row r="113" spans="1:11" ht="28.5">
      <c r="B113" s="220">
        <v>22120000</v>
      </c>
      <c r="C113" s="1034" t="s">
        <v>1575</v>
      </c>
      <c r="D113" s="455">
        <v>100000</v>
      </c>
      <c r="E113" s="456"/>
      <c r="F113" s="456"/>
      <c r="G113" s="455">
        <f>+D113+E113</f>
        <v>100000</v>
      </c>
      <c r="H113" s="32">
        <f t="shared" si="8"/>
        <v>100000</v>
      </c>
    </row>
    <row r="114" spans="1:11" s="35" customFormat="1" ht="14.25" hidden="1">
      <c r="B114" s="1088">
        <v>22090000</v>
      </c>
      <c r="C114" s="1088" t="s">
        <v>1576</v>
      </c>
      <c r="D114" s="1089"/>
      <c r="E114" s="1090" t="s">
        <v>849</v>
      </c>
      <c r="F114" s="1090" t="s">
        <v>849</v>
      </c>
      <c r="G114" s="1101">
        <f>+D114</f>
        <v>0</v>
      </c>
      <c r="H114" s="712">
        <f t="shared" si="8"/>
        <v>0</v>
      </c>
    </row>
    <row r="115" spans="1:11" s="35" customFormat="1" ht="14.25" hidden="1">
      <c r="B115" s="1114">
        <v>23000000</v>
      </c>
      <c r="C115" s="1114" t="s">
        <v>1577</v>
      </c>
      <c r="D115" s="1115">
        <f>+D117</f>
        <v>0</v>
      </c>
      <c r="E115" s="1115"/>
      <c r="F115" s="1115"/>
      <c r="G115" s="1111">
        <f>+D115+E115</f>
        <v>0</v>
      </c>
      <c r="H115" s="712">
        <f t="shared" si="8"/>
        <v>0</v>
      </c>
    </row>
    <row r="116" spans="1:11" s="35" customFormat="1" ht="14.25" hidden="1" customHeight="1">
      <c r="B116" s="1116">
        <v>23020000</v>
      </c>
      <c r="C116" s="1116" t="s">
        <v>1578</v>
      </c>
      <c r="D116" s="1092" t="s">
        <v>849</v>
      </c>
      <c r="E116" s="174"/>
      <c r="F116" s="1092" t="s">
        <v>849</v>
      </c>
      <c r="G116" s="1111">
        <f>+E116</f>
        <v>0</v>
      </c>
      <c r="H116" s="712">
        <f t="shared" si="8"/>
        <v>0</v>
      </c>
    </row>
    <row r="117" spans="1:11" s="35" customFormat="1" ht="14.25" hidden="1">
      <c r="B117" s="1091">
        <v>23030000</v>
      </c>
      <c r="C117" s="1091" t="s">
        <v>1579</v>
      </c>
      <c r="D117" s="1093"/>
      <c r="E117" s="1092" t="s">
        <v>849</v>
      </c>
      <c r="F117" s="1092" t="s">
        <v>849</v>
      </c>
      <c r="G117" s="1094">
        <f>+D117</f>
        <v>0</v>
      </c>
      <c r="H117" s="712">
        <f t="shared" si="8"/>
        <v>0</v>
      </c>
    </row>
    <row r="118" spans="1:11" ht="14.25">
      <c r="B118" s="220">
        <v>24000000</v>
      </c>
      <c r="C118" s="1034" t="s">
        <v>1580</v>
      </c>
      <c r="D118" s="455">
        <f>+D121+D123+D126+D130+D125+D122+D119</f>
        <v>0</v>
      </c>
      <c r="E118" s="455">
        <f>E120+E127</f>
        <v>600000</v>
      </c>
      <c r="F118" s="455">
        <f>+F121+F123+F126+F130+F125+F122</f>
        <v>0</v>
      </c>
      <c r="G118" s="455">
        <f>+D118+E118</f>
        <v>600000</v>
      </c>
      <c r="H118" s="32">
        <f t="shared" si="8"/>
        <v>600000</v>
      </c>
      <c r="I118" s="81">
        <v>1</v>
      </c>
    </row>
    <row r="119" spans="1:11" s="35" customFormat="1" ht="14.25" hidden="1" customHeight="1">
      <c r="B119" s="1117">
        <v>24030000</v>
      </c>
      <c r="C119" s="1112" t="s">
        <v>1581</v>
      </c>
      <c r="D119" s="1118"/>
      <c r="E119" s="1110" t="s">
        <v>849</v>
      </c>
      <c r="F119" s="1110" t="s">
        <v>849</v>
      </c>
      <c r="G119" s="1119">
        <f>+D119</f>
        <v>0</v>
      </c>
      <c r="H119" s="712">
        <f t="shared" si="8"/>
        <v>0</v>
      </c>
    </row>
    <row r="120" spans="1:11" s="35" customFormat="1" ht="14.25">
      <c r="A120" s="1120"/>
      <c r="B120" s="220">
        <v>24060000</v>
      </c>
      <c r="C120" s="1034" t="s">
        <v>1550</v>
      </c>
      <c r="D120" s="455">
        <f>+D121</f>
        <v>0</v>
      </c>
      <c r="E120" s="487">
        <f>+E128</f>
        <v>600000</v>
      </c>
      <c r="F120" s="1121"/>
      <c r="G120" s="1122">
        <f>+D120+E120</f>
        <v>600000</v>
      </c>
      <c r="H120" s="712">
        <f t="shared" si="8"/>
        <v>600000</v>
      </c>
    </row>
    <row r="121" spans="1:11" ht="15" hidden="1">
      <c r="B121" s="1083">
        <v>24060300</v>
      </c>
      <c r="C121" s="870" t="s">
        <v>1550</v>
      </c>
      <c r="D121" s="456"/>
      <c r="E121" s="456"/>
      <c r="F121" s="456"/>
      <c r="G121" s="455">
        <f>+D121</f>
        <v>0</v>
      </c>
      <c r="H121" s="32">
        <f t="shared" si="8"/>
        <v>0</v>
      </c>
      <c r="I121" s="31"/>
      <c r="J121" s="32"/>
      <c r="K121" s="31"/>
    </row>
    <row r="122" spans="1:11" ht="21.6" hidden="1" customHeight="1">
      <c r="B122" s="1088">
        <v>24061600</v>
      </c>
      <c r="C122" s="1088" t="s">
        <v>1582</v>
      </c>
      <c r="D122" s="1123"/>
      <c r="E122" s="1123"/>
      <c r="F122" s="1123"/>
      <c r="G122" s="1101">
        <f>+D122+E122</f>
        <v>0</v>
      </c>
      <c r="H122" s="32">
        <f t="shared" si="8"/>
        <v>0</v>
      </c>
      <c r="I122" s="31"/>
      <c r="J122" s="32"/>
      <c r="K122" s="31"/>
    </row>
    <row r="123" spans="1:11" s="35" customFormat="1" ht="16.899999999999999" hidden="1" customHeight="1">
      <c r="B123" s="1088">
        <v>24110600</v>
      </c>
      <c r="C123" s="1088" t="s">
        <v>1583</v>
      </c>
      <c r="D123" s="1109"/>
      <c r="E123" s="1123">
        <f>20+3-23</f>
        <v>0</v>
      </c>
      <c r="F123" s="1123">
        <f>+E123</f>
        <v>0</v>
      </c>
      <c r="G123" s="1101">
        <f>+E123</f>
        <v>0</v>
      </c>
      <c r="H123" s="32">
        <f t="shared" si="8"/>
        <v>0</v>
      </c>
    </row>
    <row r="124" spans="1:11" s="35" customFormat="1" ht="19.149999999999999" hidden="1" customHeight="1">
      <c r="B124" s="1116">
        <v>24110700</v>
      </c>
      <c r="C124" s="1116" t="s">
        <v>1584</v>
      </c>
      <c r="D124" s="174"/>
      <c r="E124" s="1110" t="s">
        <v>1585</v>
      </c>
      <c r="F124" s="1110" t="s">
        <v>849</v>
      </c>
      <c r="G124" s="1124"/>
      <c r="H124" s="32">
        <f t="shared" si="8"/>
        <v>0</v>
      </c>
    </row>
    <row r="125" spans="1:11" s="35" customFormat="1" ht="31.9" hidden="1" customHeight="1">
      <c r="B125" s="1116">
        <v>24060800</v>
      </c>
      <c r="C125" s="1116" t="s">
        <v>101</v>
      </c>
      <c r="D125" s="1093"/>
      <c r="E125" s="1125"/>
      <c r="F125" s="1110"/>
      <c r="G125" s="1124">
        <f>+E125</f>
        <v>0</v>
      </c>
      <c r="H125" s="32">
        <f t="shared" si="8"/>
        <v>0</v>
      </c>
      <c r="I125" s="97"/>
      <c r="J125" s="97"/>
      <c r="K125" s="97"/>
    </row>
    <row r="126" spans="1:11" s="35" customFormat="1" ht="31.9" hidden="1" customHeight="1">
      <c r="A126" s="35">
        <v>24061600</v>
      </c>
      <c r="B126" s="1091">
        <v>24061600</v>
      </c>
      <c r="C126" s="1091" t="s">
        <v>102</v>
      </c>
      <c r="D126" s="1093"/>
      <c r="E126" s="1126"/>
      <c r="F126" s="1092"/>
      <c r="G126" s="1127">
        <f>+E126</f>
        <v>0</v>
      </c>
      <c r="H126" s="32">
        <f>+G126</f>
        <v>0</v>
      </c>
      <c r="I126" s="97"/>
      <c r="J126" s="97"/>
      <c r="K126" s="97"/>
    </row>
    <row r="127" spans="1:11" s="35" customFormat="1" ht="31.9" hidden="1" customHeight="1">
      <c r="B127" s="1128">
        <v>24060800</v>
      </c>
      <c r="C127" s="1091" t="s">
        <v>101</v>
      </c>
      <c r="D127" s="1093"/>
      <c r="E127" s="1126">
        <f>131363-131363</f>
        <v>0</v>
      </c>
      <c r="F127" s="1092"/>
      <c r="G127" s="1127">
        <f>E127</f>
        <v>0</v>
      </c>
      <c r="H127" s="32"/>
      <c r="I127" s="97"/>
      <c r="J127" s="97"/>
      <c r="K127" s="97"/>
    </row>
    <row r="128" spans="1:11" s="35" customFormat="1" ht="47.45" customHeight="1">
      <c r="B128" s="1083">
        <v>24062100</v>
      </c>
      <c r="C128" s="870" t="s">
        <v>103</v>
      </c>
      <c r="D128" s="1129"/>
      <c r="E128" s="1130">
        <v>600000</v>
      </c>
      <c r="F128" s="1131"/>
      <c r="G128" s="1132">
        <f>+E128</f>
        <v>600000</v>
      </c>
      <c r="H128" s="32">
        <f t="shared" ref="H128:H152" si="9">+G128</f>
        <v>600000</v>
      </c>
      <c r="I128" s="97"/>
      <c r="J128" s="97"/>
      <c r="K128" s="97"/>
    </row>
    <row r="129" spans="1:11" s="35" customFormat="1" ht="21.6" hidden="1" customHeight="1">
      <c r="B129" s="1133">
        <v>24110000</v>
      </c>
      <c r="C129" s="1134" t="s">
        <v>104</v>
      </c>
      <c r="D129" s="1135"/>
      <c r="E129" s="1136">
        <f>+E130</f>
        <v>0</v>
      </c>
      <c r="F129" s="1136">
        <f>+E129</f>
        <v>0</v>
      </c>
      <c r="G129" s="1137">
        <f>+D129+E129</f>
        <v>0</v>
      </c>
      <c r="H129" s="32">
        <f t="shared" si="9"/>
        <v>0</v>
      </c>
      <c r="I129" s="97"/>
      <c r="J129" s="97"/>
      <c r="K129" s="97"/>
    </row>
    <row r="130" spans="1:11" s="35" customFormat="1" ht="30" hidden="1">
      <c r="B130" s="1138">
        <v>24110600</v>
      </c>
      <c r="C130" s="1139" t="s">
        <v>105</v>
      </c>
      <c r="D130" s="1140"/>
      <c r="E130" s="1141"/>
      <c r="F130" s="1141">
        <f>+E130</f>
        <v>0</v>
      </c>
      <c r="G130" s="1142">
        <f t="shared" ref="G130:G150" si="10">+E130</f>
        <v>0</v>
      </c>
      <c r="H130" s="32">
        <f t="shared" si="9"/>
        <v>0</v>
      </c>
    </row>
    <row r="131" spans="1:11" ht="14.25">
      <c r="A131" s="1143"/>
      <c r="B131" s="220">
        <v>25000000</v>
      </c>
      <c r="C131" s="1034" t="s">
        <v>106</v>
      </c>
      <c r="D131" s="455"/>
      <c r="E131" s="455">
        <f>+E132+E137</f>
        <v>71678400</v>
      </c>
      <c r="F131" s="455"/>
      <c r="G131" s="455">
        <f t="shared" si="10"/>
        <v>71678400</v>
      </c>
      <c r="H131" s="32">
        <f t="shared" si="9"/>
        <v>71678400</v>
      </c>
      <c r="I131" s="81">
        <v>1</v>
      </c>
    </row>
    <row r="132" spans="1:11" ht="28.5">
      <c r="A132" s="1143"/>
      <c r="B132" s="220">
        <v>25010000</v>
      </c>
      <c r="C132" s="1034" t="s">
        <v>107</v>
      </c>
      <c r="D132" s="455"/>
      <c r="E132" s="455">
        <f>+E133+E134+E135+E136</f>
        <v>52420900</v>
      </c>
      <c r="F132" s="455"/>
      <c r="G132" s="455">
        <f t="shared" si="10"/>
        <v>52420900</v>
      </c>
      <c r="H132" s="32">
        <f t="shared" si="9"/>
        <v>52420900</v>
      </c>
    </row>
    <row r="133" spans="1:11" ht="30">
      <c r="A133" s="1143"/>
      <c r="B133" s="1035">
        <v>25010100</v>
      </c>
      <c r="C133" s="211" t="s">
        <v>108</v>
      </c>
      <c r="D133" s="455"/>
      <c r="E133" s="456">
        <f>6389400+2243300+399000+1434000+123000+6744300+10078500+25500+1416100+25000</f>
        <v>28878100</v>
      </c>
      <c r="F133" s="455"/>
      <c r="G133" s="455">
        <f t="shared" si="10"/>
        <v>28878100</v>
      </c>
      <c r="H133" s="32">
        <f t="shared" si="9"/>
        <v>28878100</v>
      </c>
      <c r="I133" s="456"/>
    </row>
    <row r="134" spans="1:11" ht="30">
      <c r="A134" s="1143"/>
      <c r="B134" s="1035">
        <v>25010200</v>
      </c>
      <c r="C134" s="211" t="s">
        <v>772</v>
      </c>
      <c r="D134" s="455"/>
      <c r="E134" s="456">
        <f>24100+2973000+15645200+100000+100000</f>
        <v>18842300</v>
      </c>
      <c r="F134" s="455"/>
      <c r="G134" s="455">
        <f t="shared" si="10"/>
        <v>18842300</v>
      </c>
      <c r="H134" s="32">
        <f t="shared" si="9"/>
        <v>18842300</v>
      </c>
    </row>
    <row r="135" spans="1:11" ht="15">
      <c r="A135" s="1143"/>
      <c r="B135" s="1035">
        <v>25010300</v>
      </c>
      <c r="C135" s="211" t="s">
        <v>773</v>
      </c>
      <c r="D135" s="455"/>
      <c r="E135" s="456">
        <f>2325600+400000+2000+600000+1046500+24000+12000</f>
        <v>4410100</v>
      </c>
      <c r="F135" s="455"/>
      <c r="G135" s="455">
        <f t="shared" si="10"/>
        <v>4410100</v>
      </c>
      <c r="H135" s="32">
        <f t="shared" si="9"/>
        <v>4410100</v>
      </c>
    </row>
    <row r="136" spans="1:11" ht="25.5" customHeight="1">
      <c r="A136" s="1143"/>
      <c r="B136" s="1035">
        <v>25010400</v>
      </c>
      <c r="C136" s="211" t="s">
        <v>774</v>
      </c>
      <c r="D136" s="455"/>
      <c r="E136" s="456">
        <f>62300+11000+217100</f>
        <v>290400</v>
      </c>
      <c r="F136" s="455"/>
      <c r="G136" s="455">
        <f t="shared" si="10"/>
        <v>290400</v>
      </c>
      <c r="H136" s="32">
        <f t="shared" si="9"/>
        <v>290400</v>
      </c>
    </row>
    <row r="137" spans="1:11" ht="14.25">
      <c r="A137" s="1143"/>
      <c r="B137" s="220">
        <v>25020000</v>
      </c>
      <c r="C137" s="1034" t="s">
        <v>775</v>
      </c>
      <c r="D137" s="455"/>
      <c r="E137" s="455">
        <f>+E138+E139</f>
        <v>19257500</v>
      </c>
      <c r="F137" s="455"/>
      <c r="G137" s="455">
        <f t="shared" si="10"/>
        <v>19257500</v>
      </c>
      <c r="H137" s="32">
        <f t="shared" si="9"/>
        <v>19257500</v>
      </c>
    </row>
    <row r="138" spans="1:11" ht="15" hidden="1">
      <c r="A138" s="1143"/>
      <c r="B138" s="1035">
        <v>25020100</v>
      </c>
      <c r="C138" s="211" t="s">
        <v>776</v>
      </c>
      <c r="D138" s="455"/>
      <c r="E138" s="456">
        <f>504000+35000-539000</f>
        <v>0</v>
      </c>
      <c r="F138" s="455"/>
      <c r="G138" s="455">
        <f t="shared" si="10"/>
        <v>0</v>
      </c>
      <c r="H138" s="32">
        <f t="shared" si="9"/>
        <v>0</v>
      </c>
    </row>
    <row r="139" spans="1:11" ht="75">
      <c r="A139" s="1143"/>
      <c r="B139" s="1035">
        <v>25020200</v>
      </c>
      <c r="C139" s="211" t="s">
        <v>1438</v>
      </c>
      <c r="D139" s="455"/>
      <c r="E139" s="456">
        <f>17978000+740500+539000</f>
        <v>19257500</v>
      </c>
      <c r="F139" s="455"/>
      <c r="G139" s="455">
        <f t="shared" si="10"/>
        <v>19257500</v>
      </c>
      <c r="H139" s="32">
        <f t="shared" si="9"/>
        <v>19257500</v>
      </c>
    </row>
    <row r="140" spans="1:11" ht="14.25">
      <c r="B140" s="1144" t="s">
        <v>777</v>
      </c>
      <c r="C140" s="1145" t="s">
        <v>778</v>
      </c>
      <c r="D140" s="455"/>
      <c r="E140" s="455">
        <f>+E141</f>
        <v>7000000</v>
      </c>
      <c r="F140" s="455">
        <f>F141</f>
        <v>7000000</v>
      </c>
      <c r="G140" s="455">
        <f t="shared" si="10"/>
        <v>7000000</v>
      </c>
      <c r="H140" s="32">
        <f t="shared" si="9"/>
        <v>7000000</v>
      </c>
    </row>
    <row r="141" spans="1:11" ht="15">
      <c r="B141" s="1146" t="s">
        <v>779</v>
      </c>
      <c r="C141" s="1034" t="s">
        <v>780</v>
      </c>
      <c r="D141" s="456"/>
      <c r="E141" s="455">
        <f>+E142</f>
        <v>7000000</v>
      </c>
      <c r="F141" s="455">
        <f>F142</f>
        <v>7000000</v>
      </c>
      <c r="G141" s="455">
        <f t="shared" si="10"/>
        <v>7000000</v>
      </c>
      <c r="H141" s="32">
        <f t="shared" si="9"/>
        <v>7000000</v>
      </c>
    </row>
    <row r="142" spans="1:11" ht="30">
      <c r="B142" s="1147">
        <v>31030000</v>
      </c>
      <c r="C142" s="211" t="s">
        <v>781</v>
      </c>
      <c r="D142" s="456"/>
      <c r="E142" s="456">
        <f>3000000+4000000</f>
        <v>7000000</v>
      </c>
      <c r="F142" s="456">
        <f>+E142</f>
        <v>7000000</v>
      </c>
      <c r="G142" s="455">
        <f t="shared" si="10"/>
        <v>7000000</v>
      </c>
      <c r="H142" s="32">
        <f t="shared" si="9"/>
        <v>7000000</v>
      </c>
      <c r="I142" s="81">
        <v>1</v>
      </c>
    </row>
    <row r="143" spans="1:11" s="35" customFormat="1" ht="14.25" hidden="1" customHeight="1">
      <c r="B143" s="1148">
        <v>33000000</v>
      </c>
      <c r="C143" s="1148" t="s">
        <v>782</v>
      </c>
      <c r="D143" s="1090" t="s">
        <v>849</v>
      </c>
      <c r="E143" s="1089"/>
      <c r="F143" s="1089"/>
      <c r="G143" s="1101">
        <f t="shared" si="10"/>
        <v>0</v>
      </c>
      <c r="H143" s="712">
        <f t="shared" si="9"/>
        <v>0</v>
      </c>
    </row>
    <row r="144" spans="1:11" s="35" customFormat="1" ht="14.25" hidden="1">
      <c r="B144" s="1102">
        <v>33010000</v>
      </c>
      <c r="C144" s="1102" t="s">
        <v>783</v>
      </c>
      <c r="D144" s="1092" t="s">
        <v>849</v>
      </c>
      <c r="E144" s="1093"/>
      <c r="F144" s="1093"/>
      <c r="G144" s="1094">
        <f t="shared" si="10"/>
        <v>0</v>
      </c>
      <c r="H144" s="712">
        <f t="shared" si="9"/>
        <v>0</v>
      </c>
    </row>
    <row r="145" spans="2:10" ht="14.25" hidden="1">
      <c r="B145" s="220">
        <v>50000000</v>
      </c>
      <c r="C145" s="1034" t="s">
        <v>1163</v>
      </c>
      <c r="D145" s="176"/>
      <c r="E145" s="176">
        <f>+E146+E150+E151</f>
        <v>0</v>
      </c>
      <c r="F145" s="176"/>
      <c r="G145" s="176">
        <f t="shared" si="10"/>
        <v>0</v>
      </c>
      <c r="H145" s="32">
        <f t="shared" si="9"/>
        <v>0</v>
      </c>
      <c r="I145" s="81">
        <v>1</v>
      </c>
    </row>
    <row r="146" spans="2:10" ht="15" hidden="1">
      <c r="B146" s="1149">
        <v>50080000</v>
      </c>
      <c r="C146" s="211" t="s">
        <v>784</v>
      </c>
      <c r="D146" s="364"/>
      <c r="E146" s="364"/>
      <c r="F146" s="364"/>
      <c r="G146" s="176">
        <f t="shared" si="10"/>
        <v>0</v>
      </c>
      <c r="H146" s="32">
        <f t="shared" si="9"/>
        <v>0</v>
      </c>
      <c r="I146" s="81">
        <v>1</v>
      </c>
      <c r="J146" s="1150">
        <f>5000-E146</f>
        <v>5000</v>
      </c>
    </row>
    <row r="147" spans="2:10" ht="30" hidden="1">
      <c r="B147" s="1149">
        <v>50080100</v>
      </c>
      <c r="C147" s="211" t="s">
        <v>785</v>
      </c>
      <c r="D147" s="364"/>
      <c r="E147" s="364"/>
      <c r="F147" s="364"/>
      <c r="G147" s="176">
        <f t="shared" si="10"/>
        <v>0</v>
      </c>
      <c r="H147" s="32">
        <f t="shared" si="9"/>
        <v>0</v>
      </c>
      <c r="J147" s="1150"/>
    </row>
    <row r="148" spans="2:10" ht="30" hidden="1">
      <c r="B148" s="1149">
        <v>50080200</v>
      </c>
      <c r="C148" s="211" t="s">
        <v>786</v>
      </c>
      <c r="D148" s="364"/>
      <c r="E148" s="364"/>
      <c r="F148" s="364"/>
      <c r="G148" s="176">
        <f t="shared" si="10"/>
        <v>0</v>
      </c>
      <c r="H148" s="32">
        <f t="shared" si="9"/>
        <v>0</v>
      </c>
      <c r="J148" s="1150"/>
    </row>
    <row r="149" spans="2:10" ht="30" hidden="1">
      <c r="B149" s="1149">
        <v>50080300</v>
      </c>
      <c r="C149" s="211" t="s">
        <v>787</v>
      </c>
      <c r="D149" s="364"/>
      <c r="E149" s="364"/>
      <c r="F149" s="364"/>
      <c r="G149" s="176">
        <f t="shared" si="10"/>
        <v>0</v>
      </c>
      <c r="H149" s="32">
        <f t="shared" si="9"/>
        <v>0</v>
      </c>
      <c r="J149" s="1150"/>
    </row>
    <row r="150" spans="2:10" s="2" customFormat="1" ht="14.25" hidden="1">
      <c r="B150" s="1151">
        <v>50110000</v>
      </c>
      <c r="C150" s="1151" t="s">
        <v>788</v>
      </c>
      <c r="D150" s="1152"/>
      <c r="E150" s="1153"/>
      <c r="F150" s="1152"/>
      <c r="G150" s="1154">
        <f t="shared" si="10"/>
        <v>0</v>
      </c>
      <c r="H150" s="2">
        <f t="shared" si="9"/>
        <v>0</v>
      </c>
      <c r="I150" s="2">
        <v>1</v>
      </c>
    </row>
    <row r="151" spans="2:10" s="35" customFormat="1" ht="71.25" hidden="1" customHeight="1">
      <c r="B151" s="1116">
        <v>24060300</v>
      </c>
      <c r="C151" s="1116" t="s">
        <v>789</v>
      </c>
      <c r="D151" s="1155"/>
      <c r="E151" s="1125"/>
      <c r="F151" s="1155"/>
      <c r="G151" s="1111">
        <f>+D151+E151</f>
        <v>0</v>
      </c>
      <c r="H151" s="2">
        <f t="shared" si="9"/>
        <v>0</v>
      </c>
    </row>
    <row r="152" spans="2:10" s="35" customFormat="1" ht="51" hidden="1" customHeight="1">
      <c r="B152" s="1035">
        <v>21010300</v>
      </c>
      <c r="C152" s="1091" t="s">
        <v>1551</v>
      </c>
      <c r="D152" s="1156"/>
      <c r="E152" s="1126"/>
      <c r="F152" s="1156"/>
      <c r="G152" s="1094">
        <f>+D152+E152</f>
        <v>0</v>
      </c>
      <c r="H152" s="2">
        <f t="shared" si="9"/>
        <v>0</v>
      </c>
    </row>
    <row r="153" spans="2:10" s="35" customFormat="1" ht="41.45" hidden="1" customHeight="1">
      <c r="B153" s="1091"/>
      <c r="C153" s="1091" t="s">
        <v>790</v>
      </c>
      <c r="D153" s="1156"/>
      <c r="E153" s="1126"/>
      <c r="F153" s="1156"/>
      <c r="G153" s="1094"/>
      <c r="H153" s="2"/>
    </row>
    <row r="154" spans="2:10" s="35" customFormat="1" ht="51" hidden="1" customHeight="1">
      <c r="B154" s="1091"/>
      <c r="C154" s="1091" t="s">
        <v>791</v>
      </c>
      <c r="D154" s="1156"/>
      <c r="E154" s="1126" t="s">
        <v>792</v>
      </c>
      <c r="F154" s="1156"/>
      <c r="G154" s="1094"/>
      <c r="H154" s="2"/>
    </row>
    <row r="155" spans="2:10" ht="15">
      <c r="B155" s="1035"/>
      <c r="C155" s="1034" t="s">
        <v>793</v>
      </c>
      <c r="D155" s="455">
        <f>+D14+D140+D145+D152+D80</f>
        <v>924866484</v>
      </c>
      <c r="E155" s="455">
        <f>E14+E80+E140</f>
        <v>107878400</v>
      </c>
      <c r="F155" s="455">
        <f>+F14+F142+F143+F145</f>
        <v>7000000</v>
      </c>
      <c r="G155" s="455">
        <f>+D155+E155</f>
        <v>1032744884</v>
      </c>
      <c r="H155" s="32">
        <f t="shared" ref="H155:H170" si="11">+G155</f>
        <v>1032744884</v>
      </c>
      <c r="I155" s="1157">
        <f>+F155-3446.8</f>
        <v>6996553.2000000002</v>
      </c>
    </row>
    <row r="156" spans="2:10" ht="14.25">
      <c r="B156" s="220">
        <v>40000000</v>
      </c>
      <c r="C156" s="1034" t="s">
        <v>794</v>
      </c>
      <c r="D156" s="455">
        <f>+D157+D233</f>
        <v>5328380300</v>
      </c>
      <c r="E156" s="455">
        <f>+E157+E233</f>
        <v>52497500</v>
      </c>
      <c r="F156" s="455">
        <f>+F157+F233</f>
        <v>0</v>
      </c>
      <c r="G156" s="455">
        <f>+D156+E156</f>
        <v>5380877800</v>
      </c>
      <c r="H156" s="32">
        <f t="shared" si="11"/>
        <v>5380877800</v>
      </c>
      <c r="I156" s="81">
        <v>1</v>
      </c>
    </row>
    <row r="157" spans="2:10" ht="14.25">
      <c r="B157" s="220">
        <v>41000000</v>
      </c>
      <c r="C157" s="1034" t="s">
        <v>795</v>
      </c>
      <c r="D157" s="455">
        <f>+D159+D171</f>
        <v>5328380300</v>
      </c>
      <c r="E157" s="455">
        <f>+E171</f>
        <v>52497500</v>
      </c>
      <c r="F157" s="455">
        <f>+F171</f>
        <v>0</v>
      </c>
      <c r="G157" s="455">
        <f>+D157+E157</f>
        <v>5380877800</v>
      </c>
      <c r="H157" s="32">
        <f t="shared" si="11"/>
        <v>5380877800</v>
      </c>
      <c r="I157" s="81">
        <v>1</v>
      </c>
    </row>
    <row r="158" spans="2:10" s="35" customFormat="1" ht="14.25" hidden="1">
      <c r="B158" s="1051">
        <v>41010000</v>
      </c>
      <c r="C158" s="1051" t="s">
        <v>796</v>
      </c>
      <c r="D158" s="1158"/>
      <c r="E158" s="1159" t="s">
        <v>849</v>
      </c>
      <c r="F158" s="1159" t="s">
        <v>849</v>
      </c>
      <c r="G158" s="1160">
        <f t="shared" ref="G158:G170" si="12">+D158</f>
        <v>0</v>
      </c>
      <c r="H158" s="2">
        <f t="shared" si="11"/>
        <v>0</v>
      </c>
    </row>
    <row r="159" spans="2:10" ht="14.25">
      <c r="B159" s="220">
        <v>41020000</v>
      </c>
      <c r="C159" s="1034" t="s">
        <v>797</v>
      </c>
      <c r="D159" s="455">
        <f>+D160+D162+D165+D164+D161+D163+D167+D168+D169+D170+D166</f>
        <v>1431088200</v>
      </c>
      <c r="E159" s="455">
        <f>+E160+E162+E165+E164+E161+E163+E167+E168+E169+E170+E166</f>
        <v>0</v>
      </c>
      <c r="F159" s="455">
        <f>+F160+F162+F165+F164+F161+F163+F167+F168+F169+F170+F166</f>
        <v>0</v>
      </c>
      <c r="G159" s="455">
        <f t="shared" si="12"/>
        <v>1431088200</v>
      </c>
      <c r="H159" s="32">
        <f t="shared" si="11"/>
        <v>1431088200</v>
      </c>
    </row>
    <row r="160" spans="2:10" ht="15">
      <c r="B160" s="1035">
        <v>41020100</v>
      </c>
      <c r="C160" s="211" t="s">
        <v>798</v>
      </c>
      <c r="D160" s="456">
        <v>1358253700</v>
      </c>
      <c r="E160" s="456"/>
      <c r="F160" s="456"/>
      <c r="G160" s="455">
        <f t="shared" si="12"/>
        <v>1358253700</v>
      </c>
      <c r="H160" s="32">
        <f t="shared" si="11"/>
        <v>1358253700</v>
      </c>
      <c r="I160" s="81">
        <v>1</v>
      </c>
    </row>
    <row r="161" spans="2:11" ht="48.6" hidden="1" customHeight="1">
      <c r="B161" s="1108"/>
      <c r="C161" s="1108" t="s">
        <v>799</v>
      </c>
      <c r="D161" s="1109"/>
      <c r="E161" s="1109"/>
      <c r="F161" s="1109"/>
      <c r="G161" s="1161">
        <f t="shared" si="12"/>
        <v>0</v>
      </c>
      <c r="H161" s="32">
        <f t="shared" si="11"/>
        <v>0</v>
      </c>
    </row>
    <row r="162" spans="2:11" ht="30">
      <c r="B162" s="1035">
        <v>41020600</v>
      </c>
      <c r="C162" s="212" t="s">
        <v>1240</v>
      </c>
      <c r="D162" s="456">
        <v>62278100</v>
      </c>
      <c r="E162" s="456"/>
      <c r="F162" s="456"/>
      <c r="G162" s="455">
        <f t="shared" si="12"/>
        <v>62278100</v>
      </c>
      <c r="H162" s="32">
        <f t="shared" si="11"/>
        <v>62278100</v>
      </c>
      <c r="I162" s="822">
        <v>3689.5</v>
      </c>
      <c r="J162" s="822">
        <v>660</v>
      </c>
      <c r="K162" s="822">
        <v>8380.6</v>
      </c>
    </row>
    <row r="163" spans="2:11" ht="45.6" hidden="1" customHeight="1">
      <c r="B163" s="1042">
        <v>41021100</v>
      </c>
      <c r="C163" s="1162" t="s">
        <v>380</v>
      </c>
      <c r="D163" s="1044"/>
      <c r="E163" s="1163"/>
      <c r="F163" s="1163"/>
      <c r="G163" s="1045">
        <f t="shared" si="12"/>
        <v>0</v>
      </c>
      <c r="H163" s="32">
        <f t="shared" si="11"/>
        <v>0</v>
      </c>
      <c r="I163" s="822"/>
      <c r="J163" s="822"/>
      <c r="K163" s="822"/>
    </row>
    <row r="164" spans="2:11" ht="94.15" hidden="1" customHeight="1">
      <c r="B164" s="1042">
        <v>41021100</v>
      </c>
      <c r="C164" s="1164" t="s">
        <v>704</v>
      </c>
      <c r="D164" s="456"/>
      <c r="E164" s="1165"/>
      <c r="F164" s="1165"/>
      <c r="G164" s="1166">
        <f t="shared" si="12"/>
        <v>0</v>
      </c>
      <c r="H164" s="32">
        <f t="shared" si="11"/>
        <v>0</v>
      </c>
      <c r="I164" s="822"/>
      <c r="J164" s="822"/>
      <c r="K164" s="822"/>
    </row>
    <row r="165" spans="2:11" ht="58.15" hidden="1" customHeight="1">
      <c r="B165" s="1042">
        <v>41021700</v>
      </c>
      <c r="C165" s="1167" t="s">
        <v>861</v>
      </c>
      <c r="D165" s="456"/>
      <c r="E165" s="1168"/>
      <c r="F165" s="1168"/>
      <c r="G165" s="1169">
        <f t="shared" si="12"/>
        <v>0</v>
      </c>
      <c r="H165" s="32">
        <f t="shared" si="11"/>
        <v>0</v>
      </c>
      <c r="I165" s="31"/>
      <c r="J165" s="32"/>
      <c r="K165" s="31"/>
    </row>
    <row r="166" spans="2:11" ht="58.15" customHeight="1">
      <c r="B166" s="1042"/>
      <c r="C166" s="1167" t="s">
        <v>960</v>
      </c>
      <c r="D166" s="456">
        <v>10556400</v>
      </c>
      <c r="E166" s="1168"/>
      <c r="F166" s="1168"/>
      <c r="G166" s="1049">
        <f>+D166</f>
        <v>10556400</v>
      </c>
      <c r="H166" s="32">
        <f t="shared" si="11"/>
        <v>10556400</v>
      </c>
      <c r="I166" s="31"/>
      <c r="J166" s="32"/>
      <c r="K166" s="31"/>
    </row>
    <row r="167" spans="2:11" ht="58.15" hidden="1" customHeight="1">
      <c r="B167" s="1035">
        <v>41021200</v>
      </c>
      <c r="C167" s="212" t="s">
        <v>492</v>
      </c>
      <c r="D167" s="456"/>
      <c r="E167" s="456"/>
      <c r="F167" s="456"/>
      <c r="G167" s="455">
        <f t="shared" si="12"/>
        <v>0</v>
      </c>
      <c r="H167" s="32">
        <f t="shared" si="11"/>
        <v>0</v>
      </c>
      <c r="I167" s="31"/>
      <c r="J167" s="32"/>
      <c r="K167" s="31"/>
    </row>
    <row r="168" spans="2:11" ht="58.15" hidden="1" customHeight="1">
      <c r="B168" s="1035">
        <v>41021800</v>
      </c>
      <c r="C168" s="212" t="s">
        <v>493</v>
      </c>
      <c r="D168" s="456"/>
      <c r="E168" s="456"/>
      <c r="F168" s="456"/>
      <c r="G168" s="455">
        <f t="shared" si="12"/>
        <v>0</v>
      </c>
      <c r="H168" s="32">
        <f t="shared" si="11"/>
        <v>0</v>
      </c>
      <c r="I168" s="31"/>
      <c r="J168" s="32"/>
      <c r="K168" s="31"/>
    </row>
    <row r="169" spans="2:11" ht="58.15" hidden="1" customHeight="1">
      <c r="B169" s="1035">
        <v>41021900</v>
      </c>
      <c r="C169" s="212" t="s">
        <v>625</v>
      </c>
      <c r="D169" s="456"/>
      <c r="E169" s="456"/>
      <c r="F169" s="456"/>
      <c r="G169" s="455">
        <f t="shared" si="12"/>
        <v>0</v>
      </c>
      <c r="H169" s="32">
        <f t="shared" si="11"/>
        <v>0</v>
      </c>
      <c r="I169" s="31"/>
      <c r="J169" s="32"/>
      <c r="K169" s="31"/>
    </row>
    <row r="170" spans="2:11" ht="58.15" hidden="1" customHeight="1">
      <c r="B170" s="1046">
        <v>41021300</v>
      </c>
      <c r="C170" s="1170" t="s">
        <v>800</v>
      </c>
      <c r="D170" s="1048"/>
      <c r="E170" s="1048"/>
      <c r="F170" s="1048"/>
      <c r="G170" s="1049">
        <f t="shared" si="12"/>
        <v>0</v>
      </c>
      <c r="H170" s="32">
        <f t="shared" si="11"/>
        <v>0</v>
      </c>
      <c r="I170" s="31"/>
      <c r="J170" s="32"/>
      <c r="K170" s="31"/>
    </row>
    <row r="171" spans="2:11" ht="14.25">
      <c r="B171" s="220">
        <v>41030000</v>
      </c>
      <c r="C171" s="1034" t="s">
        <v>801</v>
      </c>
      <c r="D171" s="455">
        <f>SUM(D172:D232)</f>
        <v>3897292100</v>
      </c>
      <c r="E171" s="455">
        <f>SUM(E172:E232)</f>
        <v>52497500</v>
      </c>
      <c r="F171" s="455">
        <f>SUM(F172:F232)</f>
        <v>0</v>
      </c>
      <c r="G171" s="455">
        <f>SUM(G172:G232)</f>
        <v>3949789600</v>
      </c>
      <c r="H171" s="1171">
        <f>+D171+E171</f>
        <v>3949789600</v>
      </c>
      <c r="I171" s="1172">
        <f>+D171+5000</f>
        <v>3897297100</v>
      </c>
      <c r="J171" s="1150">
        <f>+D171+5600</f>
        <v>3897297700</v>
      </c>
    </row>
    <row r="172" spans="2:11" ht="18" hidden="1" customHeight="1">
      <c r="B172" s="1108">
        <v>41030100</v>
      </c>
      <c r="C172" s="1108" t="s">
        <v>522</v>
      </c>
      <c r="D172" s="1109"/>
      <c r="E172" s="1173"/>
      <c r="F172" s="1173"/>
      <c r="G172" s="1174">
        <f t="shared" ref="G172:G205" si="13">+D172+E172</f>
        <v>0</v>
      </c>
      <c r="H172" s="32">
        <f t="shared" ref="H172:H205" si="14">+G172</f>
        <v>0</v>
      </c>
      <c r="I172" s="1172"/>
      <c r="J172" s="1150"/>
    </row>
    <row r="173" spans="2:11" ht="49.9" hidden="1" customHeight="1">
      <c r="B173" s="1035">
        <v>41030300</v>
      </c>
      <c r="C173" s="1175" t="s">
        <v>802</v>
      </c>
      <c r="D173" s="488"/>
      <c r="E173" s="1176"/>
      <c r="F173" s="1176"/>
      <c r="G173" s="455">
        <f t="shared" si="13"/>
        <v>0</v>
      </c>
      <c r="H173" s="32">
        <f t="shared" si="14"/>
        <v>0</v>
      </c>
      <c r="I173" s="31">
        <v>1</v>
      </c>
      <c r="J173" s="32">
        <v>282193.7</v>
      </c>
      <c r="K173" s="31">
        <f>+J173-H173</f>
        <v>282193.7</v>
      </c>
    </row>
    <row r="174" spans="2:11" ht="23.45" hidden="1" customHeight="1">
      <c r="B174" s="1037">
        <v>41030400</v>
      </c>
      <c r="C174" s="1177" t="s">
        <v>803</v>
      </c>
      <c r="D174" s="1178"/>
      <c r="E174" s="1040"/>
      <c r="F174" s="1040">
        <f>+E174</f>
        <v>0</v>
      </c>
      <c r="G174" s="1041">
        <f t="shared" si="13"/>
        <v>0</v>
      </c>
      <c r="H174" s="32">
        <f t="shared" si="14"/>
        <v>0</v>
      </c>
      <c r="I174" s="31"/>
      <c r="J174" s="32"/>
      <c r="K174" s="31"/>
    </row>
    <row r="175" spans="2:11" ht="44.45" customHeight="1">
      <c r="B175" s="1035">
        <v>41030600</v>
      </c>
      <c r="C175" s="210" t="s">
        <v>1116</v>
      </c>
      <c r="D175" s="456">
        <v>3278419700</v>
      </c>
      <c r="E175" s="456"/>
      <c r="F175" s="456"/>
      <c r="G175" s="455">
        <f t="shared" si="13"/>
        <v>3278419700</v>
      </c>
      <c r="H175" s="32">
        <f t="shared" si="14"/>
        <v>3278419700</v>
      </c>
      <c r="I175" s="1150">
        <f>+D175+D177+D185+D183</f>
        <v>3690397100</v>
      </c>
      <c r="J175" s="1150">
        <f>+I175-1900</f>
        <v>3690395200</v>
      </c>
    </row>
    <row r="176" spans="2:11" ht="89.25" hidden="1">
      <c r="B176" s="1068">
        <v>41030700</v>
      </c>
      <c r="C176" s="1179" t="s">
        <v>1123</v>
      </c>
      <c r="D176" s="1070"/>
      <c r="E176" s="1070"/>
      <c r="F176" s="1070"/>
      <c r="G176" s="1071">
        <f t="shared" si="13"/>
        <v>0</v>
      </c>
      <c r="H176" s="32">
        <f t="shared" si="14"/>
        <v>0</v>
      </c>
      <c r="I176" s="1150"/>
      <c r="J176" s="1150"/>
    </row>
    <row r="177" spans="2:11" ht="74.45" customHeight="1">
      <c r="B177" s="1035">
        <v>41030800</v>
      </c>
      <c r="C177" s="210" t="s">
        <v>655</v>
      </c>
      <c r="D177" s="456">
        <v>411977400</v>
      </c>
      <c r="E177" s="456"/>
      <c r="F177" s="456"/>
      <c r="G177" s="455">
        <f t="shared" si="13"/>
        <v>411977400</v>
      </c>
      <c r="H177" s="32">
        <f t="shared" si="14"/>
        <v>411977400</v>
      </c>
    </row>
    <row r="178" spans="2:11" ht="160.15" customHeight="1">
      <c r="B178" s="1035">
        <v>41030900</v>
      </c>
      <c r="C178" s="211" t="s">
        <v>45</v>
      </c>
      <c r="D178" s="456">
        <v>87807200</v>
      </c>
      <c r="E178" s="456"/>
      <c r="F178" s="456"/>
      <c r="G178" s="455">
        <f t="shared" si="13"/>
        <v>87807200</v>
      </c>
      <c r="H178" s="32">
        <f t="shared" si="14"/>
        <v>87807200</v>
      </c>
    </row>
    <row r="179" spans="2:11" ht="45">
      <c r="B179" s="1035">
        <v>41031000</v>
      </c>
      <c r="C179" s="210" t="s">
        <v>1169</v>
      </c>
      <c r="D179" s="456">
        <v>23232400</v>
      </c>
      <c r="E179" s="456"/>
      <c r="F179" s="456"/>
      <c r="G179" s="455">
        <f t="shared" si="13"/>
        <v>23232400</v>
      </c>
      <c r="H179" s="32">
        <f t="shared" si="14"/>
        <v>23232400</v>
      </c>
    </row>
    <row r="180" spans="2:11" ht="69" hidden="1" customHeight="1">
      <c r="B180" s="1042">
        <v>41032300</v>
      </c>
      <c r="C180" s="1180" t="s">
        <v>1143</v>
      </c>
      <c r="D180" s="1135"/>
      <c r="E180" s="1066"/>
      <c r="F180" s="1066"/>
      <c r="G180" s="1062">
        <f t="shared" si="13"/>
        <v>0</v>
      </c>
      <c r="H180" s="32">
        <f t="shared" si="14"/>
        <v>0</v>
      </c>
    </row>
    <row r="181" spans="2:11" ht="37.15" hidden="1" customHeight="1">
      <c r="B181" s="1181">
        <v>41033100</v>
      </c>
      <c r="C181" s="1182" t="s">
        <v>624</v>
      </c>
      <c r="D181" s="1061"/>
      <c r="E181" s="1061"/>
      <c r="F181" s="1061"/>
      <c r="G181" s="1062">
        <f t="shared" si="13"/>
        <v>0</v>
      </c>
      <c r="H181" s="32">
        <f t="shared" si="14"/>
        <v>0</v>
      </c>
    </row>
    <row r="182" spans="2:11" ht="41.45" hidden="1" customHeight="1">
      <c r="B182" s="1183">
        <v>41031300</v>
      </c>
      <c r="C182" s="1184" t="s">
        <v>1396</v>
      </c>
      <c r="D182" s="1185"/>
      <c r="E182" s="1123"/>
      <c r="F182" s="1123"/>
      <c r="G182" s="1186">
        <f t="shared" si="13"/>
        <v>0</v>
      </c>
      <c r="H182" s="32">
        <f t="shared" si="14"/>
        <v>0</v>
      </c>
    </row>
    <row r="183" spans="2:11" ht="101.45" hidden="1" customHeight="1">
      <c r="B183" s="1187">
        <v>41032200</v>
      </c>
      <c r="C183" s="1060" t="s">
        <v>1144</v>
      </c>
      <c r="D183" s="1185"/>
      <c r="E183" s="1123"/>
      <c r="F183" s="1123"/>
      <c r="G183" s="1186">
        <f t="shared" si="13"/>
        <v>0</v>
      </c>
      <c r="H183" s="32">
        <f t="shared" si="14"/>
        <v>0</v>
      </c>
      <c r="I183" s="81">
        <v>1</v>
      </c>
    </row>
    <row r="184" spans="2:11" ht="60" hidden="1">
      <c r="B184" s="1035">
        <v>41033400</v>
      </c>
      <c r="C184" s="1039" t="s">
        <v>681</v>
      </c>
      <c r="D184" s="1188"/>
      <c r="E184" s="488"/>
      <c r="F184" s="488">
        <f>+E184</f>
        <v>0</v>
      </c>
      <c r="G184" s="455">
        <f t="shared" si="13"/>
        <v>0</v>
      </c>
      <c r="H184" s="32">
        <f t="shared" si="14"/>
        <v>0</v>
      </c>
      <c r="I184" s="31"/>
      <c r="J184" s="31"/>
      <c r="K184" s="31"/>
    </row>
    <row r="185" spans="2:11" ht="42" hidden="1" customHeight="1">
      <c r="B185" s="1189">
        <v>41027400</v>
      </c>
      <c r="C185" s="1190" t="s">
        <v>162</v>
      </c>
      <c r="D185" s="1191"/>
      <c r="E185" s="1192"/>
      <c r="F185" s="1192"/>
      <c r="G185" s="1193">
        <f t="shared" si="13"/>
        <v>0</v>
      </c>
      <c r="H185" s="32">
        <f t="shared" si="14"/>
        <v>0</v>
      </c>
      <c r="I185" s="81">
        <v>1</v>
      </c>
    </row>
    <row r="186" spans="2:11" ht="31.9" hidden="1" customHeight="1">
      <c r="B186" s="1035">
        <v>41033800</v>
      </c>
      <c r="C186" s="210" t="s">
        <v>334</v>
      </c>
      <c r="D186" s="456"/>
      <c r="E186" s="519"/>
      <c r="F186" s="519"/>
      <c r="G186" s="455">
        <f t="shared" si="13"/>
        <v>0</v>
      </c>
      <c r="H186" s="32">
        <f t="shared" si="14"/>
        <v>0</v>
      </c>
    </row>
    <row r="187" spans="2:11" ht="51" customHeight="1">
      <c r="B187" s="1035"/>
      <c r="C187" s="210" t="s">
        <v>958</v>
      </c>
      <c r="D187" s="456">
        <v>4000000</v>
      </c>
      <c r="E187" s="519"/>
      <c r="F187" s="519"/>
      <c r="G187" s="455">
        <f>+D187+E187</f>
        <v>4000000</v>
      </c>
      <c r="H187" s="32">
        <f t="shared" si="14"/>
        <v>4000000</v>
      </c>
    </row>
    <row r="188" spans="2:11" ht="54" customHeight="1">
      <c r="B188" s="1035"/>
      <c r="C188" s="210" t="s">
        <v>959</v>
      </c>
      <c r="D188" s="456">
        <v>37243900</v>
      </c>
      <c r="E188" s="519"/>
      <c r="F188" s="519"/>
      <c r="G188" s="455">
        <f>+D188+E188</f>
        <v>37243900</v>
      </c>
      <c r="H188" s="32">
        <f t="shared" si="14"/>
        <v>37243900</v>
      </c>
    </row>
    <row r="189" spans="2:11" ht="99.75" hidden="1" customHeight="1">
      <c r="B189" s="1035">
        <v>41034300</v>
      </c>
      <c r="C189" s="216" t="s">
        <v>968</v>
      </c>
      <c r="D189" s="456"/>
      <c r="E189" s="456"/>
      <c r="F189" s="456"/>
      <c r="G189" s="455">
        <f t="shared" si="13"/>
        <v>0</v>
      </c>
      <c r="H189" s="32">
        <f t="shared" si="14"/>
        <v>0</v>
      </c>
    </row>
    <row r="190" spans="2:11" ht="66" hidden="1" customHeight="1">
      <c r="B190" s="1035">
        <v>41034400</v>
      </c>
      <c r="C190" s="216" t="s">
        <v>1019</v>
      </c>
      <c r="D190" s="456"/>
      <c r="E190" s="456"/>
      <c r="F190" s="456"/>
      <c r="G190" s="455">
        <f t="shared" si="13"/>
        <v>0</v>
      </c>
      <c r="H190" s="32">
        <f t="shared" si="14"/>
        <v>0</v>
      </c>
    </row>
    <row r="191" spans="2:11" ht="68.45" hidden="1" customHeight="1">
      <c r="B191" s="1181">
        <v>41034900</v>
      </c>
      <c r="C191" s="1182" t="s">
        <v>307</v>
      </c>
      <c r="D191" s="1194"/>
      <c r="E191" s="1195"/>
      <c r="F191" s="1061"/>
      <c r="G191" s="1062">
        <f t="shared" si="13"/>
        <v>0</v>
      </c>
      <c r="H191" s="32">
        <f t="shared" si="14"/>
        <v>0</v>
      </c>
    </row>
    <row r="192" spans="2:11" s="2" customFormat="1" ht="39" hidden="1" customHeight="1">
      <c r="B192" s="1196">
        <v>41031200</v>
      </c>
      <c r="C192" s="1197" t="s">
        <v>1239</v>
      </c>
      <c r="D192" s="1123"/>
      <c r="E192" s="1123"/>
      <c r="F192" s="1123"/>
      <c r="G192" s="1186">
        <f t="shared" si="13"/>
        <v>0</v>
      </c>
      <c r="H192" s="32">
        <f t="shared" si="14"/>
        <v>0</v>
      </c>
    </row>
    <row r="193" spans="2:11" s="2" customFormat="1" ht="41.45" hidden="1" customHeight="1">
      <c r="B193" s="1198"/>
      <c r="C193" s="1197" t="s">
        <v>804</v>
      </c>
      <c r="D193" s="1185"/>
      <c r="E193" s="1123"/>
      <c r="F193" s="1123"/>
      <c r="G193" s="1186">
        <f t="shared" si="13"/>
        <v>0</v>
      </c>
      <c r="H193" s="32">
        <f t="shared" si="14"/>
        <v>0</v>
      </c>
    </row>
    <row r="194" spans="2:11" s="2" customFormat="1" ht="43.15" hidden="1" customHeight="1">
      <c r="B194" s="1199">
        <v>41034100</v>
      </c>
      <c r="C194" s="1200" t="s">
        <v>66</v>
      </c>
      <c r="D194" s="1201"/>
      <c r="E194" s="1109"/>
      <c r="F194" s="1109"/>
      <c r="G194" s="1193">
        <f t="shared" si="13"/>
        <v>0</v>
      </c>
      <c r="H194" s="32">
        <f t="shared" si="14"/>
        <v>0</v>
      </c>
    </row>
    <row r="195" spans="2:11" s="2" customFormat="1" ht="80.25" hidden="1" customHeight="1">
      <c r="B195" s="1035"/>
      <c r="C195" s="212"/>
      <c r="D195" s="456"/>
      <c r="E195" s="456"/>
      <c r="F195" s="456"/>
      <c r="G195" s="455">
        <f t="shared" si="13"/>
        <v>0</v>
      </c>
      <c r="H195" s="32">
        <f t="shared" si="14"/>
        <v>0</v>
      </c>
    </row>
    <row r="196" spans="2:11" s="2" customFormat="1" ht="50.45" hidden="1" customHeight="1">
      <c r="B196" s="1181">
        <v>41036000</v>
      </c>
      <c r="C196" s="1202" t="s">
        <v>805</v>
      </c>
      <c r="D196" s="1203"/>
      <c r="E196" s="1204"/>
      <c r="F196" s="1205"/>
      <c r="G196" s="1062">
        <f t="shared" si="13"/>
        <v>0</v>
      </c>
      <c r="H196" s="32">
        <f t="shared" si="14"/>
        <v>0</v>
      </c>
    </row>
    <row r="197" spans="2:11" s="2" customFormat="1" ht="42" hidden="1" customHeight="1">
      <c r="B197" s="1206">
        <v>41036200</v>
      </c>
      <c r="C197" s="1207" t="s">
        <v>494</v>
      </c>
      <c r="D197" s="175"/>
      <c r="E197" s="175"/>
      <c r="F197" s="175"/>
      <c r="G197" s="176">
        <f t="shared" si="13"/>
        <v>0</v>
      </c>
      <c r="H197" s="32">
        <f t="shared" si="14"/>
        <v>0</v>
      </c>
    </row>
    <row r="198" spans="2:11" s="2" customFormat="1" ht="91.15" hidden="1" customHeight="1">
      <c r="B198" s="1206">
        <v>41036600</v>
      </c>
      <c r="C198" s="1207" t="s">
        <v>1145</v>
      </c>
      <c r="D198" s="175"/>
      <c r="E198" s="175"/>
      <c r="F198" s="175"/>
      <c r="G198" s="176">
        <f t="shared" si="13"/>
        <v>0</v>
      </c>
      <c r="H198" s="32">
        <f t="shared" si="14"/>
        <v>0</v>
      </c>
    </row>
    <row r="199" spans="2:11" s="2" customFormat="1" ht="46.15" hidden="1" customHeight="1">
      <c r="B199" s="1208">
        <v>41037100</v>
      </c>
      <c r="C199" s="1209" t="s">
        <v>1001</v>
      </c>
      <c r="D199" s="1210"/>
      <c r="E199" s="1210"/>
      <c r="F199" s="175"/>
      <c r="G199" s="176">
        <f t="shared" si="13"/>
        <v>0</v>
      </c>
      <c r="H199" s="32">
        <f t="shared" si="14"/>
        <v>0</v>
      </c>
    </row>
    <row r="200" spans="2:11" s="2" customFormat="1" ht="43.15" hidden="1" customHeight="1">
      <c r="B200" s="1206">
        <v>41037900</v>
      </c>
      <c r="C200" s="1211" t="s">
        <v>48</v>
      </c>
      <c r="D200" s="175"/>
      <c r="E200" s="175"/>
      <c r="F200" s="175"/>
      <c r="G200" s="176">
        <f t="shared" si="13"/>
        <v>0</v>
      </c>
      <c r="H200" s="32">
        <f t="shared" si="14"/>
        <v>0</v>
      </c>
    </row>
    <row r="201" spans="2:11" ht="25.15" hidden="1" customHeight="1">
      <c r="B201" s="1212"/>
      <c r="C201" s="1100"/>
      <c r="D201" s="1213"/>
      <c r="E201" s="1214"/>
      <c r="F201" s="1214">
        <f>+E201</f>
        <v>0</v>
      </c>
      <c r="G201" s="1215">
        <f t="shared" si="13"/>
        <v>0</v>
      </c>
      <c r="H201" s="1172">
        <f t="shared" si="14"/>
        <v>0</v>
      </c>
      <c r="I201" s="31"/>
      <c r="J201" s="31"/>
      <c r="K201" s="31"/>
    </row>
    <row r="202" spans="2:11" s="35" customFormat="1" ht="59.45" hidden="1" customHeight="1">
      <c r="B202" s="1216"/>
      <c r="C202" s="1100" t="s">
        <v>1446</v>
      </c>
      <c r="D202" s="1089"/>
      <c r="E202" s="1089"/>
      <c r="F202" s="1089"/>
      <c r="G202" s="1098">
        <f t="shared" si="13"/>
        <v>0</v>
      </c>
      <c r="H202" s="2">
        <f t="shared" si="14"/>
        <v>0</v>
      </c>
      <c r="I202" s="97"/>
      <c r="J202" s="97"/>
      <c r="K202" s="97"/>
    </row>
    <row r="203" spans="2:11" s="35" customFormat="1" ht="43.15" hidden="1" customHeight="1">
      <c r="B203" s="1217"/>
      <c r="C203" s="1099" t="s">
        <v>806</v>
      </c>
      <c r="D203" s="174"/>
      <c r="E203" s="1110"/>
      <c r="F203" s="1110"/>
      <c r="G203" s="1098">
        <f t="shared" si="13"/>
        <v>0</v>
      </c>
      <c r="H203" s="2">
        <f t="shared" si="14"/>
        <v>0</v>
      </c>
      <c r="I203" s="97"/>
      <c r="J203" s="97"/>
      <c r="K203" s="97"/>
    </row>
    <row r="204" spans="2:11" s="35" customFormat="1" ht="57.6" hidden="1" customHeight="1">
      <c r="B204" s="1218">
        <v>41031900</v>
      </c>
      <c r="C204" s="1102" t="s">
        <v>1499</v>
      </c>
      <c r="D204" s="1219"/>
      <c r="E204" s="1126"/>
      <c r="F204" s="1092"/>
      <c r="G204" s="1193">
        <f t="shared" si="13"/>
        <v>0</v>
      </c>
      <c r="H204" s="2">
        <f t="shared" si="14"/>
        <v>0</v>
      </c>
      <c r="I204" s="97"/>
      <c r="J204" s="97"/>
      <c r="K204" s="97"/>
    </row>
    <row r="205" spans="2:11" s="35" customFormat="1" ht="73.150000000000006" hidden="1" customHeight="1">
      <c r="B205" s="1220">
        <v>41032200</v>
      </c>
      <c r="C205" s="1221" t="s">
        <v>661</v>
      </c>
      <c r="D205" s="1222"/>
      <c r="E205" s="1223"/>
      <c r="F205" s="1223"/>
      <c r="G205" s="1224">
        <f t="shared" si="13"/>
        <v>0</v>
      </c>
      <c r="H205" s="2">
        <f t="shared" si="14"/>
        <v>0</v>
      </c>
      <c r="I205" s="97"/>
      <c r="J205" s="97"/>
      <c r="K205" s="97"/>
    </row>
    <row r="206" spans="2:11" s="35" customFormat="1" ht="48.6" hidden="1" customHeight="1">
      <c r="B206" s="1225"/>
      <c r="C206" s="1226"/>
      <c r="D206" s="1227"/>
      <c r="E206" s="1228"/>
      <c r="F206" s="1229"/>
      <c r="G206" s="1230">
        <f t="shared" ref="G206:G234" si="15">+D206+E206</f>
        <v>0</v>
      </c>
      <c r="H206" s="2">
        <f t="shared" ref="H206:H234" si="16">+G206</f>
        <v>0</v>
      </c>
      <c r="I206" s="97"/>
      <c r="J206" s="97"/>
      <c r="K206" s="97"/>
    </row>
    <row r="207" spans="2:11" s="35" customFormat="1" ht="54" customHeight="1">
      <c r="B207" s="1035">
        <v>41032600</v>
      </c>
      <c r="C207" s="1373" t="s">
        <v>297</v>
      </c>
      <c r="D207" s="456">
        <v>18021600</v>
      </c>
      <c r="E207" s="1129"/>
      <c r="F207" s="1131"/>
      <c r="G207" s="455">
        <f t="shared" si="15"/>
        <v>18021600</v>
      </c>
      <c r="H207" s="32">
        <f t="shared" si="16"/>
        <v>18021600</v>
      </c>
      <c r="I207" s="97"/>
      <c r="J207" s="97"/>
      <c r="K207" s="97"/>
    </row>
    <row r="208" spans="2:11" s="35" customFormat="1" ht="51.6" customHeight="1">
      <c r="B208" s="1035">
        <v>41033700</v>
      </c>
      <c r="C208" s="498" t="s">
        <v>807</v>
      </c>
      <c r="D208" s="456">
        <v>11154900</v>
      </c>
      <c r="E208" s="1129"/>
      <c r="F208" s="1131"/>
      <c r="G208" s="455">
        <f t="shared" si="15"/>
        <v>11154900</v>
      </c>
      <c r="H208" s="32">
        <f t="shared" si="16"/>
        <v>11154900</v>
      </c>
      <c r="I208" s="97"/>
      <c r="J208" s="97"/>
      <c r="K208" s="97"/>
    </row>
    <row r="209" spans="2:11" s="35" customFormat="1" ht="51.6" customHeight="1">
      <c r="B209" s="1035">
        <v>41034400</v>
      </c>
      <c r="C209" s="216" t="s">
        <v>1019</v>
      </c>
      <c r="D209" s="456"/>
      <c r="E209" s="456">
        <v>52497500</v>
      </c>
      <c r="F209" s="1131"/>
      <c r="G209" s="455">
        <f t="shared" si="15"/>
        <v>52497500</v>
      </c>
      <c r="H209" s="32">
        <f t="shared" si="16"/>
        <v>52497500</v>
      </c>
      <c r="I209" s="97"/>
      <c r="J209" s="97"/>
      <c r="K209" s="97"/>
    </row>
    <row r="210" spans="2:11" s="35" customFormat="1" ht="44.45" customHeight="1">
      <c r="B210" s="1035">
        <v>41034800</v>
      </c>
      <c r="C210" s="556" t="s">
        <v>1422</v>
      </c>
      <c r="D210" s="456">
        <v>9323500</v>
      </c>
      <c r="E210" s="1129"/>
      <c r="F210" s="1131"/>
      <c r="G210" s="455">
        <f t="shared" si="15"/>
        <v>9323500</v>
      </c>
      <c r="H210" s="32">
        <f t="shared" si="16"/>
        <v>9323500</v>
      </c>
      <c r="I210" s="97"/>
      <c r="J210" s="97"/>
      <c r="K210" s="97"/>
    </row>
    <row r="211" spans="2:11" s="35" customFormat="1" ht="51.6" hidden="1" customHeight="1">
      <c r="B211" s="1042">
        <v>41031800</v>
      </c>
      <c r="C211" s="1231" t="s">
        <v>1423</v>
      </c>
      <c r="D211" s="1044"/>
      <c r="E211" s="1232"/>
      <c r="F211" s="1233"/>
      <c r="G211" s="1045">
        <f t="shared" si="15"/>
        <v>0</v>
      </c>
      <c r="H211" s="32">
        <f t="shared" si="16"/>
        <v>0</v>
      </c>
      <c r="I211" s="97"/>
      <c r="J211" s="97"/>
      <c r="K211" s="97"/>
    </row>
    <row r="212" spans="2:11" s="35" customFormat="1" ht="33" hidden="1" customHeight="1">
      <c r="B212" s="1035">
        <v>41033700</v>
      </c>
      <c r="C212" s="498" t="s">
        <v>1424</v>
      </c>
      <c r="D212" s="456"/>
      <c r="E212" s="1129"/>
      <c r="F212" s="1131"/>
      <c r="G212" s="455">
        <f t="shared" si="15"/>
        <v>0</v>
      </c>
      <c r="H212" s="32">
        <f t="shared" si="16"/>
        <v>0</v>
      </c>
      <c r="I212" s="97"/>
      <c r="J212" s="97"/>
      <c r="K212" s="97"/>
    </row>
    <row r="213" spans="2:11" s="35" customFormat="1" ht="58.9" hidden="1" customHeight="1">
      <c r="B213" s="1046">
        <v>41034200</v>
      </c>
      <c r="C213" s="1234" t="s">
        <v>551</v>
      </c>
      <c r="D213" s="1048"/>
      <c r="E213" s="1235"/>
      <c r="F213" s="1236"/>
      <c r="G213" s="1049">
        <f t="shared" si="15"/>
        <v>0</v>
      </c>
      <c r="H213" s="32">
        <f t="shared" si="16"/>
        <v>0</v>
      </c>
      <c r="I213" s="97"/>
      <c r="J213" s="97"/>
      <c r="K213" s="97"/>
    </row>
    <row r="214" spans="2:11" s="35" customFormat="1" ht="79.900000000000006" customHeight="1">
      <c r="B214" s="1035">
        <v>41035800</v>
      </c>
      <c r="C214" s="212" t="s">
        <v>1146</v>
      </c>
      <c r="D214" s="456">
        <v>15080600</v>
      </c>
      <c r="E214" s="456"/>
      <c r="F214" s="456"/>
      <c r="G214" s="455">
        <f t="shared" si="15"/>
        <v>15080600</v>
      </c>
      <c r="H214" s="32">
        <f t="shared" si="16"/>
        <v>15080600</v>
      </c>
      <c r="I214" s="97"/>
      <c r="J214" s="97"/>
      <c r="K214" s="97"/>
    </row>
    <row r="215" spans="2:11" s="35" customFormat="1" ht="49.9" hidden="1" customHeight="1">
      <c r="B215" s="1237"/>
      <c r="C215" s="1231" t="s">
        <v>395</v>
      </c>
      <c r="D215" s="1066"/>
      <c r="E215" s="1203"/>
      <c r="F215" s="1205"/>
      <c r="G215" s="1062">
        <f t="shared" si="15"/>
        <v>0</v>
      </c>
      <c r="H215" s="32">
        <f t="shared" si="16"/>
        <v>0</v>
      </c>
      <c r="I215" s="97"/>
      <c r="J215" s="97"/>
      <c r="K215" s="97"/>
    </row>
    <row r="216" spans="2:11" s="35" customFormat="1" ht="33" hidden="1" customHeight="1">
      <c r="B216" s="1083">
        <v>41037000</v>
      </c>
      <c r="C216" s="1238" t="s">
        <v>237</v>
      </c>
      <c r="D216" s="1239"/>
      <c r="E216" s="1113"/>
      <c r="F216" s="1113"/>
      <c r="G216" s="455">
        <f t="shared" si="15"/>
        <v>0</v>
      </c>
      <c r="H216" s="2">
        <f t="shared" si="16"/>
        <v>0</v>
      </c>
      <c r="I216" s="97"/>
      <c r="J216" s="97"/>
      <c r="K216" s="97"/>
    </row>
    <row r="217" spans="2:11" s="35" customFormat="1" ht="50.25" customHeight="1">
      <c r="B217" s="1083">
        <v>41036300</v>
      </c>
      <c r="C217" s="869" t="s">
        <v>925</v>
      </c>
      <c r="D217" s="1239">
        <v>1030900</v>
      </c>
      <c r="E217" s="1113"/>
      <c r="F217" s="1113"/>
      <c r="G217" s="455">
        <f t="shared" si="15"/>
        <v>1030900</v>
      </c>
      <c r="H217" s="2">
        <f t="shared" si="16"/>
        <v>1030900</v>
      </c>
      <c r="I217" s="97"/>
      <c r="J217" s="97"/>
      <c r="K217" s="97"/>
    </row>
    <row r="218" spans="2:11" s="35" customFormat="1" ht="88.15" hidden="1" customHeight="1">
      <c r="B218" s="1083">
        <v>41036600</v>
      </c>
      <c r="C218" s="1240" t="s">
        <v>312</v>
      </c>
      <c r="D218" s="1239"/>
      <c r="E218" s="1130"/>
      <c r="F218" s="1113"/>
      <c r="G218" s="455">
        <f t="shared" si="15"/>
        <v>0</v>
      </c>
      <c r="H218" s="2">
        <f t="shared" si="16"/>
        <v>0</v>
      </c>
      <c r="I218" s="97"/>
      <c r="J218" s="97"/>
      <c r="K218" s="97"/>
    </row>
    <row r="219" spans="2:11" s="35" customFormat="1" ht="42.6" hidden="1" customHeight="1">
      <c r="B219" s="1241">
        <v>41038000</v>
      </c>
      <c r="C219" s="1242" t="s">
        <v>207</v>
      </c>
      <c r="D219" s="1243"/>
      <c r="E219" s="1053"/>
      <c r="F219" s="1053"/>
      <c r="G219" s="1161">
        <f t="shared" si="15"/>
        <v>0</v>
      </c>
      <c r="H219" s="2">
        <f t="shared" si="16"/>
        <v>0</v>
      </c>
      <c r="I219" s="97"/>
      <c r="J219" s="97"/>
      <c r="K219" s="97"/>
    </row>
    <row r="220" spans="2:11" s="35" customFormat="1" ht="30" hidden="1" customHeight="1">
      <c r="B220" s="1220">
        <v>41032800</v>
      </c>
      <c r="C220" s="1244" t="s">
        <v>576</v>
      </c>
      <c r="D220" s="1222"/>
      <c r="E220" s="1222"/>
      <c r="F220" s="1223"/>
      <c r="G220" s="1224">
        <f t="shared" si="15"/>
        <v>0</v>
      </c>
      <c r="H220" s="2">
        <f t="shared" si="16"/>
        <v>0</v>
      </c>
      <c r="I220" s="97"/>
      <c r="J220" s="97"/>
      <c r="K220" s="97"/>
    </row>
    <row r="221" spans="2:11" s="35" customFormat="1" ht="61.9" hidden="1" customHeight="1">
      <c r="B221" s="1245"/>
      <c r="C221" s="1246"/>
      <c r="D221" s="1247"/>
      <c r="E221" s="1248"/>
      <c r="F221" s="1248"/>
      <c r="G221" s="1249">
        <f t="shared" si="15"/>
        <v>0</v>
      </c>
      <c r="H221" s="2">
        <f t="shared" si="16"/>
        <v>0</v>
      </c>
      <c r="I221" s="97"/>
      <c r="J221" s="97"/>
      <c r="K221" s="97"/>
    </row>
    <row r="222" spans="2:11" s="35" customFormat="1" ht="46.15" hidden="1" customHeight="1">
      <c r="B222" s="1250">
        <v>41034900</v>
      </c>
      <c r="C222" s="1100" t="s">
        <v>1425</v>
      </c>
      <c r="D222" s="1251"/>
      <c r="E222" s="1251"/>
      <c r="F222" s="1252"/>
      <c r="G222" s="1186">
        <f t="shared" si="15"/>
        <v>0</v>
      </c>
      <c r="H222" s="2">
        <f t="shared" si="16"/>
        <v>0</v>
      </c>
      <c r="I222" s="97"/>
      <c r="J222" s="97"/>
      <c r="K222" s="97"/>
    </row>
    <row r="223" spans="2:11" s="35" customFormat="1" ht="61.15" hidden="1" customHeight="1">
      <c r="B223" s="1253">
        <v>41036800</v>
      </c>
      <c r="C223" s="1099" t="s">
        <v>1426</v>
      </c>
      <c r="D223" s="1254"/>
      <c r="E223" s="174">
        <f>+E224</f>
        <v>0</v>
      </c>
      <c r="F223" s="174">
        <f>+F224</f>
        <v>0</v>
      </c>
      <c r="G223" s="1098">
        <f t="shared" si="15"/>
        <v>0</v>
      </c>
      <c r="H223" s="2">
        <f t="shared" si="16"/>
        <v>0</v>
      </c>
    </row>
    <row r="224" spans="2:11" s="35" customFormat="1" ht="28.15" hidden="1" customHeight="1">
      <c r="B224" s="1255">
        <v>41036900</v>
      </c>
      <c r="C224" s="1102" t="s">
        <v>431</v>
      </c>
      <c r="D224" s="1191"/>
      <c r="E224" s="1093"/>
      <c r="F224" s="1093"/>
      <c r="G224" s="1193">
        <f t="shared" si="15"/>
        <v>0</v>
      </c>
      <c r="H224" s="2">
        <f t="shared" si="16"/>
        <v>0</v>
      </c>
    </row>
    <row r="225" spans="2:11" s="35" customFormat="1" ht="46.15" hidden="1" customHeight="1">
      <c r="B225" s="1256"/>
      <c r="C225" s="1257"/>
      <c r="D225" s="1258"/>
      <c r="E225" s="1259"/>
      <c r="F225" s="1259"/>
      <c r="G225" s="1260">
        <f t="shared" si="15"/>
        <v>0</v>
      </c>
      <c r="H225" s="2">
        <f t="shared" si="16"/>
        <v>0</v>
      </c>
    </row>
    <row r="226" spans="2:11" s="35" customFormat="1" ht="70.900000000000006" hidden="1" customHeight="1">
      <c r="B226" s="1261"/>
      <c r="C226" s="1262"/>
      <c r="D226" s="1263"/>
      <c r="E226" s="1263"/>
      <c r="F226" s="1264"/>
      <c r="G226" s="1265">
        <f t="shared" si="15"/>
        <v>0</v>
      </c>
      <c r="H226" s="2">
        <f t="shared" si="16"/>
        <v>0</v>
      </c>
    </row>
    <row r="227" spans="2:11" s="35" customFormat="1" ht="45.6" hidden="1" customHeight="1">
      <c r="B227" s="1266">
        <v>41033200</v>
      </c>
      <c r="C227" s="1267" t="s">
        <v>60</v>
      </c>
      <c r="D227" s="1268"/>
      <c r="E227" s="1269"/>
      <c r="F227" s="1269"/>
      <c r="G227" s="1270">
        <f t="shared" si="15"/>
        <v>0</v>
      </c>
      <c r="H227" s="2">
        <f t="shared" si="16"/>
        <v>0</v>
      </c>
    </row>
    <row r="228" spans="2:11" s="35" customFormat="1" ht="28.15" hidden="1" customHeight="1">
      <c r="B228" s="1261"/>
      <c r="C228" s="1271"/>
      <c r="D228" s="1263"/>
      <c r="E228" s="1264"/>
      <c r="F228" s="1264"/>
      <c r="G228" s="1265">
        <f t="shared" si="15"/>
        <v>0</v>
      </c>
      <c r="H228" s="2">
        <f t="shared" si="16"/>
        <v>0</v>
      </c>
    </row>
    <row r="229" spans="2:11" s="2" customFormat="1" ht="45.6" hidden="1" customHeight="1">
      <c r="B229" s="1272">
        <v>41037800</v>
      </c>
      <c r="C229" s="208" t="s">
        <v>705</v>
      </c>
      <c r="D229" s="1273"/>
      <c r="E229" s="1274"/>
      <c r="F229" s="1274"/>
      <c r="G229" s="1275">
        <f t="shared" si="15"/>
        <v>0</v>
      </c>
      <c r="H229" s="2">
        <f t="shared" si="16"/>
        <v>0</v>
      </c>
      <c r="I229" s="2">
        <v>1</v>
      </c>
    </row>
    <row r="230" spans="2:11" s="2" customFormat="1" ht="24" hidden="1" customHeight="1">
      <c r="B230" s="1276">
        <v>41035000</v>
      </c>
      <c r="C230" s="1277" t="s">
        <v>1427</v>
      </c>
      <c r="D230" s="1278"/>
      <c r="E230" s="1279">
        <f>3000-3000</f>
        <v>0</v>
      </c>
      <c r="F230" s="1279">
        <f>3000-3000</f>
        <v>0</v>
      </c>
      <c r="G230" s="1045">
        <f t="shared" si="15"/>
        <v>0</v>
      </c>
      <c r="H230" s="2">
        <f t="shared" si="16"/>
        <v>0</v>
      </c>
      <c r="I230" s="9"/>
      <c r="J230" s="9"/>
      <c r="K230" s="9"/>
    </row>
    <row r="231" spans="2:11" s="2" customFormat="1" ht="42" hidden="1" customHeight="1">
      <c r="B231" s="1218"/>
      <c r="C231" s="1280" t="s">
        <v>1262</v>
      </c>
      <c r="D231" s="1281"/>
      <c r="E231" s="124"/>
      <c r="F231" s="124"/>
      <c r="G231" s="1098">
        <f t="shared" si="15"/>
        <v>0</v>
      </c>
      <c r="H231" s="2">
        <f t="shared" si="16"/>
        <v>0</v>
      </c>
      <c r="I231" s="54"/>
      <c r="J231" s="1282">
        <f>+D234-546172</f>
        <v>6252700612</v>
      </c>
      <c r="K231" s="54"/>
    </row>
    <row r="232" spans="2:11" s="2" customFormat="1" ht="42" hidden="1" customHeight="1">
      <c r="B232" s="1218"/>
      <c r="C232" s="1283" t="s">
        <v>1428</v>
      </c>
      <c r="D232" s="1281"/>
      <c r="E232" s="124"/>
      <c r="F232" s="124"/>
      <c r="G232" s="1193">
        <f t="shared" si="15"/>
        <v>0</v>
      </c>
      <c r="H232" s="2">
        <f t="shared" si="16"/>
        <v>0</v>
      </c>
      <c r="I232" s="54"/>
      <c r="J232" s="1282"/>
      <c r="K232" s="54"/>
    </row>
    <row r="233" spans="2:11" s="2" customFormat="1" ht="31.9" hidden="1" customHeight="1">
      <c r="B233" s="1284">
        <v>43010000</v>
      </c>
      <c r="C233" s="1285" t="s">
        <v>1429</v>
      </c>
      <c r="D233" s="1286"/>
      <c r="E233" s="1287"/>
      <c r="F233" s="1287">
        <f>+E233</f>
        <v>0</v>
      </c>
      <c r="G233" s="1049">
        <f t="shared" si="15"/>
        <v>0</v>
      </c>
      <c r="H233" s="2">
        <f t="shared" si="16"/>
        <v>0</v>
      </c>
      <c r="I233" s="54"/>
      <c r="J233" s="1282"/>
      <c r="K233" s="54"/>
    </row>
    <row r="234" spans="2:11" ht="30" customHeight="1">
      <c r="B234" s="1288"/>
      <c r="C234" s="1289" t="s">
        <v>1430</v>
      </c>
      <c r="D234" s="1290">
        <f>+D155+D156</f>
        <v>6253246784</v>
      </c>
      <c r="E234" s="1290">
        <f>+E155+E156</f>
        <v>160375900</v>
      </c>
      <c r="F234" s="1290">
        <f>+F155+F156</f>
        <v>7000000</v>
      </c>
      <c r="G234" s="1290">
        <f t="shared" si="15"/>
        <v>6413622684</v>
      </c>
      <c r="H234" s="2">
        <f t="shared" si="16"/>
        <v>6413622684</v>
      </c>
      <c r="I234" s="81">
        <v>1</v>
      </c>
    </row>
    <row r="235" spans="2:11" s="35" customFormat="1" ht="22.15" hidden="1" customHeight="1">
      <c r="B235" s="712"/>
      <c r="C235" s="712"/>
      <c r="D235" s="1291"/>
      <c r="E235" s="1291"/>
      <c r="F235" s="1291"/>
      <c r="G235" s="1291"/>
      <c r="H235" s="32"/>
    </row>
    <row r="236" spans="2:11" s="2" customFormat="1" ht="19.149999999999999" hidden="1" customHeight="1">
      <c r="B236" s="1292"/>
      <c r="C236" s="808" t="s">
        <v>1272</v>
      </c>
      <c r="D236" s="14"/>
      <c r="E236" s="14"/>
      <c r="F236" s="1293" t="s">
        <v>1431</v>
      </c>
      <c r="G236" s="14"/>
      <c r="H236" s="32"/>
    </row>
    <row r="237" spans="2:11" s="2" customFormat="1" ht="22.15" hidden="1" customHeight="1">
      <c r="B237" s="1292"/>
      <c r="C237" s="105" t="s">
        <v>1432</v>
      </c>
      <c r="D237" s="1294"/>
      <c r="E237" s="1294"/>
      <c r="F237" s="1294"/>
      <c r="G237" s="14"/>
      <c r="H237" s="32"/>
    </row>
    <row r="238" spans="2:11" s="2" customFormat="1" ht="26.45" hidden="1" customHeight="1">
      <c r="B238" s="1292"/>
      <c r="C238" s="105"/>
      <c r="D238" s="1295"/>
      <c r="E238" s="1295"/>
      <c r="F238" s="1295"/>
      <c r="G238" s="14"/>
      <c r="H238" s="32"/>
    </row>
    <row r="239" spans="2:11" hidden="1">
      <c r="B239" s="1296"/>
      <c r="C239" s="1297" t="s">
        <v>1433</v>
      </c>
      <c r="D239" s="1298"/>
      <c r="E239" s="1298"/>
      <c r="F239" s="1298"/>
      <c r="G239" s="1298"/>
    </row>
    <row r="240" spans="2:11" hidden="1">
      <c r="B240" s="1299">
        <v>200000</v>
      </c>
      <c r="C240" s="1300" t="s">
        <v>952</v>
      </c>
      <c r="D240" s="1301">
        <f>(D241+D245+SUM(D252+D270+D271)+SUM(D275+D278+D282+D285))</f>
        <v>0</v>
      </c>
      <c r="E240" s="1301">
        <f>(E241+E245+SUM(E252+E270+E271)+SUM(E275+E278+E282+E285))</f>
        <v>0</v>
      </c>
      <c r="F240" s="1301">
        <f>(F241+F245+SUM(F252+F270+F271)+SUM(F275+F278+F282+F285))</f>
        <v>0</v>
      </c>
      <c r="G240" s="1301">
        <f t="shared" ref="G240:G271" si="17">+D240+E240</f>
        <v>0</v>
      </c>
      <c r="I240" s="777">
        <f>+G240+'[8]видатки_затв '!C445</f>
        <v>0</v>
      </c>
    </row>
    <row r="241" spans="2:11" s="2" customFormat="1" hidden="1">
      <c r="B241" s="778">
        <v>201000</v>
      </c>
      <c r="C241" s="779" t="s">
        <v>953</v>
      </c>
      <c r="D241" s="780">
        <f>D242</f>
        <v>0</v>
      </c>
      <c r="E241" s="780">
        <f>E242</f>
        <v>0</v>
      </c>
      <c r="F241" s="780">
        <f>F242</f>
        <v>0</v>
      </c>
      <c r="G241" s="780">
        <f t="shared" si="17"/>
        <v>0</v>
      </c>
    </row>
    <row r="242" spans="2:11" s="2" customFormat="1" hidden="1">
      <c r="B242" s="781">
        <v>201100</v>
      </c>
      <c r="C242" s="782" t="s">
        <v>954</v>
      </c>
      <c r="D242" s="783">
        <f>D243-D244</f>
        <v>0</v>
      </c>
      <c r="E242" s="783">
        <f>E243-E244</f>
        <v>0</v>
      </c>
      <c r="F242" s="783">
        <f>F243-F244</f>
        <v>0</v>
      </c>
      <c r="G242" s="783">
        <f t="shared" si="17"/>
        <v>0</v>
      </c>
    </row>
    <row r="243" spans="2:11" s="2" customFormat="1" hidden="1">
      <c r="B243" s="784">
        <v>201110</v>
      </c>
      <c r="C243" s="785" t="s">
        <v>955</v>
      </c>
      <c r="D243" s="783"/>
      <c r="E243" s="783"/>
      <c r="F243" s="783"/>
      <c r="G243" s="783">
        <f t="shared" si="17"/>
        <v>0</v>
      </c>
    </row>
    <row r="244" spans="2:11" s="2" customFormat="1" hidden="1">
      <c r="B244" s="784">
        <v>201120</v>
      </c>
      <c r="C244" s="785" t="s">
        <v>956</v>
      </c>
      <c r="D244" s="783"/>
      <c r="E244" s="783"/>
      <c r="F244" s="783"/>
      <c r="G244" s="783">
        <f t="shared" si="17"/>
        <v>0</v>
      </c>
    </row>
    <row r="245" spans="2:11" s="2" customFormat="1" hidden="1">
      <c r="B245" s="781">
        <v>202000</v>
      </c>
      <c r="C245" s="786" t="s">
        <v>957</v>
      </c>
      <c r="D245" s="783">
        <f>D246+D249</f>
        <v>0</v>
      </c>
      <c r="E245" s="783">
        <f>E246+E249</f>
        <v>0</v>
      </c>
      <c r="F245" s="783">
        <f>F246+F249</f>
        <v>0</v>
      </c>
      <c r="G245" s="783">
        <f t="shared" si="17"/>
        <v>0</v>
      </c>
    </row>
    <row r="246" spans="2:11" s="2" customFormat="1" hidden="1">
      <c r="B246" s="781">
        <v>202100</v>
      </c>
      <c r="C246" s="782" t="s">
        <v>1086</v>
      </c>
      <c r="D246" s="783">
        <f>D247-D248</f>
        <v>0</v>
      </c>
      <c r="E246" s="783">
        <f>E247-E248</f>
        <v>0</v>
      </c>
      <c r="F246" s="783">
        <f>F247-F248</f>
        <v>0</v>
      </c>
      <c r="G246" s="783">
        <f t="shared" si="17"/>
        <v>0</v>
      </c>
    </row>
    <row r="247" spans="2:11" s="2" customFormat="1" hidden="1">
      <c r="B247" s="784">
        <v>202110</v>
      </c>
      <c r="C247" s="785" t="s">
        <v>955</v>
      </c>
      <c r="D247" s="783"/>
      <c r="E247" s="783"/>
      <c r="F247" s="783"/>
      <c r="G247" s="783">
        <f t="shared" si="17"/>
        <v>0</v>
      </c>
    </row>
    <row r="248" spans="2:11" s="2" customFormat="1" hidden="1">
      <c r="B248" s="784">
        <v>202120</v>
      </c>
      <c r="C248" s="785" t="s">
        <v>956</v>
      </c>
      <c r="D248" s="783"/>
      <c r="E248" s="783"/>
      <c r="F248" s="783"/>
      <c r="G248" s="783">
        <f t="shared" si="17"/>
        <v>0</v>
      </c>
    </row>
    <row r="249" spans="2:11" s="2" customFormat="1" hidden="1">
      <c r="B249" s="781">
        <v>202200</v>
      </c>
      <c r="C249" s="782" t="s">
        <v>1087</v>
      </c>
      <c r="D249" s="787">
        <f>D250-D251</f>
        <v>0</v>
      </c>
      <c r="E249" s="787">
        <f>E250-E251</f>
        <v>0</v>
      </c>
      <c r="F249" s="787">
        <f>F250-F251</f>
        <v>0</v>
      </c>
      <c r="G249" s="783">
        <f t="shared" si="17"/>
        <v>0</v>
      </c>
    </row>
    <row r="250" spans="2:11" s="2" customFormat="1" hidden="1">
      <c r="B250" s="784">
        <v>202210</v>
      </c>
      <c r="C250" s="785" t="s">
        <v>955</v>
      </c>
      <c r="D250" s="787"/>
      <c r="E250" s="787"/>
      <c r="F250" s="787"/>
      <c r="G250" s="783">
        <f t="shared" si="17"/>
        <v>0</v>
      </c>
    </row>
    <row r="251" spans="2:11" s="2" customFormat="1" hidden="1">
      <c r="B251" s="784">
        <v>202220</v>
      </c>
      <c r="C251" s="785" t="s">
        <v>956</v>
      </c>
      <c r="D251" s="787"/>
      <c r="E251" s="787"/>
      <c r="F251" s="787"/>
      <c r="G251" s="783">
        <f t="shared" si="17"/>
        <v>0</v>
      </c>
    </row>
    <row r="252" spans="2:11" s="2" customFormat="1" hidden="1">
      <c r="B252" s="781">
        <v>203000</v>
      </c>
      <c r="C252" s="786" t="s">
        <v>1088</v>
      </c>
      <c r="D252" s="787">
        <f>D253+D257+D261+D264+D267</f>
        <v>0</v>
      </c>
      <c r="E252" s="787">
        <f>E253+E257+E261+E264+E267</f>
        <v>0</v>
      </c>
      <c r="F252" s="787">
        <f>F253+F257+F261+F264+F267</f>
        <v>0</v>
      </c>
      <c r="G252" s="783">
        <f t="shared" si="17"/>
        <v>0</v>
      </c>
    </row>
    <row r="253" spans="2:11" s="2" customFormat="1" hidden="1">
      <c r="B253" s="781">
        <v>203100</v>
      </c>
      <c r="C253" s="782" t="s">
        <v>1089</v>
      </c>
      <c r="D253" s="787">
        <f>D254-D255+D256</f>
        <v>0</v>
      </c>
      <c r="E253" s="787">
        <f>E254-E255+E256</f>
        <v>0</v>
      </c>
      <c r="F253" s="787">
        <f>F254-F255+F256</f>
        <v>0</v>
      </c>
      <c r="G253" s="783">
        <f t="shared" si="17"/>
        <v>0</v>
      </c>
      <c r="I253" s="9"/>
      <c r="K253" s="9"/>
    </row>
    <row r="254" spans="2:11" hidden="1">
      <c r="B254" s="784">
        <v>203110</v>
      </c>
      <c r="C254" s="785" t="s">
        <v>955</v>
      </c>
      <c r="D254" s="787"/>
      <c r="E254" s="787"/>
      <c r="F254" s="787"/>
      <c r="G254" s="783">
        <f t="shared" si="17"/>
        <v>0</v>
      </c>
      <c r="I254" s="31"/>
      <c r="J254" s="32"/>
      <c r="K254" s="31"/>
    </row>
    <row r="255" spans="2:11" hidden="1">
      <c r="B255" s="784">
        <v>203120</v>
      </c>
      <c r="C255" s="785" t="s">
        <v>956</v>
      </c>
      <c r="D255" s="787"/>
      <c r="E255" s="787"/>
      <c r="F255" s="787"/>
      <c r="G255" s="783">
        <f t="shared" si="17"/>
        <v>0</v>
      </c>
      <c r="I255" s="31"/>
      <c r="J255" s="32"/>
      <c r="K255" s="31"/>
    </row>
    <row r="256" spans="2:11" s="2" customFormat="1" ht="24" hidden="1">
      <c r="B256" s="784">
        <v>203130</v>
      </c>
      <c r="C256" s="785" t="s">
        <v>1090</v>
      </c>
      <c r="D256" s="787"/>
      <c r="E256" s="787"/>
      <c r="F256" s="787"/>
      <c r="G256" s="783">
        <f t="shared" si="17"/>
        <v>0</v>
      </c>
    </row>
    <row r="257" spans="2:8" s="2" customFormat="1" hidden="1">
      <c r="B257" s="781">
        <v>203200</v>
      </c>
      <c r="C257" s="782" t="s">
        <v>1091</v>
      </c>
      <c r="D257" s="787">
        <f>D258-D259+D260</f>
        <v>0</v>
      </c>
      <c r="E257" s="787">
        <f>E258-E259+E260</f>
        <v>0</v>
      </c>
      <c r="F257" s="787">
        <f>F258-F259+F260</f>
        <v>0</v>
      </c>
      <c r="G257" s="783">
        <f t="shared" si="17"/>
        <v>0</v>
      </c>
    </row>
    <row r="258" spans="2:8" s="2" customFormat="1" hidden="1">
      <c r="B258" s="784">
        <v>203210</v>
      </c>
      <c r="C258" s="785" t="s">
        <v>955</v>
      </c>
      <c r="D258" s="787"/>
      <c r="E258" s="787"/>
      <c r="F258" s="787"/>
      <c r="G258" s="783">
        <f t="shared" si="17"/>
        <v>0</v>
      </c>
    </row>
    <row r="259" spans="2:8" hidden="1">
      <c r="B259" s="784">
        <v>203220</v>
      </c>
      <c r="C259" s="785" t="s">
        <v>956</v>
      </c>
      <c r="D259" s="787"/>
      <c r="E259" s="787"/>
      <c r="F259" s="787"/>
      <c r="G259" s="783">
        <f t="shared" si="17"/>
        <v>0</v>
      </c>
    </row>
    <row r="260" spans="2:8" ht="24" hidden="1">
      <c r="B260" s="784">
        <v>203230</v>
      </c>
      <c r="C260" s="785" t="s">
        <v>1092</v>
      </c>
      <c r="D260" s="787"/>
      <c r="E260" s="787"/>
      <c r="F260" s="787"/>
      <c r="G260" s="783">
        <f t="shared" si="17"/>
        <v>0</v>
      </c>
    </row>
    <row r="261" spans="2:8" hidden="1">
      <c r="B261" s="781">
        <v>203300</v>
      </c>
      <c r="C261" s="782" t="s">
        <v>1093</v>
      </c>
      <c r="D261" s="787">
        <f>D262-D263</f>
        <v>0</v>
      </c>
      <c r="E261" s="787">
        <f>E262-E263</f>
        <v>0</v>
      </c>
      <c r="F261" s="787">
        <f>F262-F263</f>
        <v>0</v>
      </c>
      <c r="G261" s="783">
        <f t="shared" si="17"/>
        <v>0</v>
      </c>
    </row>
    <row r="262" spans="2:8" s="2" customFormat="1" hidden="1">
      <c r="B262" s="784">
        <v>203310</v>
      </c>
      <c r="C262" s="785" t="s">
        <v>955</v>
      </c>
      <c r="D262" s="787"/>
      <c r="E262" s="787"/>
      <c r="F262" s="787"/>
      <c r="G262" s="783">
        <f t="shared" si="17"/>
        <v>0</v>
      </c>
    </row>
    <row r="263" spans="2:8" s="2" customFormat="1" hidden="1">
      <c r="B263" s="784">
        <v>203320</v>
      </c>
      <c r="C263" s="785" t="s">
        <v>956</v>
      </c>
      <c r="D263" s="787"/>
      <c r="E263" s="787"/>
      <c r="F263" s="787"/>
      <c r="G263" s="783">
        <f t="shared" si="17"/>
        <v>0</v>
      </c>
    </row>
    <row r="264" spans="2:8" s="2" customFormat="1" hidden="1">
      <c r="B264" s="781">
        <v>203400</v>
      </c>
      <c r="C264" s="782" t="s">
        <v>1094</v>
      </c>
      <c r="D264" s="787">
        <f>D265-D266</f>
        <v>0</v>
      </c>
      <c r="E264" s="787">
        <f>E265-E266</f>
        <v>0</v>
      </c>
      <c r="F264" s="787">
        <f>F265-F266</f>
        <v>0</v>
      </c>
      <c r="G264" s="783">
        <f t="shared" si="17"/>
        <v>0</v>
      </c>
    </row>
    <row r="265" spans="2:8" s="2" customFormat="1" hidden="1">
      <c r="B265" s="784">
        <v>203410</v>
      </c>
      <c r="C265" s="785" t="s">
        <v>1095</v>
      </c>
      <c r="D265" s="787"/>
      <c r="E265" s="787"/>
      <c r="F265" s="787"/>
      <c r="G265" s="783">
        <f t="shared" si="17"/>
        <v>0</v>
      </c>
    </row>
    <row r="266" spans="2:8" s="2" customFormat="1" hidden="1">
      <c r="B266" s="784">
        <v>203420</v>
      </c>
      <c r="C266" s="785" t="s">
        <v>1096</v>
      </c>
      <c r="D266" s="787"/>
      <c r="E266" s="787"/>
      <c r="F266" s="787"/>
      <c r="G266" s="783">
        <f t="shared" si="17"/>
        <v>0</v>
      </c>
    </row>
    <row r="267" spans="2:8" s="2" customFormat="1" hidden="1">
      <c r="B267" s="781">
        <v>203500</v>
      </c>
      <c r="C267" s="782" t="s">
        <v>1088</v>
      </c>
      <c r="D267" s="787">
        <f>D268-D269</f>
        <v>0</v>
      </c>
      <c r="E267" s="787">
        <f>E268-E269</f>
        <v>0</v>
      </c>
      <c r="F267" s="787">
        <f>F268-F269</f>
        <v>0</v>
      </c>
      <c r="G267" s="783">
        <f t="shared" si="17"/>
        <v>0</v>
      </c>
    </row>
    <row r="268" spans="2:8" s="2" customFormat="1" hidden="1">
      <c r="B268" s="784">
        <v>203510</v>
      </c>
      <c r="C268" s="785" t="s">
        <v>955</v>
      </c>
      <c r="D268" s="787"/>
      <c r="E268" s="787"/>
      <c r="F268" s="787"/>
      <c r="G268" s="783">
        <f t="shared" si="17"/>
        <v>0</v>
      </c>
    </row>
    <row r="269" spans="2:8" s="2" customFormat="1" hidden="1">
      <c r="B269" s="784">
        <v>203520</v>
      </c>
      <c r="C269" s="785" t="s">
        <v>956</v>
      </c>
      <c r="D269" s="787"/>
      <c r="E269" s="787"/>
      <c r="F269" s="787"/>
      <c r="G269" s="783">
        <f t="shared" si="17"/>
        <v>0</v>
      </c>
    </row>
    <row r="270" spans="2:8" s="2" customFormat="1" hidden="1">
      <c r="B270" s="781">
        <v>204000</v>
      </c>
      <c r="C270" s="786" t="s">
        <v>1097</v>
      </c>
      <c r="D270" s="787"/>
      <c r="E270" s="787"/>
      <c r="F270" s="787"/>
      <c r="G270" s="783">
        <f t="shared" si="17"/>
        <v>0</v>
      </c>
    </row>
    <row r="271" spans="2:8" s="2" customFormat="1" hidden="1">
      <c r="B271" s="788">
        <v>205000</v>
      </c>
      <c r="C271" s="789" t="s">
        <v>1098</v>
      </c>
      <c r="D271" s="790">
        <f>D272-D273+D274</f>
        <v>0</v>
      </c>
      <c r="E271" s="790">
        <f>E272-E273+E274</f>
        <v>0</v>
      </c>
      <c r="F271" s="790">
        <f>F272-F273+F274</f>
        <v>0</v>
      </c>
      <c r="G271" s="791">
        <f t="shared" si="17"/>
        <v>0</v>
      </c>
      <c r="H271" s="14"/>
    </row>
    <row r="272" spans="2:8" s="2" customFormat="1" ht="16.149999999999999" hidden="1" customHeight="1">
      <c r="B272" s="792">
        <v>205100</v>
      </c>
      <c r="C272" s="793" t="s">
        <v>1099</v>
      </c>
      <c r="D272" s="794"/>
      <c r="E272" s="794"/>
      <c r="F272" s="794"/>
      <c r="G272" s="791">
        <f t="shared" ref="G272:G303" si="18">+D272+E272</f>
        <v>0</v>
      </c>
      <c r="H272" s="14">
        <f>+G272</f>
        <v>0</v>
      </c>
    </row>
    <row r="273" spans="1:18" s="2" customFormat="1" ht="17.45" hidden="1" customHeight="1">
      <c r="B273" s="792">
        <v>205200</v>
      </c>
      <c r="C273" s="793" t="s">
        <v>1100</v>
      </c>
      <c r="D273" s="794"/>
      <c r="E273" s="794"/>
      <c r="F273" s="794"/>
      <c r="G273" s="791">
        <f t="shared" si="18"/>
        <v>0</v>
      </c>
      <c r="H273" s="14">
        <f>+G273</f>
        <v>0</v>
      </c>
    </row>
    <row r="274" spans="1:18" s="2" customFormat="1" hidden="1">
      <c r="B274" s="784">
        <v>205300</v>
      </c>
      <c r="C274" s="785" t="s">
        <v>1101</v>
      </c>
      <c r="D274" s="787"/>
      <c r="E274" s="787"/>
      <c r="F274" s="787"/>
      <c r="G274" s="783">
        <f t="shared" si="18"/>
        <v>0</v>
      </c>
    </row>
    <row r="275" spans="1:18" s="2" customFormat="1" ht="24" hidden="1">
      <c r="B275" s="781">
        <v>206000</v>
      </c>
      <c r="C275" s="786" t="s">
        <v>1269</v>
      </c>
      <c r="D275" s="787">
        <f>D276-D277</f>
        <v>0</v>
      </c>
      <c r="E275" s="787">
        <f>E276-E277</f>
        <v>0</v>
      </c>
      <c r="F275" s="787">
        <f>F276-F277</f>
        <v>0</v>
      </c>
      <c r="G275" s="783">
        <f t="shared" si="18"/>
        <v>0</v>
      </c>
    </row>
    <row r="276" spans="1:18" s="2" customFormat="1" hidden="1">
      <c r="B276" s="784">
        <v>206100</v>
      </c>
      <c r="C276" s="782" t="s">
        <v>1270</v>
      </c>
      <c r="D276" s="787"/>
      <c r="E276" s="787"/>
      <c r="F276" s="787"/>
      <c r="G276" s="783">
        <f t="shared" si="18"/>
        <v>0</v>
      </c>
    </row>
    <row r="277" spans="1:18" s="9" customFormat="1" ht="44.45" hidden="1" customHeight="1">
      <c r="B277" s="784">
        <v>206200</v>
      </c>
      <c r="C277" s="782" t="s">
        <v>1271</v>
      </c>
      <c r="D277" s="787"/>
      <c r="E277" s="787"/>
      <c r="F277" s="787"/>
      <c r="G277" s="783">
        <f t="shared" si="18"/>
        <v>0</v>
      </c>
      <c r="H277" s="2"/>
      <c r="I277" s="2"/>
      <c r="J277" s="2"/>
    </row>
    <row r="278" spans="1:18" s="2" customFormat="1" ht="17.25" hidden="1">
      <c r="A278" s="808" t="s">
        <v>1272</v>
      </c>
      <c r="B278" s="781">
        <v>207000</v>
      </c>
      <c r="C278" s="786" t="s">
        <v>1273</v>
      </c>
      <c r="D278" s="787">
        <f>D279-D280+D281</f>
        <v>0</v>
      </c>
      <c r="E278" s="787">
        <f>E279-E280+E281</f>
        <v>0</v>
      </c>
      <c r="F278" s="787">
        <f>F279-F280+F281</f>
        <v>0</v>
      </c>
      <c r="G278" s="783">
        <f t="shared" si="18"/>
        <v>0</v>
      </c>
      <c r="I278" s="6"/>
      <c r="J278" s="6"/>
      <c r="K278" s="810"/>
      <c r="L278" s="6"/>
      <c r="M278" s="808"/>
      <c r="N278" s="8"/>
      <c r="O278" s="8"/>
      <c r="P278" s="8"/>
      <c r="Q278" s="8"/>
      <c r="R278" s="8"/>
    </row>
    <row r="279" spans="1:18" s="11" customFormat="1" ht="18.75" hidden="1">
      <c r="B279" s="784">
        <v>207100</v>
      </c>
      <c r="C279" s="782" t="s">
        <v>1274</v>
      </c>
      <c r="D279" s="787"/>
      <c r="E279" s="787"/>
      <c r="F279" s="787"/>
      <c r="G279" s="783">
        <f t="shared" si="18"/>
        <v>0</v>
      </c>
      <c r="H279" s="2"/>
      <c r="I279" s="25"/>
      <c r="J279" s="25"/>
    </row>
    <row r="280" spans="1:18" s="9" customFormat="1" hidden="1">
      <c r="B280" s="784">
        <v>207200</v>
      </c>
      <c r="C280" s="782" t="s">
        <v>1275</v>
      </c>
      <c r="D280" s="787"/>
      <c r="E280" s="787"/>
      <c r="F280" s="787"/>
      <c r="G280" s="783">
        <f t="shared" si="18"/>
        <v>0</v>
      </c>
      <c r="H280" s="2"/>
      <c r="I280" s="2"/>
      <c r="J280" s="2"/>
    </row>
    <row r="281" spans="1:18" s="9" customFormat="1" hidden="1">
      <c r="B281" s="795">
        <v>207300</v>
      </c>
      <c r="C281" s="811" t="s">
        <v>1276</v>
      </c>
      <c r="D281" s="797"/>
      <c r="E281" s="797"/>
      <c r="F281" s="797"/>
      <c r="G281" s="798">
        <f t="shared" si="18"/>
        <v>0</v>
      </c>
      <c r="H281" s="2"/>
      <c r="I281" s="2"/>
      <c r="J281" s="2"/>
    </row>
    <row r="282" spans="1:18" s="9" customFormat="1" hidden="1">
      <c r="B282" s="1302">
        <v>208000</v>
      </c>
      <c r="C282" s="1303" t="s">
        <v>1277</v>
      </c>
      <c r="D282" s="1304">
        <f>D283-D284</f>
        <v>0</v>
      </c>
      <c r="E282" s="1304">
        <f>E283-E284</f>
        <v>0</v>
      </c>
      <c r="F282" s="1304">
        <f>F283-F284</f>
        <v>0</v>
      </c>
      <c r="G282" s="1305">
        <f t="shared" si="18"/>
        <v>0</v>
      </c>
      <c r="H282" s="14">
        <f t="shared" ref="H282:H313" si="19">+G282</f>
        <v>0</v>
      </c>
      <c r="I282" s="2"/>
      <c r="J282" s="2"/>
    </row>
    <row r="283" spans="1:18" s="9" customFormat="1" ht="15" hidden="1" customHeight="1">
      <c r="B283" s="792">
        <v>208100</v>
      </c>
      <c r="C283" s="793" t="s">
        <v>1099</v>
      </c>
      <c r="D283" s="794"/>
      <c r="E283" s="794"/>
      <c r="F283" s="794"/>
      <c r="G283" s="791">
        <f t="shared" si="18"/>
        <v>0</v>
      </c>
      <c r="H283" s="14">
        <f t="shared" si="19"/>
        <v>0</v>
      </c>
      <c r="I283" s="2"/>
      <c r="J283" s="2"/>
    </row>
    <row r="284" spans="1:18" s="31" customFormat="1" ht="15" hidden="1" customHeight="1">
      <c r="B284" s="1306">
        <v>208200</v>
      </c>
      <c r="C284" s="1307" t="s">
        <v>1100</v>
      </c>
      <c r="D284" s="1308"/>
      <c r="E284" s="1309">
        <v>0</v>
      </c>
      <c r="F284" s="1310"/>
      <c r="G284" s="1311">
        <f t="shared" si="18"/>
        <v>0</v>
      </c>
      <c r="H284" s="14">
        <f t="shared" si="19"/>
        <v>0</v>
      </c>
      <c r="I284" s="81"/>
      <c r="J284" s="81"/>
      <c r="K284" s="81"/>
    </row>
    <row r="285" spans="1:18" s="31" customFormat="1" hidden="1">
      <c r="B285" s="778">
        <v>209000</v>
      </c>
      <c r="C285" s="779" t="s">
        <v>1279</v>
      </c>
      <c r="D285" s="809">
        <f>D286-D287</f>
        <v>0</v>
      </c>
      <c r="E285" s="809">
        <f>E286-E287</f>
        <v>0</v>
      </c>
      <c r="F285" s="809">
        <f>F286-F287</f>
        <v>0</v>
      </c>
      <c r="G285" s="780">
        <f t="shared" si="18"/>
        <v>0</v>
      </c>
      <c r="H285" s="14">
        <f t="shared" si="19"/>
        <v>0</v>
      </c>
      <c r="I285" s="81"/>
      <c r="J285" s="81"/>
      <c r="K285" s="81"/>
    </row>
    <row r="286" spans="1:18" s="31" customFormat="1" hidden="1">
      <c r="B286" s="784">
        <v>209100</v>
      </c>
      <c r="C286" s="782" t="s">
        <v>1099</v>
      </c>
      <c r="D286" s="787"/>
      <c r="E286" s="787"/>
      <c r="F286" s="787"/>
      <c r="G286" s="783">
        <f t="shared" si="18"/>
        <v>0</v>
      </c>
      <c r="H286" s="14">
        <f t="shared" si="19"/>
        <v>0</v>
      </c>
      <c r="I286" s="81"/>
      <c r="J286" s="81"/>
      <c r="K286" s="81"/>
    </row>
    <row r="287" spans="1:18" s="9" customFormat="1" hidden="1">
      <c r="B287" s="784">
        <v>209200</v>
      </c>
      <c r="C287" s="782" t="s">
        <v>1100</v>
      </c>
      <c r="D287" s="787"/>
      <c r="E287" s="787"/>
      <c r="F287" s="787"/>
      <c r="G287" s="783">
        <f t="shared" si="18"/>
        <v>0</v>
      </c>
      <c r="H287" s="14">
        <f t="shared" si="19"/>
        <v>0</v>
      </c>
      <c r="I287" s="2"/>
      <c r="J287" s="2"/>
    </row>
    <row r="288" spans="1:18" s="9" customFormat="1" hidden="1">
      <c r="B288" s="781">
        <v>300000</v>
      </c>
      <c r="C288" s="816" t="s">
        <v>1280</v>
      </c>
      <c r="D288" s="787">
        <f>D289+D292+D295+D298+D301+D304+D307</f>
        <v>0</v>
      </c>
      <c r="E288" s="787">
        <f>E289+E292+E295+E298+E301+E304+E307</f>
        <v>0</v>
      </c>
      <c r="F288" s="787">
        <f>F289+F292+F295+F298+F301+F304+F307</f>
        <v>0</v>
      </c>
      <c r="G288" s="783">
        <f t="shared" si="18"/>
        <v>0</v>
      </c>
      <c r="H288" s="14">
        <f t="shared" si="19"/>
        <v>0</v>
      </c>
      <c r="I288" s="2"/>
      <c r="J288" s="2"/>
    </row>
    <row r="289" spans="2:11" s="9" customFormat="1" hidden="1">
      <c r="B289" s="781">
        <v>301000</v>
      </c>
      <c r="C289" s="786" t="s">
        <v>1281</v>
      </c>
      <c r="D289" s="787">
        <f>D290-D291</f>
        <v>0</v>
      </c>
      <c r="E289" s="787">
        <f>E290-E291</f>
        <v>0</v>
      </c>
      <c r="F289" s="787">
        <f>F290-F291</f>
        <v>0</v>
      </c>
      <c r="G289" s="783">
        <f t="shared" si="18"/>
        <v>0</v>
      </c>
      <c r="H289" s="14">
        <f t="shared" si="19"/>
        <v>0</v>
      </c>
      <c r="I289" s="2"/>
      <c r="J289" s="2"/>
    </row>
    <row r="290" spans="2:11" s="9" customFormat="1" hidden="1">
      <c r="B290" s="784">
        <v>301100</v>
      </c>
      <c r="C290" s="782" t="s">
        <v>955</v>
      </c>
      <c r="D290" s="787"/>
      <c r="E290" s="787"/>
      <c r="F290" s="787"/>
      <c r="G290" s="783">
        <f t="shared" si="18"/>
        <v>0</v>
      </c>
      <c r="H290" s="14">
        <f t="shared" si="19"/>
        <v>0</v>
      </c>
      <c r="I290" s="2"/>
      <c r="J290" s="2"/>
    </row>
    <row r="291" spans="2:11" s="9" customFormat="1" hidden="1">
      <c r="B291" s="784">
        <v>301200</v>
      </c>
      <c r="C291" s="782" t="s">
        <v>956</v>
      </c>
      <c r="D291" s="787"/>
      <c r="E291" s="787"/>
      <c r="F291" s="787"/>
      <c r="G291" s="783">
        <f t="shared" si="18"/>
        <v>0</v>
      </c>
      <c r="H291" s="14">
        <f t="shared" si="19"/>
        <v>0</v>
      </c>
      <c r="I291" s="2"/>
      <c r="J291" s="2"/>
    </row>
    <row r="292" spans="2:11" s="9" customFormat="1" hidden="1">
      <c r="B292" s="781">
        <v>302000</v>
      </c>
      <c r="C292" s="786" t="s">
        <v>1282</v>
      </c>
      <c r="D292" s="787">
        <f>D293-D294</f>
        <v>0</v>
      </c>
      <c r="E292" s="787">
        <f>E293-E294</f>
        <v>0</v>
      </c>
      <c r="F292" s="787">
        <f>F293-F294</f>
        <v>0</v>
      </c>
      <c r="G292" s="783">
        <f t="shared" si="18"/>
        <v>0</v>
      </c>
      <c r="H292" s="14">
        <f t="shared" si="19"/>
        <v>0</v>
      </c>
      <c r="I292" s="2"/>
      <c r="J292" s="2"/>
    </row>
    <row r="293" spans="2:11" s="9" customFormat="1" hidden="1">
      <c r="B293" s="784">
        <v>302100</v>
      </c>
      <c r="C293" s="782" t="s">
        <v>955</v>
      </c>
      <c r="D293" s="787"/>
      <c r="E293" s="787"/>
      <c r="F293" s="787"/>
      <c r="G293" s="783">
        <f t="shared" si="18"/>
        <v>0</v>
      </c>
      <c r="H293" s="14">
        <f t="shared" si="19"/>
        <v>0</v>
      </c>
      <c r="I293" s="2"/>
      <c r="J293" s="2"/>
    </row>
    <row r="294" spans="2:11" s="9" customFormat="1" hidden="1">
      <c r="B294" s="784">
        <v>302200</v>
      </c>
      <c r="C294" s="782" t="s">
        <v>956</v>
      </c>
      <c r="D294" s="787"/>
      <c r="E294" s="787"/>
      <c r="F294" s="787"/>
      <c r="G294" s="783">
        <f t="shared" si="18"/>
        <v>0</v>
      </c>
      <c r="H294" s="14">
        <f t="shared" si="19"/>
        <v>0</v>
      </c>
      <c r="I294" s="2"/>
      <c r="J294" s="2"/>
    </row>
    <row r="295" spans="2:11" s="9" customFormat="1" hidden="1">
      <c r="B295" s="781">
        <v>303000</v>
      </c>
      <c r="C295" s="786" t="s">
        <v>1283</v>
      </c>
      <c r="D295" s="787">
        <f>D296-D297</f>
        <v>0</v>
      </c>
      <c r="E295" s="787">
        <f>E296-E297</f>
        <v>0</v>
      </c>
      <c r="F295" s="787">
        <f>F296-F297</f>
        <v>0</v>
      </c>
      <c r="G295" s="783">
        <f t="shared" si="18"/>
        <v>0</v>
      </c>
      <c r="H295" s="14">
        <f t="shared" si="19"/>
        <v>0</v>
      </c>
      <c r="I295" s="2"/>
      <c r="J295" s="2"/>
    </row>
    <row r="296" spans="2:11" s="9" customFormat="1" hidden="1">
      <c r="B296" s="784">
        <v>303100</v>
      </c>
      <c r="C296" s="782" t="s">
        <v>955</v>
      </c>
      <c r="D296" s="787"/>
      <c r="E296" s="787"/>
      <c r="F296" s="787"/>
      <c r="G296" s="783">
        <f t="shared" si="18"/>
        <v>0</v>
      </c>
      <c r="H296" s="14">
        <f t="shared" si="19"/>
        <v>0</v>
      </c>
      <c r="I296" s="2"/>
      <c r="J296" s="2"/>
    </row>
    <row r="297" spans="2:11" s="9" customFormat="1" hidden="1">
      <c r="B297" s="784">
        <v>303200</v>
      </c>
      <c r="C297" s="782" t="s">
        <v>956</v>
      </c>
      <c r="D297" s="787"/>
      <c r="E297" s="787"/>
      <c r="F297" s="787"/>
      <c r="G297" s="783">
        <f t="shared" si="18"/>
        <v>0</v>
      </c>
      <c r="H297" s="14">
        <f t="shared" si="19"/>
        <v>0</v>
      </c>
      <c r="I297" s="2"/>
      <c r="J297" s="2"/>
    </row>
    <row r="298" spans="2:11" s="9" customFormat="1" hidden="1">
      <c r="B298" s="781">
        <v>304000</v>
      </c>
      <c r="C298" s="786" t="s">
        <v>1284</v>
      </c>
      <c r="D298" s="787">
        <f>D299-D300</f>
        <v>0</v>
      </c>
      <c r="E298" s="787">
        <f>E299-E300</f>
        <v>0</v>
      </c>
      <c r="F298" s="787">
        <f>F299-F300</f>
        <v>0</v>
      </c>
      <c r="G298" s="783">
        <f t="shared" si="18"/>
        <v>0</v>
      </c>
      <c r="H298" s="14">
        <f t="shared" si="19"/>
        <v>0</v>
      </c>
      <c r="I298" s="2"/>
      <c r="J298" s="2"/>
    </row>
    <row r="299" spans="2:11" s="31" customFormat="1" hidden="1">
      <c r="B299" s="784">
        <v>304100</v>
      </c>
      <c r="C299" s="782" t="s">
        <v>955</v>
      </c>
      <c r="D299" s="787"/>
      <c r="E299" s="787"/>
      <c r="F299" s="787"/>
      <c r="G299" s="783">
        <f t="shared" si="18"/>
        <v>0</v>
      </c>
      <c r="H299" s="14">
        <f t="shared" si="19"/>
        <v>0</v>
      </c>
      <c r="I299" s="81"/>
      <c r="J299" s="81"/>
      <c r="K299" s="81"/>
    </row>
    <row r="300" spans="2:11" s="31" customFormat="1" hidden="1">
      <c r="B300" s="784">
        <v>304200</v>
      </c>
      <c r="C300" s="782" t="s">
        <v>956</v>
      </c>
      <c r="D300" s="787"/>
      <c r="E300" s="787"/>
      <c r="F300" s="787"/>
      <c r="G300" s="783">
        <f t="shared" si="18"/>
        <v>0</v>
      </c>
      <c r="H300" s="14">
        <f t="shared" si="19"/>
        <v>0</v>
      </c>
      <c r="I300" s="81"/>
      <c r="J300" s="81"/>
      <c r="K300" s="81"/>
    </row>
    <row r="301" spans="2:11" s="31" customFormat="1" hidden="1">
      <c r="B301" s="781">
        <v>305000</v>
      </c>
      <c r="C301" s="786" t="s">
        <v>593</v>
      </c>
      <c r="D301" s="787">
        <f>D302-D303</f>
        <v>0</v>
      </c>
      <c r="E301" s="787">
        <f>E302-E303</f>
        <v>0</v>
      </c>
      <c r="F301" s="787">
        <f>F302-F303</f>
        <v>0</v>
      </c>
      <c r="G301" s="783">
        <f t="shared" si="18"/>
        <v>0</v>
      </c>
      <c r="H301" s="14">
        <f t="shared" si="19"/>
        <v>0</v>
      </c>
      <c r="I301" s="81"/>
      <c r="J301" s="81"/>
      <c r="K301" s="81"/>
    </row>
    <row r="302" spans="2:11" s="9" customFormat="1" hidden="1">
      <c r="B302" s="784">
        <v>305100</v>
      </c>
      <c r="C302" s="782" t="s">
        <v>955</v>
      </c>
      <c r="D302" s="787"/>
      <c r="E302" s="787"/>
      <c r="F302" s="787"/>
      <c r="G302" s="783">
        <f t="shared" si="18"/>
        <v>0</v>
      </c>
      <c r="H302" s="14">
        <f t="shared" si="19"/>
        <v>0</v>
      </c>
      <c r="I302" s="2"/>
      <c r="J302" s="2"/>
    </row>
    <row r="303" spans="2:11" s="9" customFormat="1" hidden="1">
      <c r="B303" s="784">
        <v>305200</v>
      </c>
      <c r="C303" s="782" t="s">
        <v>956</v>
      </c>
      <c r="D303" s="787"/>
      <c r="E303" s="787"/>
      <c r="F303" s="787"/>
      <c r="G303" s="783">
        <f t="shared" si="18"/>
        <v>0</v>
      </c>
      <c r="H303" s="14">
        <f t="shared" si="19"/>
        <v>0</v>
      </c>
      <c r="I303" s="2"/>
      <c r="J303" s="2"/>
    </row>
    <row r="304" spans="2:11" s="9" customFormat="1" ht="24" hidden="1">
      <c r="B304" s="781">
        <v>306000</v>
      </c>
      <c r="C304" s="786" t="s">
        <v>594</v>
      </c>
      <c r="D304" s="787">
        <f>D305-D306</f>
        <v>0</v>
      </c>
      <c r="E304" s="787">
        <f>E305-E306</f>
        <v>0</v>
      </c>
      <c r="F304" s="787">
        <f>F305-F306</f>
        <v>0</v>
      </c>
      <c r="G304" s="783">
        <f t="shared" ref="G304:G310" si="20">+D304+E304</f>
        <v>0</v>
      </c>
      <c r="H304" s="14">
        <f t="shared" si="19"/>
        <v>0</v>
      </c>
      <c r="I304" s="2"/>
      <c r="J304" s="2"/>
    </row>
    <row r="305" spans="2:10" s="9" customFormat="1" hidden="1">
      <c r="B305" s="784">
        <v>306100</v>
      </c>
      <c r="C305" s="782" t="s">
        <v>595</v>
      </c>
      <c r="D305" s="787"/>
      <c r="E305" s="787"/>
      <c r="F305" s="787"/>
      <c r="G305" s="783">
        <f t="shared" si="20"/>
        <v>0</v>
      </c>
      <c r="H305" s="14">
        <f t="shared" si="19"/>
        <v>0</v>
      </c>
      <c r="I305" s="2"/>
      <c r="J305" s="2"/>
    </row>
    <row r="306" spans="2:10" s="9" customFormat="1" hidden="1">
      <c r="B306" s="784">
        <v>306200</v>
      </c>
      <c r="C306" s="782" t="s">
        <v>1271</v>
      </c>
      <c r="D306" s="787"/>
      <c r="E306" s="787"/>
      <c r="F306" s="787"/>
      <c r="G306" s="783">
        <f t="shared" si="20"/>
        <v>0</v>
      </c>
      <c r="H306" s="14">
        <f t="shared" si="19"/>
        <v>0</v>
      </c>
      <c r="I306" s="2"/>
      <c r="J306" s="2"/>
    </row>
    <row r="307" spans="2:10" s="9" customFormat="1" hidden="1">
      <c r="B307" s="781">
        <v>307000</v>
      </c>
      <c r="C307" s="786" t="s">
        <v>1273</v>
      </c>
      <c r="D307" s="787">
        <f>D308-D309</f>
        <v>0</v>
      </c>
      <c r="E307" s="787">
        <f>E308-E309</f>
        <v>0</v>
      </c>
      <c r="F307" s="787">
        <f>F308-F309</f>
        <v>0</v>
      </c>
      <c r="G307" s="783">
        <f t="shared" si="20"/>
        <v>0</v>
      </c>
      <c r="H307" s="14">
        <f t="shared" si="19"/>
        <v>0</v>
      </c>
      <c r="I307" s="2"/>
      <c r="J307" s="2"/>
    </row>
    <row r="308" spans="2:10" s="9" customFormat="1" hidden="1">
      <c r="B308" s="784">
        <v>307100</v>
      </c>
      <c r="C308" s="782" t="s">
        <v>596</v>
      </c>
      <c r="D308" s="787"/>
      <c r="E308" s="787"/>
      <c r="F308" s="787"/>
      <c r="G308" s="783">
        <f t="shared" si="20"/>
        <v>0</v>
      </c>
      <c r="H308" s="14">
        <f t="shared" si="19"/>
        <v>0</v>
      </c>
      <c r="I308" s="2"/>
      <c r="J308" s="2"/>
    </row>
    <row r="309" spans="2:10" s="9" customFormat="1" hidden="1">
      <c r="B309" s="795">
        <v>307200</v>
      </c>
      <c r="C309" s="811" t="s">
        <v>597</v>
      </c>
      <c r="D309" s="797"/>
      <c r="E309" s="797"/>
      <c r="F309" s="797"/>
      <c r="G309" s="798">
        <f t="shared" si="20"/>
        <v>0</v>
      </c>
      <c r="H309" s="14">
        <f t="shared" si="19"/>
        <v>0</v>
      </c>
      <c r="I309" s="2"/>
      <c r="J309" s="2"/>
    </row>
    <row r="310" spans="2:10" s="9" customFormat="1" ht="25.5" hidden="1">
      <c r="B310" s="1312"/>
      <c r="C310" s="1313" t="s">
        <v>598</v>
      </c>
      <c r="D310" s="1314">
        <f>D240+D288</f>
        <v>0</v>
      </c>
      <c r="E310" s="1314">
        <f>E240+E288</f>
        <v>0</v>
      </c>
      <c r="F310" s="1314">
        <f>F240+F288</f>
        <v>0</v>
      </c>
      <c r="G310" s="1301">
        <f t="shared" si="20"/>
        <v>0</v>
      </c>
      <c r="H310" s="14">
        <f t="shared" si="19"/>
        <v>0</v>
      </c>
      <c r="I310" s="2"/>
      <c r="J310" s="2"/>
    </row>
    <row r="311" spans="2:10" s="9" customFormat="1" hidden="1">
      <c r="B311" s="817"/>
      <c r="C311" s="818" t="s">
        <v>599</v>
      </c>
      <c r="D311" s="819"/>
      <c r="E311" s="819"/>
      <c r="F311" s="819"/>
      <c r="G311" s="820"/>
      <c r="H311" s="14">
        <f t="shared" si="19"/>
        <v>0</v>
      </c>
      <c r="I311" s="2"/>
      <c r="J311" s="2"/>
    </row>
    <row r="312" spans="2:10" s="9" customFormat="1" hidden="1">
      <c r="B312" s="1315">
        <v>400000</v>
      </c>
      <c r="C312" s="1315" t="s">
        <v>600</v>
      </c>
      <c r="D312" s="787">
        <f>D313-D324</f>
        <v>0</v>
      </c>
      <c r="E312" s="787">
        <f>E313-E324</f>
        <v>0</v>
      </c>
      <c r="F312" s="787">
        <f>F313-F324</f>
        <v>0</v>
      </c>
      <c r="G312" s="783">
        <f t="shared" ref="G312:G347" si="21">+D312+E312</f>
        <v>0</v>
      </c>
      <c r="H312" s="14">
        <f t="shared" si="19"/>
        <v>0</v>
      </c>
      <c r="I312" s="2"/>
      <c r="J312" s="2"/>
    </row>
    <row r="313" spans="2:10" s="9" customFormat="1" hidden="1">
      <c r="B313" s="781">
        <v>401000</v>
      </c>
      <c r="C313" s="786" t="s">
        <v>601</v>
      </c>
      <c r="D313" s="787">
        <f>D314+D319</f>
        <v>0</v>
      </c>
      <c r="E313" s="787">
        <f>E314+E319</f>
        <v>0</v>
      </c>
      <c r="F313" s="787">
        <f>F314+F319</f>
        <v>0</v>
      </c>
      <c r="G313" s="783">
        <f t="shared" si="21"/>
        <v>0</v>
      </c>
      <c r="H313" s="14">
        <f t="shared" si="19"/>
        <v>0</v>
      </c>
      <c r="I313" s="2"/>
      <c r="J313" s="2"/>
    </row>
    <row r="314" spans="2:10" s="9" customFormat="1" hidden="1">
      <c r="B314" s="781">
        <v>401100</v>
      </c>
      <c r="C314" s="786" t="s">
        <v>602</v>
      </c>
      <c r="D314" s="787">
        <f>SUM(D315:D318)</f>
        <v>0</v>
      </c>
      <c r="E314" s="787">
        <f>SUM(E315:E318)</f>
        <v>0</v>
      </c>
      <c r="F314" s="787">
        <f>SUM(F315:F318)</f>
        <v>0</v>
      </c>
      <c r="G314" s="783">
        <f t="shared" si="21"/>
        <v>0</v>
      </c>
      <c r="H314" s="14">
        <f t="shared" ref="H314:H345" si="22">+G314</f>
        <v>0</v>
      </c>
      <c r="I314" s="2"/>
      <c r="J314" s="2"/>
    </row>
    <row r="315" spans="2:10" s="9" customFormat="1" hidden="1">
      <c r="B315" s="784">
        <v>401101</v>
      </c>
      <c r="C315" s="782" t="s">
        <v>603</v>
      </c>
      <c r="D315" s="787"/>
      <c r="E315" s="787"/>
      <c r="F315" s="787"/>
      <c r="G315" s="783">
        <f t="shared" si="21"/>
        <v>0</v>
      </c>
      <c r="H315" s="14">
        <f t="shared" si="22"/>
        <v>0</v>
      </c>
      <c r="I315" s="2"/>
      <c r="J315" s="2"/>
    </row>
    <row r="316" spans="2:10" s="9" customFormat="1" hidden="1">
      <c r="B316" s="784">
        <v>401102</v>
      </c>
      <c r="C316" s="782" t="s">
        <v>604</v>
      </c>
      <c r="D316" s="787"/>
      <c r="E316" s="787"/>
      <c r="F316" s="787"/>
      <c r="G316" s="783">
        <f t="shared" si="21"/>
        <v>0</v>
      </c>
      <c r="H316" s="14">
        <f t="shared" si="22"/>
        <v>0</v>
      </c>
      <c r="I316" s="2"/>
      <c r="J316" s="2"/>
    </row>
    <row r="317" spans="2:10" s="9" customFormat="1" hidden="1">
      <c r="B317" s="784">
        <v>401103</v>
      </c>
      <c r="C317" s="782" t="s">
        <v>605</v>
      </c>
      <c r="D317" s="787"/>
      <c r="E317" s="787"/>
      <c r="F317" s="787"/>
      <c r="G317" s="783">
        <f t="shared" si="21"/>
        <v>0</v>
      </c>
      <c r="H317" s="14">
        <f t="shared" si="22"/>
        <v>0</v>
      </c>
      <c r="I317" s="2"/>
      <c r="J317" s="2"/>
    </row>
    <row r="318" spans="2:10" s="9" customFormat="1" hidden="1">
      <c r="B318" s="784">
        <v>401104</v>
      </c>
      <c r="C318" s="782" t="s">
        <v>606</v>
      </c>
      <c r="D318" s="787"/>
      <c r="E318" s="787"/>
      <c r="F318" s="787"/>
      <c r="G318" s="783">
        <f t="shared" si="21"/>
        <v>0</v>
      </c>
      <c r="H318" s="14">
        <f t="shared" si="22"/>
        <v>0</v>
      </c>
      <c r="I318" s="2"/>
      <c r="J318" s="2"/>
    </row>
    <row r="319" spans="2:10" s="9" customFormat="1" hidden="1">
      <c r="B319" s="781">
        <v>401200</v>
      </c>
      <c r="C319" s="786" t="s">
        <v>607</v>
      </c>
      <c r="D319" s="787">
        <f>SUM(D320:D323)</f>
        <v>0</v>
      </c>
      <c r="E319" s="787">
        <f>SUM(E320:E323)</f>
        <v>0</v>
      </c>
      <c r="F319" s="787">
        <f>SUM(F320:F323)</f>
        <v>0</v>
      </c>
      <c r="G319" s="783">
        <f t="shared" si="21"/>
        <v>0</v>
      </c>
      <c r="H319" s="14">
        <f t="shared" si="22"/>
        <v>0</v>
      </c>
      <c r="I319" s="2"/>
      <c r="J319" s="2"/>
    </row>
    <row r="320" spans="2:10" s="9" customFormat="1" hidden="1">
      <c r="B320" s="784">
        <v>401201</v>
      </c>
      <c r="C320" s="782" t="s">
        <v>603</v>
      </c>
      <c r="D320" s="787"/>
      <c r="E320" s="787"/>
      <c r="F320" s="787"/>
      <c r="G320" s="783">
        <f t="shared" si="21"/>
        <v>0</v>
      </c>
      <c r="H320" s="14">
        <f t="shared" si="22"/>
        <v>0</v>
      </c>
      <c r="I320" s="2"/>
      <c r="J320" s="2"/>
    </row>
    <row r="321" spans="2:11" s="31" customFormat="1" hidden="1">
      <c r="B321" s="784">
        <v>401202</v>
      </c>
      <c r="C321" s="782" t="s">
        <v>604</v>
      </c>
      <c r="D321" s="787"/>
      <c r="E321" s="787"/>
      <c r="F321" s="787"/>
      <c r="G321" s="783">
        <f t="shared" si="21"/>
        <v>0</v>
      </c>
      <c r="H321" s="14">
        <f t="shared" si="22"/>
        <v>0</v>
      </c>
      <c r="I321" s="81"/>
      <c r="J321" s="81"/>
      <c r="K321" s="81"/>
    </row>
    <row r="322" spans="2:11" s="31" customFormat="1" ht="20.45" hidden="1" customHeight="1">
      <c r="B322" s="784">
        <v>401203</v>
      </c>
      <c r="C322" s="782" t="s">
        <v>605</v>
      </c>
      <c r="D322" s="787"/>
      <c r="E322" s="787"/>
      <c r="F322" s="787"/>
      <c r="G322" s="783">
        <f t="shared" si="21"/>
        <v>0</v>
      </c>
      <c r="H322" s="14">
        <f t="shared" si="22"/>
        <v>0</v>
      </c>
      <c r="I322" s="81"/>
      <c r="J322" s="81"/>
      <c r="K322" s="81"/>
    </row>
    <row r="323" spans="2:11" s="822" customFormat="1" ht="28.9" hidden="1" customHeight="1">
      <c r="B323" s="784">
        <v>401204</v>
      </c>
      <c r="C323" s="782" t="s">
        <v>606</v>
      </c>
      <c r="D323" s="787"/>
      <c r="E323" s="787"/>
      <c r="F323" s="787"/>
      <c r="G323" s="783">
        <f t="shared" si="21"/>
        <v>0</v>
      </c>
      <c r="H323" s="14">
        <f t="shared" si="22"/>
        <v>0</v>
      </c>
      <c r="I323" s="81"/>
      <c r="J323" s="81"/>
      <c r="K323" s="81"/>
    </row>
    <row r="324" spans="2:11" s="824" customFormat="1" ht="36" hidden="1" customHeight="1">
      <c r="B324" s="781">
        <v>402000</v>
      </c>
      <c r="C324" s="786" t="s">
        <v>608</v>
      </c>
      <c r="D324" s="787">
        <f>D325+D330</f>
        <v>0</v>
      </c>
      <c r="E324" s="787">
        <f>E325+E330</f>
        <v>0</v>
      </c>
      <c r="F324" s="787">
        <f>F325+F330</f>
        <v>0</v>
      </c>
      <c r="G324" s="783">
        <f t="shared" si="21"/>
        <v>0</v>
      </c>
      <c r="H324" s="14">
        <f t="shared" si="22"/>
        <v>0</v>
      </c>
      <c r="I324" s="823"/>
      <c r="J324" s="823"/>
      <c r="K324" s="823"/>
    </row>
    <row r="325" spans="2:11" s="822" customFormat="1" hidden="1">
      <c r="B325" s="781">
        <v>402100</v>
      </c>
      <c r="C325" s="786" t="s">
        <v>609</v>
      </c>
      <c r="D325" s="787">
        <f>SUM(D326:D329)</f>
        <v>0</v>
      </c>
      <c r="E325" s="787">
        <f>SUM(E326:E329)</f>
        <v>0</v>
      </c>
      <c r="F325" s="787">
        <f>SUM(F326:F329)</f>
        <v>0</v>
      </c>
      <c r="G325" s="783">
        <f t="shared" si="21"/>
        <v>0</v>
      </c>
      <c r="H325" s="14">
        <f t="shared" si="22"/>
        <v>0</v>
      </c>
    </row>
    <row r="326" spans="2:11" s="31" customFormat="1" hidden="1">
      <c r="B326" s="784">
        <v>402101</v>
      </c>
      <c r="C326" s="782" t="s">
        <v>603</v>
      </c>
      <c r="D326" s="787"/>
      <c r="E326" s="787"/>
      <c r="F326" s="787"/>
      <c r="G326" s="783">
        <f t="shared" si="21"/>
        <v>0</v>
      </c>
      <c r="H326" s="14">
        <f t="shared" si="22"/>
        <v>0</v>
      </c>
      <c r="I326" s="81"/>
      <c r="J326" s="81"/>
      <c r="K326" s="81"/>
    </row>
    <row r="327" spans="2:11" s="31" customFormat="1" hidden="1">
      <c r="B327" s="784">
        <v>402102</v>
      </c>
      <c r="C327" s="782" t="s">
        <v>604</v>
      </c>
      <c r="D327" s="787"/>
      <c r="E327" s="787"/>
      <c r="F327" s="787"/>
      <c r="G327" s="783">
        <f t="shared" si="21"/>
        <v>0</v>
      </c>
      <c r="H327" s="14">
        <f t="shared" si="22"/>
        <v>0</v>
      </c>
      <c r="I327" s="81"/>
      <c r="J327" s="81"/>
      <c r="K327" s="81"/>
    </row>
    <row r="328" spans="2:11" s="31" customFormat="1" hidden="1">
      <c r="B328" s="784">
        <v>402103</v>
      </c>
      <c r="C328" s="782" t="s">
        <v>605</v>
      </c>
      <c r="D328" s="787"/>
      <c r="E328" s="787"/>
      <c r="F328" s="787"/>
      <c r="G328" s="783">
        <f t="shared" si="21"/>
        <v>0</v>
      </c>
      <c r="H328" s="14">
        <f t="shared" si="22"/>
        <v>0</v>
      </c>
      <c r="I328" s="81"/>
      <c r="J328" s="81"/>
      <c r="K328" s="81"/>
    </row>
    <row r="329" spans="2:11" s="31" customFormat="1" hidden="1">
      <c r="B329" s="784">
        <v>402104</v>
      </c>
      <c r="C329" s="782" t="s">
        <v>606</v>
      </c>
      <c r="D329" s="787"/>
      <c r="E329" s="787"/>
      <c r="F329" s="787"/>
      <c r="G329" s="783">
        <f t="shared" si="21"/>
        <v>0</v>
      </c>
      <c r="H329" s="14">
        <f t="shared" si="22"/>
        <v>0</v>
      </c>
      <c r="I329" s="81"/>
      <c r="J329" s="81"/>
      <c r="K329" s="81"/>
    </row>
    <row r="330" spans="2:11" s="31" customFormat="1" hidden="1">
      <c r="B330" s="781">
        <v>402200</v>
      </c>
      <c r="C330" s="786" t="s">
        <v>610</v>
      </c>
      <c r="D330" s="787">
        <f>SUM(D331:D334)</f>
        <v>0</v>
      </c>
      <c r="E330" s="787">
        <f>SUM(E331:E334)</f>
        <v>0</v>
      </c>
      <c r="F330" s="787">
        <f>SUM(F331:F334)</f>
        <v>0</v>
      </c>
      <c r="G330" s="783">
        <f t="shared" si="21"/>
        <v>0</v>
      </c>
      <c r="H330" s="14">
        <f t="shared" si="22"/>
        <v>0</v>
      </c>
      <c r="I330" s="81"/>
      <c r="J330" s="81"/>
      <c r="K330" s="81"/>
    </row>
    <row r="331" spans="2:11" s="31" customFormat="1" hidden="1">
      <c r="B331" s="784">
        <v>402201</v>
      </c>
      <c r="C331" s="782" t="s">
        <v>603</v>
      </c>
      <c r="D331" s="787"/>
      <c r="E331" s="787"/>
      <c r="F331" s="787"/>
      <c r="G331" s="783">
        <f t="shared" si="21"/>
        <v>0</v>
      </c>
      <c r="H331" s="14">
        <f t="shared" si="22"/>
        <v>0</v>
      </c>
      <c r="I331" s="81"/>
      <c r="J331" s="81"/>
      <c r="K331" s="81"/>
    </row>
    <row r="332" spans="2:11" s="31" customFormat="1" hidden="1">
      <c r="B332" s="784">
        <v>402202</v>
      </c>
      <c r="C332" s="782" t="s">
        <v>604</v>
      </c>
      <c r="D332" s="787"/>
      <c r="E332" s="787"/>
      <c r="F332" s="787"/>
      <c r="G332" s="783">
        <f t="shared" si="21"/>
        <v>0</v>
      </c>
      <c r="H332" s="14">
        <f t="shared" si="22"/>
        <v>0</v>
      </c>
      <c r="I332" s="81"/>
      <c r="J332" s="81"/>
      <c r="K332" s="81"/>
    </row>
    <row r="333" spans="2:11" s="31" customFormat="1" hidden="1">
      <c r="B333" s="784">
        <v>402203</v>
      </c>
      <c r="C333" s="782" t="s">
        <v>605</v>
      </c>
      <c r="D333" s="787"/>
      <c r="E333" s="787"/>
      <c r="F333" s="787"/>
      <c r="G333" s="783">
        <f t="shared" si="21"/>
        <v>0</v>
      </c>
      <c r="H333" s="14">
        <f t="shared" si="22"/>
        <v>0</v>
      </c>
      <c r="I333" s="81"/>
      <c r="J333" s="81"/>
      <c r="K333" s="81"/>
    </row>
    <row r="334" spans="2:11" s="31" customFormat="1" hidden="1">
      <c r="B334" s="795">
        <v>402204</v>
      </c>
      <c r="C334" s="811" t="s">
        <v>606</v>
      </c>
      <c r="D334" s="797"/>
      <c r="E334" s="797"/>
      <c r="F334" s="797"/>
      <c r="G334" s="798">
        <f t="shared" si="21"/>
        <v>0</v>
      </c>
      <c r="H334" s="14">
        <f t="shared" si="22"/>
        <v>0</v>
      </c>
      <c r="I334" s="81"/>
      <c r="J334" s="81"/>
      <c r="K334" s="81"/>
    </row>
    <row r="335" spans="2:11" s="31" customFormat="1" hidden="1">
      <c r="B335" s="1316">
        <v>600000</v>
      </c>
      <c r="C335" s="1317" t="s">
        <v>611</v>
      </c>
      <c r="D335" s="1314">
        <f>D336+D339+D343+D344</f>
        <v>0</v>
      </c>
      <c r="E335" s="1314">
        <f>E336+E339+E343+E344</f>
        <v>0</v>
      </c>
      <c r="F335" s="1314">
        <f>F336+F339+F343+F344</f>
        <v>0</v>
      </c>
      <c r="G335" s="1301">
        <f t="shared" si="21"/>
        <v>0</v>
      </c>
      <c r="H335" s="14">
        <f t="shared" si="22"/>
        <v>0</v>
      </c>
      <c r="I335" s="81"/>
      <c r="J335" s="81"/>
      <c r="K335" s="81"/>
    </row>
    <row r="336" spans="2:11" s="31" customFormat="1" ht="24" hidden="1">
      <c r="B336" s="835">
        <v>601000</v>
      </c>
      <c r="C336" s="779" t="s">
        <v>1269</v>
      </c>
      <c r="D336" s="809">
        <f>D337-D338</f>
        <v>0</v>
      </c>
      <c r="E336" s="809">
        <f>E337-E338</f>
        <v>0</v>
      </c>
      <c r="F336" s="809">
        <f>F337-F338</f>
        <v>0</v>
      </c>
      <c r="G336" s="780">
        <f t="shared" si="21"/>
        <v>0</v>
      </c>
      <c r="H336" s="14">
        <f t="shared" si="22"/>
        <v>0</v>
      </c>
      <c r="I336" s="81"/>
      <c r="J336" s="81"/>
      <c r="K336" s="81"/>
    </row>
    <row r="337" spans="2:11" s="31" customFormat="1" hidden="1">
      <c r="B337" s="784">
        <v>601100</v>
      </c>
      <c r="C337" s="782" t="s">
        <v>612</v>
      </c>
      <c r="D337" s="787">
        <f t="shared" ref="D337:F338" si="23">D276+D305</f>
        <v>0</v>
      </c>
      <c r="E337" s="787">
        <f t="shared" si="23"/>
        <v>0</v>
      </c>
      <c r="F337" s="787">
        <f t="shared" si="23"/>
        <v>0</v>
      </c>
      <c r="G337" s="783">
        <f t="shared" si="21"/>
        <v>0</v>
      </c>
      <c r="H337" s="14">
        <f t="shared" si="22"/>
        <v>0</v>
      </c>
      <c r="I337" s="81"/>
      <c r="J337" s="81"/>
      <c r="K337" s="81"/>
    </row>
    <row r="338" spans="2:11" s="31" customFormat="1" hidden="1">
      <c r="B338" s="795">
        <v>601200</v>
      </c>
      <c r="C338" s="811" t="s">
        <v>1271</v>
      </c>
      <c r="D338" s="797">
        <f t="shared" si="23"/>
        <v>0</v>
      </c>
      <c r="E338" s="797">
        <f t="shared" si="23"/>
        <v>0</v>
      </c>
      <c r="F338" s="797">
        <f t="shared" si="23"/>
        <v>0</v>
      </c>
      <c r="G338" s="798">
        <f t="shared" si="21"/>
        <v>0</v>
      </c>
      <c r="H338" s="14">
        <f t="shared" si="22"/>
        <v>0</v>
      </c>
      <c r="I338" s="81"/>
      <c r="J338" s="81"/>
      <c r="K338" s="81"/>
    </row>
    <row r="339" spans="2:11" s="31" customFormat="1" hidden="1">
      <c r="B339" s="1318">
        <v>602000</v>
      </c>
      <c r="C339" s="1319" t="s">
        <v>613</v>
      </c>
      <c r="D339" s="1304">
        <f>(D340-D341+D342)</f>
        <v>0</v>
      </c>
      <c r="E339" s="1304">
        <f>(E340-E341+E342)</f>
        <v>0</v>
      </c>
      <c r="F339" s="1304">
        <f>(F340-F341+F342)</f>
        <v>0</v>
      </c>
      <c r="G339" s="1305">
        <f t="shared" si="21"/>
        <v>0</v>
      </c>
      <c r="H339" s="14">
        <f t="shared" si="22"/>
        <v>0</v>
      </c>
      <c r="I339" s="81"/>
      <c r="J339" s="81"/>
      <c r="K339" s="81"/>
    </row>
    <row r="340" spans="2:11" s="31" customFormat="1" ht="17.45" hidden="1" customHeight="1">
      <c r="B340" s="1320">
        <v>602100</v>
      </c>
      <c r="C340" s="793" t="s">
        <v>1099</v>
      </c>
      <c r="D340" s="794">
        <f t="shared" ref="D340:F341" si="24">D272+D283</f>
        <v>0</v>
      </c>
      <c r="E340" s="794">
        <f t="shared" si="24"/>
        <v>0</v>
      </c>
      <c r="F340" s="794">
        <f t="shared" si="24"/>
        <v>0</v>
      </c>
      <c r="G340" s="791">
        <f t="shared" si="21"/>
        <v>0</v>
      </c>
      <c r="H340" s="14">
        <f t="shared" si="22"/>
        <v>0</v>
      </c>
      <c r="I340" s="81"/>
      <c r="J340" s="81"/>
      <c r="K340" s="81"/>
    </row>
    <row r="341" spans="2:11" s="31" customFormat="1" ht="17.45" hidden="1" customHeight="1">
      <c r="B341" s="1321">
        <v>602200</v>
      </c>
      <c r="C341" s="1322" t="s">
        <v>1100</v>
      </c>
      <c r="D341" s="1309">
        <f t="shared" si="24"/>
        <v>0</v>
      </c>
      <c r="E341" s="1309">
        <f t="shared" si="24"/>
        <v>0</v>
      </c>
      <c r="F341" s="1309">
        <f t="shared" si="24"/>
        <v>0</v>
      </c>
      <c r="G341" s="1311">
        <f t="shared" si="21"/>
        <v>0</v>
      </c>
      <c r="H341" s="14">
        <f t="shared" si="22"/>
        <v>0</v>
      </c>
      <c r="I341" s="81"/>
      <c r="J341" s="81"/>
      <c r="K341" s="81"/>
    </row>
    <row r="342" spans="2:11" s="31" customFormat="1" hidden="1">
      <c r="B342" s="1323">
        <v>602300</v>
      </c>
      <c r="C342" s="1324" t="s">
        <v>1101</v>
      </c>
      <c r="D342" s="809">
        <f>D274+D278</f>
        <v>0</v>
      </c>
      <c r="E342" s="809">
        <f>E274+E278</f>
        <v>0</v>
      </c>
      <c r="F342" s="809">
        <f>F274+F278</f>
        <v>0</v>
      </c>
      <c r="G342" s="780">
        <f t="shared" si="21"/>
        <v>0</v>
      </c>
      <c r="H342" s="14">
        <f t="shared" si="22"/>
        <v>0</v>
      </c>
      <c r="I342" s="81"/>
      <c r="J342" s="81"/>
      <c r="K342" s="81"/>
    </row>
    <row r="343" spans="2:11" s="31" customFormat="1" hidden="1">
      <c r="B343" s="1325">
        <v>603000</v>
      </c>
      <c r="C343" s="786" t="s">
        <v>1094</v>
      </c>
      <c r="D343" s="787">
        <f>D264</f>
        <v>0</v>
      </c>
      <c r="E343" s="787">
        <f>E264</f>
        <v>0</v>
      </c>
      <c r="F343" s="787">
        <f>F264</f>
        <v>0</v>
      </c>
      <c r="G343" s="783">
        <f t="shared" si="21"/>
        <v>0</v>
      </c>
      <c r="H343" s="14">
        <f t="shared" si="22"/>
        <v>0</v>
      </c>
      <c r="I343" s="81"/>
      <c r="J343" s="81"/>
      <c r="K343" s="81"/>
    </row>
    <row r="344" spans="2:11" s="31" customFormat="1" hidden="1">
      <c r="B344" s="836">
        <v>604000</v>
      </c>
      <c r="C344" s="837" t="s">
        <v>1279</v>
      </c>
      <c r="D344" s="787">
        <f>D345-D346</f>
        <v>0</v>
      </c>
      <c r="E344" s="787">
        <f>E345-E346</f>
        <v>0</v>
      </c>
      <c r="F344" s="787">
        <f>F345-F346</f>
        <v>0</v>
      </c>
      <c r="G344" s="783">
        <f t="shared" si="21"/>
        <v>0</v>
      </c>
      <c r="H344" s="14">
        <f t="shared" si="22"/>
        <v>0</v>
      </c>
      <c r="I344" s="81"/>
      <c r="J344" s="81"/>
      <c r="K344" s="81"/>
    </row>
    <row r="345" spans="2:11" s="31" customFormat="1" hidden="1">
      <c r="B345" s="838">
        <v>604100</v>
      </c>
      <c r="C345" s="782" t="s">
        <v>1099</v>
      </c>
      <c r="D345" s="787"/>
      <c r="E345" s="787"/>
      <c r="F345" s="787"/>
      <c r="G345" s="783">
        <f t="shared" si="21"/>
        <v>0</v>
      </c>
      <c r="H345" s="14">
        <f t="shared" si="22"/>
        <v>0</v>
      </c>
      <c r="I345" s="81"/>
      <c r="J345" s="81"/>
      <c r="K345" s="81"/>
    </row>
    <row r="346" spans="2:11" s="31" customFormat="1" hidden="1">
      <c r="B346" s="839">
        <v>604200</v>
      </c>
      <c r="C346" s="811" t="s">
        <v>1100</v>
      </c>
      <c r="D346" s="797"/>
      <c r="E346" s="797"/>
      <c r="F346" s="797"/>
      <c r="G346" s="798">
        <f t="shared" si="21"/>
        <v>0</v>
      </c>
      <c r="H346" s="14">
        <f>+G346</f>
        <v>0</v>
      </c>
      <c r="I346" s="81"/>
      <c r="J346" s="81"/>
      <c r="K346" s="81"/>
    </row>
    <row r="347" spans="2:11" s="31" customFormat="1" ht="25.5" hidden="1">
      <c r="B347" s="1326"/>
      <c r="C347" s="1327" t="s">
        <v>614</v>
      </c>
      <c r="D347" s="1304">
        <f>D312+D335</f>
        <v>0</v>
      </c>
      <c r="E347" s="1304">
        <f>E312+E335</f>
        <v>0</v>
      </c>
      <c r="F347" s="1304">
        <f>F312+F335</f>
        <v>0</v>
      </c>
      <c r="G347" s="1305">
        <f t="shared" si="21"/>
        <v>0</v>
      </c>
      <c r="H347" s="14">
        <f>+G347</f>
        <v>0</v>
      </c>
      <c r="I347" s="81"/>
      <c r="J347" s="81"/>
      <c r="K347" s="81"/>
    </row>
    <row r="348" spans="2:11" s="31" customFormat="1" ht="21" hidden="1" customHeight="1">
      <c r="B348" s="1328"/>
      <c r="C348" s="1329" t="s">
        <v>1434</v>
      </c>
      <c r="D348" s="1330">
        <f>+D347+D234</f>
        <v>6253246784</v>
      </c>
      <c r="E348" s="1330">
        <f>+E347+E234</f>
        <v>160375900</v>
      </c>
      <c r="F348" s="1330">
        <f>+F347+F234</f>
        <v>7000000</v>
      </c>
      <c r="G348" s="1330">
        <f>+G347+G234</f>
        <v>6413622684</v>
      </c>
      <c r="H348" s="14"/>
      <c r="I348" s="81"/>
      <c r="J348" s="81"/>
      <c r="K348" s="81"/>
    </row>
    <row r="349" spans="2:11" s="31" customFormat="1" ht="21" hidden="1" customHeight="1">
      <c r="B349" s="1331"/>
      <c r="C349" s="846"/>
      <c r="D349" s="847"/>
      <c r="E349" s="847"/>
      <c r="F349" s="847"/>
      <c r="G349" s="847"/>
      <c r="H349" s="32"/>
      <c r="I349" s="81"/>
      <c r="J349" s="81"/>
      <c r="K349" s="81"/>
    </row>
    <row r="350" spans="2:11" s="31" customFormat="1" ht="21" hidden="1" customHeight="1">
      <c r="B350" s="1331"/>
      <c r="C350" s="846"/>
      <c r="D350" s="1332">
        <f>+D348-'[8]видатки_затв '!C438</f>
        <v>6253246784</v>
      </c>
      <c r="E350" s="1332">
        <f>+E348-'[8]видатки_затв '!F438</f>
        <v>160375900</v>
      </c>
      <c r="F350" s="1332">
        <f>+F348-'[8]видатки_затв '!K438</f>
        <v>7000000</v>
      </c>
      <c r="G350" s="1332">
        <f>+G348-'[8]видатки_затв '!M438</f>
        <v>6413622684</v>
      </c>
      <c r="H350" s="32"/>
      <c r="I350" s="81"/>
      <c r="J350" s="81"/>
      <c r="K350" s="81"/>
    </row>
    <row r="351" spans="2:11" s="31" customFormat="1">
      <c r="B351" s="1333"/>
      <c r="C351" s="1334"/>
      <c r="D351" s="1335"/>
      <c r="E351" s="1336"/>
      <c r="F351" s="1337"/>
      <c r="G351" s="1338"/>
      <c r="H351" s="32">
        <v>1</v>
      </c>
      <c r="I351" s="81"/>
      <c r="J351" s="81"/>
      <c r="K351" s="81"/>
    </row>
    <row r="352" spans="2:11" s="31" customFormat="1" ht="57" customHeight="1">
      <c r="B352" s="1388" t="s">
        <v>232</v>
      </c>
      <c r="C352" s="1388"/>
      <c r="D352" s="1339"/>
      <c r="E352" s="1339"/>
      <c r="F352" s="1340" t="s">
        <v>709</v>
      </c>
      <c r="G352" s="1340"/>
      <c r="H352" s="538">
        <v>1</v>
      </c>
      <c r="I352" s="81"/>
      <c r="J352" s="81"/>
      <c r="K352" s="81"/>
    </row>
    <row r="353" spans="2:11" s="31" customFormat="1">
      <c r="B353" s="1333"/>
      <c r="C353" s="1334"/>
      <c r="D353" s="1334"/>
      <c r="E353" s="1334"/>
      <c r="F353" s="1334"/>
      <c r="G353" s="1334"/>
      <c r="H353" s="32">
        <v>1</v>
      </c>
      <c r="I353" s="81"/>
      <c r="J353" s="81"/>
      <c r="K353" s="81"/>
    </row>
    <row r="354" spans="2:11" s="31" customFormat="1">
      <c r="B354" s="1341"/>
      <c r="D354" s="1342">
        <f>+D348-'видатки_затв '!C473-дод_4!C36+дод5!D126</f>
        <v>0</v>
      </c>
      <c r="E354" s="1342">
        <f>+E234-'видатки_затв '!F473-дод_4!L36+дод5!E126</f>
        <v>0</v>
      </c>
      <c r="F354" s="1342">
        <f>+F348-'видатки_затв '!K473-дод_4!M36+дод5!F126</f>
        <v>0</v>
      </c>
      <c r="G354" s="1342">
        <f>+G348-'видатки_затв '!M473-дод_4!N36+дод5!G126</f>
        <v>0</v>
      </c>
      <c r="H354" s="32">
        <v>1</v>
      </c>
      <c r="I354" s="81"/>
      <c r="J354" s="81"/>
      <c r="K354" s="81"/>
    </row>
    <row r="355" spans="2:11" s="31" customFormat="1">
      <c r="B355" s="1341"/>
      <c r="E355" s="853"/>
      <c r="H355" s="32">
        <v>1</v>
      </c>
      <c r="I355" s="81"/>
      <c r="J355" s="81"/>
      <c r="K355" s="81"/>
    </row>
    <row r="356" spans="2:11" s="31" customFormat="1">
      <c r="B356" s="1341"/>
      <c r="E356" s="853"/>
      <c r="H356" s="32">
        <v>1</v>
      </c>
      <c r="I356" s="81"/>
      <c r="J356" s="81"/>
      <c r="K356" s="81"/>
    </row>
    <row r="357" spans="2:11" s="31" customFormat="1">
      <c r="B357" s="1341"/>
      <c r="E357" s="853">
        <f>+E356-E351</f>
        <v>0</v>
      </c>
      <c r="H357" s="32">
        <v>1</v>
      </c>
      <c r="I357" s="81"/>
      <c r="J357" s="81"/>
      <c r="K357" s="81"/>
    </row>
    <row r="358" spans="2:11" s="31" customFormat="1">
      <c r="B358" s="1341"/>
      <c r="D358" s="853"/>
      <c r="E358" s="853"/>
      <c r="F358" s="853"/>
      <c r="G358" s="854"/>
      <c r="H358" s="32">
        <v>1</v>
      </c>
      <c r="I358" s="81"/>
      <c r="J358" s="81"/>
      <c r="K358" s="81"/>
    </row>
    <row r="359" spans="2:11" s="31" customFormat="1">
      <c r="B359" s="1341"/>
      <c r="D359" s="854"/>
      <c r="E359" s="854"/>
      <c r="F359" s="854"/>
      <c r="H359" s="32">
        <v>1</v>
      </c>
      <c r="I359" s="81"/>
      <c r="J359" s="81"/>
      <c r="K359" s="81"/>
    </row>
    <row r="360" spans="2:11" s="31" customFormat="1">
      <c r="B360" s="1341"/>
      <c r="D360" s="853"/>
      <c r="E360" s="853"/>
      <c r="F360" s="853"/>
      <c r="G360" s="853"/>
      <c r="H360" s="32">
        <v>1</v>
      </c>
      <c r="I360" s="81"/>
      <c r="J360" s="81"/>
      <c r="K360" s="81"/>
    </row>
    <row r="361" spans="2:11" s="31" customFormat="1">
      <c r="B361" s="1341"/>
      <c r="D361" s="853"/>
      <c r="E361" s="853"/>
      <c r="F361" s="853"/>
      <c r="G361" s="853"/>
      <c r="H361" s="32">
        <v>1</v>
      </c>
      <c r="I361" s="81"/>
      <c r="J361" s="81"/>
      <c r="K361" s="81"/>
    </row>
    <row r="362" spans="2:11" s="31" customFormat="1">
      <c r="B362" s="1341"/>
      <c r="D362" s="853"/>
      <c r="E362" s="853"/>
      <c r="F362" s="853"/>
      <c r="G362" s="853"/>
      <c r="H362" s="32">
        <v>1</v>
      </c>
      <c r="I362" s="81"/>
      <c r="J362" s="81"/>
      <c r="K362" s="81"/>
    </row>
    <row r="363" spans="2:11" s="31" customFormat="1">
      <c r="B363" s="1341"/>
      <c r="H363" s="32"/>
      <c r="I363" s="81"/>
      <c r="J363" s="81"/>
      <c r="K363" s="81"/>
    </row>
    <row r="364" spans="2:11" s="31" customFormat="1">
      <c r="B364" s="1341"/>
      <c r="D364" s="853"/>
      <c r="E364" s="853"/>
      <c r="F364" s="853"/>
      <c r="G364" s="853"/>
      <c r="H364" s="32">
        <v>1</v>
      </c>
      <c r="I364" s="81"/>
      <c r="J364" s="81"/>
      <c r="K364" s="81"/>
    </row>
    <row r="365" spans="2:11" s="31" customFormat="1">
      <c r="B365" s="1341"/>
      <c r="H365" s="32"/>
      <c r="I365" s="81"/>
      <c r="J365" s="81"/>
      <c r="K365" s="81"/>
    </row>
    <row r="366" spans="2:11" s="31" customFormat="1">
      <c r="B366" s="1341"/>
      <c r="H366" s="32"/>
      <c r="I366" s="81"/>
      <c r="J366" s="81"/>
      <c r="K366" s="81"/>
    </row>
    <row r="367" spans="2:11" s="31" customFormat="1">
      <c r="B367" s="1341"/>
      <c r="H367" s="32"/>
      <c r="I367" s="81"/>
      <c r="J367" s="81"/>
      <c r="K367" s="81"/>
    </row>
    <row r="368" spans="2:11" s="31" customFormat="1">
      <c r="B368" s="1341"/>
      <c r="H368" s="32"/>
      <c r="I368" s="81"/>
      <c r="J368" s="81"/>
      <c r="K368" s="81"/>
    </row>
    <row r="369" spans="2:11" s="31" customFormat="1">
      <c r="B369" s="1341"/>
      <c r="H369" s="32"/>
      <c r="I369" s="81"/>
      <c r="J369" s="81"/>
      <c r="K369" s="81"/>
    </row>
    <row r="370" spans="2:11" s="31" customFormat="1">
      <c r="B370" s="1341"/>
      <c r="H370" s="32"/>
      <c r="I370" s="81"/>
      <c r="J370" s="81"/>
      <c r="K370" s="81"/>
    </row>
    <row r="371" spans="2:11" s="31" customFormat="1">
      <c r="B371" s="1341"/>
      <c r="H371" s="32"/>
      <c r="I371" s="81"/>
      <c r="J371" s="81"/>
      <c r="K371" s="81"/>
    </row>
    <row r="372" spans="2:11" s="31" customFormat="1">
      <c r="B372" s="1341"/>
      <c r="H372" s="32"/>
      <c r="I372" s="81"/>
      <c r="J372" s="81"/>
      <c r="K372" s="81"/>
    </row>
    <row r="373" spans="2:11" s="31" customFormat="1">
      <c r="B373" s="1341"/>
      <c r="H373" s="32"/>
      <c r="I373" s="81"/>
      <c r="J373" s="81"/>
      <c r="K373" s="81"/>
    </row>
    <row r="374" spans="2:11" s="31" customFormat="1">
      <c r="B374" s="1341"/>
      <c r="H374" s="32"/>
      <c r="I374" s="81"/>
      <c r="J374" s="81"/>
      <c r="K374" s="81"/>
    </row>
    <row r="375" spans="2:11" s="31" customFormat="1">
      <c r="B375" s="1341"/>
      <c r="H375" s="32"/>
      <c r="I375" s="81"/>
      <c r="J375" s="81"/>
      <c r="K375" s="81"/>
    </row>
    <row r="376" spans="2:11" s="31" customFormat="1">
      <c r="B376" s="1341"/>
      <c r="H376" s="32"/>
      <c r="I376" s="81"/>
      <c r="J376" s="81"/>
      <c r="K376" s="81"/>
    </row>
    <row r="377" spans="2:11" s="31" customFormat="1">
      <c r="B377" s="1341"/>
      <c r="H377" s="32"/>
      <c r="I377" s="81"/>
      <c r="J377" s="81"/>
      <c r="K377" s="81"/>
    </row>
    <row r="378" spans="2:11" s="31" customFormat="1">
      <c r="B378" s="1341"/>
      <c r="H378" s="32"/>
      <c r="I378" s="81"/>
      <c r="J378" s="81"/>
      <c r="K378" s="81"/>
    </row>
    <row r="379" spans="2:11" s="31" customFormat="1">
      <c r="B379" s="1341"/>
      <c r="H379" s="32"/>
      <c r="I379" s="81"/>
      <c r="J379" s="81"/>
      <c r="K379" s="81"/>
    </row>
    <row r="380" spans="2:11" s="31" customFormat="1">
      <c r="B380" s="1341"/>
      <c r="H380" s="32"/>
      <c r="I380" s="81"/>
      <c r="J380" s="81"/>
      <c r="K380" s="81"/>
    </row>
    <row r="381" spans="2:11" s="31" customFormat="1">
      <c r="B381" s="1341"/>
      <c r="H381" s="32"/>
      <c r="I381" s="81"/>
      <c r="J381" s="81"/>
      <c r="K381" s="81"/>
    </row>
    <row r="382" spans="2:11" s="31" customFormat="1">
      <c r="B382" s="1341"/>
      <c r="H382" s="32"/>
      <c r="I382" s="81"/>
      <c r="J382" s="81"/>
      <c r="K382" s="81"/>
    </row>
    <row r="383" spans="2:11" s="31" customFormat="1">
      <c r="B383" s="1341"/>
      <c r="H383" s="32"/>
      <c r="I383" s="81"/>
      <c r="J383" s="81"/>
      <c r="K383" s="81"/>
    </row>
    <row r="384" spans="2:11" s="31" customFormat="1">
      <c r="B384" s="1341"/>
      <c r="H384" s="32"/>
      <c r="I384" s="81"/>
      <c r="J384" s="81"/>
      <c r="K384" s="81"/>
    </row>
    <row r="385" spans="2:11" s="31" customFormat="1">
      <c r="B385" s="1341"/>
      <c r="H385" s="32"/>
      <c r="I385" s="81"/>
      <c r="J385" s="81"/>
      <c r="K385" s="81"/>
    </row>
    <row r="386" spans="2:11" s="31" customFormat="1">
      <c r="B386" s="1341"/>
      <c r="H386" s="32"/>
      <c r="I386" s="81"/>
      <c r="J386" s="81"/>
      <c r="K386" s="81"/>
    </row>
    <row r="387" spans="2:11" s="31" customFormat="1">
      <c r="B387" s="1341"/>
      <c r="H387" s="32"/>
      <c r="I387" s="81"/>
      <c r="J387" s="81"/>
      <c r="K387" s="81"/>
    </row>
    <row r="388" spans="2:11" s="31" customFormat="1">
      <c r="B388" s="1341"/>
      <c r="H388" s="32"/>
      <c r="I388" s="81"/>
      <c r="J388" s="81"/>
      <c r="K388" s="81"/>
    </row>
    <row r="389" spans="2:11" s="31" customFormat="1">
      <c r="B389" s="1341"/>
      <c r="H389" s="32"/>
      <c r="I389" s="81"/>
      <c r="J389" s="81"/>
      <c r="K389" s="81"/>
    </row>
    <row r="390" spans="2:11" s="31" customFormat="1">
      <c r="B390" s="1341"/>
      <c r="H390" s="32"/>
      <c r="I390" s="81"/>
      <c r="J390" s="81"/>
      <c r="K390" s="81"/>
    </row>
  </sheetData>
  <autoFilter ref="H12:H362">
    <filterColumn colId="0">
      <customFilters and="1">
        <customFilter operator="notEqual" val=" "/>
        <customFilter operator="notEqual" val="0"/>
      </customFilters>
    </filterColumn>
  </autoFilter>
  <mergeCells count="19">
    <mergeCell ref="C8:C11"/>
    <mergeCell ref="D8:D11"/>
    <mergeCell ref="B5:G5"/>
    <mergeCell ref="B352:C352"/>
    <mergeCell ref="E8:F9"/>
    <mergeCell ref="E10:E11"/>
    <mergeCell ref="F10:F11"/>
    <mergeCell ref="B8:B11"/>
    <mergeCell ref="F12:F13"/>
    <mergeCell ref="G12:G13"/>
    <mergeCell ref="B12:B13"/>
    <mergeCell ref="C12:C13"/>
    <mergeCell ref="D12:D13"/>
    <mergeCell ref="E12:E13"/>
    <mergeCell ref="E1:G1"/>
    <mergeCell ref="E4:G4"/>
    <mergeCell ref="G8:G11"/>
    <mergeCell ref="E2:G3"/>
    <mergeCell ref="B6:G6"/>
  </mergeCells>
  <phoneticPr fontId="0" type="noConversion"/>
  <hyperlinks>
    <hyperlink ref="B256" location="_ftnref1" display="_ftnref1"/>
  </hyperlinks>
  <printOptions horizontalCentered="1"/>
  <pageMargins left="0.27559055118110237" right="0.19685039370078741" top="0.27559055118110237" bottom="0.35433070866141736" header="0.31496062992125984" footer="0.19685039370078741"/>
  <pageSetup paperSize="9" scale="6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 filterMode="1"/>
  <dimension ref="A1:IG778"/>
  <sheetViews>
    <sheetView showZeros="0" topLeftCell="A10" zoomScale="50" zoomScaleNormal="50" workbookViewId="0">
      <pane xSplit="2" ySplit="9" topLeftCell="C19" activePane="bottomRight" state="frozen"/>
      <selection activeCell="A10" sqref="A10"/>
      <selection pane="topRight" activeCell="C10" sqref="C10"/>
      <selection pane="bottomLeft" activeCell="A19" sqref="A19"/>
      <selection pane="bottomRight" activeCell="A17" sqref="A17:A18"/>
    </sheetView>
  </sheetViews>
  <sheetFormatPr defaultRowHeight="15.75" outlineLevelRow="1" outlineLevelCol="1"/>
  <cols>
    <col min="1" max="1" width="15.7109375" style="2" customWidth="1"/>
    <col min="2" max="2" width="63.28515625" style="2" customWidth="1"/>
    <col min="3" max="3" width="21.140625" style="2" customWidth="1"/>
    <col min="4" max="4" width="20.28515625" style="2" customWidth="1"/>
    <col min="5" max="5" width="19.85546875" style="2" customWidth="1"/>
    <col min="6" max="6" width="19" style="2" customWidth="1"/>
    <col min="7" max="7" width="18.28515625" style="2" customWidth="1"/>
    <col min="8" max="8" width="17.140625" style="2" customWidth="1"/>
    <col min="9" max="9" width="17.42578125" style="2" customWidth="1"/>
    <col min="10" max="10" width="20.28515625" style="2" customWidth="1"/>
    <col min="11" max="11" width="18.7109375" style="2" customWidth="1"/>
    <col min="12" max="12" width="21.140625" style="2" customWidth="1"/>
    <col min="13" max="13" width="21.28515625" style="13" customWidth="1"/>
    <col min="14" max="14" width="0" hidden="1" customWidth="1" outlineLevel="1"/>
    <col min="15" max="15" width="16.140625" style="2" customWidth="1" collapsed="1"/>
    <col min="16" max="17" width="9.140625" style="54"/>
    <col min="18" max="154" width="9.140625" style="9"/>
    <col min="155" max="16384" width="9.140625" style="2"/>
  </cols>
  <sheetData>
    <row r="1" spans="1:154" ht="19.5">
      <c r="A1" s="12"/>
      <c r="G1" s="6"/>
      <c r="H1" s="196"/>
      <c r="I1" s="196"/>
      <c r="J1" s="1383" t="s">
        <v>890</v>
      </c>
      <c r="K1" s="1383"/>
      <c r="L1" s="1383"/>
      <c r="M1" s="1383"/>
    </row>
    <row r="2" spans="1:154" ht="15.6" customHeight="1">
      <c r="E2" s="6"/>
      <c r="F2" s="6"/>
      <c r="G2" s="6"/>
      <c r="H2" s="196"/>
      <c r="I2" s="196"/>
      <c r="J2" s="1383" t="s">
        <v>1448</v>
      </c>
      <c r="K2" s="1383"/>
      <c r="L2" s="1383"/>
      <c r="M2" s="138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</row>
    <row r="3" spans="1:154" ht="13.9" customHeight="1">
      <c r="E3" s="6"/>
      <c r="F3" s="6"/>
      <c r="G3" s="6"/>
      <c r="H3" s="196"/>
      <c r="I3" s="196"/>
      <c r="J3" s="1383"/>
      <c r="K3" s="1383"/>
      <c r="L3" s="1383"/>
      <c r="M3" s="138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</row>
    <row r="4" spans="1:154" ht="17.45" customHeight="1">
      <c r="E4" s="1391"/>
      <c r="F4" s="1392"/>
      <c r="H4" s="196"/>
      <c r="I4" s="196"/>
      <c r="J4" s="1384" t="s">
        <v>91</v>
      </c>
      <c r="K4" s="1384"/>
      <c r="L4" s="1384"/>
      <c r="M4" s="138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</row>
    <row r="5" spans="1:154">
      <c r="F5" s="8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</row>
    <row r="7" spans="1:154" ht="12.75">
      <c r="A7" s="1412" t="s">
        <v>1117</v>
      </c>
      <c r="B7" s="1412"/>
      <c r="C7" s="1412"/>
      <c r="D7" s="1412"/>
      <c r="E7" s="1412"/>
      <c r="F7" s="1412"/>
      <c r="G7" s="1412"/>
      <c r="H7" s="1412"/>
      <c r="I7" s="1412"/>
      <c r="J7" s="1412"/>
      <c r="K7" s="1412"/>
      <c r="L7" s="1412"/>
      <c r="M7" s="1412"/>
    </row>
    <row r="8" spans="1:154" ht="12.75">
      <c r="A8" s="1412"/>
      <c r="B8" s="1412"/>
      <c r="C8" s="1412"/>
      <c r="D8" s="1412"/>
      <c r="E8" s="1412"/>
      <c r="F8" s="1412"/>
      <c r="G8" s="1412"/>
      <c r="H8" s="1412"/>
      <c r="I8" s="1412"/>
      <c r="J8" s="1412"/>
      <c r="K8" s="1412"/>
      <c r="L8" s="1412"/>
      <c r="M8" s="1412"/>
    </row>
    <row r="9" spans="1:154" ht="15">
      <c r="A9" s="17"/>
      <c r="F9" s="17"/>
      <c r="M9" s="192" t="s">
        <v>561</v>
      </c>
    </row>
    <row r="10" spans="1:154" s="32" customFormat="1" ht="13.15" customHeight="1">
      <c r="A10" s="1387" t="s">
        <v>768</v>
      </c>
      <c r="B10" s="1387" t="s">
        <v>769</v>
      </c>
      <c r="C10" s="1394" t="s">
        <v>453</v>
      </c>
      <c r="D10" s="1395"/>
      <c r="E10" s="1396"/>
      <c r="F10" s="1400" t="s">
        <v>714</v>
      </c>
      <c r="G10" s="1401"/>
      <c r="H10" s="1401"/>
      <c r="I10" s="1401"/>
      <c r="J10" s="1401"/>
      <c r="K10" s="1401"/>
      <c r="L10" s="1402"/>
      <c r="M10" s="1385" t="s">
        <v>734</v>
      </c>
      <c r="N10" s="30"/>
      <c r="P10" s="81"/>
      <c r="Q10" s="8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</row>
    <row r="11" spans="1:154" s="32" customFormat="1" ht="13.15" customHeight="1">
      <c r="A11" s="1387"/>
      <c r="B11" s="1387"/>
      <c r="C11" s="1397"/>
      <c r="D11" s="1398"/>
      <c r="E11" s="1399"/>
      <c r="F11" s="1403"/>
      <c r="G11" s="1404"/>
      <c r="H11" s="1404"/>
      <c r="I11" s="1404"/>
      <c r="J11" s="1404"/>
      <c r="K11" s="1404"/>
      <c r="L11" s="1405"/>
      <c r="M11" s="1385"/>
      <c r="N11" s="30"/>
      <c r="P11" s="81"/>
      <c r="Q11" s="8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</row>
    <row r="12" spans="1:154" s="32" customFormat="1" ht="21" customHeight="1">
      <c r="A12" s="1387"/>
      <c r="B12" s="1387"/>
      <c r="C12" s="1389" t="s">
        <v>1251</v>
      </c>
      <c r="D12" s="1389" t="s">
        <v>1252</v>
      </c>
      <c r="E12" s="1389"/>
      <c r="F12" s="1389" t="s">
        <v>1251</v>
      </c>
      <c r="G12" s="1389" t="s">
        <v>750</v>
      </c>
      <c r="H12" s="1389" t="s">
        <v>1252</v>
      </c>
      <c r="I12" s="1389"/>
      <c r="J12" s="1389" t="s">
        <v>752</v>
      </c>
      <c r="K12" s="1413" t="s">
        <v>567</v>
      </c>
      <c r="L12" s="1414"/>
      <c r="M12" s="1385"/>
      <c r="N12" s="30"/>
      <c r="P12" s="81"/>
      <c r="Q12" s="8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</row>
    <row r="13" spans="1:154" s="32" customFormat="1" ht="24" customHeight="1">
      <c r="A13" s="1387"/>
      <c r="B13" s="1387"/>
      <c r="C13" s="1389"/>
      <c r="D13" s="1389" t="s">
        <v>748</v>
      </c>
      <c r="E13" s="1389" t="s">
        <v>70</v>
      </c>
      <c r="F13" s="1389"/>
      <c r="G13" s="1389"/>
      <c r="H13" s="1389" t="s">
        <v>748</v>
      </c>
      <c r="I13" s="1389" t="s">
        <v>70</v>
      </c>
      <c r="J13" s="1389"/>
      <c r="K13" s="1408" t="s">
        <v>568</v>
      </c>
      <c r="L13" s="496" t="s">
        <v>564</v>
      </c>
      <c r="M13" s="1385"/>
      <c r="N13" s="30"/>
      <c r="P13" s="81"/>
      <c r="Q13" s="8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</row>
    <row r="14" spans="1:154" s="32" customFormat="1" ht="17.45" customHeight="1">
      <c r="A14" s="1387"/>
      <c r="B14" s="1387"/>
      <c r="C14" s="1389"/>
      <c r="D14" s="1389"/>
      <c r="E14" s="1389"/>
      <c r="F14" s="1389"/>
      <c r="G14" s="1389"/>
      <c r="H14" s="1389"/>
      <c r="I14" s="1389"/>
      <c r="J14" s="1389"/>
      <c r="K14" s="1409"/>
      <c r="L14" s="1408" t="s">
        <v>565</v>
      </c>
      <c r="M14" s="1385"/>
      <c r="N14" s="30"/>
      <c r="P14" s="81"/>
      <c r="Q14" s="8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</row>
    <row r="15" spans="1:154" s="32" customFormat="1" ht="15.6" customHeight="1">
      <c r="A15" s="1387"/>
      <c r="B15" s="1387"/>
      <c r="C15" s="1389"/>
      <c r="D15" s="1389"/>
      <c r="E15" s="1389"/>
      <c r="F15" s="1389"/>
      <c r="G15" s="1389"/>
      <c r="H15" s="1389"/>
      <c r="I15" s="1389"/>
      <c r="J15" s="1389"/>
      <c r="K15" s="1409"/>
      <c r="L15" s="1409"/>
      <c r="M15" s="1385"/>
      <c r="N15" s="30"/>
      <c r="P15" s="81"/>
      <c r="Q15" s="8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</row>
    <row r="16" spans="1:154" s="32" customFormat="1" ht="75" customHeight="1">
      <c r="A16" s="1387"/>
      <c r="B16" s="1387"/>
      <c r="C16" s="1389"/>
      <c r="D16" s="1389"/>
      <c r="E16" s="1389"/>
      <c r="F16" s="1389"/>
      <c r="G16" s="1389"/>
      <c r="H16" s="1389"/>
      <c r="I16" s="1389"/>
      <c r="J16" s="1389"/>
      <c r="K16" s="1410"/>
      <c r="L16" s="1410"/>
      <c r="M16" s="1385"/>
      <c r="N16" s="30"/>
      <c r="P16" s="81"/>
      <c r="Q16" s="8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</row>
    <row r="17" spans="1:154" ht="13.15" customHeight="1">
      <c r="A17" s="1393" t="s">
        <v>63</v>
      </c>
      <c r="B17" s="1393">
        <v>2</v>
      </c>
      <c r="C17" s="1393">
        <v>3</v>
      </c>
      <c r="D17" s="1393">
        <v>4</v>
      </c>
      <c r="E17" s="1393">
        <v>5</v>
      </c>
      <c r="F17" s="1393">
        <v>6</v>
      </c>
      <c r="G17" s="1393">
        <v>7</v>
      </c>
      <c r="H17" s="1393">
        <v>8</v>
      </c>
      <c r="I17" s="1393">
        <v>9</v>
      </c>
      <c r="J17" s="1393">
        <v>10</v>
      </c>
      <c r="K17" s="1393">
        <v>11</v>
      </c>
      <c r="L17" s="1406">
        <v>12</v>
      </c>
      <c r="M17" s="1393" t="s">
        <v>566</v>
      </c>
    </row>
    <row r="18" spans="1:154" ht="13.15" customHeight="1">
      <c r="A18" s="1393"/>
      <c r="B18" s="1393"/>
      <c r="C18" s="1393"/>
      <c r="D18" s="1393"/>
      <c r="E18" s="1393"/>
      <c r="F18" s="1393"/>
      <c r="G18" s="1393"/>
      <c r="H18" s="1393"/>
      <c r="I18" s="1393"/>
      <c r="J18" s="1393"/>
      <c r="K18" s="1393"/>
      <c r="L18" s="1407"/>
      <c r="M18" s="1393"/>
    </row>
    <row r="19" spans="1:154" s="105" customFormat="1" ht="18.75">
      <c r="A19" s="646" t="s">
        <v>985</v>
      </c>
      <c r="B19" s="647" t="s">
        <v>445</v>
      </c>
      <c r="C19" s="648">
        <f>+C26</f>
        <v>16011400</v>
      </c>
      <c r="D19" s="648">
        <f t="shared" ref="D19:K19" si="0">+D26</f>
        <v>7327200</v>
      </c>
      <c r="E19" s="648">
        <f t="shared" si="0"/>
        <v>1016500</v>
      </c>
      <c r="F19" s="649">
        <f>+G19+J19</f>
        <v>3631400</v>
      </c>
      <c r="G19" s="648">
        <f t="shared" si="0"/>
        <v>2034000</v>
      </c>
      <c r="H19" s="648"/>
      <c r="I19" s="648">
        <f t="shared" si="0"/>
        <v>1264000</v>
      </c>
      <c r="J19" s="648">
        <f t="shared" si="0"/>
        <v>1597400</v>
      </c>
      <c r="K19" s="648">
        <f t="shared" si="0"/>
        <v>1597400</v>
      </c>
      <c r="L19" s="648">
        <f>+L26</f>
        <v>1597400</v>
      </c>
      <c r="M19" s="648">
        <f>+C19+F19</f>
        <v>19642800</v>
      </c>
      <c r="N19" s="298">
        <f t="shared" ref="N19:N26" si="1">+M19</f>
        <v>19642800</v>
      </c>
      <c r="O19" s="104">
        <f>+M19</f>
        <v>19642800</v>
      </c>
      <c r="P19" s="96">
        <v>1</v>
      </c>
      <c r="Q19" s="96"/>
      <c r="R19" s="16"/>
      <c r="S19" s="16"/>
      <c r="T19" s="16" t="s">
        <v>332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</row>
    <row r="20" spans="1:154" s="105" customFormat="1" ht="18.75" hidden="1">
      <c r="A20" s="227"/>
      <c r="B20" s="233" t="s">
        <v>747</v>
      </c>
      <c r="C20" s="228"/>
      <c r="D20" s="228"/>
      <c r="E20" s="228"/>
      <c r="F20" s="348"/>
      <c r="G20" s="228"/>
      <c r="H20" s="228"/>
      <c r="I20" s="228"/>
      <c r="J20" s="228"/>
      <c r="K20" s="228"/>
      <c r="L20" s="228"/>
      <c r="M20" s="228"/>
      <c r="N20" s="298"/>
      <c r="O20" s="104"/>
      <c r="P20" s="96"/>
      <c r="Q20" s="9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</row>
    <row r="21" spans="1:154" s="105" customFormat="1" ht="37.5" hidden="1">
      <c r="A21" s="227"/>
      <c r="B21" s="438" t="s">
        <v>1021</v>
      </c>
      <c r="C21" s="228"/>
      <c r="D21" s="228"/>
      <c r="E21" s="228"/>
      <c r="F21" s="270">
        <f t="shared" ref="F21:F89" si="2">+G21+J21</f>
        <v>0</v>
      </c>
      <c r="G21" s="228"/>
      <c r="H21" s="228"/>
      <c r="I21" s="228"/>
      <c r="J21" s="228"/>
      <c r="K21" s="228"/>
      <c r="L21" s="228"/>
      <c r="M21" s="239">
        <f t="shared" ref="M21:M88" si="3">+C21+F21</f>
        <v>0</v>
      </c>
      <c r="N21" s="298"/>
      <c r="O21" s="14">
        <f t="shared" ref="O21:O89" si="4">+M21</f>
        <v>0</v>
      </c>
      <c r="P21" s="96"/>
      <c r="Q21" s="9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</row>
    <row r="22" spans="1:154" s="35" customFormat="1" ht="18.75" hidden="1" outlineLevel="1">
      <c r="A22" s="245">
        <v>10100</v>
      </c>
      <c r="B22" s="253" t="s">
        <v>446</v>
      </c>
      <c r="C22" s="270">
        <f>+C23+C24+C25+C26</f>
        <v>16011400</v>
      </c>
      <c r="D22" s="270">
        <f>+D23+D24+D25+D26</f>
        <v>7327200</v>
      </c>
      <c r="E22" s="270">
        <f>+E23+E24+E25+E26</f>
        <v>1016500</v>
      </c>
      <c r="F22" s="270">
        <f t="shared" si="2"/>
        <v>3631400</v>
      </c>
      <c r="G22" s="270">
        <f t="shared" ref="G22:L22" si="5">+G23+G24+G25+G26</f>
        <v>2034000</v>
      </c>
      <c r="H22" s="270">
        <f t="shared" si="5"/>
        <v>0</v>
      </c>
      <c r="I22" s="270">
        <f t="shared" si="5"/>
        <v>1264000</v>
      </c>
      <c r="J22" s="270">
        <f t="shared" si="5"/>
        <v>1597400</v>
      </c>
      <c r="K22" s="270">
        <f t="shared" si="5"/>
        <v>1597400</v>
      </c>
      <c r="L22" s="270">
        <f t="shared" si="5"/>
        <v>1597400</v>
      </c>
      <c r="M22" s="387">
        <f t="shared" si="3"/>
        <v>19642800</v>
      </c>
      <c r="N22" s="3">
        <f t="shared" si="1"/>
        <v>19642800</v>
      </c>
      <c r="O22" s="14"/>
    </row>
    <row r="23" spans="1:154" customFormat="1" ht="37.5" hidden="1">
      <c r="A23" s="392">
        <v>10105</v>
      </c>
      <c r="B23" s="246" t="s">
        <v>447</v>
      </c>
      <c r="C23" s="254"/>
      <c r="D23" s="254"/>
      <c r="E23" s="254"/>
      <c r="F23" s="254">
        <f t="shared" si="2"/>
        <v>0</v>
      </c>
      <c r="G23" s="254"/>
      <c r="H23" s="254"/>
      <c r="I23" s="254"/>
      <c r="J23" s="254"/>
      <c r="K23" s="254"/>
      <c r="L23" s="254"/>
      <c r="M23" s="251">
        <f t="shared" si="3"/>
        <v>0</v>
      </c>
      <c r="N23" s="3">
        <f t="shared" si="1"/>
        <v>0</v>
      </c>
      <c r="O23" s="14">
        <f t="shared" si="4"/>
        <v>0</v>
      </c>
    </row>
    <row r="24" spans="1:154" customFormat="1" ht="37.5" hidden="1">
      <c r="A24" s="392">
        <v>10114</v>
      </c>
      <c r="B24" s="246" t="s">
        <v>448</v>
      </c>
      <c r="C24" s="254"/>
      <c r="D24" s="254"/>
      <c r="E24" s="254"/>
      <c r="F24" s="254">
        <f t="shared" si="2"/>
        <v>0</v>
      </c>
      <c r="G24" s="254"/>
      <c r="H24" s="254"/>
      <c r="I24" s="254"/>
      <c r="J24" s="254"/>
      <c r="K24" s="254"/>
      <c r="L24" s="254"/>
      <c r="M24" s="251">
        <f t="shared" si="3"/>
        <v>0</v>
      </c>
      <c r="N24" s="3">
        <f t="shared" si="1"/>
        <v>0</v>
      </c>
      <c r="O24" s="14">
        <f t="shared" si="4"/>
        <v>0</v>
      </c>
    </row>
    <row r="25" spans="1:154" customFormat="1" ht="18.75" hidden="1">
      <c r="A25" s="392">
        <v>10115</v>
      </c>
      <c r="B25" s="393" t="s">
        <v>1194</v>
      </c>
      <c r="C25" s="394"/>
      <c r="D25" s="394"/>
      <c r="E25" s="394"/>
      <c r="F25" s="254">
        <f t="shared" si="2"/>
        <v>0</v>
      </c>
      <c r="G25" s="394"/>
      <c r="H25" s="394"/>
      <c r="I25" s="394"/>
      <c r="J25" s="394"/>
      <c r="K25" s="394"/>
      <c r="L25" s="394"/>
      <c r="M25" s="251">
        <f t="shared" si="3"/>
        <v>0</v>
      </c>
      <c r="N25" s="3">
        <f t="shared" si="1"/>
        <v>0</v>
      </c>
      <c r="O25" s="14">
        <f t="shared" si="4"/>
        <v>0</v>
      </c>
    </row>
    <row r="26" spans="1:154" ht="18.75">
      <c r="A26" s="650" t="s">
        <v>1623</v>
      </c>
      <c r="B26" s="292" t="s">
        <v>1195</v>
      </c>
      <c r="C26" s="651">
        <f>15504700+506700</f>
        <v>16011400</v>
      </c>
      <c r="D26" s="651">
        <f>7227200+100000</f>
        <v>7327200</v>
      </c>
      <c r="E26" s="651">
        <f>1016500-101200+101200</f>
        <v>1016500</v>
      </c>
      <c r="F26" s="651">
        <f t="shared" si="2"/>
        <v>3631400</v>
      </c>
      <c r="G26" s="651">
        <v>2034000</v>
      </c>
      <c r="H26" s="651"/>
      <c r="I26" s="651">
        <v>1264000</v>
      </c>
      <c r="J26" s="651">
        <f>493900+1103500</f>
        <v>1597400</v>
      </c>
      <c r="K26" s="651">
        <f>+J26</f>
        <v>1597400</v>
      </c>
      <c r="L26" s="651">
        <f>+K26</f>
        <v>1597400</v>
      </c>
      <c r="M26" s="648">
        <f t="shared" si="3"/>
        <v>19642800</v>
      </c>
      <c r="N26" s="3">
        <f t="shared" si="1"/>
        <v>19642800</v>
      </c>
      <c r="O26" s="14">
        <f t="shared" si="4"/>
        <v>19642800</v>
      </c>
      <c r="P26" s="54">
        <v>1</v>
      </c>
    </row>
    <row r="27" spans="1:154" ht="18.75" hidden="1">
      <c r="A27" s="229"/>
      <c r="B27" s="233" t="s">
        <v>984</v>
      </c>
      <c r="C27" s="232"/>
      <c r="D27" s="232"/>
      <c r="E27" s="232"/>
      <c r="F27" s="231">
        <f t="shared" si="2"/>
        <v>0</v>
      </c>
      <c r="G27" s="231"/>
      <c r="H27" s="231"/>
      <c r="I27" s="231"/>
      <c r="J27" s="231"/>
      <c r="K27" s="231"/>
      <c r="L27" s="231"/>
      <c r="M27" s="228">
        <f t="shared" si="3"/>
        <v>0</v>
      </c>
      <c r="N27" s="3"/>
      <c r="O27" s="14">
        <f t="shared" si="4"/>
        <v>0</v>
      </c>
    </row>
    <row r="28" spans="1:154" ht="18.75" hidden="1">
      <c r="A28" s="229"/>
      <c r="B28" s="233" t="s">
        <v>1026</v>
      </c>
      <c r="C28" s="232"/>
      <c r="D28" s="232"/>
      <c r="E28" s="232"/>
      <c r="F28" s="231">
        <f t="shared" si="2"/>
        <v>0</v>
      </c>
      <c r="G28" s="231"/>
      <c r="H28" s="231"/>
      <c r="I28" s="231"/>
      <c r="J28" s="231"/>
      <c r="K28" s="231"/>
      <c r="L28" s="231"/>
      <c r="M28" s="228">
        <f t="shared" si="3"/>
        <v>0</v>
      </c>
      <c r="N28" s="3">
        <f t="shared" ref="N28:N39" si="6">+M28</f>
        <v>0</v>
      </c>
      <c r="O28" s="14">
        <f t="shared" si="4"/>
        <v>0</v>
      </c>
    </row>
    <row r="29" spans="1:154" customFormat="1" ht="18.75" hidden="1" outlineLevel="1">
      <c r="A29" s="395">
        <v>50000</v>
      </c>
      <c r="B29" s="396" t="s">
        <v>1196</v>
      </c>
      <c r="C29" s="394"/>
      <c r="D29" s="394"/>
      <c r="E29" s="394"/>
      <c r="F29" s="254">
        <f t="shared" si="2"/>
        <v>0</v>
      </c>
      <c r="G29" s="394"/>
      <c r="H29" s="394"/>
      <c r="I29" s="394"/>
      <c r="J29" s="394"/>
      <c r="K29" s="394"/>
      <c r="L29" s="394"/>
      <c r="M29" s="251">
        <f t="shared" si="3"/>
        <v>0</v>
      </c>
      <c r="N29" s="3">
        <f t="shared" si="6"/>
        <v>0</v>
      </c>
      <c r="O29" s="14">
        <f t="shared" si="4"/>
        <v>0</v>
      </c>
    </row>
    <row r="30" spans="1:154" customFormat="1" ht="37.5" hidden="1" outlineLevel="1">
      <c r="A30" s="395">
        <v>60000</v>
      </c>
      <c r="B30" s="396" t="s">
        <v>942</v>
      </c>
      <c r="C30" s="254">
        <f>+C31+C32+C33+C34+C35+C36+C37</f>
        <v>0</v>
      </c>
      <c r="D30" s="254">
        <f>+D31+D32+D33+D34+D35+D36+D37</f>
        <v>0</v>
      </c>
      <c r="E30" s="254">
        <f>+E31+E32+E33+E34+E35+E36+E37</f>
        <v>0</v>
      </c>
      <c r="F30" s="254">
        <f t="shared" si="2"/>
        <v>0</v>
      </c>
      <c r="G30" s="254">
        <f t="shared" ref="G30:L30" si="7">+G31+G32+G33+G34+G35+G36+G37</f>
        <v>0</v>
      </c>
      <c r="H30" s="254">
        <f t="shared" si="7"/>
        <v>0</v>
      </c>
      <c r="I30" s="254">
        <f t="shared" si="7"/>
        <v>0</v>
      </c>
      <c r="J30" s="254">
        <f t="shared" si="7"/>
        <v>0</v>
      </c>
      <c r="K30" s="254">
        <f t="shared" si="7"/>
        <v>0</v>
      </c>
      <c r="L30" s="254">
        <f t="shared" si="7"/>
        <v>0</v>
      </c>
      <c r="M30" s="251">
        <f t="shared" si="3"/>
        <v>0</v>
      </c>
      <c r="N30" s="3">
        <f t="shared" si="6"/>
        <v>0</v>
      </c>
      <c r="O30" s="14">
        <f t="shared" si="4"/>
        <v>0</v>
      </c>
    </row>
    <row r="31" spans="1:154" customFormat="1" ht="37.5" hidden="1" outlineLevel="1">
      <c r="A31" s="392">
        <v>60103</v>
      </c>
      <c r="B31" s="246" t="s">
        <v>1595</v>
      </c>
      <c r="C31" s="254">
        <f>5738.6-5738.6</f>
        <v>0</v>
      </c>
      <c r="D31" s="254">
        <f>5738.6-5738.6</f>
        <v>0</v>
      </c>
      <c r="E31" s="254">
        <f>137-137</f>
        <v>0</v>
      </c>
      <c r="F31" s="254">
        <f t="shared" si="2"/>
        <v>0</v>
      </c>
      <c r="G31" s="254"/>
      <c r="H31" s="254"/>
      <c r="I31" s="254"/>
      <c r="J31" s="254"/>
      <c r="K31" s="254"/>
      <c r="L31" s="254"/>
      <c r="M31" s="251">
        <f t="shared" si="3"/>
        <v>0</v>
      </c>
      <c r="N31" s="3">
        <f t="shared" si="6"/>
        <v>0</v>
      </c>
      <c r="O31" s="14">
        <f t="shared" si="4"/>
        <v>0</v>
      </c>
    </row>
    <row r="32" spans="1:154" customFormat="1" ht="37.5" hidden="1" outlineLevel="1">
      <c r="A32" s="392">
        <v>60106</v>
      </c>
      <c r="B32" s="246" t="s">
        <v>343</v>
      </c>
      <c r="C32" s="254">
        <f>148+138.1-286.1</f>
        <v>0</v>
      </c>
      <c r="D32" s="254">
        <f>148+138.1-286.1</f>
        <v>0</v>
      </c>
      <c r="E32" s="254">
        <f>11.5+16-27.5</f>
        <v>0</v>
      </c>
      <c r="F32" s="254">
        <f t="shared" si="2"/>
        <v>0</v>
      </c>
      <c r="G32" s="254"/>
      <c r="H32" s="254"/>
      <c r="I32" s="254"/>
      <c r="J32" s="254"/>
      <c r="K32" s="254"/>
      <c r="L32" s="254"/>
      <c r="M32" s="251">
        <f t="shared" si="3"/>
        <v>0</v>
      </c>
      <c r="N32" s="3">
        <f t="shared" si="6"/>
        <v>0</v>
      </c>
      <c r="O32" s="14">
        <f t="shared" si="4"/>
        <v>0</v>
      </c>
    </row>
    <row r="33" spans="1:16" customFormat="1" ht="18.75" hidden="1" outlineLevel="1">
      <c r="A33" s="392">
        <v>60107</v>
      </c>
      <c r="B33" s="246" t="s">
        <v>1515</v>
      </c>
      <c r="C33" s="254">
        <f>273.6+151-424.6</f>
        <v>0</v>
      </c>
      <c r="D33" s="254">
        <f>273.6+151-424.6</f>
        <v>0</v>
      </c>
      <c r="E33" s="254">
        <f>3+14.5-17.5</f>
        <v>0</v>
      </c>
      <c r="F33" s="254">
        <f t="shared" si="2"/>
        <v>0</v>
      </c>
      <c r="G33" s="254"/>
      <c r="H33" s="254"/>
      <c r="I33" s="254"/>
      <c r="J33" s="254"/>
      <c r="K33" s="254"/>
      <c r="L33" s="254"/>
      <c r="M33" s="251">
        <f t="shared" si="3"/>
        <v>0</v>
      </c>
      <c r="N33" s="3">
        <f t="shared" si="6"/>
        <v>0</v>
      </c>
      <c r="O33" s="14">
        <f t="shared" si="4"/>
        <v>0</v>
      </c>
    </row>
    <row r="34" spans="1:16" customFormat="1" ht="18.75" hidden="1" outlineLevel="1">
      <c r="A34" s="392">
        <v>60702</v>
      </c>
      <c r="B34" s="246" t="s">
        <v>1516</v>
      </c>
      <c r="C34" s="254"/>
      <c r="D34" s="254"/>
      <c r="E34" s="254"/>
      <c r="F34" s="254">
        <f t="shared" si="2"/>
        <v>0</v>
      </c>
      <c r="G34" s="254"/>
      <c r="H34" s="254"/>
      <c r="I34" s="254"/>
      <c r="J34" s="254"/>
      <c r="K34" s="254"/>
      <c r="L34" s="254"/>
      <c r="M34" s="251">
        <f t="shared" si="3"/>
        <v>0</v>
      </c>
      <c r="N34" s="3">
        <f t="shared" si="6"/>
        <v>0</v>
      </c>
      <c r="O34" s="14">
        <f t="shared" si="4"/>
        <v>0</v>
      </c>
    </row>
    <row r="35" spans="1:16" customFormat="1" ht="37.5" hidden="1" outlineLevel="1">
      <c r="A35" s="392">
        <v>61002</v>
      </c>
      <c r="B35" s="246" t="s">
        <v>1517</v>
      </c>
      <c r="C35" s="254"/>
      <c r="D35" s="254"/>
      <c r="E35" s="254"/>
      <c r="F35" s="254">
        <f t="shared" si="2"/>
        <v>0</v>
      </c>
      <c r="G35" s="254"/>
      <c r="H35" s="254"/>
      <c r="I35" s="254"/>
      <c r="J35" s="254"/>
      <c r="K35" s="254"/>
      <c r="L35" s="254"/>
      <c r="M35" s="251">
        <f t="shared" si="3"/>
        <v>0</v>
      </c>
      <c r="N35" s="3">
        <f t="shared" si="6"/>
        <v>0</v>
      </c>
      <c r="O35" s="14">
        <f t="shared" si="4"/>
        <v>0</v>
      </c>
    </row>
    <row r="36" spans="1:16" customFormat="1" ht="18.75" hidden="1" outlineLevel="1">
      <c r="A36" s="392">
        <v>61003</v>
      </c>
      <c r="B36" s="246" t="s">
        <v>1238</v>
      </c>
      <c r="C36" s="254"/>
      <c r="D36" s="254"/>
      <c r="E36" s="254"/>
      <c r="F36" s="254">
        <f t="shared" si="2"/>
        <v>0</v>
      </c>
      <c r="G36" s="254"/>
      <c r="H36" s="254"/>
      <c r="I36" s="254"/>
      <c r="J36" s="254"/>
      <c r="K36" s="254"/>
      <c r="L36" s="254"/>
      <c r="M36" s="251">
        <f t="shared" si="3"/>
        <v>0</v>
      </c>
      <c r="N36" s="3">
        <f t="shared" si="6"/>
        <v>0</v>
      </c>
      <c r="O36" s="14">
        <f t="shared" si="4"/>
        <v>0</v>
      </c>
    </row>
    <row r="37" spans="1:16" customFormat="1" ht="18.75" hidden="1" outlineLevel="1">
      <c r="A37" s="392">
        <v>61007</v>
      </c>
      <c r="B37" s="246" t="s">
        <v>966</v>
      </c>
      <c r="C37" s="254"/>
      <c r="D37" s="254"/>
      <c r="E37" s="254"/>
      <c r="F37" s="254">
        <f t="shared" si="2"/>
        <v>0</v>
      </c>
      <c r="G37" s="254"/>
      <c r="H37" s="254"/>
      <c r="I37" s="254"/>
      <c r="J37" s="254"/>
      <c r="K37" s="254"/>
      <c r="L37" s="254"/>
      <c r="M37" s="251">
        <f t="shared" si="3"/>
        <v>0</v>
      </c>
      <c r="N37" s="3">
        <f t="shared" si="6"/>
        <v>0</v>
      </c>
      <c r="O37" s="14">
        <f t="shared" si="4"/>
        <v>0</v>
      </c>
    </row>
    <row r="38" spans="1:16" s="1" customFormat="1" ht="37.5" hidden="1">
      <c r="A38" s="397">
        <v>60000</v>
      </c>
      <c r="B38" s="398" t="s">
        <v>1518</v>
      </c>
      <c r="C38" s="289"/>
      <c r="D38" s="289"/>
      <c r="E38" s="288"/>
      <c r="F38" s="247">
        <f t="shared" si="2"/>
        <v>0</v>
      </c>
      <c r="G38" s="289">
        <f>361.9-361.9</f>
        <v>0</v>
      </c>
      <c r="H38" s="288"/>
      <c r="I38" s="289"/>
      <c r="J38" s="289">
        <f>8-8</f>
        <v>0</v>
      </c>
      <c r="K38" s="289"/>
      <c r="L38" s="289">
        <f>8-8</f>
        <v>0</v>
      </c>
      <c r="M38" s="251">
        <f t="shared" si="3"/>
        <v>0</v>
      </c>
      <c r="N38" s="3">
        <f t="shared" si="6"/>
        <v>0</v>
      </c>
      <c r="O38" s="14">
        <f t="shared" si="4"/>
        <v>0</v>
      </c>
      <c r="P38" s="84">
        <v>1</v>
      </c>
    </row>
    <row r="39" spans="1:16" ht="18.75">
      <c r="A39" s="646" t="s">
        <v>986</v>
      </c>
      <c r="B39" s="647" t="s">
        <v>1519</v>
      </c>
      <c r="C39" s="648">
        <f>SUM(C40:C69)-C41-C42-C43-C44</f>
        <v>789851584</v>
      </c>
      <c r="D39" s="648">
        <f>SUM(D40:D69)-D41-D42-D43-D44</f>
        <v>302146600</v>
      </c>
      <c r="E39" s="648">
        <f>SUM(E40:E69)-E41-E42-E43-E44</f>
        <v>49812900</v>
      </c>
      <c r="F39" s="648">
        <f t="shared" si="2"/>
        <v>49989200</v>
      </c>
      <c r="G39" s="648">
        <f t="shared" ref="G39:L39" si="8">SUM(G40:G69)-G41-G42-G43-G44</f>
        <v>33354200</v>
      </c>
      <c r="H39" s="648">
        <f t="shared" si="8"/>
        <v>4894600</v>
      </c>
      <c r="I39" s="648">
        <f t="shared" si="8"/>
        <v>1349000</v>
      </c>
      <c r="J39" s="648">
        <f t="shared" si="8"/>
        <v>16635000</v>
      </c>
      <c r="K39" s="648">
        <f t="shared" si="8"/>
        <v>14580000</v>
      </c>
      <c r="L39" s="648">
        <f t="shared" si="8"/>
        <v>14580000</v>
      </c>
      <c r="M39" s="648">
        <f t="shared" si="3"/>
        <v>839840784</v>
      </c>
      <c r="N39" s="3">
        <f t="shared" si="6"/>
        <v>839840784</v>
      </c>
      <c r="O39" s="14">
        <f t="shared" si="4"/>
        <v>839840784</v>
      </c>
      <c r="P39" s="54">
        <v>1</v>
      </c>
    </row>
    <row r="40" spans="1:16" ht="18.75" hidden="1">
      <c r="A40" s="227"/>
      <c r="B40" s="233" t="s">
        <v>747</v>
      </c>
      <c r="C40" s="231"/>
      <c r="D40" s="231"/>
      <c r="E40" s="231"/>
      <c r="F40" s="231">
        <f t="shared" si="2"/>
        <v>0</v>
      </c>
      <c r="G40" s="231"/>
      <c r="H40" s="231"/>
      <c r="I40" s="231"/>
      <c r="J40" s="231"/>
      <c r="K40" s="231"/>
      <c r="L40" s="231"/>
      <c r="M40" s="228">
        <f t="shared" si="3"/>
        <v>0</v>
      </c>
      <c r="N40" s="3"/>
      <c r="O40" s="14"/>
    </row>
    <row r="41" spans="1:16" ht="18.75" hidden="1">
      <c r="A41" s="227"/>
      <c r="B41" s="438" t="s">
        <v>527</v>
      </c>
      <c r="C41" s="231"/>
      <c r="D41" s="231"/>
      <c r="E41" s="231"/>
      <c r="F41" s="231">
        <f t="shared" si="2"/>
        <v>0</v>
      </c>
      <c r="G41" s="231"/>
      <c r="H41" s="231"/>
      <c r="I41" s="231"/>
      <c r="J41" s="231"/>
      <c r="K41" s="231"/>
      <c r="L41" s="231"/>
      <c r="M41" s="228">
        <f t="shared" si="3"/>
        <v>0</v>
      </c>
      <c r="N41" s="3"/>
      <c r="O41" s="14"/>
    </row>
    <row r="42" spans="1:16" ht="18.75" hidden="1">
      <c r="A42" s="227"/>
      <c r="B42" s="269" t="s">
        <v>1073</v>
      </c>
      <c r="C42" s="231"/>
      <c r="D42" s="231"/>
      <c r="E42" s="231"/>
      <c r="F42" s="231">
        <f t="shared" si="2"/>
        <v>0</v>
      </c>
      <c r="G42" s="231"/>
      <c r="H42" s="231"/>
      <c r="I42" s="231"/>
      <c r="J42" s="231"/>
      <c r="K42" s="231"/>
      <c r="L42" s="231"/>
      <c r="M42" s="228">
        <f t="shared" si="3"/>
        <v>0</v>
      </c>
      <c r="N42" s="3"/>
      <c r="O42" s="14"/>
    </row>
    <row r="43" spans="1:16" ht="37.5" hidden="1">
      <c r="A43" s="227"/>
      <c r="B43" s="438" t="s">
        <v>1021</v>
      </c>
      <c r="C43" s="231"/>
      <c r="D43" s="231"/>
      <c r="E43" s="231"/>
      <c r="F43" s="231">
        <f t="shared" si="2"/>
        <v>0</v>
      </c>
      <c r="G43" s="231"/>
      <c r="H43" s="231"/>
      <c r="I43" s="231"/>
      <c r="J43" s="231"/>
      <c r="K43" s="231"/>
      <c r="L43" s="231"/>
      <c r="M43" s="228">
        <f t="shared" si="3"/>
        <v>0</v>
      </c>
      <c r="N43" s="3"/>
      <c r="O43" s="14"/>
    </row>
    <row r="44" spans="1:16" ht="18.75" hidden="1">
      <c r="A44" s="227"/>
      <c r="B44" s="233" t="s">
        <v>754</v>
      </c>
      <c r="C44" s="231"/>
      <c r="D44" s="231"/>
      <c r="E44" s="231"/>
      <c r="F44" s="231">
        <f t="shared" si="2"/>
        <v>0</v>
      </c>
      <c r="G44" s="231"/>
      <c r="H44" s="231"/>
      <c r="I44" s="231"/>
      <c r="J44" s="231"/>
      <c r="K44" s="231"/>
      <c r="L44" s="231"/>
      <c r="M44" s="228">
        <f t="shared" si="3"/>
        <v>0</v>
      </c>
      <c r="N44" s="3"/>
      <c r="O44" s="14">
        <f t="shared" si="4"/>
        <v>0</v>
      </c>
    </row>
    <row r="45" spans="1:16" ht="18.75" hidden="1">
      <c r="A45" s="255">
        <v>70101</v>
      </c>
      <c r="B45" s="233" t="s">
        <v>1215</v>
      </c>
      <c r="C45" s="231"/>
      <c r="D45" s="231"/>
      <c r="E45" s="231"/>
      <c r="F45" s="231">
        <f t="shared" si="2"/>
        <v>0</v>
      </c>
      <c r="G45" s="231"/>
      <c r="H45" s="231"/>
      <c r="I45" s="231"/>
      <c r="J45" s="231"/>
      <c r="K45" s="231"/>
      <c r="L45" s="231"/>
      <c r="M45" s="228">
        <f t="shared" si="3"/>
        <v>0</v>
      </c>
      <c r="N45" s="3"/>
      <c r="O45" s="14">
        <f t="shared" si="4"/>
        <v>0</v>
      </c>
    </row>
    <row r="46" spans="1:16" ht="56.25" hidden="1">
      <c r="A46" s="255">
        <v>70201</v>
      </c>
      <c r="B46" s="233" t="s">
        <v>1216</v>
      </c>
      <c r="C46" s="231"/>
      <c r="D46" s="231"/>
      <c r="E46" s="231"/>
      <c r="F46" s="231">
        <f t="shared" si="2"/>
        <v>0</v>
      </c>
      <c r="G46" s="231"/>
      <c r="H46" s="231"/>
      <c r="I46" s="231"/>
      <c r="J46" s="231"/>
      <c r="K46" s="231"/>
      <c r="L46" s="231"/>
      <c r="M46" s="228">
        <f t="shared" si="3"/>
        <v>0</v>
      </c>
      <c r="N46" s="3"/>
      <c r="O46" s="14">
        <f t="shared" si="4"/>
        <v>0</v>
      </c>
    </row>
    <row r="47" spans="1:16" ht="18.75" hidden="1">
      <c r="A47" s="255">
        <v>70202</v>
      </c>
      <c r="B47" s="233" t="s">
        <v>1217</v>
      </c>
      <c r="C47" s="231"/>
      <c r="D47" s="231"/>
      <c r="E47" s="231"/>
      <c r="F47" s="231">
        <f t="shared" si="2"/>
        <v>0</v>
      </c>
      <c r="G47" s="231"/>
      <c r="H47" s="231"/>
      <c r="I47" s="231"/>
      <c r="J47" s="231"/>
      <c r="K47" s="231"/>
      <c r="L47" s="231"/>
      <c r="M47" s="228">
        <f t="shared" si="3"/>
        <v>0</v>
      </c>
      <c r="N47" s="3"/>
      <c r="O47" s="14">
        <f t="shared" si="4"/>
        <v>0</v>
      </c>
    </row>
    <row r="48" spans="1:16" ht="37.5">
      <c r="A48" s="650" t="s">
        <v>1600</v>
      </c>
      <c r="B48" s="292" t="s">
        <v>376</v>
      </c>
      <c r="C48" s="651">
        <v>36773100</v>
      </c>
      <c r="D48" s="651">
        <v>16862100</v>
      </c>
      <c r="E48" s="651">
        <v>3966200</v>
      </c>
      <c r="F48" s="651">
        <f t="shared" si="2"/>
        <v>483700</v>
      </c>
      <c r="G48" s="651">
        <v>54700</v>
      </c>
      <c r="H48" s="651"/>
      <c r="I48" s="651">
        <v>9000</v>
      </c>
      <c r="J48" s="651">
        <f>1339000-30000-880000</f>
        <v>429000</v>
      </c>
      <c r="K48" s="651">
        <f>1339000-30000-880000</f>
        <v>429000</v>
      </c>
      <c r="L48" s="651">
        <f>1339000-30000-880000</f>
        <v>429000</v>
      </c>
      <c r="M48" s="648">
        <f t="shared" si="3"/>
        <v>37256800</v>
      </c>
      <c r="N48" s="3"/>
      <c r="O48" s="14">
        <f t="shared" si="4"/>
        <v>37256800</v>
      </c>
    </row>
    <row r="49" spans="1:15" ht="37.5">
      <c r="A49" s="650" t="s">
        <v>1601</v>
      </c>
      <c r="B49" s="292" t="s">
        <v>1218</v>
      </c>
      <c r="C49" s="651">
        <v>8973000</v>
      </c>
      <c r="D49" s="651">
        <v>3953800</v>
      </c>
      <c r="E49" s="651">
        <v>939100</v>
      </c>
      <c r="F49" s="651">
        <f t="shared" si="2"/>
        <v>210000</v>
      </c>
      <c r="G49" s="651">
        <v>8000</v>
      </c>
      <c r="H49" s="651"/>
      <c r="I49" s="651"/>
      <c r="J49" s="651">
        <f>330000-128000</f>
        <v>202000</v>
      </c>
      <c r="K49" s="651">
        <f>330000-128000</f>
        <v>202000</v>
      </c>
      <c r="L49" s="651">
        <f>330000-128000</f>
        <v>202000</v>
      </c>
      <c r="M49" s="648">
        <f t="shared" si="3"/>
        <v>9183000</v>
      </c>
      <c r="N49" s="3"/>
      <c r="O49" s="14">
        <f t="shared" si="4"/>
        <v>9183000</v>
      </c>
    </row>
    <row r="50" spans="1:15" ht="37.5" hidden="1">
      <c r="A50" s="255">
        <v>70303</v>
      </c>
      <c r="B50" s="233" t="s">
        <v>187</v>
      </c>
      <c r="C50" s="231"/>
      <c r="D50" s="231"/>
      <c r="E50" s="231"/>
      <c r="F50" s="231">
        <f t="shared" si="2"/>
        <v>0</v>
      </c>
      <c r="G50" s="231"/>
      <c r="H50" s="231"/>
      <c r="I50" s="231"/>
      <c r="J50" s="231"/>
      <c r="K50" s="231"/>
      <c r="L50" s="231"/>
      <c r="M50" s="228">
        <f t="shared" si="3"/>
        <v>0</v>
      </c>
      <c r="N50" s="3"/>
      <c r="O50" s="14">
        <f t="shared" si="4"/>
        <v>0</v>
      </c>
    </row>
    <row r="51" spans="1:15" ht="56.25">
      <c r="A51" s="650" t="s">
        <v>1602</v>
      </c>
      <c r="B51" s="292" t="s">
        <v>725</v>
      </c>
      <c r="C51" s="651">
        <f>134855200+634100</f>
        <v>135489300</v>
      </c>
      <c r="D51" s="651">
        <v>74502400</v>
      </c>
      <c r="E51" s="651">
        <v>8646400</v>
      </c>
      <c r="F51" s="651">
        <f t="shared" si="2"/>
        <v>1943400</v>
      </c>
      <c r="G51" s="651">
        <v>56900</v>
      </c>
      <c r="H51" s="651"/>
      <c r="I51" s="651">
        <v>2300</v>
      </c>
      <c r="J51" s="651">
        <f>2900500+1020000-2034000</f>
        <v>1886500</v>
      </c>
      <c r="K51" s="651">
        <f>2900500+1020000-2034000</f>
        <v>1886500</v>
      </c>
      <c r="L51" s="651">
        <f>+K51</f>
        <v>1886500</v>
      </c>
      <c r="M51" s="648">
        <f t="shared" si="3"/>
        <v>137432700</v>
      </c>
      <c r="N51" s="3"/>
      <c r="O51" s="14">
        <f t="shared" si="4"/>
        <v>137432700</v>
      </c>
    </row>
    <row r="52" spans="1:15" ht="112.5">
      <c r="A52" s="650" t="s">
        <v>1589</v>
      </c>
      <c r="B52" s="292" t="s">
        <v>741</v>
      </c>
      <c r="C52" s="651">
        <f>18647700+240100</f>
        <v>18887800</v>
      </c>
      <c r="D52" s="651">
        <v>7721100</v>
      </c>
      <c r="E52" s="651">
        <v>1464100</v>
      </c>
      <c r="F52" s="651">
        <f t="shared" si="2"/>
        <v>348000</v>
      </c>
      <c r="G52" s="651"/>
      <c r="H52" s="651"/>
      <c r="I52" s="651"/>
      <c r="J52" s="651">
        <f>418000-70000</f>
        <v>348000</v>
      </c>
      <c r="K52" s="651">
        <f>+J52</f>
        <v>348000</v>
      </c>
      <c r="L52" s="651">
        <f>+K52</f>
        <v>348000</v>
      </c>
      <c r="M52" s="648">
        <f t="shared" si="3"/>
        <v>19235800</v>
      </c>
      <c r="N52" s="3"/>
      <c r="O52" s="14">
        <f t="shared" si="4"/>
        <v>19235800</v>
      </c>
    </row>
    <row r="53" spans="1:15" ht="37.5">
      <c r="A53" s="650" t="s">
        <v>1603</v>
      </c>
      <c r="B53" s="292" t="s">
        <v>480</v>
      </c>
      <c r="C53" s="651">
        <f>9167300+717900+18200</f>
        <v>9903400</v>
      </c>
      <c r="D53" s="651">
        <f>4931400+454700</f>
        <v>5386100</v>
      </c>
      <c r="E53" s="651">
        <f>344500+77600</f>
        <v>422100</v>
      </c>
      <c r="F53" s="651">
        <f t="shared" si="2"/>
        <v>918500</v>
      </c>
      <c r="G53" s="651">
        <f>647000+18100</f>
        <v>665100</v>
      </c>
      <c r="H53" s="651">
        <v>326800</v>
      </c>
      <c r="I53" s="651">
        <v>29900</v>
      </c>
      <c r="J53" s="651">
        <f>131000+22400+100000</f>
        <v>253400</v>
      </c>
      <c r="K53" s="651">
        <f>131000+15000+100000</f>
        <v>246000</v>
      </c>
      <c r="L53" s="651">
        <f>+K53</f>
        <v>246000</v>
      </c>
      <c r="M53" s="648">
        <f t="shared" si="3"/>
        <v>10821900</v>
      </c>
      <c r="N53" s="3"/>
      <c r="O53" s="14">
        <f t="shared" si="4"/>
        <v>10821900</v>
      </c>
    </row>
    <row r="54" spans="1:15" ht="18.75">
      <c r="A54" s="650" t="s">
        <v>590</v>
      </c>
      <c r="B54" s="292" t="s">
        <v>204</v>
      </c>
      <c r="C54" s="651">
        <v>411085500</v>
      </c>
      <c r="D54" s="651">
        <v>190582800</v>
      </c>
      <c r="E54" s="651">
        <v>34120000</v>
      </c>
      <c r="F54" s="651">
        <f t="shared" si="2"/>
        <v>32280000</v>
      </c>
      <c r="G54" s="651">
        <v>20000000</v>
      </c>
      <c r="H54" s="651">
        <v>4310000</v>
      </c>
      <c r="I54" s="651">
        <v>1300000</v>
      </c>
      <c r="J54" s="651">
        <f>12280000+330000-330000</f>
        <v>12280000</v>
      </c>
      <c r="K54" s="651">
        <f>10780000+330000-330000</f>
        <v>10780000</v>
      </c>
      <c r="L54" s="651">
        <f>+K54</f>
        <v>10780000</v>
      </c>
      <c r="M54" s="648">
        <f t="shared" si="3"/>
        <v>443365500</v>
      </c>
      <c r="N54" s="3"/>
      <c r="O54" s="14">
        <f t="shared" si="4"/>
        <v>443365500</v>
      </c>
    </row>
    <row r="55" spans="1:15" ht="37.5" hidden="1">
      <c r="A55" s="255">
        <v>70502</v>
      </c>
      <c r="B55" s="233" t="s">
        <v>481</v>
      </c>
      <c r="C55" s="231"/>
      <c r="D55" s="231"/>
      <c r="E55" s="231"/>
      <c r="F55" s="231">
        <f t="shared" si="2"/>
        <v>0</v>
      </c>
      <c r="G55" s="231"/>
      <c r="H55" s="231"/>
      <c r="I55" s="231"/>
      <c r="J55" s="231"/>
      <c r="K55" s="231"/>
      <c r="L55" s="231"/>
      <c r="M55" s="228">
        <f t="shared" si="3"/>
        <v>0</v>
      </c>
      <c r="N55" s="3"/>
      <c r="O55" s="14">
        <f t="shared" si="4"/>
        <v>0</v>
      </c>
    </row>
    <row r="56" spans="1:15" ht="18.75">
      <c r="A56" s="650" t="s">
        <v>539</v>
      </c>
      <c r="B56" s="292" t="s">
        <v>482</v>
      </c>
      <c r="C56" s="651">
        <f>40057630+49680600+62005800+34800</f>
        <v>151778830</v>
      </c>
      <c r="D56" s="651"/>
      <c r="E56" s="651"/>
      <c r="F56" s="651">
        <f t="shared" si="2"/>
        <v>12388700</v>
      </c>
      <c r="G56" s="651">
        <f>9344600+668100+1389400</f>
        <v>11402100</v>
      </c>
      <c r="H56" s="651"/>
      <c r="I56" s="651"/>
      <c r="J56" s="651">
        <f>357900+1068000+138700+80000-658000</f>
        <v>986600</v>
      </c>
      <c r="K56" s="651">
        <f>1068000+80000-658000</f>
        <v>490000</v>
      </c>
      <c r="L56" s="651">
        <f>+K56</f>
        <v>490000</v>
      </c>
      <c r="M56" s="648">
        <f t="shared" si="3"/>
        <v>164167530</v>
      </c>
      <c r="N56" s="3"/>
      <c r="O56" s="14">
        <f t="shared" si="4"/>
        <v>164167530</v>
      </c>
    </row>
    <row r="57" spans="1:15" ht="18.75" hidden="1">
      <c r="A57" s="255">
        <v>70602</v>
      </c>
      <c r="B57" s="233" t="s">
        <v>483</v>
      </c>
      <c r="C57" s="231"/>
      <c r="D57" s="231"/>
      <c r="E57" s="231"/>
      <c r="F57" s="231">
        <f t="shared" si="2"/>
        <v>0</v>
      </c>
      <c r="G57" s="231"/>
      <c r="H57" s="231"/>
      <c r="I57" s="231"/>
      <c r="J57" s="231"/>
      <c r="K57" s="231"/>
      <c r="L57" s="231"/>
      <c r="M57" s="228">
        <f t="shared" si="3"/>
        <v>0</v>
      </c>
      <c r="N57" s="3"/>
      <c r="O57" s="14">
        <f t="shared" si="4"/>
        <v>0</v>
      </c>
    </row>
    <row r="58" spans="1:15" ht="56.25">
      <c r="A58" s="650" t="s">
        <v>1604</v>
      </c>
      <c r="B58" s="292" t="s">
        <v>716</v>
      </c>
      <c r="C58" s="651">
        <f>7823300+37400</f>
        <v>7860700</v>
      </c>
      <c r="D58" s="651"/>
      <c r="E58" s="651"/>
      <c r="F58" s="651">
        <f t="shared" si="2"/>
        <v>210000</v>
      </c>
      <c r="G58" s="651">
        <v>150000</v>
      </c>
      <c r="H58" s="651"/>
      <c r="I58" s="651"/>
      <c r="J58" s="651">
        <v>60000</v>
      </c>
      <c r="K58" s="651">
        <v>60000</v>
      </c>
      <c r="L58" s="651">
        <v>60000</v>
      </c>
      <c r="M58" s="648">
        <f t="shared" si="3"/>
        <v>8070700</v>
      </c>
      <c r="N58" s="3"/>
      <c r="O58" s="14">
        <f t="shared" si="4"/>
        <v>8070700</v>
      </c>
    </row>
    <row r="59" spans="1:15" ht="18.75">
      <c r="A59" s="650" t="s">
        <v>1622</v>
      </c>
      <c r="B59" s="292" t="s">
        <v>717</v>
      </c>
      <c r="C59" s="651">
        <f>250000+3420254</f>
        <v>3670254</v>
      </c>
      <c r="D59" s="651"/>
      <c r="E59" s="651"/>
      <c r="F59" s="651">
        <f t="shared" si="2"/>
        <v>500000</v>
      </c>
      <c r="G59" s="651">
        <v>470000</v>
      </c>
      <c r="H59" s="651"/>
      <c r="I59" s="651"/>
      <c r="J59" s="651">
        <v>30000</v>
      </c>
      <c r="K59" s="651"/>
      <c r="L59" s="651"/>
      <c r="M59" s="648">
        <f t="shared" si="3"/>
        <v>4170254</v>
      </c>
      <c r="N59" s="3"/>
      <c r="O59" s="14">
        <f t="shared" si="4"/>
        <v>4170254</v>
      </c>
    </row>
    <row r="60" spans="1:15" ht="18.75" hidden="1">
      <c r="A60" s="255">
        <v>70801</v>
      </c>
      <c r="B60" s="233" t="s">
        <v>718</v>
      </c>
      <c r="C60" s="231"/>
      <c r="D60" s="231"/>
      <c r="E60" s="231"/>
      <c r="F60" s="231">
        <f t="shared" si="2"/>
        <v>0</v>
      </c>
      <c r="G60" s="231"/>
      <c r="H60" s="231"/>
      <c r="I60" s="231"/>
      <c r="J60" s="231"/>
      <c r="K60" s="231"/>
      <c r="L60" s="231"/>
      <c r="M60" s="228">
        <f t="shared" si="3"/>
        <v>0</v>
      </c>
      <c r="N60" s="3"/>
      <c r="O60" s="14">
        <f t="shared" si="4"/>
        <v>0</v>
      </c>
    </row>
    <row r="61" spans="1:15" ht="37.5">
      <c r="A61" s="650" t="s">
        <v>1606</v>
      </c>
      <c r="B61" s="292" t="s">
        <v>393</v>
      </c>
      <c r="C61" s="651">
        <v>486200</v>
      </c>
      <c r="D61" s="651">
        <v>288000</v>
      </c>
      <c r="E61" s="651">
        <v>10600</v>
      </c>
      <c r="F61" s="651">
        <f t="shared" si="2"/>
        <v>451900</v>
      </c>
      <c r="G61" s="651">
        <v>398900</v>
      </c>
      <c r="H61" s="651">
        <v>156800</v>
      </c>
      <c r="I61" s="651">
        <v>2900</v>
      </c>
      <c r="J61" s="651">
        <v>53000</v>
      </c>
      <c r="K61" s="651">
        <v>32000</v>
      </c>
      <c r="L61" s="651">
        <v>32000</v>
      </c>
      <c r="M61" s="648">
        <f t="shared" si="3"/>
        <v>938100</v>
      </c>
      <c r="N61" s="3"/>
      <c r="O61" s="14">
        <f t="shared" si="4"/>
        <v>938100</v>
      </c>
    </row>
    <row r="62" spans="1:15" ht="37.5">
      <c r="A62" s="650" t="s">
        <v>1607</v>
      </c>
      <c r="B62" s="292" t="s">
        <v>394</v>
      </c>
      <c r="C62" s="651">
        <v>724400</v>
      </c>
      <c r="D62" s="651">
        <v>407000</v>
      </c>
      <c r="E62" s="651">
        <v>10300</v>
      </c>
      <c r="F62" s="651">
        <f t="shared" si="2"/>
        <v>21000</v>
      </c>
      <c r="G62" s="651"/>
      <c r="H62" s="651"/>
      <c r="I62" s="651"/>
      <c r="J62" s="651">
        <v>21000</v>
      </c>
      <c r="K62" s="651">
        <v>21000</v>
      </c>
      <c r="L62" s="651">
        <v>21000</v>
      </c>
      <c r="M62" s="648">
        <f t="shared" si="3"/>
        <v>745400</v>
      </c>
      <c r="N62" s="3"/>
      <c r="O62" s="14">
        <f t="shared" si="4"/>
        <v>745400</v>
      </c>
    </row>
    <row r="63" spans="1:15" ht="37.5">
      <c r="A63" s="650" t="s">
        <v>1608</v>
      </c>
      <c r="B63" s="292" t="s">
        <v>702</v>
      </c>
      <c r="C63" s="651">
        <v>2493500</v>
      </c>
      <c r="D63" s="651">
        <v>1498700</v>
      </c>
      <c r="E63" s="651">
        <v>110500</v>
      </c>
      <c r="F63" s="651">
        <f t="shared" si="2"/>
        <v>80500</v>
      </c>
      <c r="G63" s="651"/>
      <c r="H63" s="651"/>
      <c r="I63" s="651"/>
      <c r="J63" s="651">
        <v>80500</v>
      </c>
      <c r="K63" s="651">
        <f>+J63</f>
        <v>80500</v>
      </c>
      <c r="L63" s="651">
        <f>+K63</f>
        <v>80500</v>
      </c>
      <c r="M63" s="648">
        <f t="shared" si="3"/>
        <v>2574000</v>
      </c>
      <c r="N63" s="3"/>
      <c r="O63" s="14">
        <f t="shared" si="4"/>
        <v>2574000</v>
      </c>
    </row>
    <row r="64" spans="1:15" ht="37.5" hidden="1">
      <c r="A64" s="255">
        <v>70805</v>
      </c>
      <c r="B64" s="233" t="s">
        <v>1257</v>
      </c>
      <c r="C64" s="231"/>
      <c r="D64" s="231"/>
      <c r="E64" s="231"/>
      <c r="F64" s="231">
        <f t="shared" si="2"/>
        <v>0</v>
      </c>
      <c r="G64" s="231"/>
      <c r="H64" s="231"/>
      <c r="I64" s="231"/>
      <c r="J64" s="231"/>
      <c r="K64" s="231"/>
      <c r="L64" s="231"/>
      <c r="M64" s="228">
        <f t="shared" si="3"/>
        <v>0</v>
      </c>
      <c r="N64" s="3"/>
      <c r="O64" s="14">
        <f t="shared" si="4"/>
        <v>0</v>
      </c>
    </row>
    <row r="65" spans="1:154" ht="18.75">
      <c r="A65" s="650" t="s">
        <v>708</v>
      </c>
      <c r="B65" s="292" t="s">
        <v>1258</v>
      </c>
      <c r="C65" s="651">
        <f>1690200+35400</f>
        <v>1725600</v>
      </c>
      <c r="D65" s="651">
        <v>944600</v>
      </c>
      <c r="E65" s="651">
        <v>123600</v>
      </c>
      <c r="F65" s="651">
        <f t="shared" si="2"/>
        <v>153500</v>
      </c>
      <c r="G65" s="651">
        <v>148500</v>
      </c>
      <c r="H65" s="651">
        <v>101000</v>
      </c>
      <c r="I65" s="651">
        <v>4900</v>
      </c>
      <c r="J65" s="651">
        <v>5000</v>
      </c>
      <c r="K65" s="651">
        <f>+J65</f>
        <v>5000</v>
      </c>
      <c r="L65" s="651">
        <f>+K65</f>
        <v>5000</v>
      </c>
      <c r="M65" s="648">
        <f t="shared" si="3"/>
        <v>1879100</v>
      </c>
      <c r="N65" s="3"/>
      <c r="O65" s="14">
        <f t="shared" si="4"/>
        <v>1879100</v>
      </c>
    </row>
    <row r="66" spans="1:154" ht="18.75" hidden="1">
      <c r="A66" s="650" t="s">
        <v>1064</v>
      </c>
      <c r="B66" s="292" t="s">
        <v>1259</v>
      </c>
      <c r="C66" s="651"/>
      <c r="D66" s="651"/>
      <c r="E66" s="651"/>
      <c r="F66" s="651">
        <f t="shared" si="2"/>
        <v>0</v>
      </c>
      <c r="G66" s="651"/>
      <c r="H66" s="651"/>
      <c r="I66" s="651"/>
      <c r="J66" s="651"/>
      <c r="K66" s="651">
        <f>+J66</f>
        <v>0</v>
      </c>
      <c r="L66" s="651">
        <f>+K66</f>
        <v>0</v>
      </c>
      <c r="M66" s="648">
        <f t="shared" si="3"/>
        <v>0</v>
      </c>
      <c r="N66" s="3"/>
      <c r="O66" s="14">
        <f t="shared" si="4"/>
        <v>0</v>
      </c>
    </row>
    <row r="67" spans="1:154" ht="56.25" hidden="1">
      <c r="A67" s="255">
        <v>70808</v>
      </c>
      <c r="B67" s="233" t="s">
        <v>1260</v>
      </c>
      <c r="C67" s="231"/>
      <c r="D67" s="231"/>
      <c r="E67" s="231"/>
      <c r="F67" s="231">
        <f t="shared" si="2"/>
        <v>0</v>
      </c>
      <c r="G67" s="231"/>
      <c r="H67" s="231"/>
      <c r="I67" s="231"/>
      <c r="J67" s="231"/>
      <c r="K67" s="231"/>
      <c r="L67" s="231"/>
      <c r="M67" s="228">
        <f t="shared" si="3"/>
        <v>0</v>
      </c>
      <c r="N67" s="3"/>
      <c r="O67" s="14">
        <f t="shared" si="4"/>
        <v>0</v>
      </c>
    </row>
    <row r="68" spans="1:154" ht="94.15" hidden="1" customHeight="1">
      <c r="A68" s="255">
        <v>70809</v>
      </c>
      <c r="B68" s="233" t="s">
        <v>1027</v>
      </c>
      <c r="C68" s="231"/>
      <c r="D68" s="231"/>
      <c r="E68" s="231"/>
      <c r="F68" s="231">
        <f t="shared" si="2"/>
        <v>0</v>
      </c>
      <c r="G68" s="231"/>
      <c r="H68" s="231"/>
      <c r="I68" s="231"/>
      <c r="J68" s="231"/>
      <c r="K68" s="231"/>
      <c r="L68" s="231"/>
      <c r="M68" s="228">
        <f t="shared" si="3"/>
        <v>0</v>
      </c>
      <c r="N68" s="3"/>
      <c r="O68" s="14">
        <f t="shared" si="4"/>
        <v>0</v>
      </c>
    </row>
    <row r="69" spans="1:154" ht="112.5" hidden="1">
      <c r="A69" s="255">
        <v>70810</v>
      </c>
      <c r="B69" s="233" t="s">
        <v>525</v>
      </c>
      <c r="C69" s="231"/>
      <c r="D69" s="231"/>
      <c r="E69" s="231"/>
      <c r="F69" s="231">
        <f t="shared" si="2"/>
        <v>0</v>
      </c>
      <c r="G69" s="231"/>
      <c r="H69" s="231"/>
      <c r="I69" s="231"/>
      <c r="J69" s="231"/>
      <c r="K69" s="231"/>
      <c r="L69" s="231"/>
      <c r="M69" s="228">
        <f t="shared" si="3"/>
        <v>0</v>
      </c>
      <c r="N69" s="3"/>
      <c r="O69" s="14">
        <f t="shared" si="4"/>
        <v>0</v>
      </c>
    </row>
    <row r="70" spans="1:154" s="105" customFormat="1" ht="18.75">
      <c r="A70" s="646" t="s">
        <v>987</v>
      </c>
      <c r="B70" s="647" t="s">
        <v>523</v>
      </c>
      <c r="C70" s="648">
        <f>SUM(C71:C110)-C72-C73-C74-C75-C76-C77-C78-C98-C99-C100-C101</f>
        <v>1068462500</v>
      </c>
      <c r="D70" s="648">
        <f t="shared" ref="D70:L70" si="9">SUM(D71:D110)-D72-D73-D74-D75-D76-D77-D78-D98-D99-D100-D101</f>
        <v>540607000</v>
      </c>
      <c r="E70" s="648">
        <f t="shared" si="9"/>
        <v>69671100</v>
      </c>
      <c r="F70" s="648">
        <f t="shared" si="9"/>
        <v>16061400</v>
      </c>
      <c r="G70" s="648">
        <f t="shared" si="9"/>
        <v>7103000</v>
      </c>
      <c r="H70" s="648">
        <f t="shared" si="9"/>
        <v>1465500</v>
      </c>
      <c r="I70" s="648">
        <f t="shared" si="9"/>
        <v>198100</v>
      </c>
      <c r="J70" s="648">
        <f t="shared" si="9"/>
        <v>8958400</v>
      </c>
      <c r="K70" s="648">
        <f t="shared" si="9"/>
        <v>7260000</v>
      </c>
      <c r="L70" s="648">
        <f t="shared" si="9"/>
        <v>7260000</v>
      </c>
      <c r="M70" s="648">
        <f t="shared" si="3"/>
        <v>1084523900</v>
      </c>
      <c r="N70" s="298"/>
      <c r="O70" s="104">
        <f t="shared" si="4"/>
        <v>1084523900</v>
      </c>
      <c r="P70" s="96"/>
      <c r="Q70" s="9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</row>
    <row r="71" spans="1:154" ht="18.75" hidden="1">
      <c r="A71" s="227"/>
      <c r="B71" s="233" t="s">
        <v>747</v>
      </c>
      <c r="C71" s="234"/>
      <c r="D71" s="234"/>
      <c r="E71" s="234"/>
      <c r="F71" s="231">
        <f t="shared" si="2"/>
        <v>0</v>
      </c>
      <c r="G71" s="231"/>
      <c r="H71" s="231"/>
      <c r="I71" s="231"/>
      <c r="J71" s="231"/>
      <c r="K71" s="231"/>
      <c r="L71" s="231"/>
      <c r="M71" s="228">
        <f t="shared" si="3"/>
        <v>0</v>
      </c>
      <c r="N71" s="3"/>
      <c r="O71" s="14"/>
    </row>
    <row r="72" spans="1:154" ht="18.75" hidden="1">
      <c r="A72" s="227"/>
      <c r="B72" s="438" t="s">
        <v>527</v>
      </c>
      <c r="C72" s="291"/>
      <c r="D72" s="291"/>
      <c r="E72" s="291"/>
      <c r="F72" s="291">
        <f t="shared" si="2"/>
        <v>0</v>
      </c>
      <c r="G72" s="291"/>
      <c r="H72" s="291"/>
      <c r="I72" s="291"/>
      <c r="J72" s="291"/>
      <c r="K72" s="243"/>
      <c r="L72" s="291"/>
      <c r="M72" s="228">
        <f t="shared" si="3"/>
        <v>0</v>
      </c>
      <c r="N72" s="3"/>
      <c r="O72" s="14"/>
    </row>
    <row r="73" spans="1:154" ht="37.5" hidden="1">
      <c r="A73" s="227"/>
      <c r="B73" s="438" t="s">
        <v>1021</v>
      </c>
      <c r="C73" s="234"/>
      <c r="D73" s="234"/>
      <c r="E73" s="234"/>
      <c r="F73" s="291">
        <f t="shared" si="2"/>
        <v>0</v>
      </c>
      <c r="G73" s="231"/>
      <c r="H73" s="231"/>
      <c r="I73" s="231"/>
      <c r="J73" s="231"/>
      <c r="K73" s="231"/>
      <c r="L73" s="231"/>
      <c r="M73" s="228">
        <f t="shared" si="3"/>
        <v>0</v>
      </c>
      <c r="N73" s="3"/>
      <c r="O73" s="14">
        <f t="shared" si="4"/>
        <v>0</v>
      </c>
    </row>
    <row r="74" spans="1:154" ht="18.75" hidden="1">
      <c r="A74" s="227"/>
      <c r="B74" s="233" t="s">
        <v>761</v>
      </c>
      <c r="C74" s="259"/>
      <c r="D74" s="259"/>
      <c r="E74" s="259"/>
      <c r="F74" s="231">
        <f t="shared" si="2"/>
        <v>0</v>
      </c>
      <c r="G74" s="259"/>
      <c r="H74" s="259"/>
      <c r="I74" s="259"/>
      <c r="J74" s="259"/>
      <c r="K74" s="248"/>
      <c r="L74" s="259"/>
      <c r="M74" s="228">
        <f t="shared" si="3"/>
        <v>0</v>
      </c>
      <c r="N74" s="3"/>
      <c r="O74" s="14">
        <f t="shared" si="4"/>
        <v>0</v>
      </c>
    </row>
    <row r="75" spans="1:154" ht="18.75" hidden="1">
      <c r="A75" s="639"/>
      <c r="B75" s="292" t="s">
        <v>529</v>
      </c>
      <c r="C75" s="284"/>
      <c r="D75" s="284"/>
      <c r="E75" s="284"/>
      <c r="F75" s="275"/>
      <c r="G75" s="284"/>
      <c r="H75" s="284"/>
      <c r="I75" s="284"/>
      <c r="J75" s="284"/>
      <c r="K75" s="284"/>
      <c r="L75" s="284"/>
      <c r="M75" s="648">
        <f t="shared" si="3"/>
        <v>0</v>
      </c>
      <c r="N75" s="3"/>
      <c r="O75" s="14"/>
    </row>
    <row r="76" spans="1:154" ht="75" hidden="1">
      <c r="A76" s="639"/>
      <c r="B76" s="292" t="s">
        <v>1228</v>
      </c>
      <c r="C76" s="563"/>
      <c r="D76" s="284"/>
      <c r="E76" s="284"/>
      <c r="F76" s="275"/>
      <c r="G76" s="284"/>
      <c r="H76" s="284"/>
      <c r="I76" s="284"/>
      <c r="J76" s="284"/>
      <c r="K76" s="284"/>
      <c r="L76" s="284"/>
      <c r="M76" s="648">
        <f t="shared" si="3"/>
        <v>0</v>
      </c>
      <c r="N76" s="3"/>
      <c r="O76" s="14"/>
    </row>
    <row r="77" spans="1:154" ht="75" hidden="1">
      <c r="A77" s="639"/>
      <c r="B77" s="292" t="s">
        <v>883</v>
      </c>
      <c r="C77" s="563"/>
      <c r="D77" s="284"/>
      <c r="E77" s="284"/>
      <c r="F77" s="275"/>
      <c r="G77" s="284"/>
      <c r="H77" s="284"/>
      <c r="I77" s="284"/>
      <c r="J77" s="284"/>
      <c r="K77" s="284"/>
      <c r="L77" s="284"/>
      <c r="M77" s="648">
        <f t="shared" si="3"/>
        <v>0</v>
      </c>
      <c r="N77" s="3"/>
      <c r="O77" s="14"/>
    </row>
    <row r="78" spans="1:154" ht="76.900000000000006" hidden="1" customHeight="1">
      <c r="A78" s="639"/>
      <c r="B78" s="292" t="s">
        <v>884</v>
      </c>
      <c r="C78" s="284"/>
      <c r="D78" s="284"/>
      <c r="E78" s="284"/>
      <c r="F78" s="275"/>
      <c r="G78" s="284"/>
      <c r="H78" s="284"/>
      <c r="I78" s="284"/>
      <c r="J78" s="284"/>
      <c r="K78" s="284"/>
      <c r="L78" s="284"/>
      <c r="M78" s="648">
        <f t="shared" si="3"/>
        <v>0</v>
      </c>
      <c r="N78" s="3"/>
      <c r="O78" s="14"/>
    </row>
    <row r="79" spans="1:154" ht="28.15" customHeight="1">
      <c r="A79" s="650" t="s">
        <v>1609</v>
      </c>
      <c r="B79" s="292" t="s">
        <v>1628</v>
      </c>
      <c r="C79" s="502">
        <f>180099800-50000</f>
        <v>180049800</v>
      </c>
      <c r="D79" s="502">
        <v>82335000</v>
      </c>
      <c r="E79" s="502">
        <f>14920800-50000</f>
        <v>14870800</v>
      </c>
      <c r="F79" s="651">
        <f t="shared" si="2"/>
        <v>1612100</v>
      </c>
      <c r="G79" s="502">
        <v>877100</v>
      </c>
      <c r="H79" s="502">
        <v>58400</v>
      </c>
      <c r="I79" s="502">
        <v>4500</v>
      </c>
      <c r="J79" s="502">
        <f>185000+550000</f>
        <v>735000</v>
      </c>
      <c r="K79" s="502">
        <f>100000+550000</f>
        <v>650000</v>
      </c>
      <c r="L79" s="502">
        <f>100000+550000</f>
        <v>650000</v>
      </c>
      <c r="M79" s="648">
        <f t="shared" si="3"/>
        <v>181661900</v>
      </c>
      <c r="N79" s="3"/>
      <c r="O79" s="14">
        <f t="shared" si="4"/>
        <v>181661900</v>
      </c>
    </row>
    <row r="80" spans="1:154" ht="18.75" hidden="1">
      <c r="A80" s="255">
        <v>80102</v>
      </c>
      <c r="B80" s="233" t="s">
        <v>563</v>
      </c>
      <c r="C80" s="259"/>
      <c r="D80" s="259"/>
      <c r="E80" s="259"/>
      <c r="F80" s="231">
        <f t="shared" si="2"/>
        <v>0</v>
      </c>
      <c r="G80" s="259"/>
      <c r="H80" s="259"/>
      <c r="I80" s="259"/>
      <c r="J80" s="259"/>
      <c r="K80" s="248"/>
      <c r="L80" s="259"/>
      <c r="M80" s="228">
        <f t="shared" si="3"/>
        <v>0</v>
      </c>
      <c r="N80" s="3"/>
      <c r="O80" s="14">
        <f t="shared" si="4"/>
        <v>0</v>
      </c>
    </row>
    <row r="81" spans="1:15" ht="75">
      <c r="A81" s="650" t="s">
        <v>1610</v>
      </c>
      <c r="B81" s="292" t="s">
        <v>558</v>
      </c>
      <c r="C81" s="502">
        <f>513427700-300000</f>
        <v>513127700</v>
      </c>
      <c r="D81" s="502">
        <v>266625700</v>
      </c>
      <c r="E81" s="502">
        <f>44349600-300000</f>
        <v>44049600</v>
      </c>
      <c r="F81" s="651">
        <f t="shared" si="2"/>
        <v>6254400</v>
      </c>
      <c r="G81" s="502">
        <v>4353400</v>
      </c>
      <c r="H81" s="502">
        <v>1171700</v>
      </c>
      <c r="I81" s="502">
        <v>181500</v>
      </c>
      <c r="J81" s="502">
        <v>1901000</v>
      </c>
      <c r="K81" s="502">
        <v>1350000</v>
      </c>
      <c r="L81" s="502">
        <v>1350000</v>
      </c>
      <c r="M81" s="648">
        <f t="shared" si="3"/>
        <v>519382100</v>
      </c>
      <c r="N81" s="3"/>
      <c r="O81" s="14">
        <f t="shared" si="4"/>
        <v>519382100</v>
      </c>
    </row>
    <row r="82" spans="1:15" ht="18.75" hidden="1">
      <c r="A82" s="255">
        <v>80202</v>
      </c>
      <c r="B82" s="233" t="s">
        <v>61</v>
      </c>
      <c r="C82" s="259"/>
      <c r="D82" s="259"/>
      <c r="E82" s="259"/>
      <c r="F82" s="231">
        <f t="shared" si="2"/>
        <v>0</v>
      </c>
      <c r="G82" s="259"/>
      <c r="H82" s="259"/>
      <c r="I82" s="259"/>
      <c r="J82" s="259"/>
      <c r="K82" s="248"/>
      <c r="L82" s="259"/>
      <c r="M82" s="228">
        <f t="shared" si="3"/>
        <v>0</v>
      </c>
      <c r="N82" s="3"/>
      <c r="O82" s="14">
        <f t="shared" si="4"/>
        <v>0</v>
      </c>
    </row>
    <row r="83" spans="1:15" ht="18.75">
      <c r="A83" s="650" t="s">
        <v>541</v>
      </c>
      <c r="B83" s="233" t="s">
        <v>542</v>
      </c>
      <c r="C83" s="259">
        <v>10718600</v>
      </c>
      <c r="D83" s="259">
        <v>7663200</v>
      </c>
      <c r="E83" s="259">
        <v>260000</v>
      </c>
      <c r="F83" s="231">
        <f t="shared" si="2"/>
        <v>69200</v>
      </c>
      <c r="G83" s="259">
        <v>67200</v>
      </c>
      <c r="H83" s="259"/>
      <c r="I83" s="259"/>
      <c r="J83" s="259">
        <v>2000</v>
      </c>
      <c r="K83" s="248"/>
      <c r="L83" s="259"/>
      <c r="M83" s="228">
        <f t="shared" si="3"/>
        <v>10787800</v>
      </c>
      <c r="N83" s="3"/>
      <c r="O83" s="14">
        <f t="shared" si="4"/>
        <v>10787800</v>
      </c>
    </row>
    <row r="84" spans="1:15" ht="18.75">
      <c r="A84" s="650" t="s">
        <v>1611</v>
      </c>
      <c r="B84" s="292" t="s">
        <v>868</v>
      </c>
      <c r="C84" s="502">
        <v>21528300</v>
      </c>
      <c r="D84" s="502">
        <v>12039200</v>
      </c>
      <c r="E84" s="502">
        <v>2325000</v>
      </c>
      <c r="F84" s="651">
        <f t="shared" si="2"/>
        <v>2800</v>
      </c>
      <c r="G84" s="502">
        <v>2800</v>
      </c>
      <c r="H84" s="502"/>
      <c r="I84" s="502"/>
      <c r="J84" s="502"/>
      <c r="K84" s="502"/>
      <c r="L84" s="502"/>
      <c r="M84" s="648">
        <f t="shared" si="3"/>
        <v>21531100</v>
      </c>
      <c r="N84" s="3"/>
      <c r="O84" s="14">
        <f t="shared" si="4"/>
        <v>21531100</v>
      </c>
    </row>
    <row r="85" spans="1:15" ht="18.75">
      <c r="A85" s="650" t="s">
        <v>1612</v>
      </c>
      <c r="B85" s="292" t="s">
        <v>869</v>
      </c>
      <c r="C85" s="502">
        <v>1601400</v>
      </c>
      <c r="D85" s="502">
        <v>956500</v>
      </c>
      <c r="E85" s="502">
        <v>84500</v>
      </c>
      <c r="F85" s="651">
        <f t="shared" si="2"/>
        <v>0</v>
      </c>
      <c r="G85" s="502"/>
      <c r="H85" s="502"/>
      <c r="I85" s="502"/>
      <c r="J85" s="502"/>
      <c r="K85" s="502"/>
      <c r="L85" s="502"/>
      <c r="M85" s="648">
        <f t="shared" si="3"/>
        <v>1601400</v>
      </c>
      <c r="N85" s="3"/>
      <c r="O85" s="14">
        <f t="shared" si="4"/>
        <v>1601400</v>
      </c>
    </row>
    <row r="86" spans="1:15" ht="18.75" hidden="1">
      <c r="A86" s="255">
        <v>80206</v>
      </c>
      <c r="B86" s="233" t="s">
        <v>75</v>
      </c>
      <c r="C86" s="259"/>
      <c r="D86" s="259"/>
      <c r="E86" s="259"/>
      <c r="F86" s="231">
        <f t="shared" si="2"/>
        <v>0</v>
      </c>
      <c r="G86" s="259"/>
      <c r="H86" s="259"/>
      <c r="I86" s="259"/>
      <c r="J86" s="259"/>
      <c r="K86" s="248"/>
      <c r="L86" s="259"/>
      <c r="M86" s="228">
        <f t="shared" si="3"/>
        <v>0</v>
      </c>
      <c r="N86" s="3"/>
      <c r="O86" s="14">
        <f t="shared" si="4"/>
        <v>0</v>
      </c>
    </row>
    <row r="87" spans="1:15" ht="18.75">
      <c r="A87" s="650" t="s">
        <v>1613</v>
      </c>
      <c r="B87" s="292" t="s">
        <v>1206</v>
      </c>
      <c r="C87" s="502">
        <v>16887500</v>
      </c>
      <c r="D87" s="502">
        <v>10596400</v>
      </c>
      <c r="E87" s="502">
        <v>1351600</v>
      </c>
      <c r="F87" s="651">
        <f t="shared" si="2"/>
        <v>0</v>
      </c>
      <c r="G87" s="502"/>
      <c r="H87" s="502"/>
      <c r="I87" s="502"/>
      <c r="J87" s="502"/>
      <c r="K87" s="502"/>
      <c r="L87" s="502"/>
      <c r="M87" s="648">
        <f t="shared" si="3"/>
        <v>16887500</v>
      </c>
      <c r="N87" s="3"/>
      <c r="O87" s="14">
        <f t="shared" si="4"/>
        <v>16887500</v>
      </c>
    </row>
    <row r="88" spans="1:15" ht="18.75">
      <c r="A88" s="650" t="s">
        <v>1614</v>
      </c>
      <c r="B88" s="292" t="s">
        <v>1207</v>
      </c>
      <c r="C88" s="502">
        <v>12951900</v>
      </c>
      <c r="D88" s="502">
        <v>7461200</v>
      </c>
      <c r="E88" s="502">
        <v>1303600</v>
      </c>
      <c r="F88" s="651">
        <f t="shared" si="2"/>
        <v>2031000</v>
      </c>
      <c r="G88" s="502">
        <v>1131000</v>
      </c>
      <c r="H88" s="502">
        <v>175000</v>
      </c>
      <c r="I88" s="502"/>
      <c r="J88" s="502">
        <v>900000</v>
      </c>
      <c r="K88" s="502"/>
      <c r="L88" s="502"/>
      <c r="M88" s="648">
        <f t="shared" si="3"/>
        <v>14982900</v>
      </c>
      <c r="N88" s="3"/>
      <c r="O88" s="14">
        <f t="shared" si="4"/>
        <v>14982900</v>
      </c>
    </row>
    <row r="89" spans="1:15" ht="56.25">
      <c r="A89" s="650" t="s">
        <v>543</v>
      </c>
      <c r="B89" s="233" t="s">
        <v>544</v>
      </c>
      <c r="C89" s="259">
        <f>166558000-50000</f>
        <v>166508000</v>
      </c>
      <c r="D89" s="259">
        <v>105827800</v>
      </c>
      <c r="E89" s="259">
        <f>1907800-50000</f>
        <v>1857800</v>
      </c>
      <c r="F89" s="231">
        <f t="shared" si="2"/>
        <v>70000</v>
      </c>
      <c r="G89" s="259">
        <v>52000</v>
      </c>
      <c r="H89" s="259"/>
      <c r="I89" s="259"/>
      <c r="J89" s="259">
        <v>18000</v>
      </c>
      <c r="K89" s="248"/>
      <c r="L89" s="259"/>
      <c r="M89" s="228">
        <f t="shared" ref="M89:M162" si="10">+C89+F89</f>
        <v>166578000</v>
      </c>
      <c r="N89" s="3"/>
      <c r="O89" s="14">
        <f t="shared" si="4"/>
        <v>166578000</v>
      </c>
    </row>
    <row r="90" spans="1:15" ht="56.25" hidden="1">
      <c r="A90" s="255">
        <v>80300</v>
      </c>
      <c r="B90" s="233" t="s">
        <v>182</v>
      </c>
      <c r="C90" s="259"/>
      <c r="D90" s="259"/>
      <c r="E90" s="259"/>
      <c r="F90" s="231">
        <f t="shared" ref="F90:F167" si="11">+G90+J90</f>
        <v>0</v>
      </c>
      <c r="G90" s="259"/>
      <c r="H90" s="259"/>
      <c r="I90" s="259"/>
      <c r="J90" s="259"/>
      <c r="K90" s="248"/>
      <c r="L90" s="259"/>
      <c r="M90" s="228">
        <f t="shared" si="10"/>
        <v>0</v>
      </c>
      <c r="N90" s="3"/>
      <c r="O90" s="14">
        <f t="shared" ref="O90:O167" si="12">+M90</f>
        <v>0</v>
      </c>
    </row>
    <row r="91" spans="1:15" ht="75">
      <c r="A91" s="650" t="s">
        <v>1615</v>
      </c>
      <c r="B91" s="292" t="s">
        <v>1038</v>
      </c>
      <c r="C91" s="502">
        <v>29932500</v>
      </c>
      <c r="D91" s="502">
        <v>17824400</v>
      </c>
      <c r="E91" s="502">
        <v>1773300</v>
      </c>
      <c r="F91" s="651">
        <f t="shared" si="11"/>
        <v>367500</v>
      </c>
      <c r="G91" s="502">
        <v>170100</v>
      </c>
      <c r="H91" s="502">
        <v>60400</v>
      </c>
      <c r="I91" s="502">
        <v>6000</v>
      </c>
      <c r="J91" s="502">
        <v>197400</v>
      </c>
      <c r="K91" s="502">
        <v>75000</v>
      </c>
      <c r="L91" s="502">
        <v>75000</v>
      </c>
      <c r="M91" s="648">
        <f t="shared" si="10"/>
        <v>30300000</v>
      </c>
      <c r="N91" s="3"/>
      <c r="O91" s="14">
        <f t="shared" si="12"/>
        <v>30300000</v>
      </c>
    </row>
    <row r="92" spans="1:15" ht="18.75" hidden="1">
      <c r="A92" s="255">
        <v>80500</v>
      </c>
      <c r="B92" s="233" t="s">
        <v>521</v>
      </c>
      <c r="C92" s="451"/>
      <c r="D92" s="451"/>
      <c r="E92" s="451"/>
      <c r="F92" s="458">
        <f t="shared" si="11"/>
        <v>0</v>
      </c>
      <c r="G92" s="451"/>
      <c r="H92" s="451"/>
      <c r="I92" s="451"/>
      <c r="J92" s="451"/>
      <c r="K92" s="462"/>
      <c r="L92" s="451"/>
      <c r="M92" s="457">
        <f t="shared" si="10"/>
        <v>0</v>
      </c>
      <c r="N92" s="3"/>
      <c r="O92" s="14">
        <f t="shared" si="12"/>
        <v>0</v>
      </c>
    </row>
    <row r="93" spans="1:15" ht="18.75" hidden="1">
      <c r="A93" s="255">
        <v>80600</v>
      </c>
      <c r="B93" s="233" t="s">
        <v>1039</v>
      </c>
      <c r="C93" s="259"/>
      <c r="D93" s="259"/>
      <c r="E93" s="259"/>
      <c r="F93" s="231">
        <f t="shared" si="11"/>
        <v>0</v>
      </c>
      <c r="G93" s="259"/>
      <c r="H93" s="259"/>
      <c r="I93" s="259"/>
      <c r="J93" s="259"/>
      <c r="K93" s="248"/>
      <c r="L93" s="259"/>
      <c r="M93" s="228">
        <f t="shared" si="10"/>
        <v>0</v>
      </c>
      <c r="N93" s="3"/>
      <c r="O93" s="14">
        <f t="shared" si="12"/>
        <v>0</v>
      </c>
    </row>
    <row r="94" spans="1:15" ht="18.75" hidden="1">
      <c r="A94" s="255">
        <v>80703</v>
      </c>
      <c r="B94" s="233" t="s">
        <v>808</v>
      </c>
      <c r="C94" s="259"/>
      <c r="D94" s="259"/>
      <c r="E94" s="259"/>
      <c r="F94" s="231">
        <f t="shared" si="11"/>
        <v>0</v>
      </c>
      <c r="G94" s="259"/>
      <c r="H94" s="259"/>
      <c r="I94" s="259"/>
      <c r="J94" s="259"/>
      <c r="K94" s="248"/>
      <c r="L94" s="259"/>
      <c r="M94" s="228">
        <f t="shared" si="10"/>
        <v>0</v>
      </c>
      <c r="N94" s="3"/>
      <c r="O94" s="14">
        <f t="shared" si="12"/>
        <v>0</v>
      </c>
    </row>
    <row r="95" spans="1:15" ht="18.75">
      <c r="A95" s="650" t="s">
        <v>1617</v>
      </c>
      <c r="B95" s="292" t="s">
        <v>809</v>
      </c>
      <c r="C95" s="502">
        <v>805800</v>
      </c>
      <c r="D95" s="502">
        <v>505000</v>
      </c>
      <c r="E95" s="502">
        <v>27800</v>
      </c>
      <c r="F95" s="651">
        <f t="shared" si="11"/>
        <v>0</v>
      </c>
      <c r="G95" s="502"/>
      <c r="H95" s="502"/>
      <c r="I95" s="502"/>
      <c r="J95" s="502"/>
      <c r="K95" s="502"/>
      <c r="L95" s="502"/>
      <c r="M95" s="648">
        <f t="shared" si="10"/>
        <v>805800</v>
      </c>
      <c r="N95" s="3"/>
      <c r="O95" s="14">
        <f t="shared" si="12"/>
        <v>805800</v>
      </c>
    </row>
    <row r="96" spans="1:15" ht="18.75">
      <c r="A96" s="650" t="s">
        <v>1618</v>
      </c>
      <c r="B96" s="292" t="s">
        <v>1139</v>
      </c>
      <c r="C96" s="502">
        <v>9250800</v>
      </c>
      <c r="D96" s="502">
        <v>5862500</v>
      </c>
      <c r="E96" s="502">
        <v>287000</v>
      </c>
      <c r="F96" s="651">
        <f t="shared" si="11"/>
        <v>0</v>
      </c>
      <c r="G96" s="502"/>
      <c r="H96" s="502"/>
      <c r="I96" s="502"/>
      <c r="J96" s="502"/>
      <c r="K96" s="502"/>
      <c r="L96" s="502"/>
      <c r="M96" s="648">
        <f t="shared" si="10"/>
        <v>9250800</v>
      </c>
      <c r="N96" s="3"/>
      <c r="O96" s="14">
        <f t="shared" si="12"/>
        <v>9250800</v>
      </c>
    </row>
    <row r="97" spans="1:154" ht="73.150000000000006" customHeight="1">
      <c r="A97" s="650" t="s">
        <v>1619</v>
      </c>
      <c r="B97" s="292" t="s">
        <v>1317</v>
      </c>
      <c r="C97" s="502">
        <f>75397500+1000000</f>
        <v>76397500</v>
      </c>
      <c r="D97" s="502">
        <v>22422100</v>
      </c>
      <c r="E97" s="502">
        <v>1454900</v>
      </c>
      <c r="F97" s="651">
        <f t="shared" si="11"/>
        <v>5654400</v>
      </c>
      <c r="G97" s="502">
        <v>449400</v>
      </c>
      <c r="H97" s="502"/>
      <c r="I97" s="502">
        <v>6100</v>
      </c>
      <c r="J97" s="502">
        <f>2205000+1000000+2000000</f>
        <v>5205000</v>
      </c>
      <c r="K97" s="502">
        <f>2185000+1000000+2000000</f>
        <v>5185000</v>
      </c>
      <c r="L97" s="502">
        <f>2185000+1000000+2000000</f>
        <v>5185000</v>
      </c>
      <c r="M97" s="648">
        <f t="shared" si="10"/>
        <v>82051900</v>
      </c>
      <c r="N97" s="3"/>
      <c r="O97" s="14">
        <f t="shared" si="12"/>
        <v>82051900</v>
      </c>
    </row>
    <row r="98" spans="1:154" ht="28.15" hidden="1" customHeight="1">
      <c r="A98" s="650"/>
      <c r="B98" s="292" t="s">
        <v>529</v>
      </c>
      <c r="C98" s="502"/>
      <c r="D98" s="502"/>
      <c r="E98" s="502"/>
      <c r="F98" s="651"/>
      <c r="G98" s="502"/>
      <c r="H98" s="502"/>
      <c r="I98" s="502"/>
      <c r="J98" s="502"/>
      <c r="K98" s="502"/>
      <c r="L98" s="502"/>
      <c r="M98" s="648"/>
      <c r="N98" s="3"/>
      <c r="O98" s="14"/>
    </row>
    <row r="99" spans="1:154" ht="73.150000000000006" hidden="1" customHeight="1">
      <c r="A99" s="650"/>
      <c r="B99" s="292" t="s">
        <v>1228</v>
      </c>
      <c r="C99" s="563"/>
      <c r="D99" s="502"/>
      <c r="E99" s="502"/>
      <c r="F99" s="651"/>
      <c r="G99" s="502"/>
      <c r="H99" s="502"/>
      <c r="I99" s="502"/>
      <c r="J99" s="502"/>
      <c r="K99" s="502"/>
      <c r="L99" s="502"/>
      <c r="M99" s="648">
        <f t="shared" si="10"/>
        <v>0</v>
      </c>
      <c r="N99" s="3"/>
      <c r="O99" s="14"/>
    </row>
    <row r="100" spans="1:154" ht="73.150000000000006" hidden="1" customHeight="1">
      <c r="A100" s="650"/>
      <c r="B100" s="292" t="s">
        <v>883</v>
      </c>
      <c r="C100" s="563"/>
      <c r="D100" s="502"/>
      <c r="E100" s="502"/>
      <c r="F100" s="651"/>
      <c r="G100" s="502"/>
      <c r="H100" s="502"/>
      <c r="I100" s="502"/>
      <c r="J100" s="502"/>
      <c r="K100" s="502"/>
      <c r="L100" s="502"/>
      <c r="M100" s="648">
        <f t="shared" si="10"/>
        <v>0</v>
      </c>
      <c r="N100" s="3"/>
      <c r="O100" s="14"/>
    </row>
    <row r="101" spans="1:154" ht="73.150000000000006" hidden="1" customHeight="1">
      <c r="A101" s="650"/>
      <c r="B101" s="292" t="s">
        <v>884</v>
      </c>
      <c r="C101" s="284"/>
      <c r="D101" s="502"/>
      <c r="E101" s="502"/>
      <c r="F101" s="651"/>
      <c r="G101" s="502"/>
      <c r="H101" s="502"/>
      <c r="I101" s="502"/>
      <c r="J101" s="502"/>
      <c r="K101" s="502"/>
      <c r="L101" s="502"/>
      <c r="M101" s="648">
        <f t="shared" si="10"/>
        <v>0</v>
      </c>
      <c r="N101" s="3"/>
      <c r="O101" s="14"/>
    </row>
    <row r="102" spans="1:154" ht="78" customHeight="1">
      <c r="A102" s="650" t="s">
        <v>1620</v>
      </c>
      <c r="B102" s="1374" t="s">
        <v>298</v>
      </c>
      <c r="C102" s="502">
        <v>785000</v>
      </c>
      <c r="D102" s="502">
        <v>488000</v>
      </c>
      <c r="E102" s="502">
        <v>25200</v>
      </c>
      <c r="F102" s="651">
        <f t="shared" si="11"/>
        <v>0</v>
      </c>
      <c r="G102" s="502"/>
      <c r="H102" s="502"/>
      <c r="I102" s="502"/>
      <c r="J102" s="502"/>
      <c r="K102" s="502"/>
      <c r="L102" s="502"/>
      <c r="M102" s="648">
        <f t="shared" si="10"/>
        <v>785000</v>
      </c>
      <c r="N102" s="3"/>
      <c r="O102" s="14">
        <f t="shared" si="12"/>
        <v>785000</v>
      </c>
    </row>
    <row r="103" spans="1:154" ht="18.75" hidden="1">
      <c r="A103" s="255">
        <v>81004</v>
      </c>
      <c r="B103" s="233" t="s">
        <v>137</v>
      </c>
      <c r="C103" s="259"/>
      <c r="D103" s="259"/>
      <c r="E103" s="259"/>
      <c r="F103" s="231">
        <f t="shared" si="11"/>
        <v>0</v>
      </c>
      <c r="G103" s="259"/>
      <c r="H103" s="259"/>
      <c r="I103" s="259"/>
      <c r="J103" s="259"/>
      <c r="K103" s="248"/>
      <c r="L103" s="259"/>
      <c r="M103" s="228">
        <f t="shared" si="10"/>
        <v>0</v>
      </c>
      <c r="N103" s="3"/>
      <c r="O103" s="14">
        <f t="shared" si="12"/>
        <v>0</v>
      </c>
    </row>
    <row r="104" spans="1:154" ht="37.5" hidden="1">
      <c r="A104" s="255">
        <v>81005</v>
      </c>
      <c r="B104" s="233" t="s">
        <v>138</v>
      </c>
      <c r="C104" s="259"/>
      <c r="D104" s="259"/>
      <c r="E104" s="259"/>
      <c r="F104" s="231">
        <f t="shared" si="11"/>
        <v>0</v>
      </c>
      <c r="G104" s="259"/>
      <c r="H104" s="259"/>
      <c r="I104" s="259"/>
      <c r="J104" s="259"/>
      <c r="K104" s="248"/>
      <c r="L104" s="259"/>
      <c r="M104" s="228">
        <f t="shared" si="10"/>
        <v>0</v>
      </c>
      <c r="N104" s="3"/>
      <c r="O104" s="14">
        <f t="shared" si="12"/>
        <v>0</v>
      </c>
    </row>
    <row r="105" spans="1:154" ht="37.5" hidden="1">
      <c r="A105" s="255">
        <v>81006</v>
      </c>
      <c r="B105" s="233" t="s">
        <v>139</v>
      </c>
      <c r="C105" s="259"/>
      <c r="D105" s="259"/>
      <c r="E105" s="259"/>
      <c r="F105" s="231">
        <f t="shared" si="11"/>
        <v>0</v>
      </c>
      <c r="G105" s="259"/>
      <c r="H105" s="259"/>
      <c r="I105" s="259"/>
      <c r="J105" s="259"/>
      <c r="K105" s="248"/>
      <c r="L105" s="259"/>
      <c r="M105" s="228">
        <f t="shared" si="10"/>
        <v>0</v>
      </c>
      <c r="N105" s="3"/>
      <c r="O105" s="14">
        <f t="shared" si="12"/>
        <v>0</v>
      </c>
    </row>
    <row r="106" spans="1:154" ht="37.5" hidden="1">
      <c r="A106" s="255">
        <v>81007</v>
      </c>
      <c r="B106" s="233" t="s">
        <v>140</v>
      </c>
      <c r="C106" s="259"/>
      <c r="D106" s="259"/>
      <c r="E106" s="259"/>
      <c r="F106" s="231">
        <f t="shared" si="11"/>
        <v>0</v>
      </c>
      <c r="G106" s="259"/>
      <c r="H106" s="259"/>
      <c r="I106" s="259"/>
      <c r="J106" s="259"/>
      <c r="K106" s="248"/>
      <c r="L106" s="259"/>
      <c r="M106" s="228">
        <f t="shared" si="10"/>
        <v>0</v>
      </c>
      <c r="N106" s="3"/>
      <c r="O106" s="14">
        <f t="shared" si="12"/>
        <v>0</v>
      </c>
    </row>
    <row r="107" spans="1:154" ht="37.5" hidden="1">
      <c r="A107" s="255">
        <v>81008</v>
      </c>
      <c r="B107" s="233" t="s">
        <v>82</v>
      </c>
      <c r="C107" s="259"/>
      <c r="D107" s="259"/>
      <c r="E107" s="259"/>
      <c r="F107" s="231">
        <f t="shared" si="11"/>
        <v>0</v>
      </c>
      <c r="G107" s="259"/>
      <c r="H107" s="259"/>
      <c r="I107" s="259"/>
      <c r="J107" s="259"/>
      <c r="K107" s="248"/>
      <c r="L107" s="259"/>
      <c r="M107" s="228">
        <f t="shared" si="10"/>
        <v>0</v>
      </c>
      <c r="N107" s="3"/>
      <c r="O107" s="14">
        <f t="shared" si="12"/>
        <v>0</v>
      </c>
    </row>
    <row r="108" spans="1:154" ht="37.5">
      <c r="A108" s="650" t="s">
        <v>238</v>
      </c>
      <c r="B108" s="292" t="s">
        <v>83</v>
      </c>
      <c r="C108" s="502">
        <v>27917700</v>
      </c>
      <c r="D108" s="502"/>
      <c r="E108" s="502"/>
      <c r="F108" s="651">
        <f t="shared" si="11"/>
        <v>0</v>
      </c>
      <c r="G108" s="502"/>
      <c r="H108" s="502"/>
      <c r="I108" s="502"/>
      <c r="J108" s="502"/>
      <c r="K108" s="502"/>
      <c r="L108" s="502"/>
      <c r="M108" s="648">
        <f t="shared" si="10"/>
        <v>27917700</v>
      </c>
      <c r="N108" s="3"/>
      <c r="O108" s="14">
        <f t="shared" si="12"/>
        <v>27917700</v>
      </c>
    </row>
    <row r="109" spans="1:154" ht="37.5" hidden="1">
      <c r="A109" s="255">
        <v>81010</v>
      </c>
      <c r="B109" s="233" t="s">
        <v>84</v>
      </c>
      <c r="C109" s="259"/>
      <c r="D109" s="259"/>
      <c r="E109" s="259"/>
      <c r="F109" s="231">
        <f t="shared" si="11"/>
        <v>0</v>
      </c>
      <c r="G109" s="259"/>
      <c r="H109" s="259"/>
      <c r="I109" s="259"/>
      <c r="J109" s="259"/>
      <c r="K109" s="248"/>
      <c r="L109" s="259"/>
      <c r="M109" s="228">
        <f t="shared" si="10"/>
        <v>0</v>
      </c>
      <c r="N109" s="3"/>
      <c r="O109" s="14">
        <f t="shared" si="12"/>
        <v>0</v>
      </c>
    </row>
    <row r="110" spans="1:154" ht="93.75" hidden="1">
      <c r="A110" s="255">
        <v>81011</v>
      </c>
      <c r="B110" s="233" t="s">
        <v>1027</v>
      </c>
      <c r="C110" s="259"/>
      <c r="D110" s="259"/>
      <c r="E110" s="259"/>
      <c r="F110" s="231">
        <f t="shared" si="11"/>
        <v>0</v>
      </c>
      <c r="G110" s="259"/>
      <c r="H110" s="259"/>
      <c r="I110" s="259"/>
      <c r="J110" s="259"/>
      <c r="K110" s="248"/>
      <c r="L110" s="259"/>
      <c r="M110" s="228">
        <f t="shared" si="10"/>
        <v>0</v>
      </c>
      <c r="N110" s="3"/>
      <c r="O110" s="14">
        <f t="shared" si="12"/>
        <v>0</v>
      </c>
    </row>
    <row r="111" spans="1:154" s="105" customFormat="1" ht="27.6" customHeight="1">
      <c r="A111" s="646" t="s">
        <v>988</v>
      </c>
      <c r="B111" s="647" t="s">
        <v>1035</v>
      </c>
      <c r="C111" s="648">
        <f>SUM(C112:C169)-C130-C153-C113-C114-C160-C134-C131-C164-C129-C132-C133</f>
        <v>112951300</v>
      </c>
      <c r="D111" s="648">
        <f t="shared" ref="D111:L111" si="13">SUM(D112:D169)-D130-D153-D113-D114-D160-D134-D131-D164-D129-D132-D133</f>
        <v>40020100</v>
      </c>
      <c r="E111" s="648">
        <f t="shared" si="13"/>
        <v>10028800</v>
      </c>
      <c r="F111" s="648">
        <f t="shared" si="13"/>
        <v>23732000</v>
      </c>
      <c r="G111" s="648">
        <f t="shared" si="13"/>
        <v>21350000</v>
      </c>
      <c r="H111" s="648">
        <f t="shared" si="13"/>
        <v>0</v>
      </c>
      <c r="I111" s="648">
        <f t="shared" si="13"/>
        <v>68000</v>
      </c>
      <c r="J111" s="648">
        <f t="shared" si="13"/>
        <v>2382000</v>
      </c>
      <c r="K111" s="648">
        <f t="shared" si="13"/>
        <v>1280000</v>
      </c>
      <c r="L111" s="648">
        <f t="shared" si="13"/>
        <v>1280000</v>
      </c>
      <c r="M111" s="648">
        <f t="shared" si="10"/>
        <v>136683300</v>
      </c>
      <c r="N111" s="298">
        <f>+M111</f>
        <v>136683300</v>
      </c>
      <c r="O111" s="104">
        <f t="shared" si="12"/>
        <v>136683300</v>
      </c>
      <c r="P111" s="96">
        <v>1</v>
      </c>
      <c r="Q111" s="9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</row>
    <row r="112" spans="1:154" ht="18.75" hidden="1">
      <c r="A112" s="227"/>
      <c r="B112" s="233" t="s">
        <v>984</v>
      </c>
      <c r="C112" s="231"/>
      <c r="D112" s="231"/>
      <c r="E112" s="231"/>
      <c r="F112" s="231">
        <f t="shared" si="11"/>
        <v>0</v>
      </c>
      <c r="G112" s="231"/>
      <c r="H112" s="231"/>
      <c r="I112" s="231"/>
      <c r="J112" s="231"/>
      <c r="K112" s="231"/>
      <c r="L112" s="231"/>
      <c r="M112" s="228">
        <f t="shared" si="10"/>
        <v>0</v>
      </c>
      <c r="N112" s="3"/>
      <c r="O112" s="14"/>
    </row>
    <row r="113" spans="1:154" ht="18.75" hidden="1">
      <c r="A113" s="227"/>
      <c r="B113" s="438" t="s">
        <v>527</v>
      </c>
      <c r="C113" s="231"/>
      <c r="D113" s="231"/>
      <c r="E113" s="231"/>
      <c r="F113" s="231">
        <f t="shared" si="11"/>
        <v>0</v>
      </c>
      <c r="G113" s="231"/>
      <c r="H113" s="231"/>
      <c r="I113" s="231"/>
      <c r="J113" s="231"/>
      <c r="K113" s="231"/>
      <c r="L113" s="231"/>
      <c r="M113" s="228">
        <f t="shared" si="10"/>
        <v>0</v>
      </c>
      <c r="N113" s="3"/>
      <c r="O113" s="14"/>
    </row>
    <row r="114" spans="1:154" ht="37.5" hidden="1">
      <c r="A114" s="227"/>
      <c r="B114" s="438" t="s">
        <v>1021</v>
      </c>
      <c r="C114" s="231"/>
      <c r="D114" s="231"/>
      <c r="E114" s="231"/>
      <c r="F114" s="231"/>
      <c r="G114" s="231"/>
      <c r="H114" s="231"/>
      <c r="I114" s="231"/>
      <c r="J114" s="231"/>
      <c r="K114" s="231"/>
      <c r="L114" s="231"/>
      <c r="M114" s="228">
        <f t="shared" si="10"/>
        <v>0</v>
      </c>
      <c r="N114" s="3"/>
      <c r="O114" s="14"/>
    </row>
    <row r="115" spans="1:154" ht="18.75" hidden="1">
      <c r="A115" s="392">
        <v>90200</v>
      </c>
      <c r="B115" s="246" t="s">
        <v>678</v>
      </c>
      <c r="C115" s="231"/>
      <c r="D115" s="231"/>
      <c r="E115" s="231"/>
      <c r="F115" s="231">
        <f t="shared" si="11"/>
        <v>0</v>
      </c>
      <c r="G115" s="231"/>
      <c r="H115" s="231"/>
      <c r="I115" s="231"/>
      <c r="J115" s="231"/>
      <c r="K115" s="231"/>
      <c r="L115" s="231"/>
      <c r="M115" s="228">
        <f t="shared" si="10"/>
        <v>0</v>
      </c>
      <c r="N115" s="3"/>
      <c r="O115" s="14">
        <f t="shared" si="12"/>
        <v>0</v>
      </c>
    </row>
    <row r="116" spans="1:154" ht="56.25">
      <c r="A116" s="650" t="s">
        <v>695</v>
      </c>
      <c r="B116" s="260" t="s">
        <v>491</v>
      </c>
      <c r="C116" s="651">
        <f>1107100+900</f>
        <v>1108000</v>
      </c>
      <c r="D116" s="651"/>
      <c r="E116" s="651"/>
      <c r="F116" s="651">
        <f t="shared" si="11"/>
        <v>0</v>
      </c>
      <c r="G116" s="651"/>
      <c r="H116" s="651"/>
      <c r="I116" s="651"/>
      <c r="J116" s="651"/>
      <c r="K116" s="651"/>
      <c r="L116" s="651"/>
      <c r="M116" s="648">
        <f t="shared" si="10"/>
        <v>1108000</v>
      </c>
      <c r="N116" s="3"/>
      <c r="O116" s="14">
        <f t="shared" si="12"/>
        <v>1108000</v>
      </c>
    </row>
    <row r="117" spans="1:154" s="105" customFormat="1" ht="18.75" hidden="1">
      <c r="A117" s="392"/>
      <c r="B117" s="246" t="s">
        <v>1000</v>
      </c>
      <c r="C117" s="231"/>
      <c r="D117" s="231"/>
      <c r="E117" s="231"/>
      <c r="F117" s="231">
        <f t="shared" si="11"/>
        <v>0</v>
      </c>
      <c r="G117" s="231"/>
      <c r="H117" s="231"/>
      <c r="I117" s="231"/>
      <c r="J117" s="231"/>
      <c r="K117" s="231"/>
      <c r="L117" s="231"/>
      <c r="M117" s="228">
        <f t="shared" si="10"/>
        <v>0</v>
      </c>
      <c r="N117" s="3">
        <f>+M117</f>
        <v>0</v>
      </c>
      <c r="O117" s="14">
        <f t="shared" si="12"/>
        <v>0</v>
      </c>
      <c r="P117" s="96">
        <v>1</v>
      </c>
      <c r="Q117" s="9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</row>
    <row r="118" spans="1:154" s="105" customFormat="1" ht="37.5" hidden="1">
      <c r="A118" s="392">
        <v>90213</v>
      </c>
      <c r="B118" s="246" t="s">
        <v>1198</v>
      </c>
      <c r="C118" s="231"/>
      <c r="D118" s="231"/>
      <c r="E118" s="231"/>
      <c r="F118" s="231">
        <f t="shared" si="11"/>
        <v>0</v>
      </c>
      <c r="G118" s="231"/>
      <c r="H118" s="231"/>
      <c r="I118" s="231"/>
      <c r="J118" s="231"/>
      <c r="K118" s="231"/>
      <c r="L118" s="231"/>
      <c r="M118" s="228">
        <f t="shared" si="10"/>
        <v>0</v>
      </c>
      <c r="N118" s="3"/>
      <c r="O118" s="14">
        <f t="shared" si="12"/>
        <v>0</v>
      </c>
      <c r="P118" s="96"/>
      <c r="Q118" s="9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</row>
    <row r="119" spans="1:154" s="105" customFormat="1" ht="56.25" hidden="1">
      <c r="A119" s="392">
        <v>90301</v>
      </c>
      <c r="B119" s="246" t="s">
        <v>176</v>
      </c>
      <c r="C119" s="231"/>
      <c r="D119" s="231"/>
      <c r="E119" s="231"/>
      <c r="F119" s="232">
        <f t="shared" si="11"/>
        <v>0</v>
      </c>
      <c r="G119" s="231"/>
      <c r="H119" s="231"/>
      <c r="I119" s="231"/>
      <c r="J119" s="231"/>
      <c r="K119" s="231"/>
      <c r="L119" s="231"/>
      <c r="M119" s="228">
        <f t="shared" si="10"/>
        <v>0</v>
      </c>
      <c r="N119" s="3"/>
      <c r="O119" s="14">
        <f t="shared" si="12"/>
        <v>0</v>
      </c>
      <c r="P119" s="96"/>
      <c r="Q119" s="9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</row>
    <row r="120" spans="1:154" customFormat="1" ht="37.5" hidden="1">
      <c r="A120" s="392">
        <v>90302</v>
      </c>
      <c r="B120" s="246" t="s">
        <v>177</v>
      </c>
      <c r="C120" s="254"/>
      <c r="D120" s="254"/>
      <c r="E120" s="254"/>
      <c r="F120" s="254">
        <f t="shared" si="11"/>
        <v>0</v>
      </c>
      <c r="G120" s="254"/>
      <c r="H120" s="254"/>
      <c r="I120" s="254"/>
      <c r="J120" s="254"/>
      <c r="K120" s="254"/>
      <c r="L120" s="254"/>
      <c r="M120" s="251">
        <f t="shared" si="10"/>
        <v>0</v>
      </c>
      <c r="N120" s="3">
        <f>+M120</f>
        <v>0</v>
      </c>
      <c r="O120" s="14">
        <f t="shared" si="12"/>
        <v>0</v>
      </c>
    </row>
    <row r="121" spans="1:154" customFormat="1" ht="37.5" hidden="1">
      <c r="A121" s="392">
        <v>90303</v>
      </c>
      <c r="B121" s="246" t="s">
        <v>409</v>
      </c>
      <c r="C121" s="232"/>
      <c r="D121" s="232"/>
      <c r="E121" s="232"/>
      <c r="F121" s="232">
        <f t="shared" si="11"/>
        <v>0</v>
      </c>
      <c r="G121" s="232"/>
      <c r="H121" s="232"/>
      <c r="I121" s="232"/>
      <c r="J121" s="232"/>
      <c r="K121" s="232"/>
      <c r="L121" s="232"/>
      <c r="M121" s="228">
        <f t="shared" si="10"/>
        <v>0</v>
      </c>
      <c r="N121" s="3"/>
      <c r="O121" s="14">
        <f t="shared" si="12"/>
        <v>0</v>
      </c>
    </row>
    <row r="122" spans="1:154" customFormat="1" ht="18.75" hidden="1">
      <c r="A122" s="392">
        <v>90304</v>
      </c>
      <c r="B122" s="246" t="s">
        <v>410</v>
      </c>
      <c r="C122" s="250"/>
      <c r="D122" s="250"/>
      <c r="E122" s="250"/>
      <c r="F122" s="250">
        <f t="shared" si="11"/>
        <v>0</v>
      </c>
      <c r="G122" s="250"/>
      <c r="H122" s="250"/>
      <c r="I122" s="250"/>
      <c r="J122" s="250"/>
      <c r="K122" s="250"/>
      <c r="L122" s="250"/>
      <c r="M122" s="251">
        <f t="shared" si="10"/>
        <v>0</v>
      </c>
      <c r="N122" s="3"/>
      <c r="O122" s="14">
        <f t="shared" si="12"/>
        <v>0</v>
      </c>
    </row>
    <row r="123" spans="1:154" customFormat="1" ht="37.5" hidden="1">
      <c r="A123" s="399">
        <v>90401</v>
      </c>
      <c r="B123" s="400" t="s">
        <v>93</v>
      </c>
      <c r="C123" s="254"/>
      <c r="D123" s="254"/>
      <c r="E123" s="254"/>
      <c r="F123" s="254">
        <f t="shared" si="11"/>
        <v>0</v>
      </c>
      <c r="G123" s="254"/>
      <c r="H123" s="254"/>
      <c r="I123" s="254"/>
      <c r="J123" s="254"/>
      <c r="K123" s="254"/>
      <c r="L123" s="254"/>
      <c r="M123" s="251">
        <f t="shared" si="10"/>
        <v>0</v>
      </c>
      <c r="N123" s="3"/>
      <c r="O123" s="14">
        <f t="shared" si="12"/>
        <v>0</v>
      </c>
    </row>
    <row r="124" spans="1:154" customFormat="1" ht="18.75">
      <c r="A124" s="650" t="s">
        <v>706</v>
      </c>
      <c r="B124" s="292" t="s">
        <v>94</v>
      </c>
      <c r="C124" s="652">
        <v>10600</v>
      </c>
      <c r="D124" s="408"/>
      <c r="E124" s="408"/>
      <c r="F124" s="408">
        <f t="shared" si="11"/>
        <v>0</v>
      </c>
      <c r="G124" s="408"/>
      <c r="H124" s="408"/>
      <c r="I124" s="408"/>
      <c r="J124" s="408"/>
      <c r="K124" s="408"/>
      <c r="L124" s="408"/>
      <c r="M124" s="648">
        <f t="shared" si="10"/>
        <v>10600</v>
      </c>
      <c r="N124" s="3">
        <f t="shared" ref="N124:N137" si="14">+M124</f>
        <v>10600</v>
      </c>
      <c r="O124" s="14">
        <f t="shared" si="12"/>
        <v>10600</v>
      </c>
    </row>
    <row r="125" spans="1:154" customFormat="1" ht="56.25" hidden="1">
      <c r="A125" s="392">
        <v>90405</v>
      </c>
      <c r="B125" s="246" t="s">
        <v>425</v>
      </c>
      <c r="C125" s="254"/>
      <c r="D125" s="254"/>
      <c r="E125" s="254"/>
      <c r="F125" s="254">
        <f t="shared" si="11"/>
        <v>0</v>
      </c>
      <c r="G125" s="254"/>
      <c r="H125" s="254"/>
      <c r="I125" s="254"/>
      <c r="J125" s="254"/>
      <c r="K125" s="254"/>
      <c r="L125" s="254"/>
      <c r="M125" s="251">
        <f t="shared" si="10"/>
        <v>0</v>
      </c>
      <c r="N125" s="3">
        <f t="shared" si="14"/>
        <v>0</v>
      </c>
      <c r="O125" s="14">
        <f t="shared" si="12"/>
        <v>0</v>
      </c>
    </row>
    <row r="126" spans="1:154" customFormat="1" ht="37.5" hidden="1">
      <c r="A126" s="392">
        <v>90411</v>
      </c>
      <c r="B126" s="246" t="s">
        <v>426</v>
      </c>
      <c r="C126" s="254"/>
      <c r="D126" s="254"/>
      <c r="E126" s="254"/>
      <c r="F126" s="254">
        <f t="shared" si="11"/>
        <v>0</v>
      </c>
      <c r="G126" s="254"/>
      <c r="H126" s="254"/>
      <c r="I126" s="254"/>
      <c r="J126" s="254"/>
      <c r="K126" s="254"/>
      <c r="L126" s="254"/>
      <c r="M126" s="251">
        <f t="shared" si="10"/>
        <v>0</v>
      </c>
      <c r="N126" s="3">
        <f t="shared" si="14"/>
        <v>0</v>
      </c>
      <c r="O126" s="14">
        <f t="shared" si="12"/>
        <v>0</v>
      </c>
    </row>
    <row r="127" spans="1:154" customFormat="1" ht="18.75">
      <c r="A127" s="650" t="s">
        <v>1140</v>
      </c>
      <c r="B127" s="292" t="s">
        <v>317</v>
      </c>
      <c r="C127" s="652">
        <v>14405000</v>
      </c>
      <c r="D127" s="652"/>
      <c r="E127" s="652"/>
      <c r="F127" s="652">
        <f t="shared" si="11"/>
        <v>0</v>
      </c>
      <c r="G127" s="652"/>
      <c r="H127" s="652"/>
      <c r="I127" s="652"/>
      <c r="J127" s="652"/>
      <c r="K127" s="652"/>
      <c r="L127" s="652"/>
      <c r="M127" s="648">
        <f t="shared" si="10"/>
        <v>14405000</v>
      </c>
      <c r="N127" s="3">
        <f t="shared" si="14"/>
        <v>14405000</v>
      </c>
      <c r="O127" s="14">
        <f t="shared" si="12"/>
        <v>14405000</v>
      </c>
    </row>
    <row r="128" spans="1:154" s="1" customFormat="1" ht="18.75" hidden="1">
      <c r="A128" s="237"/>
      <c r="B128" s="292" t="s">
        <v>52</v>
      </c>
      <c r="C128" s="486"/>
      <c r="D128" s="486"/>
      <c r="E128" s="486"/>
      <c r="F128" s="486">
        <f t="shared" si="11"/>
        <v>0</v>
      </c>
      <c r="G128" s="486"/>
      <c r="H128" s="486"/>
      <c r="I128" s="486"/>
      <c r="J128" s="486"/>
      <c r="K128" s="486"/>
      <c r="L128" s="486"/>
      <c r="M128" s="477">
        <f t="shared" si="10"/>
        <v>0</v>
      </c>
      <c r="N128" s="3">
        <f t="shared" si="14"/>
        <v>0</v>
      </c>
      <c r="O128" s="14"/>
    </row>
    <row r="129" spans="1:154" s="1" customFormat="1" ht="115.15" hidden="1" customHeight="1">
      <c r="A129" s="237"/>
      <c r="B129" s="543" t="s">
        <v>252</v>
      </c>
      <c r="C129" s="466">
        <v>290000</v>
      </c>
      <c r="D129" s="486"/>
      <c r="E129" s="486"/>
      <c r="F129" s="486"/>
      <c r="G129" s="486"/>
      <c r="H129" s="486"/>
      <c r="I129" s="486"/>
      <c r="J129" s="486"/>
      <c r="K129" s="486"/>
      <c r="L129" s="486"/>
      <c r="M129" s="457">
        <f t="shared" si="10"/>
        <v>290000</v>
      </c>
      <c r="N129" s="3"/>
      <c r="O129" s="14"/>
    </row>
    <row r="130" spans="1:154" ht="99.6" hidden="1" customHeight="1">
      <c r="A130" s="237"/>
      <c r="B130" s="269" t="s">
        <v>253</v>
      </c>
      <c r="C130" s="458">
        <v>1000000</v>
      </c>
      <c r="D130" s="458"/>
      <c r="E130" s="458"/>
      <c r="F130" s="458">
        <f t="shared" si="11"/>
        <v>0</v>
      </c>
      <c r="G130" s="458"/>
      <c r="H130" s="458"/>
      <c r="I130" s="458"/>
      <c r="J130" s="458"/>
      <c r="K130" s="458"/>
      <c r="L130" s="458"/>
      <c r="M130" s="457">
        <f t="shared" si="10"/>
        <v>1000000</v>
      </c>
      <c r="N130" s="3">
        <f t="shared" si="14"/>
        <v>1000000</v>
      </c>
      <c r="O130" s="14"/>
      <c r="P130" s="54">
        <v>1</v>
      </c>
    </row>
    <row r="131" spans="1:154" ht="78" hidden="1" customHeight="1">
      <c r="A131" s="237"/>
      <c r="B131" s="269" t="s">
        <v>254</v>
      </c>
      <c r="C131" s="458">
        <v>65000</v>
      </c>
      <c r="D131" s="458"/>
      <c r="E131" s="458"/>
      <c r="F131" s="458"/>
      <c r="G131" s="458"/>
      <c r="H131" s="458"/>
      <c r="I131" s="458"/>
      <c r="J131" s="458"/>
      <c r="K131" s="458"/>
      <c r="L131" s="458"/>
      <c r="M131" s="457">
        <f t="shared" si="10"/>
        <v>65000</v>
      </c>
      <c r="N131" s="3"/>
      <c r="O131" s="14"/>
    </row>
    <row r="132" spans="1:154" ht="78" hidden="1" customHeight="1">
      <c r="A132" s="237"/>
      <c r="B132" s="292" t="s">
        <v>972</v>
      </c>
      <c r="C132" s="458">
        <v>10000000</v>
      </c>
      <c r="D132" s="458"/>
      <c r="E132" s="458"/>
      <c r="F132" s="458"/>
      <c r="G132" s="458"/>
      <c r="H132" s="458"/>
      <c r="I132" s="458"/>
      <c r="J132" s="458"/>
      <c r="K132" s="458"/>
      <c r="L132" s="458"/>
      <c r="M132" s="457">
        <f t="shared" si="10"/>
        <v>10000000</v>
      </c>
      <c r="N132" s="3"/>
      <c r="O132" s="14"/>
    </row>
    <row r="133" spans="1:154" ht="111.6" hidden="1" customHeight="1">
      <c r="A133" s="237"/>
      <c r="B133" s="453" t="s">
        <v>255</v>
      </c>
      <c r="C133" s="458">
        <v>500000</v>
      </c>
      <c r="D133" s="458"/>
      <c r="E133" s="458"/>
      <c r="F133" s="458"/>
      <c r="G133" s="458"/>
      <c r="H133" s="458"/>
      <c r="I133" s="458"/>
      <c r="J133" s="458"/>
      <c r="K133" s="458"/>
      <c r="L133" s="458"/>
      <c r="M133" s="457">
        <f>+C133+F133</f>
        <v>500000</v>
      </c>
      <c r="N133" s="3"/>
      <c r="O133" s="14"/>
    </row>
    <row r="134" spans="1:154" ht="103.15" hidden="1" customHeight="1">
      <c r="A134" s="237"/>
      <c r="B134" s="527" t="s">
        <v>1304</v>
      </c>
      <c r="C134" s="458">
        <v>2550000</v>
      </c>
      <c r="D134" s="458"/>
      <c r="E134" s="458"/>
      <c r="F134" s="458"/>
      <c r="G134" s="458"/>
      <c r="H134" s="458"/>
      <c r="I134" s="458"/>
      <c r="J134" s="458"/>
      <c r="K134" s="458"/>
      <c r="L134" s="458"/>
      <c r="M134" s="457">
        <f>+C134+F134</f>
        <v>2550000</v>
      </c>
      <c r="N134" s="3"/>
      <c r="O134" s="14"/>
    </row>
    <row r="135" spans="1:154" customFormat="1" ht="18.75" hidden="1">
      <c r="A135" s="252">
        <v>90412</v>
      </c>
      <c r="B135" s="253" t="s">
        <v>427</v>
      </c>
      <c r="C135" s="254"/>
      <c r="D135" s="254"/>
      <c r="E135" s="254"/>
      <c r="F135" s="254">
        <f t="shared" si="11"/>
        <v>0</v>
      </c>
      <c r="G135" s="254"/>
      <c r="H135" s="254"/>
      <c r="I135" s="254"/>
      <c r="J135" s="254"/>
      <c r="K135" s="254"/>
      <c r="L135" s="254"/>
      <c r="M135" s="251">
        <f t="shared" si="10"/>
        <v>0</v>
      </c>
      <c r="N135" s="3">
        <f t="shared" si="14"/>
        <v>0</v>
      </c>
      <c r="O135" s="14">
        <f t="shared" si="12"/>
        <v>0</v>
      </c>
    </row>
    <row r="136" spans="1:154" customFormat="1" ht="18.75" hidden="1">
      <c r="A136" s="229"/>
      <c r="B136" s="230" t="s">
        <v>995</v>
      </c>
      <c r="C136" s="254"/>
      <c r="D136" s="254"/>
      <c r="E136" s="254"/>
      <c r="F136" s="254">
        <f t="shared" si="11"/>
        <v>0</v>
      </c>
      <c r="G136" s="254"/>
      <c r="H136" s="254"/>
      <c r="I136" s="254"/>
      <c r="J136" s="254"/>
      <c r="K136" s="254"/>
      <c r="L136" s="254"/>
      <c r="M136" s="251">
        <f t="shared" si="10"/>
        <v>0</v>
      </c>
      <c r="N136" s="3">
        <f t="shared" si="14"/>
        <v>0</v>
      </c>
      <c r="O136" s="14">
        <f t="shared" si="12"/>
        <v>0</v>
      </c>
    </row>
    <row r="137" spans="1:154" s="35" customFormat="1" ht="37.5" hidden="1">
      <c r="A137" s="507" t="s">
        <v>505</v>
      </c>
      <c r="B137" s="230" t="s">
        <v>1151</v>
      </c>
      <c r="C137" s="464">
        <f>49034500-49034500</f>
        <v>0</v>
      </c>
      <c r="D137" s="464"/>
      <c r="E137" s="464"/>
      <c r="F137" s="464">
        <f t="shared" si="11"/>
        <v>0</v>
      </c>
      <c r="G137" s="464"/>
      <c r="H137" s="464"/>
      <c r="I137" s="464"/>
      <c r="J137" s="464"/>
      <c r="K137" s="464"/>
      <c r="L137" s="464"/>
      <c r="M137" s="457">
        <f t="shared" si="10"/>
        <v>0</v>
      </c>
      <c r="N137" s="3">
        <f t="shared" si="14"/>
        <v>0</v>
      </c>
      <c r="O137" s="14">
        <f t="shared" si="12"/>
        <v>0</v>
      </c>
      <c r="P137" s="97">
        <v>1</v>
      </c>
      <c r="Q137" s="97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</row>
    <row r="138" spans="1:154" s="35" customFormat="1" ht="37.5">
      <c r="A138" s="650" t="s">
        <v>337</v>
      </c>
      <c r="B138" s="352" t="s">
        <v>763</v>
      </c>
      <c r="C138" s="502">
        <v>737300</v>
      </c>
      <c r="D138" s="502"/>
      <c r="E138" s="502"/>
      <c r="F138" s="502">
        <f t="shared" si="11"/>
        <v>0</v>
      </c>
      <c r="G138" s="502"/>
      <c r="H138" s="502"/>
      <c r="I138" s="502"/>
      <c r="J138" s="502"/>
      <c r="K138" s="502"/>
      <c r="L138" s="502"/>
      <c r="M138" s="648">
        <f t="shared" si="10"/>
        <v>737300</v>
      </c>
      <c r="N138" s="34"/>
      <c r="O138" s="14">
        <f t="shared" si="12"/>
        <v>737300</v>
      </c>
      <c r="P138" s="97"/>
      <c r="Q138" s="97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</row>
    <row r="139" spans="1:154" s="35" customFormat="1" ht="18.75">
      <c r="A139" s="650" t="s">
        <v>1014</v>
      </c>
      <c r="B139" s="292" t="s">
        <v>1025</v>
      </c>
      <c r="C139" s="502">
        <v>8713400</v>
      </c>
      <c r="D139" s="502">
        <v>4186300</v>
      </c>
      <c r="E139" s="502">
        <v>831100</v>
      </c>
      <c r="F139" s="502">
        <f t="shared" si="11"/>
        <v>1539000</v>
      </c>
      <c r="G139" s="502">
        <v>1422000</v>
      </c>
      <c r="H139" s="502"/>
      <c r="I139" s="502"/>
      <c r="J139" s="502">
        <v>117000</v>
      </c>
      <c r="K139" s="502">
        <v>20000</v>
      </c>
      <c r="L139" s="502">
        <v>20000</v>
      </c>
      <c r="M139" s="648">
        <f t="shared" si="10"/>
        <v>10252400</v>
      </c>
      <c r="N139" s="34"/>
      <c r="O139" s="14">
        <f t="shared" si="12"/>
        <v>10252400</v>
      </c>
      <c r="P139" s="97"/>
      <c r="Q139" s="97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</row>
    <row r="140" spans="1:154" ht="56.25">
      <c r="A140" s="650" t="s">
        <v>707</v>
      </c>
      <c r="B140" s="292" t="s">
        <v>1397</v>
      </c>
      <c r="C140" s="653">
        <f>1818700+393700</f>
        <v>2212400</v>
      </c>
      <c r="D140" s="653">
        <f>764800+254900</f>
        <v>1019700</v>
      </c>
      <c r="E140" s="653">
        <f>175200+31300</f>
        <v>206500</v>
      </c>
      <c r="F140" s="653">
        <f t="shared" si="11"/>
        <v>350000</v>
      </c>
      <c r="G140" s="653"/>
      <c r="H140" s="653"/>
      <c r="I140" s="653"/>
      <c r="J140" s="653">
        <v>350000</v>
      </c>
      <c r="K140" s="653">
        <v>350000</v>
      </c>
      <c r="L140" s="653">
        <v>350000</v>
      </c>
      <c r="M140" s="648">
        <f t="shared" si="10"/>
        <v>2562400</v>
      </c>
      <c r="N140">
        <f>+M140</f>
        <v>2562400</v>
      </c>
      <c r="O140" s="14">
        <f t="shared" si="12"/>
        <v>2562400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</row>
    <row r="141" spans="1:154" ht="18.75">
      <c r="A141" s="650" t="s">
        <v>498</v>
      </c>
      <c r="B141" s="292" t="s">
        <v>615</v>
      </c>
      <c r="C141" s="653">
        <v>238000</v>
      </c>
      <c r="D141" s="653"/>
      <c r="E141" s="653"/>
      <c r="F141" s="653">
        <f t="shared" si="11"/>
        <v>0</v>
      </c>
      <c r="G141" s="653"/>
      <c r="H141" s="653"/>
      <c r="I141" s="653"/>
      <c r="J141" s="653"/>
      <c r="K141" s="653"/>
      <c r="L141" s="653"/>
      <c r="M141" s="648">
        <f t="shared" si="10"/>
        <v>238000</v>
      </c>
      <c r="O141" s="14">
        <f t="shared" si="12"/>
        <v>238000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</row>
    <row r="142" spans="1:154" ht="37.5">
      <c r="A142" s="650" t="s">
        <v>1015</v>
      </c>
      <c r="B142" s="292" t="s">
        <v>158</v>
      </c>
      <c r="C142" s="651">
        <v>53852800</v>
      </c>
      <c r="D142" s="651">
        <v>27061000</v>
      </c>
      <c r="E142" s="651">
        <v>7707000</v>
      </c>
      <c r="F142" s="651">
        <f t="shared" si="11"/>
        <v>20948000</v>
      </c>
      <c r="G142" s="651">
        <v>19343000</v>
      </c>
      <c r="H142" s="651"/>
      <c r="I142" s="651">
        <v>68000</v>
      </c>
      <c r="J142" s="651">
        <v>1605000</v>
      </c>
      <c r="K142" s="651">
        <v>600000</v>
      </c>
      <c r="L142" s="651">
        <v>600000</v>
      </c>
      <c r="M142" s="648">
        <f t="shared" si="10"/>
        <v>74800800</v>
      </c>
      <c r="N142" s="3">
        <f>+M142</f>
        <v>74800800</v>
      </c>
      <c r="O142" s="14">
        <f t="shared" si="12"/>
        <v>74800800</v>
      </c>
      <c r="P142" s="54">
        <v>1</v>
      </c>
    </row>
    <row r="143" spans="1:154" ht="18.75" hidden="1">
      <c r="A143" s="401">
        <v>91000</v>
      </c>
      <c r="B143" s="240" t="s">
        <v>1472</v>
      </c>
      <c r="C143" s="231"/>
      <c r="D143" s="231"/>
      <c r="E143" s="231"/>
      <c r="F143" s="231">
        <f t="shared" si="11"/>
        <v>0</v>
      </c>
      <c r="G143" s="231"/>
      <c r="H143" s="231"/>
      <c r="I143" s="231"/>
      <c r="J143" s="231"/>
      <c r="K143" s="231"/>
      <c r="L143" s="231"/>
      <c r="M143" s="228">
        <f t="shared" si="10"/>
        <v>0</v>
      </c>
      <c r="N143" s="3"/>
      <c r="O143" s="14">
        <f t="shared" si="12"/>
        <v>0</v>
      </c>
    </row>
    <row r="144" spans="1:154" ht="37.5" hidden="1">
      <c r="A144" s="401"/>
      <c r="B144" s="260" t="s">
        <v>679</v>
      </c>
      <c r="C144" s="231"/>
      <c r="D144" s="231"/>
      <c r="E144" s="231"/>
      <c r="F144" s="231">
        <f t="shared" si="11"/>
        <v>0</v>
      </c>
      <c r="G144" s="231"/>
      <c r="H144" s="231"/>
      <c r="I144" s="231"/>
      <c r="J144" s="231"/>
      <c r="K144" s="231"/>
      <c r="L144" s="231"/>
      <c r="M144" s="228">
        <f t="shared" si="10"/>
        <v>0</v>
      </c>
      <c r="N144" s="3">
        <f>+M144</f>
        <v>0</v>
      </c>
      <c r="O144" s="14">
        <f t="shared" si="12"/>
        <v>0</v>
      </c>
      <c r="P144" s="54">
        <v>1</v>
      </c>
    </row>
    <row r="145" spans="1:154" ht="37.5">
      <c r="A145" s="650" t="s">
        <v>536</v>
      </c>
      <c r="B145" s="292" t="s">
        <v>933</v>
      </c>
      <c r="C145" s="651">
        <f>1254600+5200</f>
        <v>1259800</v>
      </c>
      <c r="D145" s="651">
        <v>813200</v>
      </c>
      <c r="E145" s="651">
        <f>67500+5200</f>
        <v>72700</v>
      </c>
      <c r="F145" s="651">
        <f t="shared" si="11"/>
        <v>30000</v>
      </c>
      <c r="G145" s="651">
        <v>30000</v>
      </c>
      <c r="H145" s="651"/>
      <c r="I145" s="651"/>
      <c r="J145" s="651"/>
      <c r="K145" s="651"/>
      <c r="L145" s="651"/>
      <c r="M145" s="648">
        <f t="shared" si="10"/>
        <v>1289800</v>
      </c>
      <c r="N145" s="3">
        <f>+M145</f>
        <v>1289800</v>
      </c>
      <c r="O145" s="14">
        <f t="shared" si="12"/>
        <v>1289800</v>
      </c>
      <c r="P145" s="54">
        <v>1</v>
      </c>
    </row>
    <row r="146" spans="1:154" s="35" customFormat="1" ht="18.75" hidden="1">
      <c r="A146" s="252"/>
      <c r="B146" s="253"/>
      <c r="C146" s="231"/>
      <c r="D146" s="231"/>
      <c r="E146" s="231"/>
      <c r="F146" s="232">
        <f t="shared" si="11"/>
        <v>0</v>
      </c>
      <c r="G146" s="232"/>
      <c r="H146" s="232"/>
      <c r="I146" s="232"/>
      <c r="J146" s="232"/>
      <c r="K146" s="232"/>
      <c r="L146" s="232"/>
      <c r="M146" s="228">
        <f t="shared" si="10"/>
        <v>0</v>
      </c>
      <c r="N146" s="3">
        <f>+M146</f>
        <v>0</v>
      </c>
      <c r="O146" s="14">
        <f t="shared" si="12"/>
        <v>0</v>
      </c>
      <c r="P146" s="85">
        <v>1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</row>
    <row r="147" spans="1:154" ht="37.5">
      <c r="A147" s="650" t="s">
        <v>537</v>
      </c>
      <c r="B147" s="292" t="s">
        <v>934</v>
      </c>
      <c r="C147" s="651">
        <v>106500</v>
      </c>
      <c r="D147" s="651"/>
      <c r="E147" s="651"/>
      <c r="F147" s="651">
        <f t="shared" si="11"/>
        <v>0</v>
      </c>
      <c r="G147" s="651"/>
      <c r="H147" s="651"/>
      <c r="I147" s="651"/>
      <c r="J147" s="651"/>
      <c r="K147" s="651"/>
      <c r="L147" s="651"/>
      <c r="M147" s="648">
        <f t="shared" si="10"/>
        <v>106500</v>
      </c>
      <c r="N147" s="3">
        <f>+M147</f>
        <v>106500</v>
      </c>
      <c r="O147" s="14">
        <f t="shared" si="12"/>
        <v>106500</v>
      </c>
      <c r="P147" s="54">
        <v>1</v>
      </c>
    </row>
    <row r="148" spans="1:154" ht="37.5">
      <c r="A148" s="650" t="s">
        <v>538</v>
      </c>
      <c r="B148" s="292" t="s">
        <v>1049</v>
      </c>
      <c r="C148" s="651">
        <f>879400+665100+100000+100000</f>
        <v>1744500</v>
      </c>
      <c r="D148" s="651"/>
      <c r="E148" s="651"/>
      <c r="F148" s="651">
        <f t="shared" si="11"/>
        <v>0</v>
      </c>
      <c r="G148" s="651"/>
      <c r="H148" s="651"/>
      <c r="I148" s="651"/>
      <c r="J148" s="651"/>
      <c r="K148" s="651"/>
      <c r="L148" s="651"/>
      <c r="M148" s="648">
        <f t="shared" si="10"/>
        <v>1744500</v>
      </c>
      <c r="N148" s="3">
        <f>+M148</f>
        <v>1744500</v>
      </c>
      <c r="O148" s="14">
        <f t="shared" si="12"/>
        <v>1744500</v>
      </c>
      <c r="P148" s="54">
        <v>1</v>
      </c>
    </row>
    <row r="149" spans="1:154" ht="37.5" hidden="1">
      <c r="A149" s="392">
        <v>91104</v>
      </c>
      <c r="B149" s="246" t="s">
        <v>325</v>
      </c>
      <c r="C149" s="234"/>
      <c r="D149" s="234"/>
      <c r="E149" s="234"/>
      <c r="F149" s="231">
        <f t="shared" si="11"/>
        <v>0</v>
      </c>
      <c r="G149" s="234"/>
      <c r="H149" s="234"/>
      <c r="I149" s="234"/>
      <c r="J149" s="234"/>
      <c r="K149" s="234"/>
      <c r="L149" s="234"/>
      <c r="M149" s="228">
        <f t="shared" si="10"/>
        <v>0</v>
      </c>
      <c r="N149" s="3"/>
      <c r="O149" s="14">
        <f t="shared" si="12"/>
        <v>0</v>
      </c>
    </row>
    <row r="150" spans="1:154" ht="18.75" hidden="1">
      <c r="A150" s="392">
        <v>91105</v>
      </c>
      <c r="B150" s="246" t="s">
        <v>721</v>
      </c>
      <c r="C150" s="231"/>
      <c r="D150" s="231"/>
      <c r="E150" s="231"/>
      <c r="F150" s="231">
        <f t="shared" si="11"/>
        <v>0</v>
      </c>
      <c r="G150" s="231"/>
      <c r="H150" s="231"/>
      <c r="I150" s="231"/>
      <c r="J150" s="231"/>
      <c r="K150" s="231"/>
      <c r="L150" s="231"/>
      <c r="M150" s="228">
        <f t="shared" si="10"/>
        <v>0</v>
      </c>
      <c r="N150" s="3">
        <f>+M150</f>
        <v>0</v>
      </c>
      <c r="O150" s="14">
        <f t="shared" si="12"/>
        <v>0</v>
      </c>
      <c r="P150" s="54">
        <v>1</v>
      </c>
    </row>
    <row r="151" spans="1:154" ht="21" customHeight="1">
      <c r="A151" s="650" t="s">
        <v>333</v>
      </c>
      <c r="B151" s="292" t="s">
        <v>866</v>
      </c>
      <c r="C151" s="563">
        <f>1187100+190500+6800</f>
        <v>1384400</v>
      </c>
      <c r="D151" s="563">
        <f>616900+121100</f>
        <v>738000</v>
      </c>
      <c r="E151" s="563">
        <f>137600+20600+6800</f>
        <v>165000</v>
      </c>
      <c r="F151" s="563">
        <f t="shared" si="11"/>
        <v>5000</v>
      </c>
      <c r="G151" s="651">
        <v>5000</v>
      </c>
      <c r="H151" s="563"/>
      <c r="I151" s="563"/>
      <c r="J151" s="563"/>
      <c r="K151" s="563"/>
      <c r="L151" s="563"/>
      <c r="M151" s="648">
        <f t="shared" si="10"/>
        <v>1389400</v>
      </c>
      <c r="N151" s="3"/>
      <c r="O151" s="14">
        <f t="shared" si="12"/>
        <v>1389400</v>
      </c>
    </row>
    <row r="152" spans="1:154" ht="93.75">
      <c r="A152" s="650" t="s">
        <v>900</v>
      </c>
      <c r="B152" s="329" t="s">
        <v>62</v>
      </c>
      <c r="C152" s="651">
        <f>6375900+6158600-100000-12000</f>
        <v>12422500</v>
      </c>
      <c r="D152" s="651"/>
      <c r="E152" s="651"/>
      <c r="F152" s="651">
        <f t="shared" si="11"/>
        <v>550000</v>
      </c>
      <c r="G152" s="651">
        <v>550000</v>
      </c>
      <c r="H152" s="651"/>
      <c r="I152" s="651"/>
      <c r="J152" s="651"/>
      <c r="K152" s="651"/>
      <c r="L152" s="651"/>
      <c r="M152" s="648">
        <f t="shared" si="10"/>
        <v>12972500</v>
      </c>
      <c r="N152" s="3">
        <f t="shared" ref="N152:N158" si="15">+M152</f>
        <v>12972500</v>
      </c>
      <c r="O152" s="14">
        <f t="shared" si="12"/>
        <v>12972500</v>
      </c>
      <c r="P152" s="54">
        <v>1</v>
      </c>
    </row>
    <row r="153" spans="1:154" ht="56.25" hidden="1">
      <c r="A153" s="229"/>
      <c r="B153" s="243" t="s">
        <v>975</v>
      </c>
      <c r="C153" s="231"/>
      <c r="D153" s="231"/>
      <c r="E153" s="231"/>
      <c r="F153" s="231"/>
      <c r="G153" s="231"/>
      <c r="H153" s="231"/>
      <c r="I153" s="231"/>
      <c r="J153" s="231"/>
      <c r="K153" s="231"/>
      <c r="L153" s="231"/>
      <c r="M153" s="228">
        <f t="shared" si="10"/>
        <v>0</v>
      </c>
      <c r="N153" s="3"/>
      <c r="O153" s="14">
        <f t="shared" si="12"/>
        <v>0</v>
      </c>
    </row>
    <row r="154" spans="1:154" ht="37.5" hidden="1">
      <c r="A154" s="229">
        <v>91109</v>
      </c>
      <c r="B154" s="243" t="s">
        <v>756</v>
      </c>
      <c r="C154" s="231"/>
      <c r="D154" s="231"/>
      <c r="E154" s="231"/>
      <c r="F154" s="231">
        <f t="shared" si="11"/>
        <v>0</v>
      </c>
      <c r="G154" s="231"/>
      <c r="H154" s="231"/>
      <c r="I154" s="231"/>
      <c r="J154" s="231"/>
      <c r="K154" s="231"/>
      <c r="L154" s="231"/>
      <c r="M154" s="228">
        <f t="shared" si="10"/>
        <v>0</v>
      </c>
      <c r="N154" s="3">
        <f t="shared" si="15"/>
        <v>0</v>
      </c>
      <c r="O154" s="14">
        <f t="shared" si="12"/>
        <v>0</v>
      </c>
      <c r="P154" s="54">
        <v>1</v>
      </c>
    </row>
    <row r="155" spans="1:154" customFormat="1" ht="56.25" hidden="1">
      <c r="A155" s="392">
        <v>91201</v>
      </c>
      <c r="B155" s="246" t="s">
        <v>133</v>
      </c>
      <c r="C155" s="254"/>
      <c r="D155" s="254"/>
      <c r="E155" s="254"/>
      <c r="F155" s="254">
        <f t="shared" si="11"/>
        <v>0</v>
      </c>
      <c r="G155" s="254"/>
      <c r="H155" s="254"/>
      <c r="I155" s="254"/>
      <c r="J155" s="254"/>
      <c r="K155" s="254"/>
      <c r="L155" s="254"/>
      <c r="M155" s="251">
        <f t="shared" si="10"/>
        <v>0</v>
      </c>
      <c r="N155" s="3">
        <f t="shared" si="15"/>
        <v>0</v>
      </c>
      <c r="O155" s="14">
        <f t="shared" si="12"/>
        <v>0</v>
      </c>
    </row>
    <row r="156" spans="1:154" customFormat="1" ht="18.75">
      <c r="A156" s="650" t="s">
        <v>1016</v>
      </c>
      <c r="B156" s="292" t="s">
        <v>983</v>
      </c>
      <c r="C156" s="652">
        <v>9216500</v>
      </c>
      <c r="D156" s="652">
        <v>4098400</v>
      </c>
      <c r="E156" s="652">
        <v>954900</v>
      </c>
      <c r="F156" s="652">
        <f t="shared" si="11"/>
        <v>90000</v>
      </c>
      <c r="G156" s="652"/>
      <c r="H156" s="652"/>
      <c r="I156" s="652"/>
      <c r="J156" s="652">
        <v>90000</v>
      </c>
      <c r="K156" s="652">
        <v>90000</v>
      </c>
      <c r="L156" s="652">
        <v>90000</v>
      </c>
      <c r="M156" s="648">
        <f t="shared" si="10"/>
        <v>9306500</v>
      </c>
      <c r="N156" s="3">
        <f t="shared" si="15"/>
        <v>9306500</v>
      </c>
      <c r="O156" s="14">
        <f t="shared" si="12"/>
        <v>9306500</v>
      </c>
    </row>
    <row r="157" spans="1:154" ht="37.5">
      <c r="A157" s="650" t="s">
        <v>1192</v>
      </c>
      <c r="B157" s="654" t="s">
        <v>1193</v>
      </c>
      <c r="C157" s="651">
        <f>2353700-98000</f>
        <v>2255700</v>
      </c>
      <c r="D157" s="651">
        <v>884400</v>
      </c>
      <c r="E157" s="651">
        <v>38000</v>
      </c>
      <c r="F157" s="651">
        <f t="shared" si="11"/>
        <v>140000</v>
      </c>
      <c r="G157" s="651"/>
      <c r="H157" s="651"/>
      <c r="I157" s="651"/>
      <c r="J157" s="651">
        <v>140000</v>
      </c>
      <c r="K157" s="651">
        <v>140000</v>
      </c>
      <c r="L157" s="651">
        <v>140000</v>
      </c>
      <c r="M157" s="648">
        <f t="shared" si="10"/>
        <v>2395700</v>
      </c>
      <c r="N157" s="3">
        <f t="shared" si="15"/>
        <v>2395700</v>
      </c>
      <c r="O157" s="14">
        <f t="shared" si="12"/>
        <v>2395700</v>
      </c>
      <c r="P157" s="54">
        <v>1</v>
      </c>
    </row>
    <row r="158" spans="1:154" customFormat="1" ht="56.25" hidden="1">
      <c r="A158" s="392">
        <v>91207</v>
      </c>
      <c r="B158" s="246" t="s">
        <v>1050</v>
      </c>
      <c r="C158" s="232"/>
      <c r="D158" s="232"/>
      <c r="E158" s="232"/>
      <c r="F158" s="232">
        <f t="shared" si="11"/>
        <v>0</v>
      </c>
      <c r="G158" s="232"/>
      <c r="H158" s="232"/>
      <c r="I158" s="232"/>
      <c r="J158" s="232"/>
      <c r="K158" s="232"/>
      <c r="L158" s="232"/>
      <c r="M158" s="228">
        <f t="shared" si="10"/>
        <v>0</v>
      </c>
      <c r="N158" s="3">
        <f t="shared" si="15"/>
        <v>0</v>
      </c>
      <c r="O158" s="14">
        <f t="shared" si="12"/>
        <v>0</v>
      </c>
      <c r="P158" s="82"/>
      <c r="Q158" s="82"/>
    </row>
    <row r="159" spans="1:154" customFormat="1" ht="37.5">
      <c r="A159" s="650" t="s">
        <v>378</v>
      </c>
      <c r="B159" s="292" t="s">
        <v>47</v>
      </c>
      <c r="C159" s="651">
        <v>260000</v>
      </c>
      <c r="D159" s="651"/>
      <c r="E159" s="651"/>
      <c r="F159" s="651">
        <f t="shared" si="11"/>
        <v>0</v>
      </c>
      <c r="G159" s="651"/>
      <c r="H159" s="651"/>
      <c r="I159" s="651"/>
      <c r="J159" s="651"/>
      <c r="K159" s="651"/>
      <c r="L159" s="651"/>
      <c r="M159" s="648">
        <f t="shared" si="10"/>
        <v>260000</v>
      </c>
      <c r="N159" s="3"/>
      <c r="O159" s="14">
        <f t="shared" si="12"/>
        <v>260000</v>
      </c>
      <c r="P159" s="82"/>
      <c r="Q159" s="82"/>
    </row>
    <row r="160" spans="1:154" customFormat="1" ht="37.5" hidden="1">
      <c r="A160" s="237"/>
      <c r="B160" s="241" t="s">
        <v>989</v>
      </c>
      <c r="C160" s="502">
        <f>200000-200000</f>
        <v>0</v>
      </c>
      <c r="D160" s="459"/>
      <c r="E160" s="459"/>
      <c r="F160" s="459"/>
      <c r="G160" s="459"/>
      <c r="H160" s="459"/>
      <c r="I160" s="459"/>
      <c r="J160" s="459"/>
      <c r="K160" s="459"/>
      <c r="L160" s="459"/>
      <c r="M160" s="457">
        <f t="shared" si="10"/>
        <v>0</v>
      </c>
      <c r="N160" s="3"/>
      <c r="O160" s="14">
        <f t="shared" si="12"/>
        <v>0</v>
      </c>
      <c r="P160" s="82"/>
      <c r="Q160" s="82"/>
    </row>
    <row r="161" spans="1:154" customFormat="1" ht="37.5" hidden="1">
      <c r="A161" s="252">
        <v>91210</v>
      </c>
      <c r="B161" s="402" t="s">
        <v>531</v>
      </c>
      <c r="C161" s="254"/>
      <c r="D161" s="254"/>
      <c r="E161" s="254"/>
      <c r="F161" s="254">
        <f t="shared" si="11"/>
        <v>0</v>
      </c>
      <c r="G161" s="254"/>
      <c r="H161" s="254"/>
      <c r="I161" s="254"/>
      <c r="J161" s="254"/>
      <c r="K161" s="254"/>
      <c r="L161" s="254"/>
      <c r="M161" s="251">
        <f t="shared" si="10"/>
        <v>0</v>
      </c>
      <c r="N161" s="3">
        <f>+M161</f>
        <v>0</v>
      </c>
      <c r="O161" s="14">
        <f t="shared" si="12"/>
        <v>0</v>
      </c>
    </row>
    <row r="162" spans="1:154" ht="37.5" hidden="1">
      <c r="A162" s="252">
        <v>91209</v>
      </c>
      <c r="B162" s="402" t="s">
        <v>47</v>
      </c>
      <c r="C162" s="231"/>
      <c r="D162" s="231"/>
      <c r="E162" s="231"/>
      <c r="F162" s="231">
        <f t="shared" si="11"/>
        <v>0</v>
      </c>
      <c r="G162" s="231"/>
      <c r="H162" s="231"/>
      <c r="I162" s="231"/>
      <c r="J162" s="231"/>
      <c r="K162" s="231"/>
      <c r="L162" s="231"/>
      <c r="M162" s="228">
        <f t="shared" si="10"/>
        <v>0</v>
      </c>
      <c r="N162" s="3">
        <f>+M162</f>
        <v>0</v>
      </c>
      <c r="O162" s="14">
        <f t="shared" si="12"/>
        <v>0</v>
      </c>
      <c r="P162" s="54">
        <v>1</v>
      </c>
    </row>
    <row r="163" spans="1:154" ht="18.75" hidden="1">
      <c r="A163" s="252"/>
      <c r="B163" s="402" t="s">
        <v>747</v>
      </c>
      <c r="C163" s="458"/>
      <c r="D163" s="458"/>
      <c r="E163" s="458"/>
      <c r="F163" s="458"/>
      <c r="G163" s="458"/>
      <c r="H163" s="458"/>
      <c r="I163" s="458"/>
      <c r="J163" s="458"/>
      <c r="K163" s="458"/>
      <c r="L163" s="458"/>
      <c r="M163" s="457"/>
      <c r="N163" s="3"/>
      <c r="O163" s="14"/>
    </row>
    <row r="164" spans="1:154" ht="131.25" hidden="1">
      <c r="A164" s="252"/>
      <c r="B164" s="543" t="s">
        <v>1588</v>
      </c>
      <c r="C164" s="458"/>
      <c r="D164" s="458"/>
      <c r="E164" s="458"/>
      <c r="F164" s="458"/>
      <c r="G164" s="458"/>
      <c r="H164" s="458"/>
      <c r="I164" s="458"/>
      <c r="J164" s="458"/>
      <c r="K164" s="458"/>
      <c r="L164" s="458"/>
      <c r="M164" s="457">
        <f t="shared" ref="M164:M231" si="16">+C164+F164</f>
        <v>0</v>
      </c>
      <c r="N164" s="3"/>
      <c r="O164" s="14">
        <f t="shared" si="12"/>
        <v>0</v>
      </c>
    </row>
    <row r="165" spans="1:154" customFormat="1" ht="37.5">
      <c r="A165" s="650" t="s">
        <v>1141</v>
      </c>
      <c r="B165" s="292" t="s">
        <v>872</v>
      </c>
      <c r="C165" s="563">
        <f>1544100+98000</f>
        <v>1642100</v>
      </c>
      <c r="D165" s="563">
        <f>874000+72000</f>
        <v>946000</v>
      </c>
      <c r="E165" s="563">
        <v>45200</v>
      </c>
      <c r="F165" s="652">
        <f t="shared" si="11"/>
        <v>80000</v>
      </c>
      <c r="G165" s="652"/>
      <c r="H165" s="652"/>
      <c r="I165" s="652"/>
      <c r="J165" s="652">
        <v>80000</v>
      </c>
      <c r="K165" s="652">
        <v>80000</v>
      </c>
      <c r="L165" s="652">
        <v>80000</v>
      </c>
      <c r="M165" s="648">
        <f t="shared" si="16"/>
        <v>1722100</v>
      </c>
      <c r="N165" s="3">
        <f>+M165</f>
        <v>1722100</v>
      </c>
      <c r="O165" s="14">
        <f t="shared" si="12"/>
        <v>1722100</v>
      </c>
    </row>
    <row r="166" spans="1:154" customFormat="1" ht="18.75">
      <c r="A166" s="650" t="s">
        <v>1018</v>
      </c>
      <c r="B166" s="655" t="s">
        <v>1191</v>
      </c>
      <c r="C166" s="563">
        <v>600000</v>
      </c>
      <c r="D166" s="563">
        <v>273100</v>
      </c>
      <c r="E166" s="563">
        <v>8400</v>
      </c>
      <c r="F166" s="652">
        <f>+G166+J166</f>
        <v>0</v>
      </c>
      <c r="G166" s="652"/>
      <c r="H166" s="652"/>
      <c r="I166" s="652"/>
      <c r="J166" s="652"/>
      <c r="K166" s="652"/>
      <c r="L166" s="652"/>
      <c r="M166" s="648">
        <f t="shared" si="16"/>
        <v>600000</v>
      </c>
      <c r="N166" s="3">
        <f>+M166</f>
        <v>600000</v>
      </c>
      <c r="O166" s="14">
        <f t="shared" si="12"/>
        <v>600000</v>
      </c>
    </row>
    <row r="167" spans="1:154" s="35" customFormat="1" ht="56.25">
      <c r="A167" s="650" t="s">
        <v>315</v>
      </c>
      <c r="B167" s="656" t="s">
        <v>1469</v>
      </c>
      <c r="C167" s="651">
        <v>731800</v>
      </c>
      <c r="D167" s="651"/>
      <c r="E167" s="651"/>
      <c r="F167" s="651">
        <f t="shared" si="11"/>
        <v>0</v>
      </c>
      <c r="G167" s="651"/>
      <c r="H167" s="651"/>
      <c r="I167" s="651"/>
      <c r="J167" s="651"/>
      <c r="K167" s="651"/>
      <c r="L167" s="651"/>
      <c r="M167" s="648">
        <f t="shared" si="16"/>
        <v>731800</v>
      </c>
      <c r="N167" s="3"/>
      <c r="O167" s="14">
        <f t="shared" si="12"/>
        <v>731800</v>
      </c>
    </row>
    <row r="168" spans="1:154" s="1" customFormat="1" ht="25.9" customHeight="1">
      <c r="A168" s="650" t="s">
        <v>316</v>
      </c>
      <c r="B168" s="656" t="s">
        <v>1044</v>
      </c>
      <c r="C168" s="502">
        <v>50000</v>
      </c>
      <c r="D168" s="502"/>
      <c r="E168" s="657"/>
      <c r="F168" s="563">
        <f t="shared" ref="F168:F236" si="17">+G168+J168</f>
        <v>0</v>
      </c>
      <c r="G168" s="657"/>
      <c r="H168" s="657"/>
      <c r="I168" s="657"/>
      <c r="J168" s="657"/>
      <c r="K168" s="657"/>
      <c r="L168" s="657"/>
      <c r="M168" s="648">
        <f t="shared" si="16"/>
        <v>50000</v>
      </c>
      <c r="N168" s="3">
        <f>+M168</f>
        <v>50000</v>
      </c>
      <c r="O168" s="14">
        <f t="shared" ref="O168:O236" si="18">+M168</f>
        <v>50000</v>
      </c>
      <c r="P168" s="83">
        <v>1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</row>
    <row r="169" spans="1:154" s="1" customFormat="1" ht="93.75" hidden="1">
      <c r="A169" s="252">
        <v>91301</v>
      </c>
      <c r="B169" s="403" t="s">
        <v>1027</v>
      </c>
      <c r="C169" s="288"/>
      <c r="D169" s="288"/>
      <c r="E169" s="289"/>
      <c r="F169" s="247">
        <f t="shared" si="17"/>
        <v>0</v>
      </c>
      <c r="G169" s="289"/>
      <c r="H169" s="289"/>
      <c r="I169" s="289"/>
      <c r="J169" s="289"/>
      <c r="K169" s="289"/>
      <c r="L169" s="289"/>
      <c r="M169" s="251">
        <f t="shared" si="16"/>
        <v>0</v>
      </c>
      <c r="N169" s="3"/>
      <c r="O169" s="14">
        <f t="shared" si="18"/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</row>
    <row r="170" spans="1:154" ht="18.75">
      <c r="A170" s="658">
        <v>100000</v>
      </c>
      <c r="B170" s="659" t="s">
        <v>1051</v>
      </c>
      <c r="C170" s="651">
        <f>SUM(C171:C181)</f>
        <v>300000</v>
      </c>
      <c r="D170" s="651">
        <f>SUM(D171:D181)</f>
        <v>0</v>
      </c>
      <c r="E170" s="651">
        <f>SUM(E171:E181)</f>
        <v>0</v>
      </c>
      <c r="F170" s="651">
        <f t="shared" si="17"/>
        <v>0</v>
      </c>
      <c r="G170" s="651">
        <f t="shared" ref="G170:L170" si="19">SUM(G171:G181)</f>
        <v>0</v>
      </c>
      <c r="H170" s="651">
        <f t="shared" si="19"/>
        <v>0</v>
      </c>
      <c r="I170" s="651">
        <f t="shared" si="19"/>
        <v>0</v>
      </c>
      <c r="J170" s="651">
        <f t="shared" si="19"/>
        <v>0</v>
      </c>
      <c r="K170" s="651">
        <f t="shared" si="19"/>
        <v>0</v>
      </c>
      <c r="L170" s="651">
        <f t="shared" si="19"/>
        <v>0</v>
      </c>
      <c r="M170" s="648">
        <f t="shared" si="16"/>
        <v>300000</v>
      </c>
      <c r="N170" s="3">
        <f>+M170</f>
        <v>300000</v>
      </c>
      <c r="O170" s="14">
        <f t="shared" si="18"/>
        <v>300000</v>
      </c>
      <c r="P170" s="54">
        <v>1</v>
      </c>
    </row>
    <row r="171" spans="1:154" s="1" customFormat="1" ht="18.75" hidden="1">
      <c r="A171" s="245">
        <v>100101</v>
      </c>
      <c r="B171" s="246" t="s">
        <v>981</v>
      </c>
      <c r="C171" s="247">
        <f>51-51</f>
        <v>0</v>
      </c>
      <c r="D171" s="247">
        <f>51-51</f>
        <v>0</v>
      </c>
      <c r="E171" s="247">
        <f>19.5-19.5</f>
        <v>0</v>
      </c>
      <c r="F171" s="247">
        <f t="shared" si="17"/>
        <v>0</v>
      </c>
      <c r="G171" s="247">
        <f>520-520</f>
        <v>0</v>
      </c>
      <c r="H171" s="247">
        <f>235-235</f>
        <v>0</v>
      </c>
      <c r="I171" s="247"/>
      <c r="J171" s="247">
        <f>980-980</f>
        <v>0</v>
      </c>
      <c r="K171" s="247"/>
      <c r="L171" s="247">
        <f>980-980</f>
        <v>0</v>
      </c>
      <c r="M171" s="251">
        <f t="shared" si="16"/>
        <v>0</v>
      </c>
      <c r="N171">
        <f>+M171</f>
        <v>0</v>
      </c>
      <c r="O171" s="14">
        <f t="shared" si="18"/>
        <v>0</v>
      </c>
      <c r="P171" s="54">
        <v>1</v>
      </c>
      <c r="Q171" s="54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</row>
    <row r="172" spans="1:154" s="1" customFormat="1" ht="56.25" hidden="1">
      <c r="A172" s="245">
        <v>100105</v>
      </c>
      <c r="B172" s="246" t="s">
        <v>79</v>
      </c>
      <c r="C172" s="248"/>
      <c r="D172" s="248"/>
      <c r="E172" s="248"/>
      <c r="F172" s="248">
        <f t="shared" si="17"/>
        <v>0</v>
      </c>
      <c r="G172" s="248"/>
      <c r="H172" s="248"/>
      <c r="I172" s="248"/>
      <c r="J172" s="248"/>
      <c r="K172" s="248"/>
      <c r="L172" s="248"/>
      <c r="M172" s="228">
        <f t="shared" si="16"/>
        <v>0</v>
      </c>
      <c r="N172"/>
      <c r="O172" s="14">
        <f t="shared" si="18"/>
        <v>0</v>
      </c>
      <c r="P172" s="54"/>
      <c r="Q172" s="54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</row>
    <row r="173" spans="1:154" s="1" customFormat="1" ht="18.75" hidden="1">
      <c r="A173" s="245">
        <v>100201</v>
      </c>
      <c r="B173" s="246" t="s">
        <v>80</v>
      </c>
      <c r="C173" s="462"/>
      <c r="D173" s="462"/>
      <c r="E173" s="462"/>
      <c r="F173" s="462">
        <f t="shared" si="17"/>
        <v>0</v>
      </c>
      <c r="G173" s="462"/>
      <c r="H173" s="462"/>
      <c r="I173" s="462"/>
      <c r="J173" s="462">
        <f>300000-300000</f>
        <v>0</v>
      </c>
      <c r="K173" s="462">
        <f>+J173</f>
        <v>0</v>
      </c>
      <c r="L173" s="462">
        <f>+K173</f>
        <v>0</v>
      </c>
      <c r="M173" s="457">
        <f t="shared" si="16"/>
        <v>0</v>
      </c>
      <c r="N173"/>
      <c r="O173" s="14">
        <f t="shared" si="18"/>
        <v>0</v>
      </c>
      <c r="P173" s="54"/>
      <c r="Q173" s="54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</row>
    <row r="174" spans="1:154" ht="18.75" hidden="1">
      <c r="A174" s="245">
        <v>100202</v>
      </c>
      <c r="B174" s="249" t="s">
        <v>1052</v>
      </c>
      <c r="C174" s="247"/>
      <c r="D174" s="247"/>
      <c r="E174" s="247"/>
      <c r="F174" s="247">
        <f t="shared" si="17"/>
        <v>0</v>
      </c>
      <c r="G174" s="247"/>
      <c r="H174" s="247"/>
      <c r="I174" s="247"/>
      <c r="J174" s="247"/>
      <c r="K174" s="247"/>
      <c r="L174" s="247"/>
      <c r="M174" s="251">
        <f t="shared" si="16"/>
        <v>0</v>
      </c>
      <c r="O174" s="14">
        <f t="shared" si="18"/>
        <v>0</v>
      </c>
    </row>
    <row r="175" spans="1:154" s="35" customFormat="1" ht="18.75" hidden="1">
      <c r="A175" s="245">
        <v>100203</v>
      </c>
      <c r="B175" s="246" t="s">
        <v>65</v>
      </c>
      <c r="C175" s="250"/>
      <c r="D175" s="250"/>
      <c r="E175" s="250"/>
      <c r="F175" s="250">
        <f t="shared" si="17"/>
        <v>0</v>
      </c>
      <c r="G175" s="250"/>
      <c r="H175" s="250"/>
      <c r="I175" s="250"/>
      <c r="J175" s="250"/>
      <c r="K175" s="250"/>
      <c r="L175" s="250"/>
      <c r="M175" s="251">
        <f t="shared" si="16"/>
        <v>0</v>
      </c>
      <c r="N175" s="3">
        <f>+M175</f>
        <v>0</v>
      </c>
      <c r="O175" s="14">
        <f t="shared" si="18"/>
        <v>0</v>
      </c>
      <c r="P175" s="85">
        <v>1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</row>
    <row r="176" spans="1:154" s="35" customFormat="1" ht="18.75">
      <c r="A176" s="660">
        <v>100209</v>
      </c>
      <c r="B176" s="654" t="s">
        <v>1394</v>
      </c>
      <c r="C176" s="661">
        <v>300000</v>
      </c>
      <c r="D176" s="661"/>
      <c r="E176" s="661"/>
      <c r="F176" s="651">
        <f t="shared" si="17"/>
        <v>0</v>
      </c>
      <c r="G176" s="661"/>
      <c r="H176" s="661"/>
      <c r="I176" s="661"/>
      <c r="J176" s="661"/>
      <c r="K176" s="661">
        <f>+J176</f>
        <v>0</v>
      </c>
      <c r="L176" s="661">
        <f>+K176</f>
        <v>0</v>
      </c>
      <c r="M176" s="662">
        <f t="shared" si="16"/>
        <v>300000</v>
      </c>
      <c r="N176" s="3"/>
      <c r="O176" s="14">
        <f t="shared" si="18"/>
        <v>300000</v>
      </c>
      <c r="P176" s="85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</row>
    <row r="177" spans="1:154" customFormat="1" ht="112.5" hidden="1">
      <c r="A177" s="229">
        <v>100302</v>
      </c>
      <c r="B177" s="253" t="s">
        <v>1471</v>
      </c>
      <c r="C177" s="285"/>
      <c r="D177" s="285"/>
      <c r="E177" s="285"/>
      <c r="F177" s="285">
        <f t="shared" si="17"/>
        <v>0</v>
      </c>
      <c r="G177" s="285"/>
      <c r="H177" s="285"/>
      <c r="I177" s="285"/>
      <c r="J177" s="285"/>
      <c r="K177" s="285"/>
      <c r="L177" s="285"/>
      <c r="M177" s="228">
        <f t="shared" si="16"/>
        <v>0</v>
      </c>
      <c r="N177" s="3">
        <f>+M177</f>
        <v>0</v>
      </c>
      <c r="O177" s="14">
        <f t="shared" si="18"/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</row>
    <row r="178" spans="1:154" customFormat="1" ht="37.5" hidden="1">
      <c r="A178" s="252">
        <v>100303</v>
      </c>
      <c r="B178" s="253" t="s">
        <v>85</v>
      </c>
      <c r="C178" s="254"/>
      <c r="D178" s="254"/>
      <c r="E178" s="254"/>
      <c r="F178" s="254">
        <f t="shared" si="17"/>
        <v>0</v>
      </c>
      <c r="G178" s="254"/>
      <c r="H178" s="254"/>
      <c r="I178" s="254"/>
      <c r="J178" s="254"/>
      <c r="K178" s="254"/>
      <c r="L178" s="254"/>
      <c r="M178" s="251">
        <f t="shared" si="16"/>
        <v>0</v>
      </c>
      <c r="N178" s="3"/>
      <c r="O178" s="14">
        <f t="shared" si="18"/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</row>
    <row r="179" spans="1:154" customFormat="1" ht="56.25" hidden="1">
      <c r="A179" s="252">
        <v>100400</v>
      </c>
      <c r="B179" s="253" t="s">
        <v>943</v>
      </c>
      <c r="C179" s="254"/>
      <c r="D179" s="254"/>
      <c r="E179" s="254"/>
      <c r="F179" s="254">
        <f t="shared" si="17"/>
        <v>0</v>
      </c>
      <c r="G179" s="254"/>
      <c r="H179" s="254"/>
      <c r="I179" s="254"/>
      <c r="J179" s="254"/>
      <c r="K179" s="254"/>
      <c r="L179" s="254"/>
      <c r="M179" s="251">
        <f t="shared" si="16"/>
        <v>0</v>
      </c>
      <c r="N179" s="3"/>
      <c r="O179" s="14">
        <f t="shared" si="18"/>
        <v>0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</row>
    <row r="180" spans="1:154" customFormat="1" ht="112.5" hidden="1">
      <c r="A180" s="252">
        <v>100501</v>
      </c>
      <c r="B180" s="253" t="s">
        <v>693</v>
      </c>
      <c r="C180" s="254"/>
      <c r="D180" s="254"/>
      <c r="E180" s="254"/>
      <c r="F180" s="254">
        <f t="shared" si="17"/>
        <v>0</v>
      </c>
      <c r="G180" s="254"/>
      <c r="H180" s="254"/>
      <c r="I180" s="254"/>
      <c r="J180" s="254"/>
      <c r="K180" s="254"/>
      <c r="L180" s="254"/>
      <c r="M180" s="251">
        <f t="shared" si="16"/>
        <v>0</v>
      </c>
      <c r="N180" s="3"/>
      <c r="O180" s="14">
        <f t="shared" si="18"/>
        <v>0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</row>
    <row r="181" spans="1:154" customFormat="1" ht="150" hidden="1">
      <c r="A181" s="252">
        <v>100601</v>
      </c>
      <c r="B181" s="253" t="s">
        <v>434</v>
      </c>
      <c r="C181" s="254"/>
      <c r="D181" s="254"/>
      <c r="E181" s="254"/>
      <c r="F181" s="254">
        <f t="shared" si="17"/>
        <v>0</v>
      </c>
      <c r="G181" s="254"/>
      <c r="H181" s="254"/>
      <c r="I181" s="254"/>
      <c r="J181" s="254"/>
      <c r="K181" s="254"/>
      <c r="L181" s="254"/>
      <c r="M181" s="251">
        <f t="shared" si="16"/>
        <v>0</v>
      </c>
      <c r="N181" s="3"/>
      <c r="O181" s="14">
        <f t="shared" si="18"/>
        <v>0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</row>
    <row r="182" spans="1:154" customFormat="1" ht="24.6" customHeight="1">
      <c r="A182" s="639">
        <v>110000</v>
      </c>
      <c r="B182" s="647" t="s">
        <v>1053</v>
      </c>
      <c r="C182" s="513">
        <f>SUM(C183:C200)-C185-C187</f>
        <v>98936100</v>
      </c>
      <c r="D182" s="513">
        <f>SUM(D183:D200)-D185-D187</f>
        <v>29000300</v>
      </c>
      <c r="E182" s="513">
        <f>SUM(E183:E200)-E185-E187</f>
        <v>2987900</v>
      </c>
      <c r="F182" s="513">
        <f t="shared" si="17"/>
        <v>3678300</v>
      </c>
      <c r="G182" s="513">
        <f t="shared" ref="G182:L182" si="20">SUM(G183:G200)-G185-G187</f>
        <v>1957200</v>
      </c>
      <c r="H182" s="513">
        <f t="shared" si="20"/>
        <v>236100</v>
      </c>
      <c r="I182" s="513">
        <f t="shared" si="20"/>
        <v>30700</v>
      </c>
      <c r="J182" s="513">
        <f t="shared" si="20"/>
        <v>1721100</v>
      </c>
      <c r="K182" s="513">
        <f t="shared" si="20"/>
        <v>1035000</v>
      </c>
      <c r="L182" s="513">
        <f t="shared" si="20"/>
        <v>1035000</v>
      </c>
      <c r="M182" s="648">
        <f t="shared" si="16"/>
        <v>102614400</v>
      </c>
      <c r="N182" s="3">
        <f>+M182</f>
        <v>102614400</v>
      </c>
      <c r="O182" s="14">
        <f t="shared" si="18"/>
        <v>102614400</v>
      </c>
    </row>
    <row r="183" spans="1:154" customFormat="1" ht="37.5" hidden="1">
      <c r="A183" s="397"/>
      <c r="B183" s="269" t="s">
        <v>231</v>
      </c>
      <c r="C183" s="254"/>
      <c r="D183" s="254"/>
      <c r="E183" s="254"/>
      <c r="F183" s="254">
        <f t="shared" si="17"/>
        <v>0</v>
      </c>
      <c r="G183" s="254"/>
      <c r="H183" s="254"/>
      <c r="I183" s="254"/>
      <c r="J183" s="254"/>
      <c r="K183" s="254"/>
      <c r="L183" s="254"/>
      <c r="M183" s="251">
        <f t="shared" si="16"/>
        <v>0</v>
      </c>
      <c r="N183" s="3"/>
      <c r="O183" s="14">
        <f t="shared" si="18"/>
        <v>0</v>
      </c>
    </row>
    <row r="184" spans="1:154" customFormat="1" ht="18.75" hidden="1">
      <c r="A184" s="227"/>
      <c r="B184" s="233" t="s">
        <v>984</v>
      </c>
      <c r="C184" s="285"/>
      <c r="D184" s="285"/>
      <c r="E184" s="285"/>
      <c r="F184" s="285">
        <f t="shared" si="17"/>
        <v>0</v>
      </c>
      <c r="G184" s="285"/>
      <c r="H184" s="285"/>
      <c r="I184" s="285"/>
      <c r="J184" s="285"/>
      <c r="K184" s="285"/>
      <c r="L184" s="285"/>
      <c r="M184" s="228">
        <f t="shared" si="16"/>
        <v>0</v>
      </c>
      <c r="N184" s="3">
        <f>+M184</f>
        <v>0</v>
      </c>
      <c r="O184" s="14"/>
    </row>
    <row r="185" spans="1:154" customFormat="1" ht="18.75" hidden="1">
      <c r="A185" s="227"/>
      <c r="B185" s="438" t="s">
        <v>527</v>
      </c>
      <c r="C185" s="254"/>
      <c r="D185" s="254"/>
      <c r="E185" s="254"/>
      <c r="F185" s="254">
        <f t="shared" si="17"/>
        <v>0</v>
      </c>
      <c r="G185" s="254"/>
      <c r="H185" s="254"/>
      <c r="I185" s="254"/>
      <c r="J185" s="254"/>
      <c r="K185" s="254"/>
      <c r="L185" s="254"/>
      <c r="M185" s="251">
        <f t="shared" si="16"/>
        <v>0</v>
      </c>
      <c r="N185" s="1390">
        <f>+M185</f>
        <v>0</v>
      </c>
      <c r="O185" s="14"/>
    </row>
    <row r="186" spans="1:154" ht="56.25" hidden="1">
      <c r="A186" s="227"/>
      <c r="B186" s="243" t="s">
        <v>970</v>
      </c>
      <c r="C186" s="277"/>
      <c r="D186" s="277"/>
      <c r="E186" s="277"/>
      <c r="F186" s="277">
        <f t="shared" si="17"/>
        <v>0</v>
      </c>
      <c r="G186" s="277"/>
      <c r="H186" s="277"/>
      <c r="I186" s="277"/>
      <c r="J186" s="277"/>
      <c r="K186" s="277"/>
      <c r="L186" s="277"/>
      <c r="M186" s="251">
        <f t="shared" si="16"/>
        <v>0</v>
      </c>
      <c r="N186" s="1390"/>
      <c r="O186" s="14">
        <f t="shared" si="18"/>
        <v>0</v>
      </c>
      <c r="P186" s="83">
        <v>1</v>
      </c>
      <c r="Q186" s="9"/>
    </row>
    <row r="187" spans="1:154" ht="37.5" hidden="1">
      <c r="A187" s="227"/>
      <c r="B187" s="438" t="s">
        <v>1021</v>
      </c>
      <c r="C187" s="231"/>
      <c r="D187" s="231"/>
      <c r="E187" s="231"/>
      <c r="F187" s="231">
        <f t="shared" si="17"/>
        <v>0</v>
      </c>
      <c r="G187" s="231"/>
      <c r="H187" s="231"/>
      <c r="I187" s="231"/>
      <c r="J187" s="231"/>
      <c r="K187" s="231"/>
      <c r="L187" s="231"/>
      <c r="M187" s="228">
        <f t="shared" si="16"/>
        <v>0</v>
      </c>
      <c r="N187" s="3">
        <f>+M187</f>
        <v>0</v>
      </c>
      <c r="O187" s="14">
        <f t="shared" si="18"/>
        <v>0</v>
      </c>
      <c r="P187" s="54">
        <v>1</v>
      </c>
    </row>
    <row r="188" spans="1:154" ht="18.75" hidden="1">
      <c r="A188" s="255">
        <v>110101</v>
      </c>
      <c r="B188" s="243" t="s">
        <v>435</v>
      </c>
      <c r="C188" s="231"/>
      <c r="D188" s="231"/>
      <c r="E188" s="231"/>
      <c r="F188" s="231">
        <f t="shared" si="17"/>
        <v>0</v>
      </c>
      <c r="G188" s="231"/>
      <c r="H188" s="231"/>
      <c r="I188" s="231"/>
      <c r="J188" s="231"/>
      <c r="K188" s="231"/>
      <c r="L188" s="231"/>
      <c r="M188" s="228">
        <f t="shared" si="16"/>
        <v>0</v>
      </c>
      <c r="N188" s="3"/>
      <c r="O188" s="14">
        <f t="shared" si="18"/>
        <v>0</v>
      </c>
    </row>
    <row r="189" spans="1:154" ht="18.75">
      <c r="A189" s="437">
        <v>110102</v>
      </c>
      <c r="B189" s="329" t="s">
        <v>328</v>
      </c>
      <c r="C189" s="651">
        <v>12232400</v>
      </c>
      <c r="D189" s="651"/>
      <c r="E189" s="651"/>
      <c r="F189" s="651">
        <f t="shared" si="17"/>
        <v>0</v>
      </c>
      <c r="G189" s="651"/>
      <c r="H189" s="651"/>
      <c r="I189" s="651"/>
      <c r="J189" s="651"/>
      <c r="K189" s="651"/>
      <c r="L189" s="651"/>
      <c r="M189" s="648">
        <f t="shared" si="16"/>
        <v>12232400</v>
      </c>
      <c r="N189" s="3"/>
      <c r="O189" s="14">
        <f t="shared" si="18"/>
        <v>12232400</v>
      </c>
    </row>
    <row r="190" spans="1:154" ht="37.5">
      <c r="A190" s="437">
        <v>110103</v>
      </c>
      <c r="B190" s="329" t="s">
        <v>810</v>
      </c>
      <c r="C190" s="651">
        <v>32846400</v>
      </c>
      <c r="D190" s="651"/>
      <c r="E190" s="651"/>
      <c r="F190" s="651">
        <f t="shared" si="17"/>
        <v>0</v>
      </c>
      <c r="G190" s="651"/>
      <c r="H190" s="651"/>
      <c r="I190" s="651"/>
      <c r="J190" s="651"/>
      <c r="K190" s="651"/>
      <c r="L190" s="651"/>
      <c r="M190" s="648">
        <f t="shared" si="16"/>
        <v>32846400</v>
      </c>
      <c r="N190" s="3"/>
      <c r="O190" s="14">
        <f t="shared" si="18"/>
        <v>32846400</v>
      </c>
    </row>
    <row r="191" spans="1:154" ht="54" customHeight="1">
      <c r="A191" s="437">
        <v>110104</v>
      </c>
      <c r="B191" s="329" t="s">
        <v>1629</v>
      </c>
      <c r="C191" s="651">
        <v>500000</v>
      </c>
      <c r="D191" s="651"/>
      <c r="E191" s="651"/>
      <c r="F191" s="651">
        <f t="shared" si="17"/>
        <v>0</v>
      </c>
      <c r="G191" s="651"/>
      <c r="H191" s="651"/>
      <c r="I191" s="651"/>
      <c r="J191" s="651">
        <f>1000000-1000000</f>
        <v>0</v>
      </c>
      <c r="K191" s="651">
        <f>+J191</f>
        <v>0</v>
      </c>
      <c r="L191" s="651">
        <f>+K191</f>
        <v>0</v>
      </c>
      <c r="M191" s="648">
        <f t="shared" si="16"/>
        <v>500000</v>
      </c>
      <c r="N191" s="3"/>
      <c r="O191" s="14">
        <f t="shared" si="18"/>
        <v>500000</v>
      </c>
    </row>
    <row r="192" spans="1:154" ht="36" hidden="1" customHeight="1">
      <c r="A192" s="255">
        <v>110105</v>
      </c>
      <c r="B192" s="243" t="s">
        <v>338</v>
      </c>
      <c r="C192" s="458"/>
      <c r="D192" s="458"/>
      <c r="E192" s="458"/>
      <c r="F192" s="458">
        <f t="shared" si="17"/>
        <v>0</v>
      </c>
      <c r="G192" s="458"/>
      <c r="H192" s="458"/>
      <c r="I192" s="458"/>
      <c r="J192" s="458"/>
      <c r="K192" s="458"/>
      <c r="L192" s="458"/>
      <c r="M192" s="457">
        <f t="shared" si="16"/>
        <v>0</v>
      </c>
      <c r="N192" s="3"/>
      <c r="O192" s="14">
        <f t="shared" si="18"/>
        <v>0</v>
      </c>
    </row>
    <row r="193" spans="1:241" ht="18.75">
      <c r="A193" s="437">
        <v>110201</v>
      </c>
      <c r="B193" s="329" t="s">
        <v>389</v>
      </c>
      <c r="C193" s="651">
        <v>15021900</v>
      </c>
      <c r="D193" s="651">
        <v>9908700</v>
      </c>
      <c r="E193" s="651">
        <v>514200</v>
      </c>
      <c r="F193" s="651">
        <f t="shared" si="17"/>
        <v>974300</v>
      </c>
      <c r="G193" s="651">
        <v>29300</v>
      </c>
      <c r="H193" s="651"/>
      <c r="I193" s="651">
        <v>10700</v>
      </c>
      <c r="J193" s="651">
        <v>945000</v>
      </c>
      <c r="K193" s="651">
        <v>945000</v>
      </c>
      <c r="L193" s="651">
        <v>945000</v>
      </c>
      <c r="M193" s="648">
        <f t="shared" si="16"/>
        <v>15996200</v>
      </c>
      <c r="N193" s="3"/>
      <c r="O193" s="14">
        <f t="shared" si="18"/>
        <v>15996200</v>
      </c>
    </row>
    <row r="194" spans="1:241" ht="18.75">
      <c r="A194" s="437">
        <v>110202</v>
      </c>
      <c r="B194" s="329" t="s">
        <v>329</v>
      </c>
      <c r="C194" s="651">
        <v>31796100</v>
      </c>
      <c r="D194" s="651">
        <v>15892400</v>
      </c>
      <c r="E194" s="651">
        <v>2266600</v>
      </c>
      <c r="F194" s="651">
        <f t="shared" si="17"/>
        <v>2134000</v>
      </c>
      <c r="G194" s="651">
        <v>1467000</v>
      </c>
      <c r="H194" s="651"/>
      <c r="I194" s="651">
        <v>20000</v>
      </c>
      <c r="J194" s="651">
        <v>667000</v>
      </c>
      <c r="K194" s="651"/>
      <c r="L194" s="651"/>
      <c r="M194" s="648">
        <f t="shared" si="16"/>
        <v>33930100</v>
      </c>
      <c r="N194" s="3"/>
      <c r="O194" s="14">
        <f t="shared" si="18"/>
        <v>33930100</v>
      </c>
    </row>
    <row r="195" spans="1:241" ht="18.75">
      <c r="A195" s="437">
        <v>110203</v>
      </c>
      <c r="B195" s="329" t="s">
        <v>330</v>
      </c>
      <c r="C195" s="651">
        <v>3324700</v>
      </c>
      <c r="D195" s="651">
        <v>1518500</v>
      </c>
      <c r="E195" s="651">
        <v>129200</v>
      </c>
      <c r="F195" s="651">
        <f t="shared" si="17"/>
        <v>380000</v>
      </c>
      <c r="G195" s="651">
        <v>372000</v>
      </c>
      <c r="H195" s="651">
        <v>200000</v>
      </c>
      <c r="I195" s="651"/>
      <c r="J195" s="651">
        <v>8000</v>
      </c>
      <c r="K195" s="651"/>
      <c r="L195" s="651"/>
      <c r="M195" s="648">
        <f t="shared" si="16"/>
        <v>3704700</v>
      </c>
      <c r="N195" s="3"/>
      <c r="O195" s="14">
        <f t="shared" si="18"/>
        <v>3704700</v>
      </c>
    </row>
    <row r="196" spans="1:241" ht="37.5" hidden="1">
      <c r="A196" s="255">
        <v>110204</v>
      </c>
      <c r="B196" s="243" t="s">
        <v>1630</v>
      </c>
      <c r="C196" s="231"/>
      <c r="D196" s="231"/>
      <c r="E196" s="231"/>
      <c r="F196" s="231">
        <f t="shared" si="17"/>
        <v>0</v>
      </c>
      <c r="G196" s="231"/>
      <c r="H196" s="231"/>
      <c r="I196" s="231"/>
      <c r="J196" s="231"/>
      <c r="K196" s="231"/>
      <c r="L196" s="231"/>
      <c r="M196" s="228">
        <f t="shared" si="16"/>
        <v>0</v>
      </c>
      <c r="N196" s="3"/>
      <c r="O196" s="14">
        <f t="shared" si="18"/>
        <v>0</v>
      </c>
    </row>
    <row r="197" spans="1:241" ht="18.75" hidden="1">
      <c r="A197" s="255">
        <v>110205</v>
      </c>
      <c r="B197" s="243" t="s">
        <v>1631</v>
      </c>
      <c r="C197" s="231"/>
      <c r="D197" s="231"/>
      <c r="E197" s="231"/>
      <c r="F197" s="231">
        <f t="shared" si="17"/>
        <v>0</v>
      </c>
      <c r="G197" s="231"/>
      <c r="H197" s="231"/>
      <c r="I197" s="231"/>
      <c r="J197" s="231"/>
      <c r="K197" s="231"/>
      <c r="L197" s="231"/>
      <c r="M197" s="228">
        <f t="shared" si="16"/>
        <v>0</v>
      </c>
      <c r="N197" s="3"/>
      <c r="O197" s="14">
        <f t="shared" si="18"/>
        <v>0</v>
      </c>
    </row>
    <row r="198" spans="1:241" ht="93.75" hidden="1">
      <c r="A198" s="255">
        <v>110206</v>
      </c>
      <c r="B198" s="243" t="s">
        <v>1027</v>
      </c>
      <c r="C198" s="231"/>
      <c r="D198" s="231"/>
      <c r="E198" s="231"/>
      <c r="F198" s="231">
        <f t="shared" si="17"/>
        <v>0</v>
      </c>
      <c r="G198" s="231"/>
      <c r="H198" s="231"/>
      <c r="I198" s="231"/>
      <c r="J198" s="231"/>
      <c r="K198" s="231"/>
      <c r="L198" s="231"/>
      <c r="M198" s="228">
        <f t="shared" si="16"/>
        <v>0</v>
      </c>
      <c r="N198" s="3"/>
      <c r="O198" s="14">
        <f t="shared" si="18"/>
        <v>0</v>
      </c>
    </row>
    <row r="199" spans="1:241" ht="22.15" customHeight="1">
      <c r="A199" s="437">
        <v>110300</v>
      </c>
      <c r="B199" s="329" t="s">
        <v>331</v>
      </c>
      <c r="C199" s="651">
        <f>463600-231800</f>
        <v>231800</v>
      </c>
      <c r="D199" s="651"/>
      <c r="E199" s="651"/>
      <c r="F199" s="651">
        <f t="shared" si="17"/>
        <v>0</v>
      </c>
      <c r="G199" s="651"/>
      <c r="H199" s="651"/>
      <c r="I199" s="651"/>
      <c r="J199" s="651"/>
      <c r="K199" s="651"/>
      <c r="L199" s="651"/>
      <c r="M199" s="648">
        <f t="shared" si="16"/>
        <v>231800</v>
      </c>
      <c r="N199" s="128"/>
      <c r="O199" s="226">
        <f t="shared" si="18"/>
        <v>231800</v>
      </c>
      <c r="P199" s="129"/>
      <c r="Q199" s="129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0"/>
      <c r="AD199" s="130"/>
      <c r="AE199" s="130"/>
      <c r="AF199" s="130"/>
      <c r="AG199" s="130"/>
      <c r="AH199" s="130"/>
      <c r="AI199" s="130"/>
      <c r="AJ199" s="130"/>
      <c r="AK199" s="130"/>
      <c r="AL199" s="130"/>
      <c r="AM199" s="130"/>
      <c r="AN199" s="130"/>
      <c r="AO199" s="130"/>
      <c r="AP199" s="130"/>
      <c r="AQ199" s="130"/>
      <c r="AR199" s="130"/>
      <c r="AS199" s="130"/>
      <c r="AT199" s="130"/>
      <c r="AU199" s="130"/>
      <c r="AV199" s="130"/>
      <c r="AW199" s="130"/>
      <c r="AX199" s="130"/>
      <c r="AY199" s="130"/>
      <c r="AZ199" s="130"/>
      <c r="BA199" s="130"/>
      <c r="BB199" s="130"/>
      <c r="BC199" s="130"/>
      <c r="BD199" s="130"/>
      <c r="BE199" s="130"/>
      <c r="BF199" s="130"/>
      <c r="BG199" s="130"/>
      <c r="BH199" s="130"/>
      <c r="BI199" s="130"/>
      <c r="BJ199" s="130"/>
      <c r="BK199" s="130"/>
      <c r="BL199" s="130"/>
      <c r="BM199" s="130"/>
      <c r="BN199" s="130"/>
      <c r="BO199" s="130"/>
      <c r="BP199" s="130"/>
      <c r="BQ199" s="130"/>
      <c r="BR199" s="130"/>
      <c r="BS199" s="130"/>
      <c r="BT199" s="130"/>
      <c r="BU199" s="130"/>
      <c r="BV199" s="130"/>
      <c r="BW199" s="130"/>
      <c r="BX199" s="130"/>
      <c r="BY199" s="130"/>
      <c r="BZ199" s="130"/>
      <c r="CA199" s="130"/>
      <c r="CB199" s="130"/>
      <c r="CC199" s="130"/>
      <c r="CD199" s="130"/>
      <c r="CE199" s="130"/>
      <c r="CF199" s="130"/>
      <c r="CG199" s="130"/>
      <c r="CH199" s="130"/>
      <c r="CI199" s="130"/>
      <c r="CJ199" s="130"/>
      <c r="CK199" s="130"/>
      <c r="CL199" s="130"/>
      <c r="CM199" s="130"/>
      <c r="CN199" s="130"/>
      <c r="CO199" s="130"/>
      <c r="CP199" s="130"/>
      <c r="CQ199" s="130"/>
      <c r="CR199" s="130"/>
      <c r="CS199" s="130"/>
      <c r="CT199" s="130"/>
      <c r="CU199" s="130"/>
      <c r="CV199" s="130"/>
      <c r="CW199" s="130"/>
      <c r="CX199" s="130"/>
      <c r="CY199" s="130"/>
      <c r="CZ199" s="130"/>
      <c r="DA199" s="130"/>
      <c r="DB199" s="130"/>
      <c r="DC199" s="130"/>
      <c r="DD199" s="130"/>
      <c r="DE199" s="130"/>
      <c r="DF199" s="130"/>
      <c r="DG199" s="130"/>
      <c r="DH199" s="130"/>
      <c r="DI199" s="130"/>
      <c r="DJ199" s="130"/>
      <c r="DK199" s="130"/>
      <c r="DL199" s="130"/>
      <c r="DM199" s="130"/>
      <c r="DN199" s="130"/>
      <c r="DO199" s="130"/>
      <c r="DP199" s="130"/>
      <c r="DQ199" s="130"/>
      <c r="DR199" s="130"/>
      <c r="DS199" s="130"/>
      <c r="DT199" s="130"/>
      <c r="DU199" s="130"/>
      <c r="DV199" s="130"/>
      <c r="DW199" s="130"/>
      <c r="DX199" s="130"/>
      <c r="DY199" s="130"/>
      <c r="DZ199" s="130"/>
      <c r="EA199" s="130"/>
      <c r="EB199" s="130"/>
      <c r="EC199" s="130"/>
      <c r="ED199" s="130"/>
      <c r="EE199" s="130"/>
      <c r="EF199" s="130"/>
      <c r="EG199" s="130"/>
      <c r="EH199" s="130"/>
      <c r="EI199" s="130"/>
      <c r="EJ199" s="130"/>
      <c r="EK199" s="130"/>
      <c r="EL199" s="130"/>
      <c r="EM199" s="130"/>
      <c r="EN199" s="130"/>
      <c r="EO199" s="130"/>
      <c r="EP199" s="130"/>
      <c r="EQ199" s="130"/>
      <c r="ER199" s="130"/>
      <c r="ES199" s="130"/>
      <c r="ET199" s="130"/>
      <c r="EU199" s="130"/>
      <c r="EV199" s="130"/>
      <c r="EW199" s="130"/>
      <c r="EX199" s="130"/>
      <c r="EY199" s="131"/>
      <c r="EZ199" s="131"/>
      <c r="FA199" s="131"/>
      <c r="FB199" s="131"/>
      <c r="FC199" s="131"/>
      <c r="FD199" s="131"/>
      <c r="FE199" s="131"/>
      <c r="FF199" s="131"/>
      <c r="FG199" s="131"/>
      <c r="FH199" s="131"/>
      <c r="FI199" s="131"/>
      <c r="FJ199" s="131"/>
      <c r="FK199" s="131"/>
      <c r="FL199" s="131"/>
      <c r="FM199" s="131"/>
      <c r="FN199" s="131"/>
      <c r="FO199" s="131"/>
      <c r="FP199" s="131"/>
      <c r="FQ199" s="131"/>
      <c r="FR199" s="131"/>
      <c r="FS199" s="131"/>
      <c r="FT199" s="131"/>
      <c r="FU199" s="131"/>
      <c r="FV199" s="131"/>
      <c r="FW199" s="131"/>
      <c r="FX199" s="131"/>
      <c r="FY199" s="131"/>
      <c r="FZ199" s="131"/>
      <c r="GA199" s="131"/>
      <c r="GB199" s="131"/>
      <c r="GC199" s="131"/>
      <c r="GD199" s="131"/>
      <c r="GE199" s="131"/>
      <c r="GF199" s="131"/>
      <c r="GG199" s="131"/>
      <c r="GH199" s="131"/>
      <c r="GI199" s="131"/>
      <c r="GJ199" s="131"/>
      <c r="GK199" s="131"/>
      <c r="GL199" s="131"/>
      <c r="GM199" s="131"/>
      <c r="GN199" s="131"/>
      <c r="GO199" s="131"/>
      <c r="GP199" s="131"/>
      <c r="GQ199" s="131"/>
      <c r="GR199" s="131"/>
      <c r="GS199" s="131"/>
      <c r="GT199" s="131"/>
      <c r="GU199" s="131"/>
      <c r="GV199" s="131"/>
      <c r="GW199" s="131"/>
      <c r="GX199" s="131"/>
      <c r="GY199" s="131"/>
      <c r="GZ199" s="131"/>
      <c r="HA199" s="131"/>
      <c r="HB199" s="131"/>
      <c r="HC199" s="131"/>
      <c r="HD199" s="131"/>
      <c r="HE199" s="131"/>
      <c r="HF199" s="131"/>
      <c r="HG199" s="131"/>
      <c r="HH199" s="131"/>
      <c r="HI199" s="131"/>
      <c r="HJ199" s="131"/>
      <c r="HK199" s="131"/>
      <c r="HL199" s="131"/>
      <c r="HM199" s="131"/>
      <c r="HN199" s="131"/>
      <c r="HO199" s="131"/>
      <c r="HP199" s="131"/>
      <c r="HQ199" s="131"/>
      <c r="HR199" s="131"/>
      <c r="HS199" s="131"/>
      <c r="HT199" s="131"/>
      <c r="HU199" s="131"/>
      <c r="HV199" s="131"/>
      <c r="HW199" s="131"/>
      <c r="HX199" s="131"/>
      <c r="HY199" s="131"/>
      <c r="HZ199" s="131"/>
      <c r="IA199" s="131"/>
      <c r="IB199" s="131"/>
      <c r="IC199" s="131"/>
      <c r="ID199" s="131"/>
      <c r="IE199" s="131"/>
      <c r="IF199" s="131"/>
      <c r="IG199" s="131"/>
    </row>
    <row r="200" spans="1:241" ht="22.9" customHeight="1">
      <c r="A200" s="437">
        <v>110502</v>
      </c>
      <c r="B200" s="329" t="s">
        <v>1632</v>
      </c>
      <c r="C200" s="651">
        <f>2882800+100000</f>
        <v>2982800</v>
      </c>
      <c r="D200" s="651">
        <v>1680700</v>
      </c>
      <c r="E200" s="651">
        <v>77900</v>
      </c>
      <c r="F200" s="651">
        <f t="shared" si="17"/>
        <v>190000</v>
      </c>
      <c r="G200" s="651">
        <v>88900</v>
      </c>
      <c r="H200" s="651">
        <v>36100</v>
      </c>
      <c r="I200" s="651"/>
      <c r="J200" s="651">
        <v>101100</v>
      </c>
      <c r="K200" s="651">
        <v>90000</v>
      </c>
      <c r="L200" s="651">
        <v>90000</v>
      </c>
      <c r="M200" s="648">
        <f t="shared" si="16"/>
        <v>3172800</v>
      </c>
      <c r="N200" s="3"/>
      <c r="O200" s="162">
        <f t="shared" si="18"/>
        <v>3172800</v>
      </c>
      <c r="P200" s="50"/>
      <c r="Q200" s="50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  <c r="FM200" s="28"/>
      <c r="FN200" s="28"/>
      <c r="FO200" s="28"/>
      <c r="FP200" s="28"/>
      <c r="FQ200" s="28"/>
      <c r="FR200" s="28"/>
      <c r="FS200" s="28"/>
      <c r="FT200" s="28"/>
      <c r="FU200" s="28"/>
      <c r="FV200" s="28"/>
      <c r="FW200" s="28"/>
      <c r="FX200" s="28"/>
      <c r="FY200" s="28"/>
      <c r="FZ200" s="28"/>
      <c r="GA200" s="28"/>
      <c r="GB200" s="28"/>
      <c r="GC200" s="28"/>
      <c r="GD200" s="28"/>
      <c r="GE200" s="28"/>
      <c r="GF200" s="28"/>
      <c r="GG200" s="28"/>
      <c r="GH200" s="28"/>
      <c r="GI200" s="28"/>
      <c r="GJ200" s="28"/>
      <c r="GK200" s="28"/>
      <c r="GL200" s="28"/>
      <c r="GM200" s="28"/>
      <c r="GN200" s="28"/>
      <c r="GO200" s="28"/>
      <c r="GP200" s="28"/>
      <c r="GQ200" s="28"/>
      <c r="GR200" s="28"/>
      <c r="GS200" s="28"/>
      <c r="GT200" s="28"/>
      <c r="GU200" s="28"/>
      <c r="GV200" s="28"/>
      <c r="GW200" s="28"/>
      <c r="GX200" s="28"/>
      <c r="GY200" s="28"/>
      <c r="GZ200" s="28"/>
      <c r="HA200" s="28"/>
      <c r="HB200" s="28"/>
      <c r="HC200" s="28"/>
      <c r="HD200" s="28"/>
      <c r="HE200" s="28"/>
      <c r="HF200" s="28"/>
      <c r="HG200" s="28"/>
      <c r="HH200" s="28"/>
      <c r="HI200" s="28"/>
      <c r="HJ200" s="28"/>
      <c r="HK200" s="28"/>
      <c r="HL200" s="28"/>
      <c r="HM200" s="28"/>
      <c r="HN200" s="28"/>
      <c r="HO200" s="28"/>
      <c r="HP200" s="28"/>
      <c r="HQ200" s="28"/>
      <c r="HR200" s="28"/>
      <c r="HS200" s="28"/>
      <c r="HT200" s="28"/>
      <c r="HU200" s="28"/>
      <c r="HV200" s="28"/>
      <c r="HW200" s="28"/>
      <c r="HX200" s="28"/>
      <c r="HY200" s="28"/>
      <c r="HZ200" s="28"/>
      <c r="IA200" s="28"/>
      <c r="IB200" s="28"/>
      <c r="IC200" s="28"/>
      <c r="ID200" s="28"/>
      <c r="IE200" s="28"/>
      <c r="IF200" s="28"/>
      <c r="IG200" s="28"/>
    </row>
    <row r="201" spans="1:241" ht="18.75">
      <c r="A201" s="639">
        <v>120000</v>
      </c>
      <c r="B201" s="647" t="s">
        <v>1054</v>
      </c>
      <c r="C201" s="649">
        <f>SUM(C202:C206)</f>
        <v>6530000</v>
      </c>
      <c r="D201" s="649">
        <f>SUM(D202:D206)</f>
        <v>0</v>
      </c>
      <c r="E201" s="649">
        <f>SUM(E202:E206)</f>
        <v>0</v>
      </c>
      <c r="F201" s="663">
        <f t="shared" si="17"/>
        <v>2900000</v>
      </c>
      <c r="G201" s="649">
        <f t="shared" ref="G201:L201" si="21">SUM(G202:G206)</f>
        <v>0</v>
      </c>
      <c r="H201" s="649">
        <f t="shared" si="21"/>
        <v>0</v>
      </c>
      <c r="I201" s="649">
        <f t="shared" si="21"/>
        <v>0</v>
      </c>
      <c r="J201" s="649">
        <f t="shared" si="21"/>
        <v>2900000</v>
      </c>
      <c r="K201" s="649">
        <f t="shared" si="21"/>
        <v>2900000</v>
      </c>
      <c r="L201" s="649">
        <f t="shared" si="21"/>
        <v>2900000</v>
      </c>
      <c r="M201" s="648">
        <f t="shared" si="16"/>
        <v>9430000</v>
      </c>
      <c r="N201" s="3"/>
      <c r="O201" s="14">
        <f t="shared" si="18"/>
        <v>9430000</v>
      </c>
    </row>
    <row r="202" spans="1:241" ht="37.5" hidden="1">
      <c r="A202" s="227"/>
      <c r="B202" s="243" t="s">
        <v>723</v>
      </c>
      <c r="C202" s="248"/>
      <c r="D202" s="248"/>
      <c r="E202" s="248"/>
      <c r="F202" s="258">
        <f t="shared" si="17"/>
        <v>0</v>
      </c>
      <c r="G202" s="248"/>
      <c r="H202" s="248"/>
      <c r="I202" s="248"/>
      <c r="J202" s="248"/>
      <c r="K202" s="248"/>
      <c r="L202" s="248"/>
      <c r="M202" s="228">
        <f t="shared" si="16"/>
        <v>0</v>
      </c>
      <c r="N202" s="3"/>
      <c r="O202" s="14">
        <f t="shared" si="18"/>
        <v>0</v>
      </c>
    </row>
    <row r="203" spans="1:241" ht="18.75">
      <c r="A203" s="437">
        <v>120100</v>
      </c>
      <c r="B203" s="329" t="s">
        <v>730</v>
      </c>
      <c r="C203" s="502">
        <f>3697000+1200000</f>
        <v>4897000</v>
      </c>
      <c r="D203" s="502"/>
      <c r="E203" s="502"/>
      <c r="F203" s="664">
        <f t="shared" si="17"/>
        <v>2900000</v>
      </c>
      <c r="G203" s="502"/>
      <c r="H203" s="502"/>
      <c r="I203" s="502"/>
      <c r="J203" s="502">
        <v>2900000</v>
      </c>
      <c r="K203" s="502">
        <f>+J203</f>
        <v>2900000</v>
      </c>
      <c r="L203" s="502">
        <f>+K203</f>
        <v>2900000</v>
      </c>
      <c r="M203" s="648">
        <f t="shared" si="16"/>
        <v>7797000</v>
      </c>
      <c r="N203" s="3"/>
      <c r="O203" s="14">
        <f t="shared" si="18"/>
        <v>7797000</v>
      </c>
    </row>
    <row r="204" spans="1:241" ht="18.75">
      <c r="A204" s="437">
        <v>120201</v>
      </c>
      <c r="B204" s="329" t="s">
        <v>647</v>
      </c>
      <c r="C204" s="502">
        <f>609000-11000</f>
        <v>598000</v>
      </c>
      <c r="D204" s="502"/>
      <c r="E204" s="502"/>
      <c r="F204" s="664">
        <f t="shared" si="17"/>
        <v>0</v>
      </c>
      <c r="G204" s="502"/>
      <c r="H204" s="502"/>
      <c r="I204" s="502"/>
      <c r="J204" s="502"/>
      <c r="K204" s="502"/>
      <c r="L204" s="502"/>
      <c r="M204" s="648">
        <f t="shared" si="16"/>
        <v>598000</v>
      </c>
      <c r="N204" s="3"/>
      <c r="O204" s="14">
        <f t="shared" si="18"/>
        <v>598000</v>
      </c>
    </row>
    <row r="205" spans="1:241" ht="18.75">
      <c r="A205" s="437">
        <v>120300</v>
      </c>
      <c r="B205" s="329" t="s">
        <v>1048</v>
      </c>
      <c r="C205" s="502">
        <f>925000+11000</f>
        <v>936000</v>
      </c>
      <c r="D205" s="502"/>
      <c r="E205" s="502"/>
      <c r="F205" s="664">
        <f t="shared" si="17"/>
        <v>0</v>
      </c>
      <c r="G205" s="502"/>
      <c r="H205" s="502"/>
      <c r="I205" s="502"/>
      <c r="J205" s="502"/>
      <c r="K205" s="502"/>
      <c r="L205" s="502"/>
      <c r="M205" s="648">
        <f t="shared" si="16"/>
        <v>936000</v>
      </c>
      <c r="N205" s="3"/>
      <c r="O205" s="14">
        <f t="shared" si="18"/>
        <v>936000</v>
      </c>
    </row>
    <row r="206" spans="1:241" ht="18.75">
      <c r="A206" s="437">
        <v>120400</v>
      </c>
      <c r="B206" s="329" t="s">
        <v>1187</v>
      </c>
      <c r="C206" s="284">
        <v>99000</v>
      </c>
      <c r="D206" s="284"/>
      <c r="E206" s="284"/>
      <c r="F206" s="665">
        <f t="shared" si="17"/>
        <v>0</v>
      </c>
      <c r="G206" s="284"/>
      <c r="H206" s="284"/>
      <c r="I206" s="284"/>
      <c r="J206" s="284"/>
      <c r="K206" s="284"/>
      <c r="L206" s="284"/>
      <c r="M206" s="666">
        <f t="shared" si="16"/>
        <v>99000</v>
      </c>
      <c r="N206" s="3"/>
      <c r="O206" s="14">
        <f t="shared" si="18"/>
        <v>99000</v>
      </c>
    </row>
    <row r="207" spans="1:241" s="105" customFormat="1" ht="18.75">
      <c r="A207" s="639">
        <v>130000</v>
      </c>
      <c r="B207" s="647" t="s">
        <v>540</v>
      </c>
      <c r="C207" s="667">
        <f>SUM(C208:C225)-C209-C210</f>
        <v>40541200</v>
      </c>
      <c r="D207" s="667">
        <f>SUM(D208:D225)-D209-D210</f>
        <v>6892300</v>
      </c>
      <c r="E207" s="667">
        <f>SUM(E208:E225)-E209-E210</f>
        <v>255900</v>
      </c>
      <c r="F207" s="663">
        <f t="shared" si="17"/>
        <v>4333500</v>
      </c>
      <c r="G207" s="667">
        <f t="shared" ref="G207:L207" si="22">SUM(G208:G225)-G209-G210</f>
        <v>313500</v>
      </c>
      <c r="H207" s="667">
        <f t="shared" si="22"/>
        <v>177500</v>
      </c>
      <c r="I207" s="667">
        <f t="shared" si="22"/>
        <v>16000</v>
      </c>
      <c r="J207" s="667">
        <f t="shared" si="22"/>
        <v>4020000</v>
      </c>
      <c r="K207" s="667">
        <f t="shared" si="22"/>
        <v>4020000</v>
      </c>
      <c r="L207" s="667">
        <f t="shared" si="22"/>
        <v>4020000</v>
      </c>
      <c r="M207" s="648">
        <f t="shared" si="16"/>
        <v>44874700</v>
      </c>
      <c r="N207" s="298"/>
      <c r="O207" s="104">
        <f t="shared" si="18"/>
        <v>44874700</v>
      </c>
      <c r="P207" s="96"/>
      <c r="Q207" s="9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</row>
    <row r="208" spans="1:241" ht="18.75" hidden="1">
      <c r="A208" s="227"/>
      <c r="B208" s="233" t="s">
        <v>984</v>
      </c>
      <c r="C208" s="248"/>
      <c r="D208" s="248"/>
      <c r="E208" s="248"/>
      <c r="F208" s="258">
        <f t="shared" si="17"/>
        <v>0</v>
      </c>
      <c r="G208" s="248"/>
      <c r="H208" s="248"/>
      <c r="I208" s="248"/>
      <c r="J208" s="248"/>
      <c r="K208" s="248"/>
      <c r="L208" s="248"/>
      <c r="M208" s="228">
        <f t="shared" si="16"/>
        <v>0</v>
      </c>
      <c r="N208" s="3"/>
      <c r="O208" s="14"/>
    </row>
    <row r="209" spans="1:16" ht="18.75" hidden="1">
      <c r="A209" s="227"/>
      <c r="B209" s="233" t="s">
        <v>690</v>
      </c>
      <c r="C209" s="248"/>
      <c r="D209" s="248"/>
      <c r="E209" s="248"/>
      <c r="F209" s="258">
        <f t="shared" si="17"/>
        <v>0</v>
      </c>
      <c r="G209" s="248"/>
      <c r="H209" s="248"/>
      <c r="I209" s="248"/>
      <c r="J209" s="248"/>
      <c r="K209" s="248"/>
      <c r="L209" s="248"/>
      <c r="M209" s="228">
        <f t="shared" si="16"/>
        <v>0</v>
      </c>
      <c r="N209" s="3"/>
      <c r="O209" s="14">
        <f t="shared" si="18"/>
        <v>0</v>
      </c>
    </row>
    <row r="210" spans="1:16" ht="37.5" hidden="1">
      <c r="A210" s="227"/>
      <c r="B210" s="438" t="s">
        <v>1021</v>
      </c>
      <c r="C210" s="231"/>
      <c r="D210" s="231"/>
      <c r="E210" s="231"/>
      <c r="F210" s="231">
        <f t="shared" si="17"/>
        <v>0</v>
      </c>
      <c r="G210" s="231"/>
      <c r="H210" s="231"/>
      <c r="I210" s="231"/>
      <c r="J210" s="231"/>
      <c r="K210" s="231"/>
      <c r="L210" s="231"/>
      <c r="M210" s="228">
        <f t="shared" si="16"/>
        <v>0</v>
      </c>
      <c r="N210" s="3">
        <f>+M210</f>
        <v>0</v>
      </c>
      <c r="O210" s="14">
        <f t="shared" si="18"/>
        <v>0</v>
      </c>
      <c r="P210" s="54">
        <v>1</v>
      </c>
    </row>
    <row r="211" spans="1:16" ht="37.5">
      <c r="A211" s="437">
        <v>130102</v>
      </c>
      <c r="B211" s="260" t="s">
        <v>562</v>
      </c>
      <c r="C211" s="651">
        <v>7331800</v>
      </c>
      <c r="D211" s="651"/>
      <c r="E211" s="651"/>
      <c r="F211" s="651">
        <f t="shared" si="17"/>
        <v>0</v>
      </c>
      <c r="G211" s="651"/>
      <c r="H211" s="651"/>
      <c r="I211" s="651"/>
      <c r="J211" s="651"/>
      <c r="K211" s="651"/>
      <c r="L211" s="651"/>
      <c r="M211" s="648">
        <f t="shared" si="16"/>
        <v>7331800</v>
      </c>
      <c r="N211" s="3"/>
      <c r="O211" s="14">
        <f t="shared" si="18"/>
        <v>7331800</v>
      </c>
    </row>
    <row r="212" spans="1:16" ht="37.5">
      <c r="A212" s="437">
        <v>130104</v>
      </c>
      <c r="B212" s="260" t="s">
        <v>1078</v>
      </c>
      <c r="C212" s="651">
        <v>1503600</v>
      </c>
      <c r="D212" s="651">
        <v>937100</v>
      </c>
      <c r="E212" s="651">
        <v>25000</v>
      </c>
      <c r="F212" s="651">
        <f t="shared" si="17"/>
        <v>165500</v>
      </c>
      <c r="G212" s="651">
        <v>165500</v>
      </c>
      <c r="H212" s="651">
        <v>125000</v>
      </c>
      <c r="I212" s="651"/>
      <c r="J212" s="651">
        <f>45700-45700</f>
        <v>0</v>
      </c>
      <c r="K212" s="651">
        <f>45700-45700</f>
        <v>0</v>
      </c>
      <c r="L212" s="651">
        <f>45700-45700</f>
        <v>0</v>
      </c>
      <c r="M212" s="648">
        <f t="shared" si="16"/>
        <v>1669100</v>
      </c>
      <c r="N212" s="3"/>
      <c r="O212" s="14">
        <f t="shared" si="18"/>
        <v>1669100</v>
      </c>
    </row>
    <row r="213" spans="1:16" ht="37.5">
      <c r="A213" s="437">
        <v>130105</v>
      </c>
      <c r="B213" s="260" t="s">
        <v>1079</v>
      </c>
      <c r="C213" s="651">
        <v>290000</v>
      </c>
      <c r="D213" s="651"/>
      <c r="E213" s="651"/>
      <c r="F213" s="651">
        <f t="shared" si="17"/>
        <v>0</v>
      </c>
      <c r="G213" s="651"/>
      <c r="H213" s="651"/>
      <c r="I213" s="651"/>
      <c r="J213" s="651"/>
      <c r="K213" s="651"/>
      <c r="L213" s="651"/>
      <c r="M213" s="648">
        <f t="shared" si="16"/>
        <v>290000</v>
      </c>
      <c r="N213" s="3"/>
      <c r="O213" s="14">
        <f t="shared" si="18"/>
        <v>290000</v>
      </c>
    </row>
    <row r="214" spans="1:16" ht="37.5" hidden="1">
      <c r="A214" s="255">
        <v>130106</v>
      </c>
      <c r="B214" s="260" t="s">
        <v>1203</v>
      </c>
      <c r="C214" s="231"/>
      <c r="D214" s="231"/>
      <c r="E214" s="231"/>
      <c r="F214" s="231">
        <f t="shared" si="17"/>
        <v>0</v>
      </c>
      <c r="G214" s="231"/>
      <c r="H214" s="231"/>
      <c r="I214" s="231"/>
      <c r="J214" s="231"/>
      <c r="K214" s="231"/>
      <c r="L214" s="231"/>
      <c r="M214" s="228">
        <f t="shared" si="16"/>
        <v>0</v>
      </c>
      <c r="N214" s="3"/>
      <c r="O214" s="14">
        <f t="shared" si="18"/>
        <v>0</v>
      </c>
    </row>
    <row r="215" spans="1:16" ht="37.5">
      <c r="A215" s="437">
        <v>130107</v>
      </c>
      <c r="B215" s="260" t="s">
        <v>390</v>
      </c>
      <c r="C215" s="651">
        <v>4752500</v>
      </c>
      <c r="D215" s="651">
        <v>2826700</v>
      </c>
      <c r="E215" s="651">
        <v>174700</v>
      </c>
      <c r="F215" s="651">
        <f t="shared" si="17"/>
        <v>108000</v>
      </c>
      <c r="G215" s="651">
        <v>88000</v>
      </c>
      <c r="H215" s="651">
        <v>52500</v>
      </c>
      <c r="I215" s="651">
        <v>10000</v>
      </c>
      <c r="J215" s="651">
        <f>120000-100000</f>
        <v>20000</v>
      </c>
      <c r="K215" s="651">
        <f>120000-100000</f>
        <v>20000</v>
      </c>
      <c r="L215" s="651">
        <f>120000-100000</f>
        <v>20000</v>
      </c>
      <c r="M215" s="648">
        <f t="shared" si="16"/>
        <v>4860500</v>
      </c>
      <c r="N215" s="3"/>
      <c r="O215" s="14">
        <f t="shared" si="18"/>
        <v>4860500</v>
      </c>
    </row>
    <row r="216" spans="1:16" ht="18.75" hidden="1">
      <c r="A216" s="255">
        <v>130110</v>
      </c>
      <c r="B216" s="260" t="s">
        <v>765</v>
      </c>
      <c r="C216" s="231"/>
      <c r="D216" s="231"/>
      <c r="E216" s="231"/>
      <c r="F216" s="231">
        <f t="shared" si="17"/>
        <v>0</v>
      </c>
      <c r="G216" s="231"/>
      <c r="H216" s="231"/>
      <c r="I216" s="231"/>
      <c r="J216" s="231"/>
      <c r="K216" s="231"/>
      <c r="L216" s="231"/>
      <c r="M216" s="228">
        <f t="shared" si="16"/>
        <v>0</v>
      </c>
      <c r="N216" s="3"/>
      <c r="O216" s="14">
        <f t="shared" si="18"/>
        <v>0</v>
      </c>
    </row>
    <row r="217" spans="1:16" ht="18.75" hidden="1">
      <c r="A217" s="437">
        <v>130112</v>
      </c>
      <c r="B217" s="260" t="s">
        <v>967</v>
      </c>
      <c r="C217" s="275"/>
      <c r="D217" s="275"/>
      <c r="E217" s="275"/>
      <c r="F217" s="275">
        <f t="shared" si="17"/>
        <v>0</v>
      </c>
      <c r="G217" s="275"/>
      <c r="H217" s="275"/>
      <c r="I217" s="275"/>
      <c r="J217" s="275"/>
      <c r="K217" s="275">
        <f>+J217</f>
        <v>0</v>
      </c>
      <c r="L217" s="275">
        <f>+K217</f>
        <v>0</v>
      </c>
      <c r="M217" s="666">
        <f t="shared" si="16"/>
        <v>0</v>
      </c>
      <c r="N217" s="3"/>
      <c r="O217" s="14">
        <f t="shared" si="18"/>
        <v>0</v>
      </c>
    </row>
    <row r="218" spans="1:16" ht="18.75" hidden="1">
      <c r="A218" s="255">
        <v>130113</v>
      </c>
      <c r="B218" s="260" t="s">
        <v>388</v>
      </c>
      <c r="C218" s="231"/>
      <c r="D218" s="231"/>
      <c r="E218" s="231"/>
      <c r="F218" s="231">
        <f t="shared" si="17"/>
        <v>0</v>
      </c>
      <c r="G218" s="231"/>
      <c r="H218" s="231"/>
      <c r="I218" s="231"/>
      <c r="J218" s="231"/>
      <c r="K218" s="231"/>
      <c r="L218" s="231"/>
      <c r="M218" s="228">
        <f t="shared" si="16"/>
        <v>0</v>
      </c>
      <c r="N218" s="3"/>
      <c r="O218" s="14">
        <f t="shared" si="18"/>
        <v>0</v>
      </c>
    </row>
    <row r="219" spans="1:16" ht="37.5">
      <c r="A219" s="437">
        <v>130114</v>
      </c>
      <c r="B219" s="260" t="s">
        <v>665</v>
      </c>
      <c r="C219" s="651">
        <v>6148700</v>
      </c>
      <c r="D219" s="651">
        <v>2880000</v>
      </c>
      <c r="E219" s="651">
        <v>28700</v>
      </c>
      <c r="F219" s="651">
        <f>+G219+J219</f>
        <v>4060000</v>
      </c>
      <c r="G219" s="651">
        <v>60000</v>
      </c>
      <c r="H219" s="651"/>
      <c r="I219" s="651">
        <v>6000</v>
      </c>
      <c r="J219" s="651">
        <v>4000000</v>
      </c>
      <c r="K219" s="651">
        <v>4000000</v>
      </c>
      <c r="L219" s="651">
        <v>4000000</v>
      </c>
      <c r="M219" s="648">
        <f>+C219+F219</f>
        <v>10208700</v>
      </c>
      <c r="N219" s="3"/>
      <c r="O219" s="14">
        <f>+M219</f>
        <v>10208700</v>
      </c>
    </row>
    <row r="220" spans="1:16" ht="34.9" customHeight="1">
      <c r="A220" s="437">
        <v>130115</v>
      </c>
      <c r="B220" s="260" t="s">
        <v>487</v>
      </c>
      <c r="C220" s="651">
        <v>548500</v>
      </c>
      <c r="D220" s="651">
        <v>248500</v>
      </c>
      <c r="E220" s="651">
        <v>27500</v>
      </c>
      <c r="F220" s="651">
        <f>+G220+J220</f>
        <v>0</v>
      </c>
      <c r="G220" s="651"/>
      <c r="H220" s="651"/>
      <c r="I220" s="651"/>
      <c r="J220" s="651"/>
      <c r="K220" s="651"/>
      <c r="L220" s="651"/>
      <c r="M220" s="648">
        <f>+C220+F220</f>
        <v>548500</v>
      </c>
      <c r="N220" s="3"/>
      <c r="O220" s="14">
        <f>+M220</f>
        <v>548500</v>
      </c>
    </row>
    <row r="221" spans="1:16" ht="75" hidden="1">
      <c r="A221" s="255">
        <v>130201</v>
      </c>
      <c r="B221" s="260" t="s">
        <v>766</v>
      </c>
      <c r="C221" s="231"/>
      <c r="D221" s="231"/>
      <c r="E221" s="231"/>
      <c r="F221" s="231">
        <f t="shared" si="17"/>
        <v>0</v>
      </c>
      <c r="G221" s="231"/>
      <c r="H221" s="231"/>
      <c r="I221" s="231"/>
      <c r="J221" s="231"/>
      <c r="K221" s="231"/>
      <c r="L221" s="231"/>
      <c r="M221" s="228">
        <f t="shared" si="16"/>
        <v>0</v>
      </c>
      <c r="N221" s="3"/>
      <c r="O221" s="14">
        <f t="shared" si="18"/>
        <v>0</v>
      </c>
    </row>
    <row r="222" spans="1:16" ht="75" hidden="1">
      <c r="A222" s="255">
        <v>130202</v>
      </c>
      <c r="B222" s="260" t="s">
        <v>174</v>
      </c>
      <c r="C222" s="231"/>
      <c r="D222" s="231"/>
      <c r="E222" s="231"/>
      <c r="F222" s="231">
        <f t="shared" si="17"/>
        <v>0</v>
      </c>
      <c r="G222" s="231"/>
      <c r="H222" s="231"/>
      <c r="I222" s="231"/>
      <c r="J222" s="231"/>
      <c r="K222" s="231"/>
      <c r="L222" s="231"/>
      <c r="M222" s="228">
        <f t="shared" si="16"/>
        <v>0</v>
      </c>
      <c r="N222" s="3"/>
      <c r="O222" s="14">
        <f t="shared" si="18"/>
        <v>0</v>
      </c>
    </row>
    <row r="223" spans="1:16" ht="76.150000000000006" customHeight="1">
      <c r="A223" s="437">
        <v>130203</v>
      </c>
      <c r="B223" s="260" t="s">
        <v>396</v>
      </c>
      <c r="C223" s="651">
        <v>17400000</v>
      </c>
      <c r="D223" s="651"/>
      <c r="E223" s="651"/>
      <c r="F223" s="651">
        <f t="shared" si="17"/>
        <v>0</v>
      </c>
      <c r="G223" s="651"/>
      <c r="H223" s="651"/>
      <c r="I223" s="651"/>
      <c r="J223" s="651"/>
      <c r="K223" s="651"/>
      <c r="L223" s="651"/>
      <c r="M223" s="648">
        <f t="shared" si="16"/>
        <v>17400000</v>
      </c>
      <c r="N223" s="3"/>
      <c r="O223" s="14">
        <f t="shared" si="18"/>
        <v>17400000</v>
      </c>
    </row>
    <row r="224" spans="1:16" ht="52.15" customHeight="1">
      <c r="A224" s="437">
        <v>130204</v>
      </c>
      <c r="B224" s="329" t="s">
        <v>314</v>
      </c>
      <c r="C224" s="651">
        <v>566100</v>
      </c>
      <c r="D224" s="651"/>
      <c r="E224" s="651"/>
      <c r="F224" s="651">
        <f t="shared" si="17"/>
        <v>0</v>
      </c>
      <c r="G224" s="651"/>
      <c r="H224" s="651"/>
      <c r="I224" s="651"/>
      <c r="J224" s="651"/>
      <c r="K224" s="651"/>
      <c r="L224" s="651"/>
      <c r="M224" s="648">
        <f t="shared" si="16"/>
        <v>566100</v>
      </c>
      <c r="N224" s="3"/>
      <c r="O224" s="14">
        <f t="shared" si="18"/>
        <v>566100</v>
      </c>
    </row>
    <row r="225" spans="1:154" ht="56.25">
      <c r="A225" s="437">
        <v>130205</v>
      </c>
      <c r="B225" s="329" t="s">
        <v>1520</v>
      </c>
      <c r="C225" s="651">
        <v>2000000</v>
      </c>
      <c r="D225" s="651"/>
      <c r="E225" s="651"/>
      <c r="F225" s="651">
        <f t="shared" si="17"/>
        <v>0</v>
      </c>
      <c r="G225" s="651"/>
      <c r="H225" s="651"/>
      <c r="I225" s="651"/>
      <c r="J225" s="651"/>
      <c r="K225" s="651"/>
      <c r="L225" s="651"/>
      <c r="M225" s="648">
        <f t="shared" si="16"/>
        <v>2000000</v>
      </c>
      <c r="N225" s="3"/>
      <c r="O225" s="14">
        <f t="shared" si="18"/>
        <v>2000000</v>
      </c>
    </row>
    <row r="226" spans="1:154" s="120" customFormat="1" ht="30" customHeight="1">
      <c r="A226" s="639">
        <v>150000</v>
      </c>
      <c r="B226" s="647" t="s">
        <v>1055</v>
      </c>
      <c r="C226" s="648">
        <f>SUM(C229:C244)</f>
        <v>2698000</v>
      </c>
      <c r="D226" s="648">
        <f>SUM(D229:D244)</f>
        <v>0</v>
      </c>
      <c r="E226" s="648">
        <f>SUM(E229:E244)</f>
        <v>0</v>
      </c>
      <c r="F226" s="648">
        <f t="shared" si="17"/>
        <v>18847800</v>
      </c>
      <c r="G226" s="648">
        <f t="shared" ref="G226:L226" si="23">SUM(G229:G244)</f>
        <v>0</v>
      </c>
      <c r="H226" s="648">
        <f t="shared" si="23"/>
        <v>0</v>
      </c>
      <c r="I226" s="648">
        <f t="shared" si="23"/>
        <v>0</v>
      </c>
      <c r="J226" s="648">
        <f t="shared" si="23"/>
        <v>18847800</v>
      </c>
      <c r="K226" s="648">
        <f t="shared" si="23"/>
        <v>18847800</v>
      </c>
      <c r="L226" s="648">
        <f t="shared" si="23"/>
        <v>11700000</v>
      </c>
      <c r="M226" s="648">
        <f t="shared" si="16"/>
        <v>21545800</v>
      </c>
      <c r="N226" s="3"/>
      <c r="O226" s="376">
        <f t="shared" si="18"/>
        <v>21545800</v>
      </c>
      <c r="P226" s="377"/>
      <c r="Q226" s="377"/>
      <c r="R226" s="358"/>
      <c r="S226" s="358"/>
      <c r="T226" s="358"/>
      <c r="U226" s="358"/>
      <c r="V226" s="358"/>
      <c r="W226" s="358"/>
      <c r="X226" s="358"/>
      <c r="Y226" s="358"/>
      <c r="Z226" s="358"/>
      <c r="AA226" s="358"/>
      <c r="AB226" s="358"/>
      <c r="AC226" s="358"/>
      <c r="AD226" s="358"/>
      <c r="AE226" s="358"/>
      <c r="AF226" s="358"/>
      <c r="AG226" s="358"/>
      <c r="AH226" s="358"/>
      <c r="AI226" s="358"/>
      <c r="AJ226" s="358"/>
      <c r="AK226" s="358"/>
      <c r="AL226" s="358"/>
      <c r="AM226" s="358"/>
      <c r="AN226" s="358"/>
      <c r="AO226" s="358"/>
      <c r="AP226" s="358"/>
      <c r="AQ226" s="358"/>
      <c r="AR226" s="358"/>
      <c r="AS226" s="358"/>
      <c r="AT226" s="358"/>
      <c r="AU226" s="358"/>
      <c r="AV226" s="358"/>
      <c r="AW226" s="358"/>
      <c r="AX226" s="358"/>
      <c r="AY226" s="358"/>
      <c r="AZ226" s="358"/>
      <c r="BA226" s="358"/>
      <c r="BB226" s="358"/>
      <c r="BC226" s="358"/>
      <c r="BD226" s="358"/>
      <c r="BE226" s="358"/>
      <c r="BF226" s="358"/>
      <c r="BG226" s="358"/>
      <c r="BH226" s="358"/>
      <c r="BI226" s="358"/>
      <c r="BJ226" s="358"/>
      <c r="BK226" s="358"/>
      <c r="BL226" s="358"/>
      <c r="BM226" s="358"/>
      <c r="BN226" s="358"/>
      <c r="BO226" s="358"/>
      <c r="BP226" s="358"/>
      <c r="BQ226" s="358"/>
      <c r="BR226" s="358"/>
      <c r="BS226" s="358"/>
      <c r="BT226" s="358"/>
      <c r="BU226" s="358"/>
      <c r="BV226" s="358"/>
      <c r="BW226" s="358"/>
      <c r="BX226" s="358"/>
      <c r="BY226" s="358"/>
      <c r="BZ226" s="358"/>
      <c r="CA226" s="358"/>
      <c r="CB226" s="358"/>
      <c r="CC226" s="358"/>
      <c r="CD226" s="358"/>
      <c r="CE226" s="358"/>
      <c r="CF226" s="358"/>
      <c r="CG226" s="358"/>
      <c r="CH226" s="358"/>
      <c r="CI226" s="358"/>
      <c r="CJ226" s="358"/>
      <c r="CK226" s="358"/>
      <c r="CL226" s="358"/>
      <c r="CM226" s="358"/>
      <c r="CN226" s="358"/>
      <c r="CO226" s="358"/>
      <c r="CP226" s="358"/>
      <c r="CQ226" s="358"/>
      <c r="CR226" s="358"/>
      <c r="CS226" s="358"/>
      <c r="CT226" s="358"/>
      <c r="CU226" s="358"/>
      <c r="CV226" s="358"/>
      <c r="CW226" s="358"/>
      <c r="CX226" s="358"/>
      <c r="CY226" s="358"/>
      <c r="CZ226" s="358"/>
      <c r="DA226" s="358"/>
      <c r="DB226" s="358"/>
      <c r="DC226" s="358"/>
      <c r="DD226" s="358"/>
      <c r="DE226" s="358"/>
      <c r="DF226" s="358"/>
      <c r="DG226" s="358"/>
      <c r="DH226" s="358"/>
      <c r="DI226" s="358"/>
      <c r="DJ226" s="358"/>
      <c r="DK226" s="358"/>
      <c r="DL226" s="358"/>
      <c r="DM226" s="358"/>
      <c r="DN226" s="358"/>
      <c r="DO226" s="358"/>
      <c r="DP226" s="358"/>
      <c r="DQ226" s="358"/>
      <c r="DR226" s="358"/>
      <c r="DS226" s="358"/>
      <c r="DT226" s="358"/>
      <c r="DU226" s="358"/>
      <c r="DV226" s="358"/>
      <c r="DW226" s="358"/>
      <c r="DX226" s="358"/>
      <c r="DY226" s="358"/>
      <c r="DZ226" s="358"/>
      <c r="EA226" s="358"/>
      <c r="EB226" s="358"/>
      <c r="EC226" s="358"/>
      <c r="ED226" s="358"/>
      <c r="EE226" s="358"/>
      <c r="EF226" s="358"/>
      <c r="EG226" s="358"/>
      <c r="EH226" s="358"/>
      <c r="EI226" s="358"/>
      <c r="EJ226" s="358"/>
      <c r="EK226" s="358"/>
      <c r="EL226" s="358"/>
      <c r="EM226" s="358"/>
      <c r="EN226" s="358"/>
      <c r="EO226" s="358"/>
      <c r="EP226" s="358"/>
      <c r="EQ226" s="358"/>
      <c r="ER226" s="358"/>
      <c r="ES226" s="358"/>
      <c r="ET226" s="358"/>
      <c r="EU226" s="358"/>
      <c r="EV226" s="358"/>
      <c r="EW226" s="358"/>
      <c r="EX226" s="358"/>
    </row>
    <row r="227" spans="1:154" s="120" customFormat="1" ht="18.75" hidden="1">
      <c r="A227" s="375"/>
      <c r="B227" s="233" t="s">
        <v>747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>
        <f t="shared" si="16"/>
        <v>0</v>
      </c>
      <c r="N227" s="3"/>
      <c r="O227" s="376"/>
      <c r="P227" s="377"/>
      <c r="Q227" s="377"/>
      <c r="R227" s="358"/>
      <c r="S227" s="358"/>
      <c r="T227" s="358"/>
      <c r="U227" s="358"/>
      <c r="V227" s="358"/>
      <c r="W227" s="358"/>
      <c r="X227" s="358"/>
      <c r="Y227" s="358"/>
      <c r="Z227" s="358"/>
      <c r="AA227" s="358"/>
      <c r="AB227" s="358"/>
      <c r="AC227" s="358"/>
      <c r="AD227" s="358"/>
      <c r="AE227" s="358"/>
      <c r="AF227" s="358"/>
      <c r="AG227" s="358"/>
      <c r="AH227" s="358"/>
      <c r="AI227" s="358"/>
      <c r="AJ227" s="358"/>
      <c r="AK227" s="358"/>
      <c r="AL227" s="358"/>
      <c r="AM227" s="358"/>
      <c r="AN227" s="358"/>
      <c r="AO227" s="358"/>
      <c r="AP227" s="358"/>
      <c r="AQ227" s="358"/>
      <c r="AR227" s="358"/>
      <c r="AS227" s="358"/>
      <c r="AT227" s="358"/>
      <c r="AU227" s="358"/>
      <c r="AV227" s="358"/>
      <c r="AW227" s="358"/>
      <c r="AX227" s="358"/>
      <c r="AY227" s="358"/>
      <c r="AZ227" s="358"/>
      <c r="BA227" s="358"/>
      <c r="BB227" s="358"/>
      <c r="BC227" s="358"/>
      <c r="BD227" s="358"/>
      <c r="BE227" s="358"/>
      <c r="BF227" s="358"/>
      <c r="BG227" s="358"/>
      <c r="BH227" s="358"/>
      <c r="BI227" s="358"/>
      <c r="BJ227" s="358"/>
      <c r="BK227" s="358"/>
      <c r="BL227" s="358"/>
      <c r="BM227" s="358"/>
      <c r="BN227" s="358"/>
      <c r="BO227" s="358"/>
      <c r="BP227" s="358"/>
      <c r="BQ227" s="358"/>
      <c r="BR227" s="358"/>
      <c r="BS227" s="358"/>
      <c r="BT227" s="358"/>
      <c r="BU227" s="358"/>
      <c r="BV227" s="358"/>
      <c r="BW227" s="358"/>
      <c r="BX227" s="358"/>
      <c r="BY227" s="358"/>
      <c r="BZ227" s="358"/>
      <c r="CA227" s="358"/>
      <c r="CB227" s="358"/>
      <c r="CC227" s="358"/>
      <c r="CD227" s="358"/>
      <c r="CE227" s="358"/>
      <c r="CF227" s="358"/>
      <c r="CG227" s="358"/>
      <c r="CH227" s="358"/>
      <c r="CI227" s="358"/>
      <c r="CJ227" s="358"/>
      <c r="CK227" s="358"/>
      <c r="CL227" s="358"/>
      <c r="CM227" s="358"/>
      <c r="CN227" s="358"/>
      <c r="CO227" s="358"/>
      <c r="CP227" s="358"/>
      <c r="CQ227" s="358"/>
      <c r="CR227" s="358"/>
      <c r="CS227" s="358"/>
      <c r="CT227" s="358"/>
      <c r="CU227" s="358"/>
      <c r="CV227" s="358"/>
      <c r="CW227" s="358"/>
      <c r="CX227" s="358"/>
      <c r="CY227" s="358"/>
      <c r="CZ227" s="358"/>
      <c r="DA227" s="358"/>
      <c r="DB227" s="358"/>
      <c r="DC227" s="358"/>
      <c r="DD227" s="358"/>
      <c r="DE227" s="358"/>
      <c r="DF227" s="358"/>
      <c r="DG227" s="358"/>
      <c r="DH227" s="358"/>
      <c r="DI227" s="358"/>
      <c r="DJ227" s="358"/>
      <c r="DK227" s="358"/>
      <c r="DL227" s="358"/>
      <c r="DM227" s="358"/>
      <c r="DN227" s="358"/>
      <c r="DO227" s="358"/>
      <c r="DP227" s="358"/>
      <c r="DQ227" s="358"/>
      <c r="DR227" s="358"/>
      <c r="DS227" s="358"/>
      <c r="DT227" s="358"/>
      <c r="DU227" s="358"/>
      <c r="DV227" s="358"/>
      <c r="DW227" s="358"/>
      <c r="DX227" s="358"/>
      <c r="DY227" s="358"/>
      <c r="DZ227" s="358"/>
      <c r="EA227" s="358"/>
      <c r="EB227" s="358"/>
      <c r="EC227" s="358"/>
      <c r="ED227" s="358"/>
      <c r="EE227" s="358"/>
      <c r="EF227" s="358"/>
      <c r="EG227" s="358"/>
      <c r="EH227" s="358"/>
      <c r="EI227" s="358"/>
      <c r="EJ227" s="358"/>
      <c r="EK227" s="358"/>
      <c r="EL227" s="358"/>
      <c r="EM227" s="358"/>
      <c r="EN227" s="358"/>
      <c r="EO227" s="358"/>
      <c r="EP227" s="358"/>
      <c r="EQ227" s="358"/>
      <c r="ER227" s="358"/>
      <c r="ES227" s="358"/>
      <c r="ET227" s="358"/>
      <c r="EU227" s="358"/>
      <c r="EV227" s="358"/>
      <c r="EW227" s="358"/>
      <c r="EX227" s="358"/>
    </row>
    <row r="228" spans="1:154" s="120" customFormat="1" ht="37.5" hidden="1">
      <c r="A228" s="375"/>
      <c r="B228" s="438" t="s">
        <v>1021</v>
      </c>
      <c r="C228" s="242"/>
      <c r="D228" s="242"/>
      <c r="E228" s="242"/>
      <c r="F228" s="231">
        <f t="shared" si="17"/>
        <v>0</v>
      </c>
      <c r="G228" s="242"/>
      <c r="H228" s="242"/>
      <c r="I228" s="242"/>
      <c r="J228" s="234"/>
      <c r="K228" s="231">
        <f>+J228</f>
        <v>0</v>
      </c>
      <c r="L228" s="234"/>
      <c r="M228" s="242">
        <f t="shared" si="16"/>
        <v>0</v>
      </c>
      <c r="N228" s="3"/>
      <c r="O228" s="14">
        <f t="shared" si="18"/>
        <v>0</v>
      </c>
      <c r="P228" s="377"/>
      <c r="Q228" s="377"/>
      <c r="R228" s="358"/>
      <c r="S228" s="358"/>
      <c r="T228" s="358"/>
      <c r="U228" s="358"/>
      <c r="V228" s="358"/>
      <c r="W228" s="358"/>
      <c r="X228" s="358"/>
      <c r="Y228" s="358"/>
      <c r="Z228" s="358"/>
      <c r="AA228" s="358"/>
      <c r="AB228" s="358"/>
      <c r="AC228" s="358"/>
      <c r="AD228" s="358"/>
      <c r="AE228" s="358"/>
      <c r="AF228" s="358"/>
      <c r="AG228" s="358"/>
      <c r="AH228" s="358"/>
      <c r="AI228" s="358"/>
      <c r="AJ228" s="358"/>
      <c r="AK228" s="358"/>
      <c r="AL228" s="358"/>
      <c r="AM228" s="358"/>
      <c r="AN228" s="358"/>
      <c r="AO228" s="358"/>
      <c r="AP228" s="358"/>
      <c r="AQ228" s="358"/>
      <c r="AR228" s="358"/>
      <c r="AS228" s="358"/>
      <c r="AT228" s="358"/>
      <c r="AU228" s="358"/>
      <c r="AV228" s="358"/>
      <c r="AW228" s="358"/>
      <c r="AX228" s="358"/>
      <c r="AY228" s="358"/>
      <c r="AZ228" s="358"/>
      <c r="BA228" s="358"/>
      <c r="BB228" s="358"/>
      <c r="BC228" s="358"/>
      <c r="BD228" s="358"/>
      <c r="BE228" s="358"/>
      <c r="BF228" s="358"/>
      <c r="BG228" s="358"/>
      <c r="BH228" s="358"/>
      <c r="BI228" s="358"/>
      <c r="BJ228" s="358"/>
      <c r="BK228" s="358"/>
      <c r="BL228" s="358"/>
      <c r="BM228" s="358"/>
      <c r="BN228" s="358"/>
      <c r="BO228" s="358"/>
      <c r="BP228" s="358"/>
      <c r="BQ228" s="358"/>
      <c r="BR228" s="358"/>
      <c r="BS228" s="358"/>
      <c r="BT228" s="358"/>
      <c r="BU228" s="358"/>
      <c r="BV228" s="358"/>
      <c r="BW228" s="358"/>
      <c r="BX228" s="358"/>
      <c r="BY228" s="358"/>
      <c r="BZ228" s="358"/>
      <c r="CA228" s="358"/>
      <c r="CB228" s="358"/>
      <c r="CC228" s="358"/>
      <c r="CD228" s="358"/>
      <c r="CE228" s="358"/>
      <c r="CF228" s="358"/>
      <c r="CG228" s="358"/>
      <c r="CH228" s="358"/>
      <c r="CI228" s="358"/>
      <c r="CJ228" s="358"/>
      <c r="CK228" s="358"/>
      <c r="CL228" s="358"/>
      <c r="CM228" s="358"/>
      <c r="CN228" s="358"/>
      <c r="CO228" s="358"/>
      <c r="CP228" s="358"/>
      <c r="CQ228" s="358"/>
      <c r="CR228" s="358"/>
      <c r="CS228" s="358"/>
      <c r="CT228" s="358"/>
      <c r="CU228" s="358"/>
      <c r="CV228" s="358"/>
      <c r="CW228" s="358"/>
      <c r="CX228" s="358"/>
      <c r="CY228" s="358"/>
      <c r="CZ228" s="358"/>
      <c r="DA228" s="358"/>
      <c r="DB228" s="358"/>
      <c r="DC228" s="358"/>
      <c r="DD228" s="358"/>
      <c r="DE228" s="358"/>
      <c r="DF228" s="358"/>
      <c r="DG228" s="358"/>
      <c r="DH228" s="358"/>
      <c r="DI228" s="358"/>
      <c r="DJ228" s="358"/>
      <c r="DK228" s="358"/>
      <c r="DL228" s="358"/>
      <c r="DM228" s="358"/>
      <c r="DN228" s="358"/>
      <c r="DO228" s="358"/>
      <c r="DP228" s="358"/>
      <c r="DQ228" s="358"/>
      <c r="DR228" s="358"/>
      <c r="DS228" s="358"/>
      <c r="DT228" s="358"/>
      <c r="DU228" s="358"/>
      <c r="DV228" s="358"/>
      <c r="DW228" s="358"/>
      <c r="DX228" s="358"/>
      <c r="DY228" s="358"/>
      <c r="DZ228" s="358"/>
      <c r="EA228" s="358"/>
      <c r="EB228" s="358"/>
      <c r="EC228" s="358"/>
      <c r="ED228" s="358"/>
      <c r="EE228" s="358"/>
      <c r="EF228" s="358"/>
      <c r="EG228" s="358"/>
      <c r="EH228" s="358"/>
      <c r="EI228" s="358"/>
      <c r="EJ228" s="358"/>
      <c r="EK228" s="358"/>
      <c r="EL228" s="358"/>
      <c r="EM228" s="358"/>
      <c r="EN228" s="358"/>
      <c r="EO228" s="358"/>
      <c r="EP228" s="358"/>
      <c r="EQ228" s="358"/>
      <c r="ER228" s="358"/>
      <c r="ES228" s="358"/>
      <c r="ET228" s="358"/>
      <c r="EU228" s="358"/>
      <c r="EV228" s="358"/>
      <c r="EW228" s="358"/>
      <c r="EX228" s="358"/>
    </row>
    <row r="229" spans="1:154" ht="34.9" customHeight="1">
      <c r="A229" s="437">
        <v>150101</v>
      </c>
      <c r="B229" s="453" t="s">
        <v>532</v>
      </c>
      <c r="C229" s="651">
        <f>700000-700000</f>
        <v>0</v>
      </c>
      <c r="D229" s="651"/>
      <c r="E229" s="651"/>
      <c r="F229" s="651">
        <f t="shared" si="17"/>
        <v>18047800</v>
      </c>
      <c r="G229" s="651"/>
      <c r="H229" s="651"/>
      <c r="I229" s="651"/>
      <c r="J229" s="651">
        <f>2500000-300000+11147800+750000-50000+4000000</f>
        <v>18047800</v>
      </c>
      <c r="K229" s="651">
        <f>+J229</f>
        <v>18047800</v>
      </c>
      <c r="L229" s="651">
        <f>2500000-300000+8000000+750000-50000</f>
        <v>10900000</v>
      </c>
      <c r="M229" s="648">
        <f t="shared" si="16"/>
        <v>18047800</v>
      </c>
      <c r="N229" s="3">
        <f>+M229</f>
        <v>18047800</v>
      </c>
      <c r="O229" s="14">
        <f t="shared" si="18"/>
        <v>18047800</v>
      </c>
      <c r="P229" s="54">
        <v>1</v>
      </c>
    </row>
    <row r="230" spans="1:154" ht="187.5" hidden="1">
      <c r="A230" s="261">
        <v>150107</v>
      </c>
      <c r="B230" s="404" t="s">
        <v>1285</v>
      </c>
      <c r="C230" s="231"/>
      <c r="D230" s="231"/>
      <c r="E230" s="231"/>
      <c r="F230" s="231">
        <f t="shared" si="17"/>
        <v>0</v>
      </c>
      <c r="G230" s="231"/>
      <c r="H230" s="231"/>
      <c r="I230" s="231"/>
      <c r="J230" s="231"/>
      <c r="K230" s="231">
        <f t="shared" ref="K230:K244" si="24">+J230</f>
        <v>0</v>
      </c>
      <c r="L230" s="231"/>
      <c r="M230" s="228">
        <f t="shared" si="16"/>
        <v>0</v>
      </c>
      <c r="N230" s="3"/>
      <c r="O230" s="14">
        <f t="shared" si="18"/>
        <v>0</v>
      </c>
    </row>
    <row r="231" spans="1:154" ht="56.25" hidden="1">
      <c r="A231" s="261">
        <v>150110</v>
      </c>
      <c r="B231" s="263" t="s">
        <v>1234</v>
      </c>
      <c r="C231" s="458"/>
      <c r="D231" s="458"/>
      <c r="E231" s="458"/>
      <c r="F231" s="468">
        <f t="shared" si="17"/>
        <v>0</v>
      </c>
      <c r="G231" s="458"/>
      <c r="H231" s="458"/>
      <c r="I231" s="458"/>
      <c r="J231" s="458"/>
      <c r="K231" s="458">
        <f t="shared" si="24"/>
        <v>0</v>
      </c>
      <c r="L231" s="458"/>
      <c r="M231" s="457">
        <f t="shared" si="16"/>
        <v>0</v>
      </c>
      <c r="N231" s="3"/>
      <c r="O231" s="14">
        <f t="shared" si="18"/>
        <v>0</v>
      </c>
    </row>
    <row r="232" spans="1:154" ht="56.25" hidden="1">
      <c r="A232" s="261">
        <v>150111</v>
      </c>
      <c r="B232" s="264" t="s">
        <v>575</v>
      </c>
      <c r="C232" s="458"/>
      <c r="D232" s="458"/>
      <c r="E232" s="458"/>
      <c r="F232" s="468">
        <f t="shared" si="17"/>
        <v>0</v>
      </c>
      <c r="G232" s="458"/>
      <c r="H232" s="458"/>
      <c r="I232" s="458"/>
      <c r="J232" s="458"/>
      <c r="K232" s="458">
        <f t="shared" si="24"/>
        <v>0</v>
      </c>
      <c r="L232" s="458"/>
      <c r="M232" s="457">
        <f t="shared" ref="M232:M304" si="25">+C232+F232</f>
        <v>0</v>
      </c>
      <c r="N232" s="3"/>
      <c r="O232" s="14">
        <f t="shared" si="18"/>
        <v>0</v>
      </c>
    </row>
    <row r="233" spans="1:154" ht="56.25" hidden="1">
      <c r="A233" s="262">
        <v>150112</v>
      </c>
      <c r="B233" s="263" t="s">
        <v>767</v>
      </c>
      <c r="C233" s="458"/>
      <c r="D233" s="458">
        <f>+D234+D235+D248+D250+D245+D243</f>
        <v>0</v>
      </c>
      <c r="E233" s="458">
        <f>+E234+E235+E248+E250+E245+E243</f>
        <v>0</v>
      </c>
      <c r="F233" s="458">
        <f t="shared" si="17"/>
        <v>0</v>
      </c>
      <c r="G233" s="458"/>
      <c r="H233" s="458">
        <f>+H234+H235+H250+H252</f>
        <v>0</v>
      </c>
      <c r="I233" s="458">
        <f>+I234+I235+I250+I252</f>
        <v>0</v>
      </c>
      <c r="J233" s="458"/>
      <c r="K233" s="458">
        <f t="shared" si="24"/>
        <v>0</v>
      </c>
      <c r="L233" s="458"/>
      <c r="M233" s="457">
        <f t="shared" si="25"/>
        <v>0</v>
      </c>
      <c r="N233" s="3">
        <f>+M233</f>
        <v>0</v>
      </c>
      <c r="O233" s="14">
        <f t="shared" si="18"/>
        <v>0</v>
      </c>
      <c r="P233" s="54">
        <v>1</v>
      </c>
    </row>
    <row r="234" spans="1:154" ht="56.25" hidden="1">
      <c r="A234" s="261">
        <v>150114</v>
      </c>
      <c r="B234" s="264" t="s">
        <v>715</v>
      </c>
      <c r="C234" s="514"/>
      <c r="D234" s="514"/>
      <c r="E234" s="514"/>
      <c r="F234" s="471">
        <f t="shared" si="17"/>
        <v>0</v>
      </c>
      <c r="G234" s="514"/>
      <c r="H234" s="514"/>
      <c r="I234" s="514"/>
      <c r="J234" s="515"/>
      <c r="K234" s="458">
        <f t="shared" si="24"/>
        <v>0</v>
      </c>
      <c r="L234" s="458"/>
      <c r="M234" s="457">
        <f t="shared" si="25"/>
        <v>0</v>
      </c>
      <c r="N234" s="3">
        <f>+M234</f>
        <v>0</v>
      </c>
      <c r="O234" s="14">
        <f t="shared" si="18"/>
        <v>0</v>
      </c>
      <c r="P234" s="83">
        <v>1</v>
      </c>
      <c r="Q234" s="9"/>
    </row>
    <row r="235" spans="1:154" ht="39" hidden="1" customHeight="1">
      <c r="A235" s="668">
        <v>150118</v>
      </c>
      <c r="B235" s="264" t="s">
        <v>559</v>
      </c>
      <c r="C235" s="669"/>
      <c r="D235" s="669"/>
      <c r="E235" s="669"/>
      <c r="F235" s="670">
        <f t="shared" si="17"/>
        <v>0</v>
      </c>
      <c r="G235" s="670"/>
      <c r="H235" s="670"/>
      <c r="I235" s="670"/>
      <c r="J235" s="670"/>
      <c r="K235" s="651">
        <f t="shared" si="24"/>
        <v>0</v>
      </c>
      <c r="L235" s="670">
        <f>+K235</f>
        <v>0</v>
      </c>
      <c r="M235" s="648">
        <f t="shared" si="25"/>
        <v>0</v>
      </c>
      <c r="N235">
        <f>+M235</f>
        <v>0</v>
      </c>
      <c r="O235" s="14">
        <f t="shared" si="18"/>
        <v>0</v>
      </c>
      <c r="P235" s="83">
        <v>1</v>
      </c>
      <c r="Q235" s="9"/>
    </row>
    <row r="236" spans="1:154" s="1" customFormat="1" ht="56.25" hidden="1">
      <c r="A236" s="261">
        <v>150119</v>
      </c>
      <c r="B236" s="264" t="s">
        <v>940</v>
      </c>
      <c r="C236" s="469"/>
      <c r="D236" s="469"/>
      <c r="E236" s="469"/>
      <c r="F236" s="470">
        <f t="shared" si="17"/>
        <v>0</v>
      </c>
      <c r="G236" s="470"/>
      <c r="H236" s="470"/>
      <c r="I236" s="470"/>
      <c r="J236" s="470"/>
      <c r="K236" s="458">
        <f t="shared" si="24"/>
        <v>0</v>
      </c>
      <c r="L236" s="458"/>
      <c r="M236" s="457">
        <f t="shared" si="25"/>
        <v>0</v>
      </c>
      <c r="N236"/>
      <c r="O236" s="14">
        <f t="shared" si="18"/>
        <v>0</v>
      </c>
      <c r="P236" s="83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</row>
    <row r="237" spans="1:154" s="1" customFormat="1" ht="18.75" hidden="1">
      <c r="A237" s="262">
        <v>150120</v>
      </c>
      <c r="B237" s="264" t="s">
        <v>1060</v>
      </c>
      <c r="C237" s="267"/>
      <c r="D237" s="267"/>
      <c r="E237" s="267"/>
      <c r="F237" s="267">
        <f t="shared" ref="F237:F324" si="26">+G237+J237</f>
        <v>0</v>
      </c>
      <c r="G237" s="267"/>
      <c r="H237" s="267"/>
      <c r="I237" s="267"/>
      <c r="J237" s="267"/>
      <c r="K237" s="231">
        <f t="shared" si="24"/>
        <v>0</v>
      </c>
      <c r="L237" s="267"/>
      <c r="M237" s="251">
        <f t="shared" si="25"/>
        <v>0</v>
      </c>
      <c r="N237"/>
      <c r="O237" s="14">
        <f t="shared" ref="O237:O324" si="27">+M237</f>
        <v>0</v>
      </c>
      <c r="P237" s="83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</row>
    <row r="238" spans="1:154" s="1" customFormat="1" ht="75" hidden="1">
      <c r="A238" s="262">
        <v>150121</v>
      </c>
      <c r="B238" s="264" t="s">
        <v>1266</v>
      </c>
      <c r="C238" s="267"/>
      <c r="D238" s="267"/>
      <c r="E238" s="267"/>
      <c r="F238" s="267">
        <f t="shared" si="26"/>
        <v>0</v>
      </c>
      <c r="G238" s="267"/>
      <c r="H238" s="267"/>
      <c r="I238" s="267"/>
      <c r="J238" s="267"/>
      <c r="K238" s="231">
        <f t="shared" si="24"/>
        <v>0</v>
      </c>
      <c r="L238" s="267"/>
      <c r="M238" s="251">
        <f t="shared" si="25"/>
        <v>0</v>
      </c>
      <c r="N238"/>
      <c r="O238" s="14">
        <f t="shared" si="27"/>
        <v>0</v>
      </c>
      <c r="P238" s="83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</row>
    <row r="239" spans="1:154" s="1" customFormat="1" ht="18.75" hidden="1">
      <c r="A239" s="262">
        <v>150122</v>
      </c>
      <c r="B239" s="264" t="s">
        <v>1267</v>
      </c>
      <c r="C239" s="267"/>
      <c r="D239" s="267"/>
      <c r="E239" s="267"/>
      <c r="F239" s="267">
        <f t="shared" si="26"/>
        <v>0</v>
      </c>
      <c r="G239" s="267"/>
      <c r="H239" s="267"/>
      <c r="I239" s="267"/>
      <c r="J239" s="267"/>
      <c r="K239" s="231">
        <f t="shared" si="24"/>
        <v>0</v>
      </c>
      <c r="L239" s="267"/>
      <c r="M239" s="251">
        <f t="shared" si="25"/>
        <v>0</v>
      </c>
      <c r="N239"/>
      <c r="O239" s="14">
        <f t="shared" si="27"/>
        <v>0</v>
      </c>
      <c r="P239" s="83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</row>
    <row r="240" spans="1:154" ht="43.9" customHeight="1">
      <c r="A240" s="668">
        <v>150201</v>
      </c>
      <c r="B240" s="268" t="s">
        <v>935</v>
      </c>
      <c r="C240" s="671">
        <f>1950000+98000</f>
        <v>2048000</v>
      </c>
      <c r="D240" s="671"/>
      <c r="E240" s="671"/>
      <c r="F240" s="671">
        <f t="shared" si="26"/>
        <v>800000</v>
      </c>
      <c r="G240" s="671"/>
      <c r="H240" s="671"/>
      <c r="I240" s="671"/>
      <c r="J240" s="671">
        <v>800000</v>
      </c>
      <c r="K240" s="651">
        <f t="shared" si="24"/>
        <v>800000</v>
      </c>
      <c r="L240" s="651">
        <f>+K240</f>
        <v>800000</v>
      </c>
      <c r="M240" s="648">
        <f t="shared" si="25"/>
        <v>2848000</v>
      </c>
      <c r="O240" s="14">
        <f t="shared" si="27"/>
        <v>2848000</v>
      </c>
      <c r="P240" s="83"/>
      <c r="Q240" s="9"/>
    </row>
    <row r="241" spans="1:154" s="1" customFormat="1" ht="37.5" hidden="1">
      <c r="A241" s="261">
        <v>150202</v>
      </c>
      <c r="B241" s="405" t="s">
        <v>1509</v>
      </c>
      <c r="C241" s="267"/>
      <c r="D241" s="267"/>
      <c r="E241" s="267"/>
      <c r="F241" s="267">
        <f t="shared" si="26"/>
        <v>0</v>
      </c>
      <c r="G241" s="267"/>
      <c r="H241" s="267"/>
      <c r="I241" s="267"/>
      <c r="J241" s="267"/>
      <c r="K241" s="231">
        <f t="shared" si="24"/>
        <v>0</v>
      </c>
      <c r="L241" s="267"/>
      <c r="M241" s="251">
        <f t="shared" si="25"/>
        <v>0</v>
      </c>
      <c r="N241"/>
      <c r="O241" s="14">
        <f t="shared" si="27"/>
        <v>0</v>
      </c>
      <c r="P241" s="83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</row>
    <row r="242" spans="1:154" ht="45" customHeight="1">
      <c r="A242" s="668">
        <v>150203</v>
      </c>
      <c r="B242" s="672" t="s">
        <v>1067</v>
      </c>
      <c r="C242" s="673">
        <v>650000</v>
      </c>
      <c r="D242" s="673"/>
      <c r="E242" s="673"/>
      <c r="F242" s="673">
        <f t="shared" si="26"/>
        <v>0</v>
      </c>
      <c r="G242" s="673"/>
      <c r="H242" s="673"/>
      <c r="I242" s="673"/>
      <c r="J242" s="673">
        <f>550000-550000</f>
        <v>0</v>
      </c>
      <c r="K242" s="651">
        <f t="shared" si="24"/>
        <v>0</v>
      </c>
      <c r="L242" s="651">
        <f>550000-550000</f>
        <v>0</v>
      </c>
      <c r="M242" s="648">
        <f t="shared" si="25"/>
        <v>650000</v>
      </c>
      <c r="O242" s="14">
        <f t="shared" si="27"/>
        <v>650000</v>
      </c>
      <c r="P242" s="83"/>
      <c r="Q242" s="9"/>
    </row>
    <row r="243" spans="1:154" ht="37.5" hidden="1">
      <c r="A243" s="262">
        <v>150117</v>
      </c>
      <c r="B243" s="406" t="s">
        <v>700</v>
      </c>
      <c r="C243" s="267"/>
      <c r="D243" s="267"/>
      <c r="E243" s="267"/>
      <c r="F243" s="267">
        <f t="shared" si="26"/>
        <v>0</v>
      </c>
      <c r="G243" s="267"/>
      <c r="H243" s="267"/>
      <c r="I243" s="267"/>
      <c r="J243" s="267"/>
      <c r="K243" s="231">
        <f t="shared" si="24"/>
        <v>0</v>
      </c>
      <c r="L243" s="267"/>
      <c r="M243" s="251">
        <f t="shared" si="25"/>
        <v>0</v>
      </c>
      <c r="O243" s="14">
        <f t="shared" si="27"/>
        <v>0</v>
      </c>
      <c r="P243" s="83"/>
      <c r="Q243" s="9"/>
    </row>
    <row r="244" spans="1:154" ht="37.5" hidden="1">
      <c r="A244" s="407">
        <v>150202</v>
      </c>
      <c r="B244" s="408" t="s">
        <v>1509</v>
      </c>
      <c r="C244" s="267"/>
      <c r="D244" s="267"/>
      <c r="E244" s="267"/>
      <c r="F244" s="267">
        <f t="shared" si="26"/>
        <v>0</v>
      </c>
      <c r="G244" s="267"/>
      <c r="H244" s="267"/>
      <c r="I244" s="267"/>
      <c r="J244" s="267"/>
      <c r="K244" s="231">
        <f t="shared" si="24"/>
        <v>0</v>
      </c>
      <c r="L244" s="267"/>
      <c r="M244" s="251">
        <f t="shared" si="25"/>
        <v>0</v>
      </c>
      <c r="O244" s="14">
        <f t="shared" si="27"/>
        <v>0</v>
      </c>
      <c r="P244" s="83"/>
      <c r="Q244" s="9"/>
    </row>
    <row r="245" spans="1:154" s="120" customFormat="1" ht="37.5">
      <c r="A245" s="639">
        <v>160000</v>
      </c>
      <c r="B245" s="647" t="s">
        <v>533</v>
      </c>
      <c r="C245" s="674">
        <f>+C248+C250</f>
        <v>7100000</v>
      </c>
      <c r="D245" s="674">
        <f>+D248+D250</f>
        <v>0</v>
      </c>
      <c r="E245" s="674">
        <f>+E248+E250</f>
        <v>0</v>
      </c>
      <c r="F245" s="674">
        <f t="shared" si="26"/>
        <v>3000000</v>
      </c>
      <c r="G245" s="674">
        <f t="shared" ref="G245:L245" si="28">+G248+G250+G249</f>
        <v>0</v>
      </c>
      <c r="H245" s="674">
        <f t="shared" si="28"/>
        <v>0</v>
      </c>
      <c r="I245" s="674">
        <f t="shared" si="28"/>
        <v>0</v>
      </c>
      <c r="J245" s="674">
        <f t="shared" si="28"/>
        <v>3000000</v>
      </c>
      <c r="K245" s="674">
        <f t="shared" si="28"/>
        <v>0</v>
      </c>
      <c r="L245" s="674">
        <f t="shared" si="28"/>
        <v>0</v>
      </c>
      <c r="M245" s="648">
        <f t="shared" si="25"/>
        <v>10100000</v>
      </c>
      <c r="N245"/>
      <c r="O245" s="376">
        <f t="shared" si="27"/>
        <v>10100000</v>
      </c>
      <c r="P245" s="378"/>
      <c r="Q245" s="358"/>
      <c r="R245" s="358"/>
      <c r="S245" s="358"/>
      <c r="T245" s="358"/>
      <c r="U245" s="358"/>
      <c r="V245" s="358"/>
      <c r="W245" s="358"/>
      <c r="X245" s="358"/>
      <c r="Y245" s="358"/>
      <c r="Z245" s="358"/>
      <c r="AA245" s="358"/>
      <c r="AB245" s="358"/>
      <c r="AC245" s="358"/>
      <c r="AD245" s="358"/>
      <c r="AE245" s="358"/>
      <c r="AF245" s="358"/>
      <c r="AG245" s="358"/>
      <c r="AH245" s="358"/>
      <c r="AI245" s="358"/>
      <c r="AJ245" s="358"/>
      <c r="AK245" s="358"/>
      <c r="AL245" s="358"/>
      <c r="AM245" s="358"/>
      <c r="AN245" s="358"/>
      <c r="AO245" s="358"/>
      <c r="AP245" s="358"/>
      <c r="AQ245" s="358"/>
      <c r="AR245" s="358"/>
      <c r="AS245" s="358"/>
      <c r="AT245" s="358"/>
      <c r="AU245" s="358"/>
      <c r="AV245" s="358"/>
      <c r="AW245" s="358"/>
      <c r="AX245" s="358"/>
      <c r="AY245" s="358"/>
      <c r="AZ245" s="358"/>
      <c r="BA245" s="358"/>
      <c r="BB245" s="358"/>
      <c r="BC245" s="358"/>
      <c r="BD245" s="358"/>
      <c r="BE245" s="358"/>
      <c r="BF245" s="358"/>
      <c r="BG245" s="358"/>
      <c r="BH245" s="358"/>
      <c r="BI245" s="358"/>
      <c r="BJ245" s="358"/>
      <c r="BK245" s="358"/>
      <c r="BL245" s="358"/>
      <c r="BM245" s="358"/>
      <c r="BN245" s="358"/>
      <c r="BO245" s="358"/>
      <c r="BP245" s="358"/>
      <c r="BQ245" s="358"/>
      <c r="BR245" s="358"/>
      <c r="BS245" s="358"/>
      <c r="BT245" s="358"/>
      <c r="BU245" s="358"/>
      <c r="BV245" s="358"/>
      <c r="BW245" s="358"/>
      <c r="BX245" s="358"/>
      <c r="BY245" s="358"/>
      <c r="BZ245" s="358"/>
      <c r="CA245" s="358"/>
      <c r="CB245" s="358"/>
      <c r="CC245" s="358"/>
      <c r="CD245" s="358"/>
      <c r="CE245" s="358"/>
      <c r="CF245" s="358"/>
      <c r="CG245" s="358"/>
      <c r="CH245" s="358"/>
      <c r="CI245" s="358"/>
      <c r="CJ245" s="358"/>
      <c r="CK245" s="358"/>
      <c r="CL245" s="358"/>
      <c r="CM245" s="358"/>
      <c r="CN245" s="358"/>
      <c r="CO245" s="358"/>
      <c r="CP245" s="358"/>
      <c r="CQ245" s="358"/>
      <c r="CR245" s="358"/>
      <c r="CS245" s="358"/>
      <c r="CT245" s="358"/>
      <c r="CU245" s="358"/>
      <c r="CV245" s="358"/>
      <c r="CW245" s="358"/>
      <c r="CX245" s="358"/>
      <c r="CY245" s="358"/>
      <c r="CZ245" s="358"/>
      <c r="DA245" s="358"/>
      <c r="DB245" s="358"/>
      <c r="DC245" s="358"/>
      <c r="DD245" s="358"/>
      <c r="DE245" s="358"/>
      <c r="DF245" s="358"/>
      <c r="DG245" s="358"/>
      <c r="DH245" s="358"/>
      <c r="DI245" s="358"/>
      <c r="DJ245" s="358"/>
      <c r="DK245" s="358"/>
      <c r="DL245" s="358"/>
      <c r="DM245" s="358"/>
      <c r="DN245" s="358"/>
      <c r="DO245" s="358"/>
      <c r="DP245" s="358"/>
      <c r="DQ245" s="358"/>
      <c r="DR245" s="358"/>
      <c r="DS245" s="358"/>
      <c r="DT245" s="358"/>
      <c r="DU245" s="358"/>
      <c r="DV245" s="358"/>
      <c r="DW245" s="358"/>
      <c r="DX245" s="358"/>
      <c r="DY245" s="358"/>
      <c r="DZ245" s="358"/>
      <c r="EA245" s="358"/>
      <c r="EB245" s="358"/>
      <c r="EC245" s="358"/>
      <c r="ED245" s="358"/>
      <c r="EE245" s="358"/>
      <c r="EF245" s="358"/>
      <c r="EG245" s="358"/>
      <c r="EH245" s="358"/>
      <c r="EI245" s="358"/>
      <c r="EJ245" s="358"/>
      <c r="EK245" s="358"/>
      <c r="EL245" s="358"/>
      <c r="EM245" s="358"/>
      <c r="EN245" s="358"/>
      <c r="EO245" s="358"/>
      <c r="EP245" s="358"/>
      <c r="EQ245" s="358"/>
      <c r="ER245" s="358"/>
      <c r="ES245" s="358"/>
      <c r="ET245" s="358"/>
      <c r="EU245" s="358"/>
      <c r="EV245" s="358"/>
      <c r="EW245" s="358"/>
      <c r="EX245" s="358"/>
    </row>
    <row r="246" spans="1:154" s="120" customFormat="1" ht="18.75" hidden="1">
      <c r="A246" s="390"/>
      <c r="B246" s="269" t="s">
        <v>747</v>
      </c>
      <c r="C246" s="267"/>
      <c r="D246" s="267"/>
      <c r="E246" s="267"/>
      <c r="F246" s="267">
        <f t="shared" si="26"/>
        <v>0</v>
      </c>
      <c r="G246" s="267"/>
      <c r="H246" s="267"/>
      <c r="I246" s="267"/>
      <c r="J246" s="267"/>
      <c r="K246" s="265">
        <f>+J246</f>
        <v>0</v>
      </c>
      <c r="L246" s="267"/>
      <c r="M246" s="251">
        <f t="shared" si="25"/>
        <v>0</v>
      </c>
      <c r="N246" s="391"/>
      <c r="O246" s="226"/>
      <c r="P246" s="378"/>
      <c r="Q246" s="358"/>
      <c r="R246" s="358"/>
      <c r="S246" s="358"/>
      <c r="T246" s="358"/>
      <c r="U246" s="358"/>
      <c r="V246" s="358"/>
      <c r="W246" s="358"/>
      <c r="X246" s="358"/>
      <c r="Y246" s="358"/>
      <c r="Z246" s="358"/>
      <c r="AA246" s="358"/>
      <c r="AB246" s="358"/>
      <c r="AC246" s="358"/>
      <c r="AD246" s="358"/>
      <c r="AE246" s="358"/>
      <c r="AF246" s="358"/>
      <c r="AG246" s="358"/>
      <c r="AH246" s="358"/>
      <c r="AI246" s="358"/>
      <c r="AJ246" s="358"/>
      <c r="AK246" s="358"/>
      <c r="AL246" s="358"/>
      <c r="AM246" s="358"/>
      <c r="AN246" s="358"/>
      <c r="AO246" s="358"/>
      <c r="AP246" s="358"/>
      <c r="AQ246" s="358"/>
      <c r="AR246" s="358"/>
      <c r="AS246" s="358"/>
      <c r="AT246" s="358"/>
      <c r="AU246" s="358"/>
      <c r="AV246" s="358"/>
      <c r="AW246" s="358"/>
      <c r="AX246" s="358"/>
      <c r="AY246" s="358"/>
      <c r="AZ246" s="358"/>
      <c r="BA246" s="358"/>
      <c r="BB246" s="358"/>
      <c r="BC246" s="358"/>
      <c r="BD246" s="358"/>
      <c r="BE246" s="358"/>
      <c r="BF246" s="358"/>
      <c r="BG246" s="358"/>
      <c r="BH246" s="358"/>
      <c r="BI246" s="358"/>
      <c r="BJ246" s="358"/>
      <c r="BK246" s="358"/>
      <c r="BL246" s="358"/>
      <c r="BM246" s="358"/>
      <c r="BN246" s="358"/>
      <c r="BO246" s="358"/>
      <c r="BP246" s="358"/>
      <c r="BQ246" s="358"/>
      <c r="BR246" s="358"/>
      <c r="BS246" s="358"/>
      <c r="BT246" s="358"/>
      <c r="BU246" s="358"/>
      <c r="BV246" s="358"/>
      <c r="BW246" s="358"/>
      <c r="BX246" s="358"/>
      <c r="BY246" s="358"/>
      <c r="BZ246" s="358"/>
      <c r="CA246" s="358"/>
      <c r="CB246" s="358"/>
      <c r="CC246" s="358"/>
      <c r="CD246" s="358"/>
      <c r="CE246" s="358"/>
      <c r="CF246" s="358"/>
      <c r="CG246" s="358"/>
      <c r="CH246" s="358"/>
      <c r="CI246" s="358"/>
      <c r="CJ246" s="358"/>
      <c r="CK246" s="358"/>
      <c r="CL246" s="358"/>
      <c r="CM246" s="358"/>
      <c r="CN246" s="358"/>
      <c r="CO246" s="358"/>
      <c r="CP246" s="358"/>
      <c r="CQ246" s="358"/>
      <c r="CR246" s="358"/>
      <c r="CS246" s="358"/>
      <c r="CT246" s="358"/>
      <c r="CU246" s="358"/>
      <c r="CV246" s="358"/>
      <c r="CW246" s="358"/>
      <c r="CX246" s="358"/>
      <c r="CY246" s="358"/>
      <c r="CZ246" s="358"/>
      <c r="DA246" s="358"/>
      <c r="DB246" s="358"/>
      <c r="DC246" s="358"/>
      <c r="DD246" s="358"/>
      <c r="DE246" s="358"/>
      <c r="DF246" s="358"/>
      <c r="DG246" s="358"/>
      <c r="DH246" s="358"/>
      <c r="DI246" s="358"/>
      <c r="DJ246" s="358"/>
      <c r="DK246" s="358"/>
      <c r="DL246" s="358"/>
      <c r="DM246" s="358"/>
      <c r="DN246" s="358"/>
      <c r="DO246" s="358"/>
      <c r="DP246" s="358"/>
      <c r="DQ246" s="358"/>
      <c r="DR246" s="358"/>
      <c r="DS246" s="358"/>
      <c r="DT246" s="358"/>
      <c r="DU246" s="358"/>
      <c r="DV246" s="358"/>
      <c r="DW246" s="358"/>
      <c r="DX246" s="358"/>
      <c r="DY246" s="358"/>
      <c r="DZ246" s="358"/>
      <c r="EA246" s="358"/>
      <c r="EB246" s="358"/>
      <c r="EC246" s="358"/>
      <c r="ED246" s="358"/>
      <c r="EE246" s="358"/>
      <c r="EF246" s="358"/>
      <c r="EG246" s="358"/>
      <c r="EH246" s="358"/>
      <c r="EI246" s="358"/>
      <c r="EJ246" s="358"/>
      <c r="EK246" s="358"/>
      <c r="EL246" s="358"/>
      <c r="EM246" s="358"/>
      <c r="EN246" s="358"/>
      <c r="EO246" s="358"/>
      <c r="EP246" s="358"/>
      <c r="EQ246" s="358"/>
      <c r="ER246" s="358"/>
      <c r="ES246" s="358"/>
      <c r="ET246" s="358"/>
      <c r="EU246" s="358"/>
      <c r="EV246" s="358"/>
      <c r="EW246" s="358"/>
      <c r="EX246" s="358"/>
    </row>
    <row r="247" spans="1:154" s="120" customFormat="1" ht="37.5" hidden="1">
      <c r="A247" s="390"/>
      <c r="B247" s="438" t="s">
        <v>1021</v>
      </c>
      <c r="C247" s="347"/>
      <c r="D247" s="347"/>
      <c r="E247" s="347"/>
      <c r="F247" s="347">
        <f>+G247+J247</f>
        <v>0</v>
      </c>
      <c r="G247" s="347"/>
      <c r="H247" s="347"/>
      <c r="I247" s="347"/>
      <c r="J247" s="347"/>
      <c r="K247" s="265">
        <f>+J247</f>
        <v>0</v>
      </c>
      <c r="L247" s="347"/>
      <c r="M247" s="228">
        <f t="shared" si="25"/>
        <v>0</v>
      </c>
      <c r="N247" s="391"/>
      <c r="O247" s="226">
        <f>+M247</f>
        <v>0</v>
      </c>
      <c r="P247" s="378"/>
      <c r="Q247" s="358"/>
      <c r="R247" s="358"/>
      <c r="S247" s="358"/>
      <c r="T247" s="358"/>
      <c r="U247" s="358"/>
      <c r="V247" s="358"/>
      <c r="W247" s="358"/>
      <c r="X247" s="358"/>
      <c r="Y247" s="358"/>
      <c r="Z247" s="358"/>
      <c r="AA247" s="358"/>
      <c r="AB247" s="358"/>
      <c r="AC247" s="358"/>
      <c r="AD247" s="358"/>
      <c r="AE247" s="358"/>
      <c r="AF247" s="358"/>
      <c r="AG247" s="358"/>
      <c r="AH247" s="358"/>
      <c r="AI247" s="358"/>
      <c r="AJ247" s="358"/>
      <c r="AK247" s="358"/>
      <c r="AL247" s="358"/>
      <c r="AM247" s="358"/>
      <c r="AN247" s="358"/>
      <c r="AO247" s="358"/>
      <c r="AP247" s="358"/>
      <c r="AQ247" s="358"/>
      <c r="AR247" s="358"/>
      <c r="AS247" s="358"/>
      <c r="AT247" s="358"/>
      <c r="AU247" s="358"/>
      <c r="AV247" s="358"/>
      <c r="AW247" s="358"/>
      <c r="AX247" s="358"/>
      <c r="AY247" s="358"/>
      <c r="AZ247" s="358"/>
      <c r="BA247" s="358"/>
      <c r="BB247" s="358"/>
      <c r="BC247" s="358"/>
      <c r="BD247" s="358"/>
      <c r="BE247" s="358"/>
      <c r="BF247" s="358"/>
      <c r="BG247" s="358"/>
      <c r="BH247" s="358"/>
      <c r="BI247" s="358"/>
      <c r="BJ247" s="358"/>
      <c r="BK247" s="358"/>
      <c r="BL247" s="358"/>
      <c r="BM247" s="358"/>
      <c r="BN247" s="358"/>
      <c r="BO247" s="358"/>
      <c r="BP247" s="358"/>
      <c r="BQ247" s="358"/>
      <c r="BR247" s="358"/>
      <c r="BS247" s="358"/>
      <c r="BT247" s="358"/>
      <c r="BU247" s="358"/>
      <c r="BV247" s="358"/>
      <c r="BW247" s="358"/>
      <c r="BX247" s="358"/>
      <c r="BY247" s="358"/>
      <c r="BZ247" s="358"/>
      <c r="CA247" s="358"/>
      <c r="CB247" s="358"/>
      <c r="CC247" s="358"/>
      <c r="CD247" s="358"/>
      <c r="CE247" s="358"/>
      <c r="CF247" s="358"/>
      <c r="CG247" s="358"/>
      <c r="CH247" s="358"/>
      <c r="CI247" s="358"/>
      <c r="CJ247" s="358"/>
      <c r="CK247" s="358"/>
      <c r="CL247" s="358"/>
      <c r="CM247" s="358"/>
      <c r="CN247" s="358"/>
      <c r="CO247" s="358"/>
      <c r="CP247" s="358"/>
      <c r="CQ247" s="358"/>
      <c r="CR247" s="358"/>
      <c r="CS247" s="358"/>
      <c r="CT247" s="358"/>
      <c r="CU247" s="358"/>
      <c r="CV247" s="358"/>
      <c r="CW247" s="358"/>
      <c r="CX247" s="358"/>
      <c r="CY247" s="358"/>
      <c r="CZ247" s="358"/>
      <c r="DA247" s="358"/>
      <c r="DB247" s="358"/>
      <c r="DC247" s="358"/>
      <c r="DD247" s="358"/>
      <c r="DE247" s="358"/>
      <c r="DF247" s="358"/>
      <c r="DG247" s="358"/>
      <c r="DH247" s="358"/>
      <c r="DI247" s="358"/>
      <c r="DJ247" s="358"/>
      <c r="DK247" s="358"/>
      <c r="DL247" s="358"/>
      <c r="DM247" s="358"/>
      <c r="DN247" s="358"/>
      <c r="DO247" s="358"/>
      <c r="DP247" s="358"/>
      <c r="DQ247" s="358"/>
      <c r="DR247" s="358"/>
      <c r="DS247" s="358"/>
      <c r="DT247" s="358"/>
      <c r="DU247" s="358"/>
      <c r="DV247" s="358"/>
      <c r="DW247" s="358"/>
      <c r="DX247" s="358"/>
      <c r="DY247" s="358"/>
      <c r="DZ247" s="358"/>
      <c r="EA247" s="358"/>
      <c r="EB247" s="358"/>
      <c r="EC247" s="358"/>
      <c r="ED247" s="358"/>
      <c r="EE247" s="358"/>
      <c r="EF247" s="358"/>
      <c r="EG247" s="358"/>
      <c r="EH247" s="358"/>
      <c r="EI247" s="358"/>
      <c r="EJ247" s="358"/>
      <c r="EK247" s="358"/>
      <c r="EL247" s="358"/>
      <c r="EM247" s="358"/>
      <c r="EN247" s="358"/>
      <c r="EO247" s="358"/>
      <c r="EP247" s="358"/>
      <c r="EQ247" s="358"/>
      <c r="ER247" s="358"/>
      <c r="ES247" s="358"/>
      <c r="ET247" s="358"/>
      <c r="EU247" s="358"/>
      <c r="EV247" s="358"/>
      <c r="EW247" s="358"/>
      <c r="EX247" s="358"/>
    </row>
    <row r="248" spans="1:154" ht="18.75" hidden="1">
      <c r="A248" s="390">
        <v>160101</v>
      </c>
      <c r="B248" s="269" t="s">
        <v>1032</v>
      </c>
      <c r="C248" s="267"/>
      <c r="D248" s="267"/>
      <c r="E248" s="267"/>
      <c r="F248" s="347">
        <f>+G248+J248</f>
        <v>0</v>
      </c>
      <c r="G248" s="267"/>
      <c r="H248" s="267"/>
      <c r="I248" s="267"/>
      <c r="J248" s="267">
        <f>2478496+500000-2978496</f>
        <v>0</v>
      </c>
      <c r="K248" s="265"/>
      <c r="L248" s="267">
        <f>2478496+500000-2978496</f>
        <v>0</v>
      </c>
      <c r="M248" s="251">
        <f t="shared" si="25"/>
        <v>0</v>
      </c>
      <c r="N248" s="391"/>
      <c r="O248" s="226">
        <f t="shared" si="27"/>
        <v>0</v>
      </c>
      <c r="P248" s="83">
        <v>1</v>
      </c>
      <c r="Q248" s="9"/>
    </row>
    <row r="249" spans="1:154" ht="18.75" hidden="1">
      <c r="A249" s="390">
        <v>160600</v>
      </c>
      <c r="B249" s="269" t="s">
        <v>1024</v>
      </c>
      <c r="C249" s="469"/>
      <c r="D249" s="469"/>
      <c r="E249" s="469"/>
      <c r="F249" s="470">
        <f>+G249+J249</f>
        <v>0</v>
      </c>
      <c r="G249" s="469"/>
      <c r="H249" s="469"/>
      <c r="I249" s="469"/>
      <c r="J249" s="469"/>
      <c r="K249" s="515"/>
      <c r="L249" s="469"/>
      <c r="M249" s="477">
        <f t="shared" si="25"/>
        <v>0</v>
      </c>
      <c r="N249" s="508"/>
      <c r="O249" s="226">
        <f t="shared" si="27"/>
        <v>0</v>
      </c>
      <c r="P249" s="83"/>
      <c r="Q249" s="9"/>
    </row>
    <row r="250" spans="1:154" s="1" customFormat="1" ht="45" customHeight="1">
      <c r="A250" s="437">
        <v>160903</v>
      </c>
      <c r="B250" s="292" t="s">
        <v>391</v>
      </c>
      <c r="C250" s="670">
        <f>7000000+100000</f>
        <v>7100000</v>
      </c>
      <c r="D250" s="670"/>
      <c r="E250" s="670"/>
      <c r="F250" s="670">
        <f t="shared" si="26"/>
        <v>3000000</v>
      </c>
      <c r="G250" s="670">
        <f>149243-149243</f>
        <v>0</v>
      </c>
      <c r="H250" s="670"/>
      <c r="I250" s="670"/>
      <c r="J250" s="670">
        <f>600000+2400000</f>
        <v>3000000</v>
      </c>
      <c r="K250" s="670"/>
      <c r="L250" s="670"/>
      <c r="M250" s="648">
        <f t="shared" si="25"/>
        <v>10100000</v>
      </c>
      <c r="N250" s="4">
        <f>+M250</f>
        <v>10100000</v>
      </c>
      <c r="O250" s="14">
        <f t="shared" si="27"/>
        <v>10100000</v>
      </c>
      <c r="P250" s="83">
        <v>1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</row>
    <row r="251" spans="1:154" s="1" customFormat="1" ht="75" hidden="1">
      <c r="A251" s="390"/>
      <c r="B251" s="409" t="s">
        <v>865</v>
      </c>
      <c r="C251" s="411"/>
      <c r="D251" s="411"/>
      <c r="E251" s="411"/>
      <c r="F251" s="267">
        <f t="shared" si="26"/>
        <v>0</v>
      </c>
      <c r="G251" s="411"/>
      <c r="H251" s="411"/>
      <c r="I251" s="411"/>
      <c r="J251" s="410"/>
      <c r="K251" s="410"/>
      <c r="L251" s="410"/>
      <c r="M251" s="251">
        <f t="shared" si="25"/>
        <v>0</v>
      </c>
      <c r="N251" s="4"/>
      <c r="O251" s="14">
        <f t="shared" si="27"/>
        <v>0</v>
      </c>
      <c r="P251" s="83">
        <v>1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</row>
    <row r="252" spans="1:154" customFormat="1" ht="18.75" hidden="1" outlineLevel="1">
      <c r="A252" s="390"/>
      <c r="B252" s="409" t="s">
        <v>1066</v>
      </c>
      <c r="C252" s="412"/>
      <c r="D252" s="412"/>
      <c r="E252" s="412"/>
      <c r="F252" s="267">
        <f t="shared" si="26"/>
        <v>0</v>
      </c>
      <c r="G252" s="413"/>
      <c r="H252" s="413"/>
      <c r="I252" s="413"/>
      <c r="J252" s="413"/>
      <c r="K252" s="413"/>
      <c r="L252" s="413"/>
      <c r="M252" s="251">
        <f t="shared" si="25"/>
        <v>0</v>
      </c>
      <c r="N252" s="3"/>
      <c r="O252" s="14">
        <f t="shared" si="27"/>
        <v>0</v>
      </c>
    </row>
    <row r="253" spans="1:154" ht="18.75" hidden="1">
      <c r="A253" s="390"/>
      <c r="B253" s="414"/>
      <c r="C253" s="266"/>
      <c r="D253" s="266">
        <f>+D254+D257</f>
        <v>0</v>
      </c>
      <c r="E253" s="266">
        <f>+E254+E257</f>
        <v>0</v>
      </c>
      <c r="F253" s="266">
        <f t="shared" si="26"/>
        <v>0</v>
      </c>
      <c r="G253" s="266"/>
      <c r="H253" s="266"/>
      <c r="I253" s="266"/>
      <c r="J253" s="266"/>
      <c r="K253" s="266"/>
      <c r="L253" s="266"/>
      <c r="M253" s="228">
        <f t="shared" si="25"/>
        <v>0</v>
      </c>
      <c r="N253" s="4">
        <f>+M253</f>
        <v>0</v>
      </c>
      <c r="O253" s="14">
        <f t="shared" si="27"/>
        <v>0</v>
      </c>
      <c r="P253" s="83">
        <v>1</v>
      </c>
      <c r="Q253" s="9"/>
    </row>
    <row r="254" spans="1:154" s="105" customFormat="1" ht="37.5">
      <c r="A254" s="639">
        <v>170000</v>
      </c>
      <c r="B254" s="675" t="s">
        <v>306</v>
      </c>
      <c r="C254" s="676">
        <f>+C257+C260+C263</f>
        <v>20215700</v>
      </c>
      <c r="D254" s="676">
        <f>+D257+D260+D263</f>
        <v>0</v>
      </c>
      <c r="E254" s="676">
        <f>+E257+E260+E263</f>
        <v>0</v>
      </c>
      <c r="F254" s="676">
        <f>+G254+J254</f>
        <v>18000000</v>
      </c>
      <c r="G254" s="676">
        <f t="shared" ref="G254:L254" si="29">+G257+G260+G263</f>
        <v>0</v>
      </c>
      <c r="H254" s="676">
        <f t="shared" si="29"/>
        <v>0</v>
      </c>
      <c r="I254" s="676">
        <f t="shared" si="29"/>
        <v>0</v>
      </c>
      <c r="J254" s="676">
        <f t="shared" si="29"/>
        <v>18000000</v>
      </c>
      <c r="K254" s="676">
        <f t="shared" si="29"/>
        <v>0</v>
      </c>
      <c r="L254" s="676">
        <f t="shared" si="29"/>
        <v>0</v>
      </c>
      <c r="M254" s="648">
        <f t="shared" si="25"/>
        <v>38215700</v>
      </c>
      <c r="N254" s="4"/>
      <c r="O254" s="104">
        <f t="shared" si="27"/>
        <v>38215700</v>
      </c>
      <c r="P254" s="127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</row>
    <row r="255" spans="1:154" s="105" customFormat="1" ht="18.75" hidden="1">
      <c r="A255" s="639"/>
      <c r="B255" s="453" t="s">
        <v>529</v>
      </c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48">
        <f t="shared" si="25"/>
        <v>0</v>
      </c>
      <c r="N255" s="4"/>
      <c r="O255" s="104"/>
      <c r="P255" s="127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</row>
    <row r="256" spans="1:154" s="105" customFormat="1" ht="286.89999999999998" hidden="1" customHeight="1">
      <c r="A256" s="639"/>
      <c r="B256" s="453" t="s">
        <v>671</v>
      </c>
      <c r="C256" s="677"/>
      <c r="D256" s="676"/>
      <c r="E256" s="676"/>
      <c r="F256" s="676"/>
      <c r="G256" s="676"/>
      <c r="H256" s="676"/>
      <c r="I256" s="676"/>
      <c r="J256" s="676"/>
      <c r="K256" s="676"/>
      <c r="L256" s="676"/>
      <c r="M256" s="648">
        <f t="shared" si="25"/>
        <v>0</v>
      </c>
      <c r="N256" s="4"/>
      <c r="O256" s="104"/>
      <c r="P256" s="127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</row>
    <row r="257" spans="1:154" ht="58.9" customHeight="1">
      <c r="A257" s="437">
        <v>170102</v>
      </c>
      <c r="B257" s="292" t="s">
        <v>1214</v>
      </c>
      <c r="C257" s="670">
        <v>3897500</v>
      </c>
      <c r="D257" s="670"/>
      <c r="E257" s="670"/>
      <c r="F257" s="670">
        <f t="shared" si="26"/>
        <v>0</v>
      </c>
      <c r="G257" s="670"/>
      <c r="H257" s="670"/>
      <c r="I257" s="670"/>
      <c r="J257" s="670"/>
      <c r="K257" s="670"/>
      <c r="L257" s="670"/>
      <c r="M257" s="648">
        <f t="shared" si="25"/>
        <v>3897500</v>
      </c>
      <c r="N257" s="4"/>
      <c r="O257" s="14">
        <f t="shared" si="27"/>
        <v>3897500</v>
      </c>
      <c r="P257" s="83">
        <v>1</v>
      </c>
      <c r="Q257" s="9"/>
    </row>
    <row r="258" spans="1:154" s="1" customFormat="1" ht="28.15" hidden="1" customHeight="1">
      <c r="A258" s="437"/>
      <c r="B258" s="453" t="s">
        <v>1227</v>
      </c>
      <c r="C258" s="678"/>
      <c r="D258" s="678"/>
      <c r="E258" s="678"/>
      <c r="F258" s="678">
        <f t="shared" si="26"/>
        <v>0</v>
      </c>
      <c r="G258" s="678"/>
      <c r="H258" s="678"/>
      <c r="I258" s="678"/>
      <c r="J258" s="678"/>
      <c r="K258" s="678"/>
      <c r="L258" s="678"/>
      <c r="M258" s="648">
        <f t="shared" si="25"/>
        <v>0</v>
      </c>
      <c r="N258" s="4"/>
      <c r="O258" s="14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</row>
    <row r="259" spans="1:154" s="1" customFormat="1" ht="297" hidden="1" customHeight="1">
      <c r="A259" s="437"/>
      <c r="B259" s="453" t="s">
        <v>671</v>
      </c>
      <c r="C259" s="670"/>
      <c r="D259" s="678"/>
      <c r="E259" s="678"/>
      <c r="F259" s="678"/>
      <c r="G259" s="678"/>
      <c r="H259" s="678"/>
      <c r="I259" s="678"/>
      <c r="J259" s="678"/>
      <c r="K259" s="678"/>
      <c r="L259" s="678"/>
      <c r="M259" s="648">
        <f t="shared" si="25"/>
        <v>0</v>
      </c>
      <c r="N259" s="4"/>
      <c r="O259" s="14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</row>
    <row r="260" spans="1:154" s="1" customFormat="1" ht="51" customHeight="1">
      <c r="A260" s="437">
        <v>170302</v>
      </c>
      <c r="B260" s="292" t="s">
        <v>1250</v>
      </c>
      <c r="C260" s="677">
        <v>16318200</v>
      </c>
      <c r="D260" s="677"/>
      <c r="E260" s="677"/>
      <c r="F260" s="677">
        <f t="shared" si="26"/>
        <v>0</v>
      </c>
      <c r="G260" s="677"/>
      <c r="H260" s="677"/>
      <c r="I260" s="677"/>
      <c r="J260" s="677"/>
      <c r="K260" s="677"/>
      <c r="L260" s="677"/>
      <c r="M260" s="648">
        <f t="shared" si="25"/>
        <v>16318200</v>
      </c>
      <c r="N260" s="4"/>
      <c r="O260" s="14">
        <f t="shared" si="27"/>
        <v>16318200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</row>
    <row r="261" spans="1:154" s="1" customFormat="1" ht="30" hidden="1" customHeight="1">
      <c r="A261" s="437"/>
      <c r="B261" s="453" t="s">
        <v>1227</v>
      </c>
      <c r="C261" s="677"/>
      <c r="D261" s="677"/>
      <c r="E261" s="677"/>
      <c r="F261" s="677"/>
      <c r="G261" s="677"/>
      <c r="H261" s="677"/>
      <c r="I261" s="677"/>
      <c r="J261" s="677"/>
      <c r="K261" s="677"/>
      <c r="L261" s="677"/>
      <c r="M261" s="648">
        <f t="shared" si="25"/>
        <v>0</v>
      </c>
      <c r="N261" s="4"/>
      <c r="O261" s="14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</row>
    <row r="262" spans="1:154" s="1" customFormat="1" ht="297" hidden="1" customHeight="1">
      <c r="A262" s="437"/>
      <c r="B262" s="453" t="s">
        <v>671</v>
      </c>
      <c r="C262" s="677">
        <f>+C260</f>
        <v>16318200</v>
      </c>
      <c r="D262" s="677"/>
      <c r="E262" s="677"/>
      <c r="F262" s="677"/>
      <c r="G262" s="677"/>
      <c r="H262" s="677"/>
      <c r="I262" s="677"/>
      <c r="J262" s="677"/>
      <c r="K262" s="677"/>
      <c r="L262" s="677"/>
      <c r="M262" s="648">
        <f t="shared" si="25"/>
        <v>16318200</v>
      </c>
      <c r="N262" s="4"/>
      <c r="O262" s="14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</row>
    <row r="263" spans="1:154" s="1" customFormat="1" ht="56.25">
      <c r="A263" s="437" t="s">
        <v>1507</v>
      </c>
      <c r="B263" s="292" t="s">
        <v>674</v>
      </c>
      <c r="C263" s="677"/>
      <c r="D263" s="677"/>
      <c r="E263" s="677"/>
      <c r="F263" s="677">
        <f t="shared" si="26"/>
        <v>18000000</v>
      </c>
      <c r="G263" s="677"/>
      <c r="H263" s="677"/>
      <c r="I263" s="677"/>
      <c r="J263" s="677">
        <v>18000000</v>
      </c>
      <c r="K263" s="677"/>
      <c r="L263" s="677"/>
      <c r="M263" s="648">
        <f t="shared" si="25"/>
        <v>18000000</v>
      </c>
      <c r="N263" s="4"/>
      <c r="O263" s="14">
        <f t="shared" si="27"/>
        <v>18000000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</row>
    <row r="264" spans="1:154" s="1" customFormat="1" ht="18.75" hidden="1">
      <c r="A264" s="437"/>
      <c r="B264" s="453" t="s">
        <v>1227</v>
      </c>
      <c r="C264" s="677"/>
      <c r="D264" s="677"/>
      <c r="E264" s="677"/>
      <c r="F264" s="677"/>
      <c r="G264" s="677"/>
      <c r="H264" s="677"/>
      <c r="I264" s="677"/>
      <c r="J264" s="677"/>
      <c r="K264" s="677"/>
      <c r="L264" s="677"/>
      <c r="M264" s="648"/>
      <c r="N264" s="4"/>
      <c r="O264" s="14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</row>
    <row r="265" spans="1:154" ht="84.6" hidden="1" customHeight="1">
      <c r="A265" s="437"/>
      <c r="B265" s="453" t="s">
        <v>147</v>
      </c>
      <c r="C265" s="275"/>
      <c r="D265" s="275"/>
      <c r="E265" s="275"/>
      <c r="F265" s="275">
        <f t="shared" si="26"/>
        <v>0</v>
      </c>
      <c r="G265" s="275"/>
      <c r="H265" s="275"/>
      <c r="I265" s="275"/>
      <c r="J265" s="275"/>
      <c r="K265" s="275"/>
      <c r="L265" s="275"/>
      <c r="M265" s="666">
        <f t="shared" si="25"/>
        <v>0</v>
      </c>
      <c r="N265" s="4">
        <f>+M265</f>
        <v>0</v>
      </c>
      <c r="O265" s="14">
        <f t="shared" si="27"/>
        <v>0</v>
      </c>
      <c r="P265" s="54">
        <v>1</v>
      </c>
    </row>
    <row r="266" spans="1:154" ht="39" hidden="1" customHeight="1">
      <c r="A266" s="660"/>
      <c r="B266" s="421" t="s">
        <v>148</v>
      </c>
      <c r="C266" s="275"/>
      <c r="D266" s="275"/>
      <c r="E266" s="275"/>
      <c r="F266" s="275">
        <f t="shared" si="26"/>
        <v>0</v>
      </c>
      <c r="G266" s="275"/>
      <c r="H266" s="275"/>
      <c r="I266" s="275"/>
      <c r="J266" s="275"/>
      <c r="K266" s="275"/>
      <c r="L266" s="275"/>
      <c r="M266" s="666">
        <f t="shared" si="25"/>
        <v>0</v>
      </c>
      <c r="N266" s="4"/>
      <c r="O266" s="14"/>
      <c r="P266" s="54">
        <v>1</v>
      </c>
    </row>
    <row r="267" spans="1:154" s="105" customFormat="1" ht="23.45" customHeight="1">
      <c r="A267" s="639">
        <v>180000</v>
      </c>
      <c r="B267" s="647" t="s">
        <v>1153</v>
      </c>
      <c r="C267" s="648">
        <f>+C271+C276+C279+C280+C281</f>
        <v>8545000</v>
      </c>
      <c r="D267" s="648">
        <f>+D271+D276+D279+D280+D281</f>
        <v>0</v>
      </c>
      <c r="E267" s="648">
        <f>+E271+E276+E279+E280+E281</f>
        <v>0</v>
      </c>
      <c r="F267" s="648">
        <f t="shared" si="26"/>
        <v>8000000</v>
      </c>
      <c r="G267" s="648">
        <f t="shared" ref="G267:L267" si="30">+G271+G276+G279+G280+G281</f>
        <v>0</v>
      </c>
      <c r="H267" s="648">
        <f t="shared" si="30"/>
        <v>0</v>
      </c>
      <c r="I267" s="648">
        <f t="shared" si="30"/>
        <v>0</v>
      </c>
      <c r="J267" s="648">
        <f t="shared" si="30"/>
        <v>8000000</v>
      </c>
      <c r="K267" s="648">
        <f t="shared" si="30"/>
        <v>8000000</v>
      </c>
      <c r="L267" s="648">
        <f t="shared" si="30"/>
        <v>8000000</v>
      </c>
      <c r="M267" s="648">
        <f t="shared" si="25"/>
        <v>16545000</v>
      </c>
      <c r="N267" s="349"/>
      <c r="O267" s="104">
        <f t="shared" si="27"/>
        <v>16545000</v>
      </c>
      <c r="P267" s="96"/>
      <c r="Q267" s="9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</row>
    <row r="268" spans="1:154" s="105" customFormat="1" ht="18.75" hidden="1">
      <c r="A268" s="227"/>
      <c r="B268" s="269" t="s">
        <v>984</v>
      </c>
      <c r="C268" s="242"/>
      <c r="D268" s="242"/>
      <c r="E268" s="242"/>
      <c r="F268" s="228"/>
      <c r="G268" s="242"/>
      <c r="H268" s="242"/>
      <c r="I268" s="242"/>
      <c r="J268" s="242"/>
      <c r="K268" s="242"/>
      <c r="L268" s="242"/>
      <c r="M268" s="228">
        <f t="shared" si="25"/>
        <v>0</v>
      </c>
      <c r="N268" s="349"/>
      <c r="O268" s="14"/>
      <c r="P268" s="96"/>
      <c r="Q268" s="9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</row>
    <row r="269" spans="1:154" s="105" customFormat="1" ht="37.5" hidden="1">
      <c r="A269" s="227"/>
      <c r="B269" s="438" t="s">
        <v>1021</v>
      </c>
      <c r="C269" s="242"/>
      <c r="D269" s="242"/>
      <c r="E269" s="242"/>
      <c r="F269" s="228"/>
      <c r="G269" s="242"/>
      <c r="H269" s="242"/>
      <c r="I269" s="242"/>
      <c r="J269" s="242"/>
      <c r="K269" s="242"/>
      <c r="L269" s="242"/>
      <c r="M269" s="228">
        <f t="shared" si="25"/>
        <v>0</v>
      </c>
      <c r="N269" s="349"/>
      <c r="O269" s="14"/>
      <c r="P269" s="96"/>
      <c r="Q269" s="9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</row>
    <row r="270" spans="1:154" s="105" customFormat="1" ht="56.25" hidden="1">
      <c r="A270" s="227"/>
      <c r="B270" s="243" t="s">
        <v>762</v>
      </c>
      <c r="C270" s="242"/>
      <c r="D270" s="242"/>
      <c r="E270" s="242"/>
      <c r="F270" s="228"/>
      <c r="G270" s="242"/>
      <c r="H270" s="242"/>
      <c r="I270" s="242"/>
      <c r="J270" s="242"/>
      <c r="K270" s="242"/>
      <c r="L270" s="242"/>
      <c r="M270" s="228">
        <f t="shared" si="25"/>
        <v>0</v>
      </c>
      <c r="N270" s="349"/>
      <c r="O270" s="14">
        <f t="shared" si="27"/>
        <v>0</v>
      </c>
      <c r="P270" s="96"/>
      <c r="Q270" s="9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</row>
    <row r="271" spans="1:154" ht="28.15" customHeight="1">
      <c r="A271" s="437">
        <v>180107</v>
      </c>
      <c r="B271" s="260" t="s">
        <v>229</v>
      </c>
      <c r="C271" s="651">
        <f>2300000+400000</f>
        <v>2700000</v>
      </c>
      <c r="D271" s="651"/>
      <c r="E271" s="651"/>
      <c r="F271" s="651">
        <f t="shared" si="26"/>
        <v>4200000</v>
      </c>
      <c r="G271" s="651"/>
      <c r="H271" s="651"/>
      <c r="I271" s="651"/>
      <c r="J271" s="651">
        <v>4200000</v>
      </c>
      <c r="K271" s="651">
        <f>+J271</f>
        <v>4200000</v>
      </c>
      <c r="L271" s="651">
        <f>+K271</f>
        <v>4200000</v>
      </c>
      <c r="M271" s="648">
        <f t="shared" si="25"/>
        <v>6900000</v>
      </c>
      <c r="N271" s="4"/>
      <c r="O271" s="14">
        <f t="shared" si="27"/>
        <v>6900000</v>
      </c>
      <c r="P271" s="54">
        <v>1</v>
      </c>
    </row>
    <row r="272" spans="1:154" ht="18.75" hidden="1">
      <c r="A272" s="237"/>
      <c r="B272" s="269" t="s">
        <v>984</v>
      </c>
      <c r="C272" s="458"/>
      <c r="D272" s="458"/>
      <c r="E272" s="458"/>
      <c r="F272" s="458">
        <f t="shared" si="26"/>
        <v>0</v>
      </c>
      <c r="G272" s="461"/>
      <c r="H272" s="458"/>
      <c r="I272" s="458"/>
      <c r="J272" s="461"/>
      <c r="K272" s="458"/>
      <c r="L272" s="461"/>
      <c r="M272" s="457">
        <f t="shared" si="25"/>
        <v>0</v>
      </c>
      <c r="N272" s="4"/>
      <c r="O272" s="14"/>
      <c r="P272" s="54">
        <v>1</v>
      </c>
    </row>
    <row r="273" spans="1:154" ht="56.25" hidden="1">
      <c r="A273" s="237"/>
      <c r="B273" s="236" t="s">
        <v>755</v>
      </c>
      <c r="C273" s="458">
        <f>2210000-2210000</f>
        <v>0</v>
      </c>
      <c r="D273" s="458"/>
      <c r="E273" s="458"/>
      <c r="F273" s="458">
        <f t="shared" si="26"/>
        <v>0</v>
      </c>
      <c r="G273" s="461"/>
      <c r="H273" s="458"/>
      <c r="I273" s="458"/>
      <c r="J273" s="461"/>
      <c r="K273" s="458"/>
      <c r="L273" s="461"/>
      <c r="M273" s="457">
        <f t="shared" si="25"/>
        <v>0</v>
      </c>
      <c r="N273" s="4"/>
      <c r="O273" s="14">
        <f t="shared" si="27"/>
        <v>0</v>
      </c>
    </row>
    <row r="274" spans="1:154" ht="56.25" hidden="1">
      <c r="A274" s="237"/>
      <c r="B274" s="236" t="s">
        <v>141</v>
      </c>
      <c r="C274" s="231"/>
      <c r="D274" s="231"/>
      <c r="E274" s="231"/>
      <c r="F274" s="231"/>
      <c r="G274" s="234"/>
      <c r="H274" s="231"/>
      <c r="I274" s="231"/>
      <c r="J274" s="234"/>
      <c r="K274" s="231"/>
      <c r="L274" s="234"/>
      <c r="M274" s="228">
        <f t="shared" si="25"/>
        <v>0</v>
      </c>
      <c r="N274" s="4"/>
      <c r="O274" s="14">
        <f t="shared" si="27"/>
        <v>0</v>
      </c>
    </row>
    <row r="275" spans="1:154" ht="40.15" hidden="1" customHeight="1">
      <c r="A275" s="237"/>
      <c r="B275" s="236" t="s">
        <v>189</v>
      </c>
      <c r="C275" s="465">
        <f>40000-40000</f>
        <v>0</v>
      </c>
      <c r="D275" s="465"/>
      <c r="E275" s="465"/>
      <c r="F275" s="465">
        <f t="shared" si="26"/>
        <v>0</v>
      </c>
      <c r="G275" s="474"/>
      <c r="H275" s="465"/>
      <c r="I275" s="465"/>
      <c r="J275" s="474"/>
      <c r="K275" s="465"/>
      <c r="L275" s="474"/>
      <c r="M275" s="457">
        <f t="shared" si="25"/>
        <v>0</v>
      </c>
      <c r="N275" s="4"/>
      <c r="O275" s="14">
        <f t="shared" si="27"/>
        <v>0</v>
      </c>
    </row>
    <row r="276" spans="1:154" ht="34.15" hidden="1" customHeight="1">
      <c r="A276" s="392">
        <v>180109</v>
      </c>
      <c r="B276" s="246" t="s">
        <v>69</v>
      </c>
      <c r="C276" s="231"/>
      <c r="D276" s="231"/>
      <c r="E276" s="231"/>
      <c r="F276" s="231">
        <f t="shared" si="26"/>
        <v>0</v>
      </c>
      <c r="G276" s="231"/>
      <c r="H276" s="231"/>
      <c r="I276" s="231"/>
      <c r="J276" s="231"/>
      <c r="K276" s="231"/>
      <c r="L276" s="231"/>
      <c r="M276" s="228">
        <f t="shared" si="25"/>
        <v>0</v>
      </c>
      <c r="N276" s="3">
        <f>+M276</f>
        <v>0</v>
      </c>
      <c r="O276" s="14">
        <f t="shared" si="27"/>
        <v>0</v>
      </c>
      <c r="P276" s="54">
        <v>1</v>
      </c>
    </row>
    <row r="277" spans="1:154" s="1" customFormat="1" ht="46.15" hidden="1" customHeight="1">
      <c r="A277" s="392"/>
      <c r="B277" s="246" t="s">
        <v>136</v>
      </c>
      <c r="C277" s="232"/>
      <c r="D277" s="232"/>
      <c r="E277" s="232"/>
      <c r="F277" s="231">
        <f t="shared" si="26"/>
        <v>0</v>
      </c>
      <c r="G277" s="232"/>
      <c r="H277" s="232"/>
      <c r="I277" s="232"/>
      <c r="J277" s="232"/>
      <c r="K277" s="232"/>
      <c r="L277" s="232"/>
      <c r="M277" s="228">
        <f t="shared" si="25"/>
        <v>0</v>
      </c>
      <c r="N277" s="3"/>
      <c r="O277" s="14">
        <f t="shared" si="27"/>
        <v>0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</row>
    <row r="278" spans="1:154" s="1" customFormat="1" ht="28.9" hidden="1" customHeight="1">
      <c r="A278" s="392"/>
      <c r="B278" s="246" t="s">
        <v>78</v>
      </c>
      <c r="C278" s="232"/>
      <c r="D278" s="232"/>
      <c r="E278" s="232"/>
      <c r="F278" s="231">
        <f t="shared" si="26"/>
        <v>0</v>
      </c>
      <c r="G278" s="232"/>
      <c r="H278" s="232"/>
      <c r="I278" s="232"/>
      <c r="J278" s="232"/>
      <c r="K278" s="232"/>
      <c r="L278" s="232"/>
      <c r="M278" s="228">
        <f t="shared" si="25"/>
        <v>0</v>
      </c>
      <c r="N278" s="3"/>
      <c r="O278" s="14">
        <f t="shared" si="27"/>
        <v>0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</row>
    <row r="279" spans="1:154" s="1" customFormat="1" ht="25.9" customHeight="1">
      <c r="A279" s="437">
        <v>180404</v>
      </c>
      <c r="B279" s="292" t="s">
        <v>223</v>
      </c>
      <c r="C279" s="651">
        <v>500000</v>
      </c>
      <c r="D279" s="651"/>
      <c r="E279" s="651"/>
      <c r="F279" s="651">
        <f t="shared" si="26"/>
        <v>0</v>
      </c>
      <c r="G279" s="651"/>
      <c r="H279" s="651"/>
      <c r="I279" s="651"/>
      <c r="J279" s="651"/>
      <c r="K279" s="651"/>
      <c r="L279" s="651"/>
      <c r="M279" s="648">
        <f t="shared" si="25"/>
        <v>500000</v>
      </c>
      <c r="N279" s="3"/>
      <c r="O279" s="14">
        <f t="shared" si="27"/>
        <v>500000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</row>
    <row r="280" spans="1:154" s="1" customFormat="1" ht="61.9" customHeight="1">
      <c r="A280" s="679">
        <v>180409</v>
      </c>
      <c r="B280" s="453" t="s">
        <v>1233</v>
      </c>
      <c r="C280" s="651"/>
      <c r="D280" s="651"/>
      <c r="E280" s="651"/>
      <c r="F280" s="651">
        <f t="shared" si="26"/>
        <v>2800000</v>
      </c>
      <c r="G280" s="651"/>
      <c r="H280" s="651"/>
      <c r="I280" s="651"/>
      <c r="J280" s="651">
        <v>2800000</v>
      </c>
      <c r="K280" s="651">
        <f>+J280</f>
        <v>2800000</v>
      </c>
      <c r="L280" s="651">
        <f>+K280</f>
        <v>2800000</v>
      </c>
      <c r="M280" s="648">
        <f t="shared" si="25"/>
        <v>2800000</v>
      </c>
      <c r="N280" s="3"/>
      <c r="O280" s="14">
        <f t="shared" si="27"/>
        <v>2800000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</row>
    <row r="281" spans="1:154" customFormat="1" ht="25.9" customHeight="1">
      <c r="A281" s="437">
        <v>180410</v>
      </c>
      <c r="B281" s="292" t="s">
        <v>1404</v>
      </c>
      <c r="C281" s="652">
        <f>95000+1000000+1100000+2900000+150000+200000+200000-500000-100000-100000+400000</f>
        <v>5345000</v>
      </c>
      <c r="D281" s="652"/>
      <c r="E281" s="652"/>
      <c r="F281" s="652">
        <f t="shared" si="26"/>
        <v>1000000</v>
      </c>
      <c r="G281" s="652"/>
      <c r="H281" s="652"/>
      <c r="I281" s="652"/>
      <c r="J281" s="652">
        <f>900000+100000</f>
        <v>1000000</v>
      </c>
      <c r="K281" s="652">
        <f>+J281</f>
        <v>1000000</v>
      </c>
      <c r="L281" s="652">
        <f>+K281</f>
        <v>1000000</v>
      </c>
      <c r="M281" s="648">
        <f t="shared" si="25"/>
        <v>6345000</v>
      </c>
      <c r="N281" s="3">
        <f>+M281</f>
        <v>6345000</v>
      </c>
      <c r="O281" s="14">
        <f t="shared" si="27"/>
        <v>6345000</v>
      </c>
      <c r="P281" s="10"/>
      <c r="Q281" s="10"/>
      <c r="R281" s="10"/>
      <c r="S281" s="10"/>
      <c r="T281" s="10"/>
      <c r="U281" s="10"/>
      <c r="V281" s="10"/>
      <c r="W281" s="10"/>
    </row>
    <row r="282" spans="1:154" customFormat="1" ht="21.6" hidden="1" customHeight="1">
      <c r="A282" s="252"/>
      <c r="B282" s="249" t="s">
        <v>1598</v>
      </c>
      <c r="C282" s="254"/>
      <c r="D282" s="254"/>
      <c r="E282" s="254"/>
      <c r="F282" s="254">
        <f t="shared" si="26"/>
        <v>0</v>
      </c>
      <c r="G282" s="254"/>
      <c r="H282" s="254"/>
      <c r="I282" s="254"/>
      <c r="J282" s="254"/>
      <c r="K282" s="254"/>
      <c r="L282" s="254"/>
      <c r="M282" s="251">
        <f t="shared" si="25"/>
        <v>0</v>
      </c>
      <c r="N282" s="3"/>
      <c r="O282" s="14"/>
      <c r="P282" s="10"/>
      <c r="Q282" s="10"/>
      <c r="R282" s="10"/>
      <c r="S282" s="10"/>
      <c r="T282" s="10"/>
      <c r="U282" s="10"/>
      <c r="V282" s="10"/>
      <c r="W282" s="10"/>
    </row>
    <row r="283" spans="1:154" customFormat="1" ht="56.25" hidden="1">
      <c r="A283" s="229"/>
      <c r="B283" s="241" t="s">
        <v>484</v>
      </c>
      <c r="C283" s="254"/>
      <c r="D283" s="254"/>
      <c r="E283" s="254"/>
      <c r="F283" s="254">
        <f t="shared" si="26"/>
        <v>0</v>
      </c>
      <c r="G283" s="254"/>
      <c r="H283" s="254"/>
      <c r="I283" s="254"/>
      <c r="J283" s="254"/>
      <c r="K283" s="254"/>
      <c r="L283" s="254"/>
      <c r="M283" s="251">
        <f t="shared" si="25"/>
        <v>0</v>
      </c>
      <c r="N283" s="3"/>
      <c r="O283" s="14"/>
      <c r="P283" s="10"/>
      <c r="Q283" s="10"/>
      <c r="R283" s="10"/>
      <c r="S283" s="10"/>
      <c r="T283" s="10"/>
      <c r="U283" s="10"/>
      <c r="V283" s="10"/>
      <c r="W283" s="10"/>
    </row>
    <row r="284" spans="1:154" s="35" customFormat="1" ht="37.5" hidden="1">
      <c r="A284" s="229"/>
      <c r="B284" s="230" t="s">
        <v>485</v>
      </c>
      <c r="C284" s="232"/>
      <c r="D284" s="232"/>
      <c r="E284" s="232"/>
      <c r="F284" s="231">
        <f t="shared" si="26"/>
        <v>0</v>
      </c>
      <c r="G284" s="232"/>
      <c r="H284" s="232"/>
      <c r="I284" s="232"/>
      <c r="J284" s="232"/>
      <c r="K284" s="232"/>
      <c r="L284" s="232"/>
      <c r="M284" s="228">
        <f t="shared" si="25"/>
        <v>0</v>
      </c>
      <c r="N284" s="3"/>
      <c r="O284" s="14"/>
      <c r="P284" s="85">
        <v>1</v>
      </c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</row>
    <row r="285" spans="1:154" s="35" customFormat="1" ht="37.5" hidden="1">
      <c r="A285" s="229"/>
      <c r="B285" s="230" t="s">
        <v>1256</v>
      </c>
      <c r="C285" s="232"/>
      <c r="D285" s="232"/>
      <c r="E285" s="232"/>
      <c r="F285" s="231"/>
      <c r="G285" s="232"/>
      <c r="H285" s="232"/>
      <c r="I285" s="232"/>
      <c r="J285" s="232"/>
      <c r="K285" s="232"/>
      <c r="L285" s="232"/>
      <c r="M285" s="228">
        <f t="shared" si="25"/>
        <v>0</v>
      </c>
      <c r="N285" s="14">
        <v>30000</v>
      </c>
      <c r="O285" s="14"/>
      <c r="P285" s="85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</row>
    <row r="286" spans="1:154" s="35" customFormat="1" ht="18.75" hidden="1">
      <c r="A286" s="229"/>
      <c r="B286" s="230" t="s">
        <v>747</v>
      </c>
      <c r="C286" s="232"/>
      <c r="D286" s="232"/>
      <c r="E286" s="232"/>
      <c r="F286" s="231"/>
      <c r="G286" s="232"/>
      <c r="H286" s="232"/>
      <c r="I286" s="232"/>
      <c r="J286" s="232"/>
      <c r="K286" s="232"/>
      <c r="L286" s="232"/>
      <c r="M286" s="228">
        <f t="shared" si="25"/>
        <v>0</v>
      </c>
      <c r="N286" s="14"/>
      <c r="O286" s="14"/>
      <c r="P286" s="85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</row>
    <row r="287" spans="1:154" s="35" customFormat="1" ht="37.5" hidden="1">
      <c r="A287" s="229"/>
      <c r="B287" s="230" t="s">
        <v>1226</v>
      </c>
      <c r="C287" s="232"/>
      <c r="D287" s="232"/>
      <c r="E287" s="232"/>
      <c r="F287" s="231"/>
      <c r="G287" s="232"/>
      <c r="H287" s="232"/>
      <c r="I287" s="232"/>
      <c r="J287" s="232"/>
      <c r="K287" s="232"/>
      <c r="L287" s="232"/>
      <c r="M287" s="228">
        <f t="shared" si="25"/>
        <v>0</v>
      </c>
      <c r="N287" s="14"/>
      <c r="O287" s="14">
        <f t="shared" si="27"/>
        <v>0</v>
      </c>
      <c r="P287" s="85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</row>
    <row r="288" spans="1:154" s="35" customFormat="1" ht="37.5" hidden="1">
      <c r="A288" s="229"/>
      <c r="B288" s="241" t="s">
        <v>882</v>
      </c>
      <c r="C288" s="232"/>
      <c r="D288" s="232"/>
      <c r="E288" s="232"/>
      <c r="F288" s="231"/>
      <c r="G288" s="232"/>
      <c r="H288" s="232"/>
      <c r="I288" s="232"/>
      <c r="J288" s="232"/>
      <c r="K288" s="232"/>
      <c r="L288" s="232"/>
      <c r="M288" s="228">
        <f t="shared" si="25"/>
        <v>0</v>
      </c>
      <c r="N288" s="3"/>
      <c r="O288" s="14">
        <f>+M288</f>
        <v>0</v>
      </c>
      <c r="P288" s="85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</row>
    <row r="289" spans="1:154" s="35" customFormat="1" ht="56.25" hidden="1">
      <c r="A289" s="229"/>
      <c r="B289" s="241" t="s">
        <v>398</v>
      </c>
      <c r="C289" s="232"/>
      <c r="D289" s="232"/>
      <c r="E289" s="232"/>
      <c r="F289" s="231"/>
      <c r="G289" s="232"/>
      <c r="H289" s="232"/>
      <c r="I289" s="232"/>
      <c r="J289" s="232"/>
      <c r="K289" s="232"/>
      <c r="L289" s="232"/>
      <c r="M289" s="228">
        <f t="shared" si="25"/>
        <v>0</v>
      </c>
      <c r="N289" s="3"/>
      <c r="O289" s="14">
        <f>+M289</f>
        <v>0</v>
      </c>
      <c r="P289" s="85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</row>
    <row r="290" spans="1:154" s="301" customFormat="1" ht="39.6" customHeight="1">
      <c r="A290" s="639">
        <v>200000</v>
      </c>
      <c r="B290" s="659" t="s">
        <v>1160</v>
      </c>
      <c r="C290" s="649">
        <f>+C293+C296</f>
        <v>620000</v>
      </c>
      <c r="D290" s="649">
        <f>+D293+D296</f>
        <v>424038</v>
      </c>
      <c r="E290" s="649">
        <f>+E293+E296</f>
        <v>7000</v>
      </c>
      <c r="F290" s="649">
        <f t="shared" si="26"/>
        <v>625000</v>
      </c>
      <c r="G290" s="649">
        <f t="shared" ref="G290:L290" si="31">+G293+G296</f>
        <v>25000</v>
      </c>
      <c r="H290" s="649">
        <f t="shared" si="31"/>
        <v>0</v>
      </c>
      <c r="I290" s="649">
        <f t="shared" si="31"/>
        <v>0</v>
      </c>
      <c r="J290" s="649">
        <f t="shared" si="31"/>
        <v>600000</v>
      </c>
      <c r="K290" s="649">
        <f t="shared" si="31"/>
        <v>0</v>
      </c>
      <c r="L290" s="649">
        <f t="shared" si="31"/>
        <v>0</v>
      </c>
      <c r="M290" s="648">
        <f t="shared" si="25"/>
        <v>1245000</v>
      </c>
      <c r="N290" s="298"/>
      <c r="O290" s="104">
        <f t="shared" si="27"/>
        <v>1245000</v>
      </c>
      <c r="P290" s="299"/>
      <c r="Q290" s="300"/>
      <c r="R290" s="300"/>
      <c r="S290" s="300"/>
      <c r="T290" s="300"/>
      <c r="U290" s="300"/>
      <c r="V290" s="300"/>
      <c r="W290" s="300"/>
      <c r="X290" s="300"/>
      <c r="Y290" s="300"/>
      <c r="Z290" s="300"/>
      <c r="AA290" s="300"/>
      <c r="AB290" s="300"/>
      <c r="AC290" s="300"/>
      <c r="AD290" s="300"/>
      <c r="AE290" s="300"/>
      <c r="AF290" s="300"/>
      <c r="AG290" s="300"/>
      <c r="AH290" s="300"/>
      <c r="AI290" s="300"/>
      <c r="AJ290" s="300"/>
      <c r="AK290" s="300"/>
      <c r="AL290" s="300"/>
      <c r="AM290" s="300"/>
      <c r="AN290" s="300"/>
      <c r="AO290" s="300"/>
      <c r="AP290" s="300"/>
      <c r="AQ290" s="300"/>
      <c r="AR290" s="300"/>
      <c r="AS290" s="300"/>
      <c r="AT290" s="300"/>
      <c r="AU290" s="300"/>
      <c r="AV290" s="300"/>
      <c r="AW290" s="300"/>
      <c r="AX290" s="300"/>
      <c r="AY290" s="300"/>
      <c r="AZ290" s="300"/>
      <c r="BA290" s="300"/>
      <c r="BB290" s="300"/>
      <c r="BC290" s="300"/>
      <c r="BD290" s="300"/>
      <c r="BE290" s="300"/>
      <c r="BF290" s="300"/>
      <c r="BG290" s="300"/>
      <c r="BH290" s="300"/>
      <c r="BI290" s="300"/>
      <c r="BJ290" s="300"/>
      <c r="BK290" s="300"/>
      <c r="BL290" s="300"/>
      <c r="BM290" s="300"/>
      <c r="BN290" s="300"/>
      <c r="BO290" s="300"/>
      <c r="BP290" s="300"/>
      <c r="BQ290" s="300"/>
      <c r="BR290" s="300"/>
      <c r="BS290" s="300"/>
      <c r="BT290" s="300"/>
      <c r="BU290" s="300"/>
      <c r="BV290" s="300"/>
      <c r="BW290" s="300"/>
      <c r="BX290" s="300"/>
      <c r="BY290" s="300"/>
      <c r="BZ290" s="300"/>
      <c r="CA290" s="300"/>
      <c r="CB290" s="300"/>
      <c r="CC290" s="300"/>
      <c r="CD290" s="300"/>
      <c r="CE290" s="300"/>
      <c r="CF290" s="300"/>
      <c r="CG290" s="300"/>
      <c r="CH290" s="300"/>
      <c r="CI290" s="300"/>
      <c r="CJ290" s="300"/>
      <c r="CK290" s="300"/>
      <c r="CL290" s="300"/>
      <c r="CM290" s="300"/>
      <c r="CN290" s="300"/>
      <c r="CO290" s="300"/>
      <c r="CP290" s="300"/>
      <c r="CQ290" s="300"/>
      <c r="CR290" s="300"/>
      <c r="CS290" s="300"/>
      <c r="CT290" s="300"/>
      <c r="CU290" s="300"/>
      <c r="CV290" s="300"/>
      <c r="CW290" s="300"/>
      <c r="CX290" s="300"/>
      <c r="CY290" s="300"/>
      <c r="CZ290" s="300"/>
      <c r="DA290" s="300"/>
      <c r="DB290" s="300"/>
      <c r="DC290" s="300"/>
      <c r="DD290" s="300"/>
      <c r="DE290" s="300"/>
      <c r="DF290" s="300"/>
      <c r="DG290" s="300"/>
      <c r="DH290" s="300"/>
      <c r="DI290" s="300"/>
      <c r="DJ290" s="300"/>
      <c r="DK290" s="300"/>
      <c r="DL290" s="300"/>
      <c r="DM290" s="300"/>
      <c r="DN290" s="300"/>
      <c r="DO290" s="300"/>
      <c r="DP290" s="300"/>
      <c r="DQ290" s="300"/>
      <c r="DR290" s="300"/>
      <c r="DS290" s="300"/>
      <c r="DT290" s="300"/>
      <c r="DU290" s="300"/>
      <c r="DV290" s="300"/>
      <c r="DW290" s="300"/>
      <c r="DX290" s="300"/>
      <c r="DY290" s="300"/>
      <c r="DZ290" s="300"/>
      <c r="EA290" s="300"/>
      <c r="EB290" s="300"/>
      <c r="EC290" s="300"/>
      <c r="ED290" s="300"/>
      <c r="EE290" s="300"/>
      <c r="EF290" s="300"/>
      <c r="EG290" s="300"/>
      <c r="EH290" s="300"/>
      <c r="EI290" s="300"/>
      <c r="EJ290" s="300"/>
      <c r="EK290" s="300"/>
      <c r="EL290" s="300"/>
      <c r="EM290" s="300"/>
      <c r="EN290" s="300"/>
      <c r="EO290" s="300"/>
      <c r="EP290" s="300"/>
      <c r="EQ290" s="300"/>
      <c r="ER290" s="300"/>
      <c r="ES290" s="300"/>
      <c r="ET290" s="300"/>
      <c r="EU290" s="300"/>
      <c r="EV290" s="300"/>
      <c r="EW290" s="300"/>
      <c r="EX290" s="300"/>
    </row>
    <row r="291" spans="1:154" s="301" customFormat="1" ht="22.9" hidden="1" customHeight="1">
      <c r="A291" s="353"/>
      <c r="B291" s="230" t="s">
        <v>747</v>
      </c>
      <c r="C291" s="348"/>
      <c r="D291" s="348"/>
      <c r="E291" s="348"/>
      <c r="F291" s="231">
        <f t="shared" si="26"/>
        <v>0</v>
      </c>
      <c r="G291" s="348"/>
      <c r="H291" s="348"/>
      <c r="I291" s="348"/>
      <c r="J291" s="348"/>
      <c r="K291" s="348"/>
      <c r="L291" s="348"/>
      <c r="M291" s="228">
        <f t="shared" si="25"/>
        <v>0</v>
      </c>
      <c r="N291" s="298"/>
      <c r="O291" s="104"/>
      <c r="P291" s="299"/>
      <c r="Q291" s="300"/>
      <c r="R291" s="300"/>
      <c r="S291" s="300"/>
      <c r="T291" s="300"/>
      <c r="U291" s="300"/>
      <c r="V291" s="300"/>
      <c r="W291" s="300"/>
      <c r="X291" s="300"/>
      <c r="Y291" s="300"/>
      <c r="Z291" s="300"/>
      <c r="AA291" s="300"/>
      <c r="AB291" s="300"/>
      <c r="AC291" s="300"/>
      <c r="AD291" s="300"/>
      <c r="AE291" s="300"/>
      <c r="AF291" s="300"/>
      <c r="AG291" s="300"/>
      <c r="AH291" s="300"/>
      <c r="AI291" s="300"/>
      <c r="AJ291" s="300"/>
      <c r="AK291" s="300"/>
      <c r="AL291" s="300"/>
      <c r="AM291" s="300"/>
      <c r="AN291" s="300"/>
      <c r="AO291" s="300"/>
      <c r="AP291" s="300"/>
      <c r="AQ291" s="300"/>
      <c r="AR291" s="300"/>
      <c r="AS291" s="300"/>
      <c r="AT291" s="300"/>
      <c r="AU291" s="300"/>
      <c r="AV291" s="300"/>
      <c r="AW291" s="300"/>
      <c r="AX291" s="300"/>
      <c r="AY291" s="300"/>
      <c r="AZ291" s="300"/>
      <c r="BA291" s="300"/>
      <c r="BB291" s="300"/>
      <c r="BC291" s="300"/>
      <c r="BD291" s="300"/>
      <c r="BE291" s="300"/>
      <c r="BF291" s="300"/>
      <c r="BG291" s="300"/>
      <c r="BH291" s="300"/>
      <c r="BI291" s="300"/>
      <c r="BJ291" s="300"/>
      <c r="BK291" s="300"/>
      <c r="BL291" s="300"/>
      <c r="BM291" s="300"/>
      <c r="BN291" s="300"/>
      <c r="BO291" s="300"/>
      <c r="BP291" s="300"/>
      <c r="BQ291" s="300"/>
      <c r="BR291" s="300"/>
      <c r="BS291" s="300"/>
      <c r="BT291" s="300"/>
      <c r="BU291" s="300"/>
      <c r="BV291" s="300"/>
      <c r="BW291" s="300"/>
      <c r="BX291" s="300"/>
      <c r="BY291" s="300"/>
      <c r="BZ291" s="300"/>
      <c r="CA291" s="300"/>
      <c r="CB291" s="300"/>
      <c r="CC291" s="300"/>
      <c r="CD291" s="300"/>
      <c r="CE291" s="300"/>
      <c r="CF291" s="300"/>
      <c r="CG291" s="300"/>
      <c r="CH291" s="300"/>
      <c r="CI291" s="300"/>
      <c r="CJ291" s="300"/>
      <c r="CK291" s="300"/>
      <c r="CL291" s="300"/>
      <c r="CM291" s="300"/>
      <c r="CN291" s="300"/>
      <c r="CO291" s="300"/>
      <c r="CP291" s="300"/>
      <c r="CQ291" s="300"/>
      <c r="CR291" s="300"/>
      <c r="CS291" s="300"/>
      <c r="CT291" s="300"/>
      <c r="CU291" s="300"/>
      <c r="CV291" s="300"/>
      <c r="CW291" s="300"/>
      <c r="CX291" s="300"/>
      <c r="CY291" s="300"/>
      <c r="CZ291" s="300"/>
      <c r="DA291" s="300"/>
      <c r="DB291" s="300"/>
      <c r="DC291" s="300"/>
      <c r="DD291" s="300"/>
      <c r="DE291" s="300"/>
      <c r="DF291" s="300"/>
      <c r="DG291" s="300"/>
      <c r="DH291" s="300"/>
      <c r="DI291" s="300"/>
      <c r="DJ291" s="300"/>
      <c r="DK291" s="300"/>
      <c r="DL291" s="300"/>
      <c r="DM291" s="300"/>
      <c r="DN291" s="300"/>
      <c r="DO291" s="300"/>
      <c r="DP291" s="300"/>
      <c r="DQ291" s="300"/>
      <c r="DR291" s="300"/>
      <c r="DS291" s="300"/>
      <c r="DT291" s="300"/>
      <c r="DU291" s="300"/>
      <c r="DV291" s="300"/>
      <c r="DW291" s="300"/>
      <c r="DX291" s="300"/>
      <c r="DY291" s="300"/>
      <c r="DZ291" s="300"/>
      <c r="EA291" s="300"/>
      <c r="EB291" s="300"/>
      <c r="EC291" s="300"/>
      <c r="ED291" s="300"/>
      <c r="EE291" s="300"/>
      <c r="EF291" s="300"/>
      <c r="EG291" s="300"/>
      <c r="EH291" s="300"/>
      <c r="EI291" s="300"/>
      <c r="EJ291" s="300"/>
      <c r="EK291" s="300"/>
      <c r="EL291" s="300"/>
      <c r="EM291" s="300"/>
      <c r="EN291" s="300"/>
      <c r="EO291" s="300"/>
      <c r="EP291" s="300"/>
      <c r="EQ291" s="300"/>
      <c r="ER291" s="300"/>
      <c r="ES291" s="300"/>
      <c r="ET291" s="300"/>
      <c r="EU291" s="300"/>
      <c r="EV291" s="300"/>
      <c r="EW291" s="300"/>
      <c r="EX291" s="300"/>
    </row>
    <row r="292" spans="1:154" s="301" customFormat="1" ht="39.6" hidden="1" customHeight="1">
      <c r="A292" s="353"/>
      <c r="B292" s="438" t="s">
        <v>1021</v>
      </c>
      <c r="C292" s="348"/>
      <c r="D292" s="348"/>
      <c r="E292" s="348"/>
      <c r="F292" s="231">
        <f t="shared" si="26"/>
        <v>0</v>
      </c>
      <c r="G292" s="348"/>
      <c r="H292" s="348"/>
      <c r="I292" s="348"/>
      <c r="J292" s="348"/>
      <c r="K292" s="348"/>
      <c r="L292" s="348"/>
      <c r="M292" s="228">
        <f t="shared" si="25"/>
        <v>0</v>
      </c>
      <c r="N292" s="298"/>
      <c r="O292" s="104">
        <f t="shared" si="27"/>
        <v>0</v>
      </c>
      <c r="P292" s="299"/>
      <c r="Q292" s="300"/>
      <c r="R292" s="300"/>
      <c r="S292" s="300"/>
      <c r="T292" s="300"/>
      <c r="U292" s="300"/>
      <c r="V292" s="300"/>
      <c r="W292" s="300"/>
      <c r="X292" s="300"/>
      <c r="Y292" s="300"/>
      <c r="Z292" s="300"/>
      <c r="AA292" s="300"/>
      <c r="AB292" s="300"/>
      <c r="AC292" s="300"/>
      <c r="AD292" s="300"/>
      <c r="AE292" s="300"/>
      <c r="AF292" s="300"/>
      <c r="AG292" s="300"/>
      <c r="AH292" s="300"/>
      <c r="AI292" s="300"/>
      <c r="AJ292" s="300"/>
      <c r="AK292" s="300"/>
      <c r="AL292" s="300"/>
      <c r="AM292" s="300"/>
      <c r="AN292" s="300"/>
      <c r="AO292" s="300"/>
      <c r="AP292" s="300"/>
      <c r="AQ292" s="300"/>
      <c r="AR292" s="300"/>
      <c r="AS292" s="300"/>
      <c r="AT292" s="300"/>
      <c r="AU292" s="300"/>
      <c r="AV292" s="300"/>
      <c r="AW292" s="300"/>
      <c r="AX292" s="300"/>
      <c r="AY292" s="300"/>
      <c r="AZ292" s="300"/>
      <c r="BA292" s="300"/>
      <c r="BB292" s="300"/>
      <c r="BC292" s="300"/>
      <c r="BD292" s="300"/>
      <c r="BE292" s="300"/>
      <c r="BF292" s="300"/>
      <c r="BG292" s="300"/>
      <c r="BH292" s="300"/>
      <c r="BI292" s="300"/>
      <c r="BJ292" s="300"/>
      <c r="BK292" s="300"/>
      <c r="BL292" s="300"/>
      <c r="BM292" s="300"/>
      <c r="BN292" s="300"/>
      <c r="BO292" s="300"/>
      <c r="BP292" s="300"/>
      <c r="BQ292" s="300"/>
      <c r="BR292" s="300"/>
      <c r="BS292" s="300"/>
      <c r="BT292" s="300"/>
      <c r="BU292" s="300"/>
      <c r="BV292" s="300"/>
      <c r="BW292" s="300"/>
      <c r="BX292" s="300"/>
      <c r="BY292" s="300"/>
      <c r="BZ292" s="300"/>
      <c r="CA292" s="300"/>
      <c r="CB292" s="300"/>
      <c r="CC292" s="300"/>
      <c r="CD292" s="300"/>
      <c r="CE292" s="300"/>
      <c r="CF292" s="300"/>
      <c r="CG292" s="300"/>
      <c r="CH292" s="300"/>
      <c r="CI292" s="300"/>
      <c r="CJ292" s="300"/>
      <c r="CK292" s="300"/>
      <c r="CL292" s="300"/>
      <c r="CM292" s="300"/>
      <c r="CN292" s="300"/>
      <c r="CO292" s="300"/>
      <c r="CP292" s="300"/>
      <c r="CQ292" s="300"/>
      <c r="CR292" s="300"/>
      <c r="CS292" s="300"/>
      <c r="CT292" s="300"/>
      <c r="CU292" s="300"/>
      <c r="CV292" s="300"/>
      <c r="CW292" s="300"/>
      <c r="CX292" s="300"/>
      <c r="CY292" s="300"/>
      <c r="CZ292" s="300"/>
      <c r="DA292" s="300"/>
      <c r="DB292" s="300"/>
      <c r="DC292" s="300"/>
      <c r="DD292" s="300"/>
      <c r="DE292" s="300"/>
      <c r="DF292" s="300"/>
      <c r="DG292" s="300"/>
      <c r="DH292" s="300"/>
      <c r="DI292" s="300"/>
      <c r="DJ292" s="300"/>
      <c r="DK292" s="300"/>
      <c r="DL292" s="300"/>
      <c r="DM292" s="300"/>
      <c r="DN292" s="300"/>
      <c r="DO292" s="300"/>
      <c r="DP292" s="300"/>
      <c r="DQ292" s="300"/>
      <c r="DR292" s="300"/>
      <c r="DS292" s="300"/>
      <c r="DT292" s="300"/>
      <c r="DU292" s="300"/>
      <c r="DV292" s="300"/>
      <c r="DW292" s="300"/>
      <c r="DX292" s="300"/>
      <c r="DY292" s="300"/>
      <c r="DZ292" s="300"/>
      <c r="EA292" s="300"/>
      <c r="EB292" s="300"/>
      <c r="EC292" s="300"/>
      <c r="ED292" s="300"/>
      <c r="EE292" s="300"/>
      <c r="EF292" s="300"/>
      <c r="EG292" s="300"/>
      <c r="EH292" s="300"/>
      <c r="EI292" s="300"/>
      <c r="EJ292" s="300"/>
      <c r="EK292" s="300"/>
      <c r="EL292" s="300"/>
      <c r="EM292" s="300"/>
      <c r="EN292" s="300"/>
      <c r="EO292" s="300"/>
      <c r="EP292" s="300"/>
      <c r="EQ292" s="300"/>
      <c r="ER292" s="300"/>
      <c r="ES292" s="300"/>
      <c r="ET292" s="300"/>
      <c r="EU292" s="300"/>
      <c r="EV292" s="300"/>
      <c r="EW292" s="300"/>
      <c r="EX292" s="300"/>
    </row>
    <row r="293" spans="1:154" ht="24" customHeight="1">
      <c r="A293" s="437">
        <v>200200</v>
      </c>
      <c r="B293" s="292" t="s">
        <v>226</v>
      </c>
      <c r="C293" s="651"/>
      <c r="D293" s="651"/>
      <c r="E293" s="651"/>
      <c r="F293" s="651">
        <f t="shared" si="26"/>
        <v>600000</v>
      </c>
      <c r="G293" s="651"/>
      <c r="H293" s="651"/>
      <c r="I293" s="651"/>
      <c r="J293" s="651">
        <v>600000</v>
      </c>
      <c r="K293" s="651"/>
      <c r="L293" s="651"/>
      <c r="M293" s="648">
        <f t="shared" si="25"/>
        <v>600000</v>
      </c>
      <c r="N293" s="3">
        <f t="shared" ref="N293:N323" si="32">+M293</f>
        <v>600000</v>
      </c>
      <c r="O293" s="14">
        <f t="shared" si="27"/>
        <v>600000</v>
      </c>
      <c r="P293" s="54">
        <v>1</v>
      </c>
    </row>
    <row r="294" spans="1:154" ht="18.75" hidden="1">
      <c r="A294" s="237"/>
      <c r="B294" s="230" t="s">
        <v>747</v>
      </c>
      <c r="C294" s="458"/>
      <c r="D294" s="458"/>
      <c r="E294" s="458"/>
      <c r="F294" s="458">
        <f t="shared" si="26"/>
        <v>0</v>
      </c>
      <c r="G294" s="458"/>
      <c r="H294" s="458"/>
      <c r="I294" s="458"/>
      <c r="J294" s="458"/>
      <c r="K294" s="458"/>
      <c r="L294" s="458"/>
      <c r="M294" s="457"/>
      <c r="N294" s="3"/>
      <c r="O294" s="14"/>
    </row>
    <row r="295" spans="1:154" ht="37.5" hidden="1">
      <c r="A295" s="237"/>
      <c r="B295" s="241" t="s">
        <v>684</v>
      </c>
      <c r="C295" s="458"/>
      <c r="D295" s="458"/>
      <c r="E295" s="458"/>
      <c r="F295" s="458">
        <f t="shared" si="26"/>
        <v>0</v>
      </c>
      <c r="G295" s="458"/>
      <c r="H295" s="458"/>
      <c r="I295" s="458"/>
      <c r="J295" s="458"/>
      <c r="K295" s="458"/>
      <c r="L295" s="458"/>
      <c r="M295" s="457">
        <f t="shared" si="25"/>
        <v>0</v>
      </c>
      <c r="N295" s="3"/>
      <c r="O295" s="14">
        <f t="shared" si="27"/>
        <v>0</v>
      </c>
    </row>
    <row r="296" spans="1:154" ht="22.9" customHeight="1">
      <c r="A296" s="437">
        <v>200600</v>
      </c>
      <c r="B296" s="421" t="s">
        <v>996</v>
      </c>
      <c r="C296" s="651">
        <v>620000</v>
      </c>
      <c r="D296" s="651">
        <v>424038</v>
      </c>
      <c r="E296" s="651">
        <v>7000</v>
      </c>
      <c r="F296" s="651">
        <f t="shared" si="26"/>
        <v>25000</v>
      </c>
      <c r="G296" s="651">
        <v>25000</v>
      </c>
      <c r="H296" s="651"/>
      <c r="I296" s="651"/>
      <c r="J296" s="651"/>
      <c r="K296" s="651"/>
      <c r="L296" s="651"/>
      <c r="M296" s="648">
        <f t="shared" si="25"/>
        <v>645000</v>
      </c>
      <c r="N296" s="3"/>
      <c r="O296" s="14">
        <f t="shared" si="27"/>
        <v>645000</v>
      </c>
    </row>
    <row r="297" spans="1:154" ht="18.75" hidden="1">
      <c r="A297" s="245"/>
      <c r="B297" s="249"/>
      <c r="C297" s="231"/>
      <c r="D297" s="231"/>
      <c r="E297" s="231"/>
      <c r="F297" s="231">
        <f t="shared" si="26"/>
        <v>0</v>
      </c>
      <c r="G297" s="231"/>
      <c r="H297" s="231"/>
      <c r="I297" s="231"/>
      <c r="J297" s="231"/>
      <c r="K297" s="231"/>
      <c r="L297" s="231"/>
      <c r="M297" s="228">
        <f t="shared" si="25"/>
        <v>0</v>
      </c>
      <c r="N297" s="3">
        <f t="shared" si="32"/>
        <v>0</v>
      </c>
      <c r="O297" s="14">
        <f t="shared" si="27"/>
        <v>0</v>
      </c>
    </row>
    <row r="298" spans="1:154" s="105" customFormat="1" ht="39" customHeight="1">
      <c r="A298" s="549">
        <v>210000</v>
      </c>
      <c r="B298" s="680" t="s">
        <v>939</v>
      </c>
      <c r="C298" s="648">
        <f>+C299+C302+C303</f>
        <v>2100000</v>
      </c>
      <c r="D298" s="648">
        <f>+D299+D302+D303</f>
        <v>0</v>
      </c>
      <c r="E298" s="648">
        <f>+E299+E302+E303</f>
        <v>0</v>
      </c>
      <c r="F298" s="648">
        <f t="shared" si="26"/>
        <v>0</v>
      </c>
      <c r="G298" s="648">
        <f t="shared" ref="G298:L298" si="33">+G299+G302+G303</f>
        <v>0</v>
      </c>
      <c r="H298" s="648">
        <f t="shared" si="33"/>
        <v>0</v>
      </c>
      <c r="I298" s="648">
        <f t="shared" si="33"/>
        <v>0</v>
      </c>
      <c r="J298" s="648">
        <f t="shared" si="33"/>
        <v>0</v>
      </c>
      <c r="K298" s="648">
        <f t="shared" si="33"/>
        <v>0</v>
      </c>
      <c r="L298" s="648">
        <f t="shared" si="33"/>
        <v>0</v>
      </c>
      <c r="M298" s="648">
        <f t="shared" si="25"/>
        <v>2100000</v>
      </c>
      <c r="N298" s="298">
        <f t="shared" si="32"/>
        <v>2100000</v>
      </c>
      <c r="O298" s="104">
        <f t="shared" si="27"/>
        <v>2100000</v>
      </c>
      <c r="P298" s="96"/>
      <c r="Q298" s="9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</row>
    <row r="299" spans="1:154" s="35" customFormat="1" ht="37.5">
      <c r="A299" s="437">
        <v>210105</v>
      </c>
      <c r="B299" s="292" t="s">
        <v>653</v>
      </c>
      <c r="C299" s="563">
        <v>450000</v>
      </c>
      <c r="D299" s="563">
        <f t="shared" ref="D299:I299" si="34">+D300+D301</f>
        <v>0</v>
      </c>
      <c r="E299" s="563">
        <f t="shared" si="34"/>
        <v>0</v>
      </c>
      <c r="F299" s="563">
        <f t="shared" si="26"/>
        <v>0</v>
      </c>
      <c r="G299" s="563">
        <f t="shared" si="34"/>
        <v>0</v>
      </c>
      <c r="H299" s="563">
        <f t="shared" si="34"/>
        <v>0</v>
      </c>
      <c r="I299" s="563">
        <f t="shared" si="34"/>
        <v>0</v>
      </c>
      <c r="J299" s="563"/>
      <c r="K299" s="563">
        <f>+J299</f>
        <v>0</v>
      </c>
      <c r="L299" s="563">
        <f>+K299</f>
        <v>0</v>
      </c>
      <c r="M299" s="648">
        <f t="shared" si="25"/>
        <v>450000</v>
      </c>
      <c r="N299" s="3">
        <f t="shared" si="32"/>
        <v>450000</v>
      </c>
      <c r="O299" s="14">
        <f t="shared" si="27"/>
        <v>450000</v>
      </c>
      <c r="P299" s="97">
        <v>1</v>
      </c>
      <c r="Q299" s="97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</row>
    <row r="300" spans="1:154" s="35" customFormat="1" ht="18.75" hidden="1">
      <c r="A300" s="245"/>
      <c r="B300" s="249" t="s">
        <v>1598</v>
      </c>
      <c r="C300" s="270"/>
      <c r="D300" s="270"/>
      <c r="E300" s="270"/>
      <c r="F300" s="270">
        <f t="shared" si="26"/>
        <v>0</v>
      </c>
      <c r="G300" s="270"/>
      <c r="H300" s="270"/>
      <c r="I300" s="270"/>
      <c r="J300" s="270"/>
      <c r="K300" s="270"/>
      <c r="L300" s="270"/>
      <c r="M300" s="251">
        <f t="shared" si="25"/>
        <v>0</v>
      </c>
      <c r="N300" s="3">
        <f t="shared" si="32"/>
        <v>0</v>
      </c>
      <c r="O300" s="14"/>
      <c r="P300" s="97">
        <v>1</v>
      </c>
      <c r="Q300" s="97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</row>
    <row r="301" spans="1:154" s="35" customFormat="1" ht="56.25" hidden="1">
      <c r="A301" s="237"/>
      <c r="B301" s="415" t="s">
        <v>651</v>
      </c>
      <c r="C301" s="270"/>
      <c r="D301" s="270"/>
      <c r="E301" s="270"/>
      <c r="F301" s="231">
        <f t="shared" si="26"/>
        <v>0</v>
      </c>
      <c r="G301" s="270"/>
      <c r="H301" s="270"/>
      <c r="I301" s="270"/>
      <c r="J301" s="270"/>
      <c r="K301" s="270"/>
      <c r="L301" s="270"/>
      <c r="M301" s="228">
        <f t="shared" si="25"/>
        <v>0</v>
      </c>
      <c r="N301" s="3"/>
      <c r="O301" s="14">
        <f t="shared" si="27"/>
        <v>0</v>
      </c>
      <c r="P301" s="97"/>
      <c r="Q301" s="97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</row>
    <row r="302" spans="1:154" s="35" customFormat="1" ht="34.15" customHeight="1">
      <c r="A302" s="437">
        <v>210110</v>
      </c>
      <c r="B302" s="292" t="s">
        <v>1409</v>
      </c>
      <c r="C302" s="563">
        <v>1650000</v>
      </c>
      <c r="D302" s="563"/>
      <c r="E302" s="563"/>
      <c r="F302" s="651">
        <f t="shared" si="26"/>
        <v>0</v>
      </c>
      <c r="G302" s="563"/>
      <c r="H302" s="563"/>
      <c r="I302" s="563"/>
      <c r="J302" s="563"/>
      <c r="K302" s="563"/>
      <c r="L302" s="563"/>
      <c r="M302" s="648">
        <f t="shared" si="25"/>
        <v>1650000</v>
      </c>
      <c r="N302" s="3"/>
      <c r="O302" s="14">
        <f t="shared" si="27"/>
        <v>1650000</v>
      </c>
      <c r="P302" s="97"/>
      <c r="Q302" s="97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</row>
    <row r="303" spans="1:154" ht="37.5" hidden="1">
      <c r="A303" s="229">
        <v>210120</v>
      </c>
      <c r="B303" s="230" t="s">
        <v>1138</v>
      </c>
      <c r="C303" s="231">
        <f>+C304+C307+C310</f>
        <v>0</v>
      </c>
      <c r="D303" s="231">
        <f>+D304+D307+D310</f>
        <v>0</v>
      </c>
      <c r="E303" s="231">
        <f>+E304+E307+E310</f>
        <v>0</v>
      </c>
      <c r="F303" s="274">
        <f t="shared" si="26"/>
        <v>0</v>
      </c>
      <c r="G303" s="231"/>
      <c r="H303" s="231"/>
      <c r="I303" s="231"/>
      <c r="J303" s="231"/>
      <c r="K303" s="231"/>
      <c r="L303" s="231"/>
      <c r="M303" s="228">
        <f t="shared" si="25"/>
        <v>0</v>
      </c>
      <c r="N303" s="3">
        <f t="shared" si="32"/>
        <v>0</v>
      </c>
      <c r="O303" s="14">
        <f t="shared" si="27"/>
        <v>0</v>
      </c>
      <c r="P303" s="54">
        <v>1</v>
      </c>
    </row>
    <row r="304" spans="1:154" s="301" customFormat="1" ht="37.5" hidden="1">
      <c r="A304" s="395">
        <v>211100</v>
      </c>
      <c r="B304" s="398" t="s">
        <v>1128</v>
      </c>
      <c r="C304" s="274"/>
      <c r="D304" s="274"/>
      <c r="E304" s="274"/>
      <c r="F304" s="274">
        <f t="shared" si="26"/>
        <v>0</v>
      </c>
      <c r="G304" s="274"/>
      <c r="H304" s="274"/>
      <c r="I304" s="274"/>
      <c r="J304" s="274"/>
      <c r="K304" s="274"/>
      <c r="L304" s="274"/>
      <c r="M304" s="228">
        <f t="shared" si="25"/>
        <v>0</v>
      </c>
      <c r="N304" s="298">
        <f t="shared" si="32"/>
        <v>0</v>
      </c>
      <c r="O304" s="104">
        <f t="shared" si="27"/>
        <v>0</v>
      </c>
      <c r="P304" s="302">
        <v>1</v>
      </c>
      <c r="Q304" s="302"/>
      <c r="R304" s="300"/>
      <c r="S304" s="300"/>
      <c r="T304" s="300"/>
      <c r="U304" s="300"/>
      <c r="V304" s="300"/>
      <c r="W304" s="300"/>
      <c r="X304" s="300"/>
      <c r="Y304" s="300"/>
      <c r="Z304" s="300"/>
      <c r="AA304" s="300"/>
      <c r="AB304" s="300"/>
      <c r="AC304" s="300"/>
      <c r="AD304" s="300"/>
      <c r="AE304" s="300"/>
      <c r="AF304" s="300"/>
      <c r="AG304" s="300"/>
      <c r="AH304" s="300"/>
      <c r="AI304" s="300"/>
      <c r="AJ304" s="300"/>
      <c r="AK304" s="300"/>
      <c r="AL304" s="300"/>
      <c r="AM304" s="300"/>
      <c r="AN304" s="300"/>
      <c r="AO304" s="300"/>
      <c r="AP304" s="300"/>
      <c r="AQ304" s="300"/>
      <c r="AR304" s="300"/>
      <c r="AS304" s="300"/>
      <c r="AT304" s="300"/>
      <c r="AU304" s="300"/>
      <c r="AV304" s="300"/>
      <c r="AW304" s="300"/>
      <c r="AX304" s="300"/>
      <c r="AY304" s="300"/>
      <c r="AZ304" s="300"/>
      <c r="BA304" s="300"/>
      <c r="BB304" s="300"/>
      <c r="BC304" s="300"/>
      <c r="BD304" s="300"/>
      <c r="BE304" s="300"/>
      <c r="BF304" s="300"/>
      <c r="BG304" s="300"/>
      <c r="BH304" s="300"/>
      <c r="BI304" s="300"/>
      <c r="BJ304" s="300"/>
      <c r="BK304" s="300"/>
      <c r="BL304" s="300"/>
      <c r="BM304" s="300"/>
      <c r="BN304" s="300"/>
      <c r="BO304" s="300"/>
      <c r="BP304" s="300"/>
      <c r="BQ304" s="300"/>
      <c r="BR304" s="300"/>
      <c r="BS304" s="300"/>
      <c r="BT304" s="300"/>
      <c r="BU304" s="300"/>
      <c r="BV304" s="300"/>
      <c r="BW304" s="300"/>
      <c r="BX304" s="300"/>
      <c r="BY304" s="300"/>
      <c r="BZ304" s="300"/>
      <c r="CA304" s="300"/>
      <c r="CB304" s="300"/>
      <c r="CC304" s="300"/>
      <c r="CD304" s="300"/>
      <c r="CE304" s="300"/>
      <c r="CF304" s="300"/>
      <c r="CG304" s="300"/>
      <c r="CH304" s="300"/>
      <c r="CI304" s="300"/>
      <c r="CJ304" s="300"/>
      <c r="CK304" s="300"/>
      <c r="CL304" s="300"/>
      <c r="CM304" s="300"/>
      <c r="CN304" s="300"/>
      <c r="CO304" s="300"/>
      <c r="CP304" s="300"/>
      <c r="CQ304" s="300"/>
      <c r="CR304" s="300"/>
      <c r="CS304" s="300"/>
      <c r="CT304" s="300"/>
      <c r="CU304" s="300"/>
      <c r="CV304" s="300"/>
      <c r="CW304" s="300"/>
      <c r="CX304" s="300"/>
      <c r="CY304" s="300"/>
      <c r="CZ304" s="300"/>
      <c r="DA304" s="300"/>
      <c r="DB304" s="300"/>
      <c r="DC304" s="300"/>
      <c r="DD304" s="300"/>
      <c r="DE304" s="300"/>
      <c r="DF304" s="300"/>
      <c r="DG304" s="300"/>
      <c r="DH304" s="300"/>
      <c r="DI304" s="300"/>
      <c r="DJ304" s="300"/>
      <c r="DK304" s="300"/>
      <c r="DL304" s="300"/>
      <c r="DM304" s="300"/>
      <c r="DN304" s="300"/>
      <c r="DO304" s="300"/>
      <c r="DP304" s="300"/>
      <c r="DQ304" s="300"/>
      <c r="DR304" s="300"/>
      <c r="DS304" s="300"/>
      <c r="DT304" s="300"/>
      <c r="DU304" s="300"/>
      <c r="DV304" s="300"/>
      <c r="DW304" s="300"/>
      <c r="DX304" s="300"/>
      <c r="DY304" s="300"/>
      <c r="DZ304" s="300"/>
      <c r="EA304" s="300"/>
      <c r="EB304" s="300"/>
      <c r="EC304" s="300"/>
      <c r="ED304" s="300"/>
      <c r="EE304" s="300"/>
      <c r="EF304" s="300"/>
      <c r="EG304" s="300"/>
      <c r="EH304" s="300"/>
      <c r="EI304" s="300"/>
      <c r="EJ304" s="300"/>
      <c r="EK304" s="300"/>
      <c r="EL304" s="300"/>
      <c r="EM304" s="300"/>
      <c r="EN304" s="300"/>
      <c r="EO304" s="300"/>
      <c r="EP304" s="300"/>
      <c r="EQ304" s="300"/>
      <c r="ER304" s="300"/>
      <c r="ES304" s="300"/>
      <c r="ET304" s="300"/>
      <c r="EU304" s="300"/>
      <c r="EV304" s="300"/>
      <c r="EW304" s="300"/>
      <c r="EX304" s="300"/>
    </row>
    <row r="305" spans="1:154" s="35" customFormat="1" ht="18.75" hidden="1">
      <c r="A305" s="392">
        <v>230100</v>
      </c>
      <c r="B305" s="246" t="s">
        <v>1161</v>
      </c>
      <c r="C305" s="232"/>
      <c r="D305" s="232"/>
      <c r="E305" s="232"/>
      <c r="F305" s="232">
        <f t="shared" si="26"/>
        <v>0</v>
      </c>
      <c r="G305" s="232"/>
      <c r="H305" s="232"/>
      <c r="I305" s="232"/>
      <c r="J305" s="232"/>
      <c r="K305" s="232"/>
      <c r="L305" s="232"/>
      <c r="M305" s="228">
        <f t="shared" ref="M305:M331" si="35">+C305+F305</f>
        <v>0</v>
      </c>
      <c r="N305" s="3"/>
      <c r="O305" s="14">
        <f t="shared" si="27"/>
        <v>0</v>
      </c>
      <c r="P305" s="97"/>
      <c r="Q305" s="97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</row>
    <row r="306" spans="1:154" s="35" customFormat="1" ht="18.75" hidden="1">
      <c r="A306" s="392">
        <v>230200</v>
      </c>
      <c r="B306" s="246" t="s">
        <v>1162</v>
      </c>
      <c r="C306" s="232"/>
      <c r="D306" s="232"/>
      <c r="E306" s="232"/>
      <c r="F306" s="232">
        <f t="shared" si="26"/>
        <v>0</v>
      </c>
      <c r="G306" s="232"/>
      <c r="H306" s="232"/>
      <c r="I306" s="232"/>
      <c r="J306" s="232"/>
      <c r="K306" s="232"/>
      <c r="L306" s="232"/>
      <c r="M306" s="228">
        <f t="shared" si="35"/>
        <v>0</v>
      </c>
      <c r="N306" s="3"/>
      <c r="O306" s="14">
        <f t="shared" si="27"/>
        <v>0</v>
      </c>
      <c r="P306" s="97"/>
      <c r="Q306" s="97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</row>
    <row r="307" spans="1:154" s="105" customFormat="1" ht="35.450000000000003" customHeight="1">
      <c r="A307" s="639">
        <v>240000</v>
      </c>
      <c r="B307" s="647" t="s">
        <v>1163</v>
      </c>
      <c r="C307" s="648">
        <f>+C310</f>
        <v>0</v>
      </c>
      <c r="D307" s="648">
        <f>+D310</f>
        <v>0</v>
      </c>
      <c r="E307" s="648">
        <f>+E310</f>
        <v>0</v>
      </c>
      <c r="F307" s="648">
        <f t="shared" si="26"/>
        <v>7600000</v>
      </c>
      <c r="G307" s="648">
        <f t="shared" ref="G307:L307" si="36">+G310</f>
        <v>0</v>
      </c>
      <c r="H307" s="648">
        <f t="shared" si="36"/>
        <v>0</v>
      </c>
      <c r="I307" s="648">
        <f t="shared" si="36"/>
        <v>0</v>
      </c>
      <c r="J307" s="648">
        <f t="shared" si="36"/>
        <v>7600000</v>
      </c>
      <c r="K307" s="648">
        <f t="shared" si="36"/>
        <v>0</v>
      </c>
      <c r="L307" s="648">
        <f t="shared" si="36"/>
        <v>0</v>
      </c>
      <c r="M307" s="648">
        <f t="shared" si="35"/>
        <v>7600000</v>
      </c>
      <c r="N307" s="298">
        <f t="shared" si="32"/>
        <v>7600000</v>
      </c>
      <c r="O307" s="104">
        <f t="shared" si="27"/>
        <v>7600000</v>
      </c>
      <c r="P307" s="96">
        <v>1</v>
      </c>
      <c r="Q307" s="9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</row>
    <row r="308" spans="1:154" s="105" customFormat="1" ht="18.75" hidden="1">
      <c r="A308" s="227"/>
      <c r="B308" s="233" t="s">
        <v>747</v>
      </c>
      <c r="C308" s="228"/>
      <c r="D308" s="228"/>
      <c r="E308" s="228"/>
      <c r="F308" s="285">
        <f t="shared" si="26"/>
        <v>0</v>
      </c>
      <c r="G308" s="228"/>
      <c r="H308" s="228"/>
      <c r="I308" s="228"/>
      <c r="J308" s="228"/>
      <c r="K308" s="228"/>
      <c r="L308" s="228"/>
      <c r="M308" s="228">
        <f t="shared" si="35"/>
        <v>0</v>
      </c>
      <c r="N308" s="389"/>
      <c r="O308" s="14"/>
      <c r="P308" s="96"/>
      <c r="Q308" s="9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</row>
    <row r="309" spans="1:154" s="105" customFormat="1" ht="37.5" hidden="1">
      <c r="A309" s="227"/>
      <c r="B309" s="438" t="s">
        <v>1021</v>
      </c>
      <c r="C309" s="228"/>
      <c r="D309" s="228"/>
      <c r="E309" s="228"/>
      <c r="F309" s="285">
        <f t="shared" si="26"/>
        <v>0</v>
      </c>
      <c r="G309" s="234"/>
      <c r="H309" s="228"/>
      <c r="I309" s="228"/>
      <c r="J309" s="234"/>
      <c r="K309" s="228"/>
      <c r="L309" s="234"/>
      <c r="M309" s="228">
        <f t="shared" si="35"/>
        <v>0</v>
      </c>
      <c r="N309" s="389"/>
      <c r="O309" s="14">
        <f t="shared" si="27"/>
        <v>0</v>
      </c>
      <c r="P309" s="96"/>
      <c r="Q309" s="9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</row>
    <row r="310" spans="1:154" ht="37.5" hidden="1">
      <c r="A310" s="229">
        <v>240600</v>
      </c>
      <c r="B310" s="271" t="s">
        <v>535</v>
      </c>
      <c r="C310" s="231"/>
      <c r="D310" s="231"/>
      <c r="E310" s="231"/>
      <c r="F310" s="231">
        <f t="shared" si="26"/>
        <v>7600000</v>
      </c>
      <c r="G310" s="231">
        <f>+G311+G312+G313+G314+G315</f>
        <v>0</v>
      </c>
      <c r="H310" s="231">
        <f>+H311+H312+H313+H314+H315</f>
        <v>0</v>
      </c>
      <c r="I310" s="231">
        <f>+I311+I312+I313+I314+I315</f>
        <v>0</v>
      </c>
      <c r="J310" s="231">
        <f>+J311+J312+J313+J314+J315</f>
        <v>7600000</v>
      </c>
      <c r="K310" s="231"/>
      <c r="L310" s="231">
        <f>+L311+L312+L313+L314+L315</f>
        <v>0</v>
      </c>
      <c r="M310" s="228">
        <f t="shared" si="35"/>
        <v>7600000</v>
      </c>
      <c r="N310" s="3"/>
      <c r="O310" s="14"/>
    </row>
    <row r="311" spans="1:154" customFormat="1" ht="37.5">
      <c r="A311" s="437">
        <v>240601</v>
      </c>
      <c r="B311" s="292" t="s">
        <v>979</v>
      </c>
      <c r="C311" s="563">
        <f>+C312+C313</f>
        <v>0</v>
      </c>
      <c r="D311" s="563">
        <f>+D312+D313</f>
        <v>0</v>
      </c>
      <c r="E311" s="563">
        <f>+E312+E313</f>
        <v>0</v>
      </c>
      <c r="F311" s="652">
        <f t="shared" si="26"/>
        <v>7600000</v>
      </c>
      <c r="G311" s="652"/>
      <c r="H311" s="652">
        <f>+H312+H313</f>
        <v>0</v>
      </c>
      <c r="I311" s="652">
        <f>+I312+I313</f>
        <v>0</v>
      </c>
      <c r="J311" s="652">
        <v>7600000</v>
      </c>
      <c r="K311" s="652"/>
      <c r="L311" s="652"/>
      <c r="M311" s="648">
        <f t="shared" si="35"/>
        <v>7600000</v>
      </c>
      <c r="N311" s="3">
        <f t="shared" si="32"/>
        <v>7600000</v>
      </c>
      <c r="O311" s="14">
        <f t="shared" si="27"/>
        <v>7600000</v>
      </c>
    </row>
    <row r="312" spans="1:154" customFormat="1" ht="18.75" hidden="1">
      <c r="A312" s="252">
        <v>240602</v>
      </c>
      <c r="B312" s="400" t="s">
        <v>1248</v>
      </c>
      <c r="C312" s="476"/>
      <c r="D312" s="476"/>
      <c r="E312" s="476"/>
      <c r="F312" s="476">
        <f t="shared" si="26"/>
        <v>0</v>
      </c>
      <c r="G312" s="476"/>
      <c r="H312" s="476"/>
      <c r="I312" s="476"/>
      <c r="J312" s="476">
        <f>2000000-2000000</f>
        <v>0</v>
      </c>
      <c r="K312" s="476"/>
      <c r="L312" s="476"/>
      <c r="M312" s="477">
        <f t="shared" si="35"/>
        <v>0</v>
      </c>
      <c r="N312" s="3">
        <f t="shared" si="32"/>
        <v>0</v>
      </c>
      <c r="O312" s="14">
        <f t="shared" si="27"/>
        <v>0</v>
      </c>
    </row>
    <row r="313" spans="1:154" customFormat="1" ht="37.5" hidden="1">
      <c r="A313" s="252">
        <v>240603</v>
      </c>
      <c r="B313" s="400" t="s">
        <v>993</v>
      </c>
      <c r="C313" s="254"/>
      <c r="D313" s="254"/>
      <c r="E313" s="254"/>
      <c r="F313" s="254">
        <f t="shared" si="26"/>
        <v>0</v>
      </c>
      <c r="G313" s="254"/>
      <c r="H313" s="254"/>
      <c r="I313" s="254"/>
      <c r="J313" s="254"/>
      <c r="K313" s="254"/>
      <c r="L313" s="254"/>
      <c r="M313" s="251">
        <f t="shared" si="35"/>
        <v>0</v>
      </c>
      <c r="N313" s="3">
        <f t="shared" si="32"/>
        <v>0</v>
      </c>
      <c r="O313" s="14">
        <f t="shared" si="27"/>
        <v>0</v>
      </c>
    </row>
    <row r="314" spans="1:154" ht="37.5" hidden="1">
      <c r="A314" s="229">
        <v>240604</v>
      </c>
      <c r="B314" s="271" t="s">
        <v>994</v>
      </c>
      <c r="C314" s="458"/>
      <c r="D314" s="458"/>
      <c r="E314" s="458"/>
      <c r="F314" s="458">
        <f t="shared" si="26"/>
        <v>0</v>
      </c>
      <c r="G314" s="458"/>
      <c r="H314" s="458"/>
      <c r="I314" s="458"/>
      <c r="J314" s="458">
        <f>949000-949000</f>
        <v>0</v>
      </c>
      <c r="K314" s="458"/>
      <c r="L314" s="458"/>
      <c r="M314" s="457">
        <f t="shared" si="35"/>
        <v>0</v>
      </c>
      <c r="N314">
        <f t="shared" si="32"/>
        <v>0</v>
      </c>
      <c r="O314" s="14">
        <f t="shared" si="27"/>
        <v>0</v>
      </c>
      <c r="P314" s="54">
        <v>1</v>
      </c>
    </row>
    <row r="315" spans="1:154" s="1" customFormat="1" ht="18.75" hidden="1">
      <c r="A315" s="237">
        <v>240605</v>
      </c>
      <c r="B315" s="230" t="s">
        <v>1249</v>
      </c>
      <c r="C315" s="458"/>
      <c r="D315" s="458"/>
      <c r="E315" s="458"/>
      <c r="F315" s="458">
        <f t="shared" si="26"/>
        <v>0</v>
      </c>
      <c r="G315" s="458"/>
      <c r="H315" s="458"/>
      <c r="I315" s="458"/>
      <c r="J315" s="458">
        <f>1520000-1520000</f>
        <v>0</v>
      </c>
      <c r="K315" s="458"/>
      <c r="L315" s="458"/>
      <c r="M315" s="457">
        <f t="shared" si="35"/>
        <v>0</v>
      </c>
      <c r="N315">
        <f t="shared" si="32"/>
        <v>0</v>
      </c>
      <c r="O315" s="14">
        <f t="shared" si="27"/>
        <v>0</v>
      </c>
      <c r="P315" s="83">
        <v>1</v>
      </c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</row>
    <row r="316" spans="1:154" s="105" customFormat="1" ht="32.450000000000003" customHeight="1">
      <c r="A316" s="639">
        <v>250000</v>
      </c>
      <c r="B316" s="647" t="s">
        <v>1470</v>
      </c>
      <c r="C316" s="648">
        <f>SUM(C317:C333)-C333</f>
        <v>12185000</v>
      </c>
      <c r="D316" s="648">
        <f>SUM(D317:D333)-D333</f>
        <v>0</v>
      </c>
      <c r="E316" s="648">
        <f>SUM(E317:E333)-E333</f>
        <v>0</v>
      </c>
      <c r="F316" s="648">
        <f>+G316+J316</f>
        <v>-147800</v>
      </c>
      <c r="G316" s="648">
        <f t="shared" ref="G316:L316" si="37">SUM(G317:G333)-G333</f>
        <v>0</v>
      </c>
      <c r="H316" s="648">
        <f t="shared" si="37"/>
        <v>0</v>
      </c>
      <c r="I316" s="648">
        <f t="shared" si="37"/>
        <v>0</v>
      </c>
      <c r="J316" s="648">
        <f t="shared" si="37"/>
        <v>-147800</v>
      </c>
      <c r="K316" s="648">
        <f t="shared" si="37"/>
        <v>-147800</v>
      </c>
      <c r="L316" s="648">
        <f t="shared" si="37"/>
        <v>0</v>
      </c>
      <c r="M316" s="648">
        <f t="shared" si="35"/>
        <v>12037200</v>
      </c>
      <c r="N316" s="303"/>
      <c r="O316" s="104">
        <f t="shared" si="27"/>
        <v>12037200</v>
      </c>
      <c r="P316" s="127">
        <v>1</v>
      </c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</row>
    <row r="317" spans="1:154" s="1" customFormat="1" ht="31.15" customHeight="1">
      <c r="A317" s="437">
        <v>250102</v>
      </c>
      <c r="B317" s="292" t="s">
        <v>526</v>
      </c>
      <c r="C317" s="563">
        <f>15000000-2500000-1000000-3000000</f>
        <v>8500000</v>
      </c>
      <c r="D317" s="563"/>
      <c r="E317" s="563"/>
      <c r="F317" s="563">
        <f t="shared" si="26"/>
        <v>0</v>
      </c>
      <c r="G317" s="563"/>
      <c r="H317" s="563"/>
      <c r="I317" s="563"/>
      <c r="J317" s="563"/>
      <c r="K317" s="563"/>
      <c r="L317" s="563"/>
      <c r="M317" s="648">
        <f t="shared" si="35"/>
        <v>8500000</v>
      </c>
      <c r="N317"/>
      <c r="O317" s="14">
        <f t="shared" si="27"/>
        <v>8500000</v>
      </c>
      <c r="P317" s="83">
        <v>1</v>
      </c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</row>
    <row r="318" spans="1:154" s="1" customFormat="1" ht="18.75" hidden="1">
      <c r="A318" s="399"/>
      <c r="B318" s="400"/>
      <c r="C318" s="277"/>
      <c r="D318" s="277"/>
      <c r="E318" s="277"/>
      <c r="F318" s="277">
        <f t="shared" si="26"/>
        <v>0</v>
      </c>
      <c r="G318" s="277"/>
      <c r="H318" s="277"/>
      <c r="I318" s="277"/>
      <c r="J318" s="277"/>
      <c r="K318" s="277"/>
      <c r="L318" s="277"/>
      <c r="M318" s="251">
        <f t="shared" si="35"/>
        <v>0</v>
      </c>
      <c r="N318"/>
      <c r="O318" s="14">
        <f t="shared" si="27"/>
        <v>0</v>
      </c>
      <c r="P318" s="83">
        <v>1</v>
      </c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</row>
    <row r="319" spans="1:154" s="1" customFormat="1" ht="56.25" hidden="1">
      <c r="A319" s="416" t="s">
        <v>682</v>
      </c>
      <c r="B319" s="272" t="s">
        <v>683</v>
      </c>
      <c r="C319" s="478"/>
      <c r="D319" s="478"/>
      <c r="E319" s="478"/>
      <c r="F319" s="466">
        <f t="shared" si="26"/>
        <v>0</v>
      </c>
      <c r="G319" s="463"/>
      <c r="H319" s="463"/>
      <c r="I319" s="463"/>
      <c r="J319" s="463"/>
      <c r="K319" s="463"/>
      <c r="L319" s="463"/>
      <c r="M319" s="457">
        <f t="shared" si="35"/>
        <v>0</v>
      </c>
      <c r="N319">
        <f t="shared" si="32"/>
        <v>0</v>
      </c>
      <c r="O319" s="14">
        <f t="shared" si="27"/>
        <v>0</v>
      </c>
      <c r="P319" s="83">
        <v>1</v>
      </c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</row>
    <row r="320" spans="1:154" s="35" customFormat="1" ht="30" customHeight="1">
      <c r="A320" s="681" t="s">
        <v>1287</v>
      </c>
      <c r="B320" s="329" t="s">
        <v>866</v>
      </c>
      <c r="C320" s="563">
        <f>550000+1300000+1275000+370000+190000</f>
        <v>3685000</v>
      </c>
      <c r="D320" s="563"/>
      <c r="E320" s="563"/>
      <c r="F320" s="563">
        <f t="shared" si="26"/>
        <v>0</v>
      </c>
      <c r="G320" s="563"/>
      <c r="H320" s="563"/>
      <c r="I320" s="563"/>
      <c r="J320" s="563"/>
      <c r="K320" s="563">
        <f>+J320</f>
        <v>0</v>
      </c>
      <c r="L320" s="563">
        <f>+K320</f>
        <v>0</v>
      </c>
      <c r="M320" s="648">
        <f t="shared" si="35"/>
        <v>3685000</v>
      </c>
      <c r="N320">
        <f t="shared" si="32"/>
        <v>3685000</v>
      </c>
      <c r="O320" s="14">
        <f t="shared" si="27"/>
        <v>3685000</v>
      </c>
      <c r="P320" s="85">
        <v>1</v>
      </c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</row>
    <row r="321" spans="1:154" ht="18.75" hidden="1">
      <c r="A321" s="273"/>
      <c r="B321" s="233" t="s">
        <v>984</v>
      </c>
      <c r="C321" s="231"/>
      <c r="D321" s="231"/>
      <c r="E321" s="231"/>
      <c r="F321" s="231">
        <f t="shared" si="26"/>
        <v>0</v>
      </c>
      <c r="G321" s="231"/>
      <c r="H321" s="231"/>
      <c r="I321" s="231"/>
      <c r="J321" s="231"/>
      <c r="K321" s="231"/>
      <c r="L321" s="231"/>
      <c r="M321" s="228">
        <f t="shared" si="35"/>
        <v>0</v>
      </c>
      <c r="N321" s="3">
        <f t="shared" si="32"/>
        <v>0</v>
      </c>
      <c r="O321" s="14">
        <f t="shared" si="27"/>
        <v>0</v>
      </c>
      <c r="P321" s="54">
        <v>1</v>
      </c>
    </row>
    <row r="322" spans="1:154" ht="56.25" hidden="1">
      <c r="A322" s="273"/>
      <c r="B322" s="243" t="s">
        <v>524</v>
      </c>
      <c r="C322" s="231"/>
      <c r="D322" s="231"/>
      <c r="E322" s="231"/>
      <c r="F322" s="231">
        <f t="shared" si="26"/>
        <v>0</v>
      </c>
      <c r="G322" s="231"/>
      <c r="H322" s="231"/>
      <c r="I322" s="231"/>
      <c r="J322" s="231"/>
      <c r="K322" s="231"/>
      <c r="L322" s="231"/>
      <c r="M322" s="228">
        <f t="shared" si="35"/>
        <v>0</v>
      </c>
      <c r="N322" s="3">
        <f t="shared" si="32"/>
        <v>0</v>
      </c>
      <c r="O322" s="14">
        <f t="shared" si="27"/>
        <v>0</v>
      </c>
      <c r="P322" s="54">
        <v>1</v>
      </c>
    </row>
    <row r="323" spans="1:154" s="1" customFormat="1" ht="75" hidden="1">
      <c r="A323" s="417"/>
      <c r="B323" s="249" t="s">
        <v>870</v>
      </c>
      <c r="C323" s="247"/>
      <c r="D323" s="247"/>
      <c r="E323" s="247"/>
      <c r="F323" s="247">
        <f t="shared" si="26"/>
        <v>0</v>
      </c>
      <c r="G323" s="247"/>
      <c r="H323" s="247"/>
      <c r="I323" s="247"/>
      <c r="J323" s="247"/>
      <c r="K323" s="247"/>
      <c r="L323" s="247"/>
      <c r="M323" s="251">
        <f t="shared" si="35"/>
        <v>0</v>
      </c>
      <c r="N323">
        <f t="shared" si="32"/>
        <v>0</v>
      </c>
      <c r="O323" s="14">
        <f t="shared" si="27"/>
        <v>0</v>
      </c>
    </row>
    <row r="324" spans="1:154" customFormat="1" ht="18.75" hidden="1" outlineLevel="1">
      <c r="A324" s="417"/>
      <c r="B324" s="272" t="s">
        <v>899</v>
      </c>
      <c r="C324" s="254"/>
      <c r="D324" s="254"/>
      <c r="E324" s="254"/>
      <c r="F324" s="247">
        <f t="shared" si="26"/>
        <v>0</v>
      </c>
      <c r="G324" s="254"/>
      <c r="H324" s="254"/>
      <c r="I324" s="254"/>
      <c r="J324" s="254"/>
      <c r="K324" s="254"/>
      <c r="L324" s="254"/>
      <c r="M324" s="251">
        <f t="shared" si="35"/>
        <v>0</v>
      </c>
      <c r="O324" s="14">
        <f t="shared" si="27"/>
        <v>0</v>
      </c>
    </row>
    <row r="325" spans="1:154" s="35" customFormat="1" ht="33" customHeight="1" outlineLevel="1">
      <c r="A325" s="681" t="s">
        <v>894</v>
      </c>
      <c r="B325" s="408" t="s">
        <v>1241</v>
      </c>
      <c r="C325" s="651"/>
      <c r="D325" s="651"/>
      <c r="E325" s="651"/>
      <c r="F325" s="651">
        <f t="shared" ref="F325:F331" si="38">+G325+J325</f>
        <v>-147800</v>
      </c>
      <c r="G325" s="651"/>
      <c r="H325" s="651"/>
      <c r="I325" s="651"/>
      <c r="J325" s="651">
        <v>-147800</v>
      </c>
      <c r="K325" s="651">
        <f>+J325</f>
        <v>-147800</v>
      </c>
      <c r="L325" s="651"/>
      <c r="M325" s="648">
        <f t="shared" si="35"/>
        <v>-147800</v>
      </c>
      <c r="N325"/>
      <c r="O325" s="14">
        <f t="shared" ref="O325:O458" si="39">+M325</f>
        <v>-147800</v>
      </c>
      <c r="P325" s="97">
        <v>1</v>
      </c>
      <c r="Q325" s="97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</row>
    <row r="326" spans="1:154" s="35" customFormat="1" ht="93.75" hidden="1" outlineLevel="1">
      <c r="A326" s="273" t="s">
        <v>1012</v>
      </c>
      <c r="B326" s="243" t="s">
        <v>1011</v>
      </c>
      <c r="C326" s="232"/>
      <c r="D326" s="232"/>
      <c r="E326" s="232"/>
      <c r="F326" s="231">
        <f t="shared" si="38"/>
        <v>0</v>
      </c>
      <c r="G326" s="232"/>
      <c r="H326" s="232"/>
      <c r="I326" s="232"/>
      <c r="J326" s="232"/>
      <c r="K326" s="232"/>
      <c r="L326" s="232"/>
      <c r="M326" s="228">
        <f t="shared" si="35"/>
        <v>0</v>
      </c>
      <c r="N326"/>
      <c r="O326" s="14">
        <f t="shared" si="39"/>
        <v>0</v>
      </c>
      <c r="P326" s="97"/>
      <c r="Q326" s="97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</row>
    <row r="327" spans="1:154" s="35" customFormat="1" ht="56.25" hidden="1" outlineLevel="1">
      <c r="A327" s="417" t="s">
        <v>71</v>
      </c>
      <c r="B327" s="247" t="s">
        <v>266</v>
      </c>
      <c r="C327" s="232"/>
      <c r="D327" s="232"/>
      <c r="E327" s="232"/>
      <c r="F327" s="231">
        <f t="shared" si="38"/>
        <v>0</v>
      </c>
      <c r="G327" s="232"/>
      <c r="H327" s="232"/>
      <c r="I327" s="232"/>
      <c r="J327" s="232"/>
      <c r="K327" s="232"/>
      <c r="L327" s="232"/>
      <c r="M327" s="228">
        <f t="shared" si="35"/>
        <v>0</v>
      </c>
      <c r="N327"/>
      <c r="O327" s="14">
        <f t="shared" si="39"/>
        <v>0</v>
      </c>
      <c r="P327" s="97"/>
      <c r="Q327" s="97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</row>
    <row r="328" spans="1:154" s="35" customFormat="1" ht="56.25" hidden="1" outlineLevel="1">
      <c r="A328" s="417" t="s">
        <v>1125</v>
      </c>
      <c r="B328" s="247" t="s">
        <v>1126</v>
      </c>
      <c r="C328" s="270"/>
      <c r="D328" s="270"/>
      <c r="E328" s="270"/>
      <c r="F328" s="247">
        <f t="shared" si="38"/>
        <v>0</v>
      </c>
      <c r="G328" s="270"/>
      <c r="H328" s="270"/>
      <c r="I328" s="270"/>
      <c r="J328" s="270"/>
      <c r="K328" s="270"/>
      <c r="L328" s="270"/>
      <c r="M328" s="251">
        <f t="shared" si="35"/>
        <v>0</v>
      </c>
      <c r="N328"/>
      <c r="O328" s="14">
        <f t="shared" si="39"/>
        <v>0</v>
      </c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</row>
    <row r="329" spans="1:154" customFormat="1" ht="75" hidden="1" outlineLevel="1">
      <c r="A329" s="273" t="s">
        <v>72</v>
      </c>
      <c r="B329" s="243" t="s">
        <v>377</v>
      </c>
      <c r="C329" s="270"/>
      <c r="D329" s="270"/>
      <c r="E329" s="270"/>
      <c r="F329" s="247">
        <f t="shared" si="38"/>
        <v>0</v>
      </c>
      <c r="G329" s="270"/>
      <c r="H329" s="270"/>
      <c r="I329" s="270"/>
      <c r="J329" s="270"/>
      <c r="K329" s="270"/>
      <c r="L329" s="270"/>
      <c r="M329" s="251">
        <f t="shared" si="35"/>
        <v>0</v>
      </c>
      <c r="O329" s="14">
        <f t="shared" si="39"/>
        <v>0</v>
      </c>
      <c r="P329" s="97"/>
      <c r="Q329" s="97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</row>
    <row r="330" spans="1:154" s="1" customFormat="1" ht="37.5" hidden="1" outlineLevel="1">
      <c r="A330" s="273" t="s">
        <v>893</v>
      </c>
      <c r="B330" s="247" t="s">
        <v>1135</v>
      </c>
      <c r="C330" s="466"/>
      <c r="D330" s="466"/>
      <c r="E330" s="466"/>
      <c r="F330" s="466">
        <f t="shared" si="38"/>
        <v>0</v>
      </c>
      <c r="G330" s="466"/>
      <c r="H330" s="466"/>
      <c r="I330" s="466"/>
      <c r="J330" s="466"/>
      <c r="K330" s="466"/>
      <c r="L330" s="466"/>
      <c r="M330" s="457">
        <f t="shared" si="35"/>
        <v>0</v>
      </c>
      <c r="N330"/>
      <c r="O330" s="14">
        <f t="shared" si="39"/>
        <v>0</v>
      </c>
      <c r="P330" s="83">
        <v>1</v>
      </c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</row>
    <row r="331" spans="1:154" ht="56.25" hidden="1" outlineLevel="1">
      <c r="A331" s="281">
        <v>250344</v>
      </c>
      <c r="B331" s="409" t="s">
        <v>819</v>
      </c>
      <c r="C331" s="465">
        <f>200000-200000</f>
        <v>0</v>
      </c>
      <c r="D331" s="465"/>
      <c r="E331" s="465"/>
      <c r="F331" s="465">
        <f t="shared" si="38"/>
        <v>0</v>
      </c>
      <c r="G331" s="465"/>
      <c r="H331" s="465"/>
      <c r="I331" s="465"/>
      <c r="J331" s="465"/>
      <c r="K331" s="465"/>
      <c r="L331" s="465"/>
      <c r="M331" s="457">
        <f t="shared" si="35"/>
        <v>0</v>
      </c>
      <c r="O331" s="14">
        <f t="shared" si="39"/>
        <v>0</v>
      </c>
      <c r="P331" s="54">
        <v>1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</row>
    <row r="332" spans="1:154" ht="18.75" hidden="1" outlineLevel="1">
      <c r="A332" s="281"/>
      <c r="B332" s="269" t="s">
        <v>984</v>
      </c>
      <c r="C332" s="276"/>
      <c r="D332" s="276"/>
      <c r="E332" s="276"/>
      <c r="F332" s="276"/>
      <c r="G332" s="276"/>
      <c r="H332" s="276"/>
      <c r="I332" s="276"/>
      <c r="J332" s="276"/>
      <c r="K332" s="276"/>
      <c r="L332" s="276"/>
      <c r="M332" s="228"/>
      <c r="O332" s="14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</row>
    <row r="333" spans="1:154" ht="56.25" hidden="1" outlineLevel="1">
      <c r="A333" s="281"/>
      <c r="B333" s="243" t="s">
        <v>1077</v>
      </c>
      <c r="C333" s="276"/>
      <c r="D333" s="276"/>
      <c r="E333" s="276"/>
      <c r="F333" s="247">
        <f t="shared" ref="F333:F411" si="40">+G333+J333</f>
        <v>0</v>
      </c>
      <c r="G333" s="276"/>
      <c r="H333" s="276"/>
      <c r="I333" s="276"/>
      <c r="J333" s="276"/>
      <c r="K333" s="276"/>
      <c r="L333" s="276"/>
      <c r="M333" s="228">
        <f t="shared" ref="M333:M362" si="41">+C333+F333</f>
        <v>0</v>
      </c>
      <c r="O333" s="14">
        <f t="shared" si="39"/>
        <v>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</row>
    <row r="334" spans="1:154" ht="37.5" hidden="1" outlineLevel="1">
      <c r="A334" s="417"/>
      <c r="B334" s="272" t="s">
        <v>744</v>
      </c>
      <c r="C334" s="247"/>
      <c r="D334" s="247"/>
      <c r="E334" s="247"/>
      <c r="F334" s="247">
        <f t="shared" si="40"/>
        <v>0</v>
      </c>
      <c r="G334" s="247"/>
      <c r="H334" s="247"/>
      <c r="I334" s="247"/>
      <c r="J334" s="247"/>
      <c r="K334" s="247"/>
      <c r="L334" s="247"/>
      <c r="M334" s="251">
        <f t="shared" si="41"/>
        <v>0</v>
      </c>
      <c r="O334" s="14">
        <f t="shared" si="39"/>
        <v>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</row>
    <row r="335" spans="1:154" s="105" customFormat="1" ht="30.6" customHeight="1" outlineLevel="1">
      <c r="A335" s="549"/>
      <c r="B335" s="647" t="s">
        <v>1069</v>
      </c>
      <c r="C335" s="648">
        <f>+C19+C29+C30+C39+C70+C111+C170+C182+C201+C207+C226+C245+C254+C267+C290+C298+C307+C316</f>
        <v>2187047784</v>
      </c>
      <c r="D335" s="648">
        <f>+D19+D29+D30+D39+D70+D111+D170+D182+D201+D207+D226+D245+D254+D267+D290+D298+D307+D316</f>
        <v>926417538</v>
      </c>
      <c r="E335" s="648">
        <f>+E19+E29+E30+E39+E70+E111+E170+E182+E201+E207+E226+E245+E254+E267+E290+E298+E307+E316</f>
        <v>133780100</v>
      </c>
      <c r="F335" s="648">
        <f t="shared" si="40"/>
        <v>160250800</v>
      </c>
      <c r="G335" s="648">
        <f t="shared" ref="G335:L335" si="42">+G19+G29+G30+G39+G70+G111+G170+G182+G201+G207+G226+G245+G254+G267+G290+G298+G307+G316</f>
        <v>66136900</v>
      </c>
      <c r="H335" s="648">
        <f t="shared" si="42"/>
        <v>6773700</v>
      </c>
      <c r="I335" s="648">
        <f t="shared" si="42"/>
        <v>2925800</v>
      </c>
      <c r="J335" s="648">
        <f t="shared" si="42"/>
        <v>94113900</v>
      </c>
      <c r="K335" s="648">
        <f t="shared" si="42"/>
        <v>59372400</v>
      </c>
      <c r="L335" s="648">
        <f t="shared" si="42"/>
        <v>52372400</v>
      </c>
      <c r="M335" s="648">
        <f t="shared" si="41"/>
        <v>2347298584</v>
      </c>
      <c r="N335" s="303"/>
      <c r="O335" s="104">
        <f t="shared" si="39"/>
        <v>2347298584</v>
      </c>
      <c r="P335" s="96"/>
      <c r="Q335" s="96"/>
      <c r="R335" s="16"/>
    </row>
    <row r="336" spans="1:154" ht="27" customHeight="1" outlineLevel="1">
      <c r="A336" s="437"/>
      <c r="B336" s="647" t="s">
        <v>689</v>
      </c>
      <c r="C336" s="682">
        <f>+C337+C342+C339+C340+C341+C345+C343+C344+C338</f>
        <v>72834500</v>
      </c>
      <c r="D336" s="682">
        <f t="shared" ref="D336:L336" si="43">+D337+D342+D339+D340+D341+D345+D343+D344+D338</f>
        <v>0</v>
      </c>
      <c r="E336" s="682">
        <f t="shared" si="43"/>
        <v>0</v>
      </c>
      <c r="F336" s="682">
        <f t="shared" si="43"/>
        <v>0</v>
      </c>
      <c r="G336" s="682">
        <f t="shared" si="43"/>
        <v>0</v>
      </c>
      <c r="H336" s="682">
        <f t="shared" si="43"/>
        <v>0</v>
      </c>
      <c r="I336" s="682">
        <f t="shared" si="43"/>
        <v>0</v>
      </c>
      <c r="J336" s="682">
        <f t="shared" si="43"/>
        <v>0</v>
      </c>
      <c r="K336" s="682">
        <f t="shared" si="43"/>
        <v>0</v>
      </c>
      <c r="L336" s="682">
        <f t="shared" si="43"/>
        <v>0</v>
      </c>
      <c r="M336" s="648">
        <f t="shared" si="41"/>
        <v>72834500</v>
      </c>
      <c r="O336" s="14">
        <f t="shared" si="39"/>
        <v>72834500</v>
      </c>
      <c r="P336" s="83">
        <v>1</v>
      </c>
      <c r="Q336" s="9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</row>
    <row r="337" spans="1:154" s="1" customFormat="1" ht="56.25" outlineLevel="1">
      <c r="A337" s="437">
        <v>250313</v>
      </c>
      <c r="B337" s="260" t="s">
        <v>1240</v>
      </c>
      <c r="C337" s="653">
        <v>62278100</v>
      </c>
      <c r="D337" s="653"/>
      <c r="E337" s="653"/>
      <c r="F337" s="653">
        <f t="shared" si="40"/>
        <v>0</v>
      </c>
      <c r="G337" s="653"/>
      <c r="H337" s="653"/>
      <c r="I337" s="653"/>
      <c r="J337" s="653"/>
      <c r="K337" s="653"/>
      <c r="L337" s="653"/>
      <c r="M337" s="648">
        <f t="shared" si="41"/>
        <v>62278100</v>
      </c>
      <c r="N337"/>
      <c r="O337" s="14">
        <f t="shared" si="39"/>
        <v>62278100</v>
      </c>
      <c r="P337" s="450"/>
      <c r="Q337" s="36"/>
      <c r="R337" s="36"/>
    </row>
    <row r="338" spans="1:154" s="1" customFormat="1" ht="93.75" outlineLevel="1">
      <c r="A338" s="437"/>
      <c r="B338" s="1352" t="s">
        <v>960</v>
      </c>
      <c r="C338" s="653">
        <v>10556400</v>
      </c>
      <c r="D338" s="653"/>
      <c r="E338" s="653"/>
      <c r="F338" s="653"/>
      <c r="G338" s="653"/>
      <c r="H338" s="653"/>
      <c r="I338" s="653"/>
      <c r="J338" s="653"/>
      <c r="K338" s="653"/>
      <c r="L338" s="653"/>
      <c r="M338" s="648">
        <f t="shared" si="41"/>
        <v>10556400</v>
      </c>
      <c r="N338"/>
      <c r="O338" s="14">
        <f t="shared" si="39"/>
        <v>10556400</v>
      </c>
      <c r="P338" s="450"/>
      <c r="Q338" s="36"/>
      <c r="R338" s="36"/>
    </row>
    <row r="339" spans="1:154" s="1" customFormat="1" ht="168.75" hidden="1" outlineLevel="1">
      <c r="A339" s="237">
        <v>250312</v>
      </c>
      <c r="B339" s="509" t="s">
        <v>704</v>
      </c>
      <c r="C339" s="465"/>
      <c r="D339" s="465"/>
      <c r="E339" s="465"/>
      <c r="F339" s="465">
        <f>+G339+J339</f>
        <v>0</v>
      </c>
      <c r="G339" s="474"/>
      <c r="H339" s="465"/>
      <c r="I339" s="465"/>
      <c r="J339" s="474"/>
      <c r="K339" s="465"/>
      <c r="L339" s="474"/>
      <c r="M339" s="457">
        <f>+C339+F339</f>
        <v>0</v>
      </c>
      <c r="N339"/>
      <c r="O339" s="14">
        <f>+M339</f>
        <v>0</v>
      </c>
      <c r="P339" s="450"/>
      <c r="Q339" s="36"/>
      <c r="R339" s="36"/>
    </row>
    <row r="340" spans="1:154" s="1" customFormat="1" ht="75" hidden="1" outlineLevel="1">
      <c r="A340" s="237">
        <v>250314</v>
      </c>
      <c r="B340" s="510" t="s">
        <v>380</v>
      </c>
      <c r="C340" s="465"/>
      <c r="D340" s="465"/>
      <c r="E340" s="465"/>
      <c r="F340" s="465">
        <f>+G340+J340</f>
        <v>0</v>
      </c>
      <c r="G340" s="474"/>
      <c r="H340" s="465"/>
      <c r="I340" s="465"/>
      <c r="J340" s="474"/>
      <c r="K340" s="465"/>
      <c r="L340" s="474"/>
      <c r="M340" s="457">
        <f>+C340+F340</f>
        <v>0</v>
      </c>
      <c r="N340"/>
      <c r="O340" s="14">
        <f>+M340</f>
        <v>0</v>
      </c>
      <c r="P340" s="450"/>
      <c r="Q340" s="36"/>
      <c r="R340" s="36"/>
    </row>
    <row r="341" spans="1:154" s="1" customFormat="1" ht="93.75" hidden="1" outlineLevel="1">
      <c r="A341" s="237">
        <v>250318</v>
      </c>
      <c r="B341" s="511" t="s">
        <v>861</v>
      </c>
      <c r="C341" s="465"/>
      <c r="D341" s="465"/>
      <c r="E341" s="465"/>
      <c r="F341" s="465">
        <f>+G341+J341</f>
        <v>0</v>
      </c>
      <c r="G341" s="474"/>
      <c r="H341" s="465"/>
      <c r="I341" s="465"/>
      <c r="J341" s="474"/>
      <c r="K341" s="465"/>
      <c r="L341" s="474"/>
      <c r="M341" s="457">
        <f>+C341+F341</f>
        <v>0</v>
      </c>
      <c r="N341"/>
      <c r="O341" s="14">
        <f>+M341</f>
        <v>0</v>
      </c>
      <c r="P341" s="450"/>
      <c r="Q341" s="36"/>
      <c r="R341" s="36"/>
    </row>
    <row r="342" spans="1:154" s="1" customFormat="1" ht="33" hidden="1" customHeight="1" outlineLevel="1">
      <c r="A342" s="679">
        <v>250315</v>
      </c>
      <c r="B342" s="260" t="s">
        <v>974</v>
      </c>
      <c r="C342" s="563"/>
      <c r="D342" s="563"/>
      <c r="E342" s="563"/>
      <c r="F342" s="563">
        <f t="shared" si="40"/>
        <v>0</v>
      </c>
      <c r="G342" s="563"/>
      <c r="H342" s="563"/>
      <c r="I342" s="563"/>
      <c r="J342" s="563"/>
      <c r="K342" s="563"/>
      <c r="L342" s="563"/>
      <c r="M342" s="648">
        <f t="shared" si="41"/>
        <v>0</v>
      </c>
      <c r="N342"/>
      <c r="O342" s="14">
        <f t="shared" si="39"/>
        <v>0</v>
      </c>
      <c r="P342" s="84">
        <v>1</v>
      </c>
      <c r="Q342" s="36"/>
      <c r="R342" s="36"/>
    </row>
    <row r="343" spans="1:154" s="1" customFormat="1" ht="37.5" hidden="1" outlineLevel="1">
      <c r="A343" s="235">
        <v>250319</v>
      </c>
      <c r="B343" s="295" t="s">
        <v>493</v>
      </c>
      <c r="C343" s="466"/>
      <c r="D343" s="466"/>
      <c r="E343" s="466"/>
      <c r="F343" s="466"/>
      <c r="G343" s="466"/>
      <c r="H343" s="466"/>
      <c r="I343" s="466"/>
      <c r="J343" s="466"/>
      <c r="K343" s="466"/>
      <c r="L343" s="466"/>
      <c r="M343" s="228">
        <f t="shared" si="41"/>
        <v>0</v>
      </c>
      <c r="N343"/>
      <c r="O343" s="14">
        <f t="shared" si="39"/>
        <v>0</v>
      </c>
      <c r="P343" s="84"/>
      <c r="Q343" s="36"/>
      <c r="R343" s="36"/>
    </row>
    <row r="344" spans="1:154" s="1" customFormat="1" ht="93.75" hidden="1" outlineLevel="1">
      <c r="A344" s="235">
        <v>250325</v>
      </c>
      <c r="B344" s="295" t="s">
        <v>625</v>
      </c>
      <c r="C344" s="466"/>
      <c r="D344" s="466"/>
      <c r="E344" s="466"/>
      <c r="F344" s="466"/>
      <c r="G344" s="466"/>
      <c r="H344" s="466"/>
      <c r="I344" s="466"/>
      <c r="J344" s="466"/>
      <c r="K344" s="466"/>
      <c r="L344" s="466"/>
      <c r="M344" s="228">
        <f t="shared" si="41"/>
        <v>0</v>
      </c>
      <c r="N344"/>
      <c r="O344" s="14">
        <f t="shared" si="39"/>
        <v>0</v>
      </c>
      <c r="P344" s="84"/>
      <c r="Q344" s="36"/>
      <c r="R344" s="36"/>
    </row>
    <row r="345" spans="1:154" s="1" customFormat="1" ht="56.25" hidden="1" outlineLevel="1">
      <c r="A345" s="237">
        <v>250331</v>
      </c>
      <c r="B345" s="295" t="s">
        <v>492</v>
      </c>
      <c r="C345" s="465"/>
      <c r="D345" s="247"/>
      <c r="E345" s="247"/>
      <c r="F345" s="247">
        <f t="shared" si="40"/>
        <v>0</v>
      </c>
      <c r="G345" s="247"/>
      <c r="H345" s="247"/>
      <c r="I345" s="247"/>
      <c r="J345" s="247"/>
      <c r="K345" s="247"/>
      <c r="L345" s="247"/>
      <c r="M345" s="228">
        <f t="shared" si="41"/>
        <v>0</v>
      </c>
      <c r="N345"/>
      <c r="O345" s="14">
        <f t="shared" si="39"/>
        <v>0</v>
      </c>
      <c r="P345" s="84">
        <v>1</v>
      </c>
      <c r="Q345" s="36"/>
      <c r="R345" s="36"/>
    </row>
    <row r="346" spans="1:154" s="131" customFormat="1" ht="18.75" hidden="1">
      <c r="A346" s="245"/>
      <c r="B346" s="241"/>
      <c r="C346" s="231"/>
      <c r="D346" s="231"/>
      <c r="E346" s="231"/>
      <c r="F346" s="231">
        <f t="shared" si="40"/>
        <v>0</v>
      </c>
      <c r="G346" s="231"/>
      <c r="H346" s="231"/>
      <c r="I346" s="231"/>
      <c r="J346" s="231"/>
      <c r="K346" s="231"/>
      <c r="L346" s="231"/>
      <c r="M346" s="228">
        <f t="shared" si="41"/>
        <v>0</v>
      </c>
      <c r="N346" s="128">
        <f>+M346</f>
        <v>0</v>
      </c>
      <c r="O346" s="14">
        <f t="shared" si="39"/>
        <v>0</v>
      </c>
      <c r="P346" s="129">
        <v>1</v>
      </c>
      <c r="Q346" s="129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  <c r="AS346" s="130"/>
      <c r="AT346" s="130"/>
      <c r="AU346" s="130"/>
      <c r="AV346" s="130"/>
      <c r="AW346" s="130"/>
      <c r="AX346" s="130"/>
      <c r="AY346" s="130"/>
      <c r="AZ346" s="130"/>
      <c r="BA346" s="130"/>
      <c r="BB346" s="130"/>
      <c r="BC346" s="130"/>
      <c r="BD346" s="130"/>
      <c r="BE346" s="130"/>
      <c r="BF346" s="130"/>
      <c r="BG346" s="130"/>
      <c r="BH346" s="130"/>
      <c r="BI346" s="130"/>
      <c r="BJ346" s="130"/>
      <c r="BK346" s="130"/>
      <c r="BL346" s="130"/>
      <c r="BM346" s="130"/>
      <c r="BN346" s="130"/>
      <c r="BO346" s="130"/>
      <c r="BP346" s="130"/>
      <c r="BQ346" s="130"/>
      <c r="BR346" s="130"/>
      <c r="BS346" s="130"/>
      <c r="BT346" s="130"/>
      <c r="BU346" s="130"/>
      <c r="BV346" s="130"/>
      <c r="BW346" s="130"/>
      <c r="BX346" s="130"/>
      <c r="BY346" s="130"/>
      <c r="BZ346" s="130"/>
      <c r="CA346" s="130"/>
      <c r="CB346" s="130"/>
      <c r="CC346" s="130"/>
      <c r="CD346" s="130"/>
      <c r="CE346" s="130"/>
      <c r="CF346" s="130"/>
      <c r="CG346" s="130"/>
      <c r="CH346" s="130"/>
      <c r="CI346" s="130"/>
      <c r="CJ346" s="130"/>
      <c r="CK346" s="130"/>
      <c r="CL346" s="130"/>
      <c r="CM346" s="130"/>
      <c r="CN346" s="130"/>
      <c r="CO346" s="130"/>
      <c r="CP346" s="130"/>
      <c r="CQ346" s="130"/>
      <c r="CR346" s="130"/>
      <c r="CS346" s="130"/>
      <c r="CT346" s="130"/>
      <c r="CU346" s="130"/>
      <c r="CV346" s="130"/>
      <c r="CW346" s="130"/>
      <c r="CX346" s="130"/>
      <c r="CY346" s="130"/>
      <c r="CZ346" s="130"/>
      <c r="DA346" s="130"/>
      <c r="DB346" s="130"/>
      <c r="DC346" s="130"/>
      <c r="DD346" s="130"/>
      <c r="DE346" s="130"/>
      <c r="DF346" s="130"/>
      <c r="DG346" s="130"/>
      <c r="DH346" s="130"/>
      <c r="DI346" s="130"/>
      <c r="DJ346" s="130"/>
      <c r="DK346" s="130"/>
      <c r="DL346" s="130"/>
      <c r="DM346" s="130"/>
      <c r="DN346" s="130"/>
      <c r="DO346" s="130"/>
      <c r="DP346" s="130"/>
      <c r="DQ346" s="130"/>
      <c r="DR346" s="130"/>
      <c r="DS346" s="130"/>
      <c r="DT346" s="130"/>
      <c r="DU346" s="130"/>
      <c r="DV346" s="130"/>
      <c r="DW346" s="130"/>
      <c r="DX346" s="130"/>
      <c r="DY346" s="130"/>
      <c r="DZ346" s="130"/>
      <c r="EA346" s="130"/>
      <c r="EB346" s="130"/>
      <c r="EC346" s="130"/>
      <c r="ED346" s="130"/>
      <c r="EE346" s="130"/>
      <c r="EF346" s="130"/>
      <c r="EG346" s="130"/>
      <c r="EH346" s="130"/>
      <c r="EI346" s="130"/>
      <c r="EJ346" s="130"/>
      <c r="EK346" s="130"/>
      <c r="EL346" s="130"/>
      <c r="EM346" s="130"/>
      <c r="EN346" s="130"/>
      <c r="EO346" s="130"/>
      <c r="EP346" s="130"/>
      <c r="EQ346" s="130"/>
      <c r="ER346" s="130"/>
      <c r="ES346" s="130"/>
      <c r="ET346" s="130"/>
      <c r="EU346" s="130"/>
      <c r="EV346" s="130"/>
      <c r="EW346" s="130"/>
      <c r="EX346" s="130"/>
    </row>
    <row r="347" spans="1:154" s="35" customFormat="1" ht="18.75" hidden="1">
      <c r="A347" s="392">
        <v>250315</v>
      </c>
      <c r="B347" s="236" t="s">
        <v>1513</v>
      </c>
      <c r="C347" s="248"/>
      <c r="D347" s="248">
        <f>+D348</f>
        <v>0</v>
      </c>
      <c r="E347" s="248">
        <f>+E348</f>
        <v>0</v>
      </c>
      <c r="F347" s="238">
        <f t="shared" si="40"/>
        <v>0</v>
      </c>
      <c r="G347" s="238"/>
      <c r="H347" s="238"/>
      <c r="I347" s="238"/>
      <c r="J347" s="238"/>
      <c r="K347" s="238"/>
      <c r="L347" s="238"/>
      <c r="M347" s="228">
        <f t="shared" si="41"/>
        <v>0</v>
      </c>
      <c r="N347" s="3">
        <f>+M347</f>
        <v>0</v>
      </c>
      <c r="O347" s="14">
        <f t="shared" si="39"/>
        <v>0</v>
      </c>
      <c r="P347" s="10"/>
      <c r="Q347" s="10"/>
      <c r="R347" s="10"/>
      <c r="S347" s="10"/>
      <c r="T347" s="10"/>
      <c r="U347" s="10"/>
      <c r="V347" s="10"/>
      <c r="W347" s="10"/>
    </row>
    <row r="348" spans="1:154" s="303" customFormat="1" ht="24.6" customHeight="1">
      <c r="A348" s="549"/>
      <c r="B348" s="647" t="s">
        <v>1263</v>
      </c>
      <c r="C348" s="683">
        <f>+C350+C351+C352+C353+C354+C355+C356+C357+C358+C361+C365+C362+C413+C416+C417+C418+C419+C420+C431+C432+C433+C434+C436+C437+C438+C439+C443+C444+C455+C456+C457+C460+C461+C462+C463+C465+C468+C470+C440+C441+C442+C428+C430+C435</f>
        <v>3939442100</v>
      </c>
      <c r="D348" s="683">
        <f t="shared" ref="D348:L348" si="44">+D350+D351+D352+D353+D354+D355+D356+D357+D358+D361+D365+D362+D413+D416+D417+D418+D419+D420+D431+D432+D433+D434+D436+D437+D438+D439+D443+D444+D455+D456+D457+D460+D461+D462+D463+D465+D468+D470+D440+D441+D442+D428+D430+D435</f>
        <v>0</v>
      </c>
      <c r="E348" s="683">
        <f t="shared" si="44"/>
        <v>0</v>
      </c>
      <c r="F348" s="683">
        <f t="shared" si="44"/>
        <v>53447500</v>
      </c>
      <c r="G348" s="683">
        <f t="shared" si="44"/>
        <v>16799200</v>
      </c>
      <c r="H348" s="683">
        <f t="shared" si="44"/>
        <v>0</v>
      </c>
      <c r="I348" s="683">
        <f t="shared" si="44"/>
        <v>0</v>
      </c>
      <c r="J348" s="683">
        <f t="shared" si="44"/>
        <v>36648300</v>
      </c>
      <c r="K348" s="683">
        <f t="shared" si="44"/>
        <v>950000</v>
      </c>
      <c r="L348" s="683">
        <f t="shared" si="44"/>
        <v>950000</v>
      </c>
      <c r="M348" s="648">
        <f t="shared" si="41"/>
        <v>3992889600</v>
      </c>
      <c r="N348" s="3">
        <f>+M348</f>
        <v>3992889600</v>
      </c>
      <c r="O348" s="104">
        <f t="shared" si="39"/>
        <v>3992889600</v>
      </c>
      <c r="P348" s="300"/>
      <c r="Q348" s="300"/>
      <c r="R348" s="300"/>
      <c r="S348" s="300"/>
      <c r="T348" s="300"/>
      <c r="U348" s="300"/>
      <c r="V348" s="300"/>
      <c r="W348" s="300"/>
    </row>
    <row r="349" spans="1:154" customFormat="1" ht="18.75" hidden="1">
      <c r="A349" s="418"/>
      <c r="B349" s="419" t="s">
        <v>1070</v>
      </c>
      <c r="C349" s="254"/>
      <c r="D349" s="254"/>
      <c r="E349" s="254"/>
      <c r="F349" s="254">
        <f t="shared" si="40"/>
        <v>0</v>
      </c>
      <c r="G349" s="254"/>
      <c r="H349" s="254"/>
      <c r="I349" s="254"/>
      <c r="J349" s="254"/>
      <c r="K349" s="254"/>
      <c r="L349" s="254"/>
      <c r="M349" s="251">
        <f t="shared" si="41"/>
        <v>0</v>
      </c>
      <c r="N349" s="3">
        <f>+M349</f>
        <v>0</v>
      </c>
      <c r="O349" s="14">
        <f t="shared" si="39"/>
        <v>0</v>
      </c>
    </row>
    <row r="350" spans="1:154" s="35" customFormat="1" ht="66.599999999999994" customHeight="1">
      <c r="A350" s="640">
        <v>250323</v>
      </c>
      <c r="B350" s="292" t="s">
        <v>37</v>
      </c>
      <c r="C350" s="563">
        <v>3448000</v>
      </c>
      <c r="D350" s="563"/>
      <c r="E350" s="563"/>
      <c r="F350" s="563">
        <f t="shared" si="40"/>
        <v>0</v>
      </c>
      <c r="G350" s="652"/>
      <c r="H350" s="652"/>
      <c r="I350" s="652"/>
      <c r="J350" s="652"/>
      <c r="K350" s="563"/>
      <c r="L350" s="652"/>
      <c r="M350" s="648">
        <f t="shared" si="41"/>
        <v>3448000</v>
      </c>
      <c r="N350" s="3"/>
      <c r="O350" s="14">
        <f t="shared" si="39"/>
        <v>3448000</v>
      </c>
    </row>
    <row r="351" spans="1:154" s="35" customFormat="1" ht="76.150000000000006" customHeight="1">
      <c r="A351" s="640">
        <v>250326</v>
      </c>
      <c r="B351" s="351" t="s">
        <v>41</v>
      </c>
      <c r="C351" s="563">
        <v>3278419700</v>
      </c>
      <c r="D351" s="563"/>
      <c r="E351" s="563"/>
      <c r="F351" s="563">
        <f t="shared" si="40"/>
        <v>0</v>
      </c>
      <c r="G351" s="563"/>
      <c r="H351" s="563"/>
      <c r="I351" s="563"/>
      <c r="J351" s="563"/>
      <c r="K351" s="563"/>
      <c r="L351" s="563"/>
      <c r="M351" s="648">
        <f t="shared" si="41"/>
        <v>3278419700</v>
      </c>
      <c r="N351" s="3"/>
      <c r="O351" s="14">
        <f t="shared" si="39"/>
        <v>3278419700</v>
      </c>
    </row>
    <row r="352" spans="1:154" customFormat="1" ht="133.9" customHeight="1">
      <c r="A352" s="640">
        <v>250328</v>
      </c>
      <c r="B352" s="351" t="s">
        <v>655</v>
      </c>
      <c r="C352" s="652">
        <v>411977400</v>
      </c>
      <c r="D352" s="652"/>
      <c r="E352" s="652"/>
      <c r="F352" s="652">
        <f t="shared" si="40"/>
        <v>0</v>
      </c>
      <c r="G352" s="563"/>
      <c r="H352" s="563"/>
      <c r="I352" s="563"/>
      <c r="J352" s="563"/>
      <c r="K352" s="652"/>
      <c r="L352" s="563"/>
      <c r="M352" s="648">
        <f t="shared" si="41"/>
        <v>411977400</v>
      </c>
      <c r="N352" s="3"/>
      <c r="O352" s="14">
        <f t="shared" si="39"/>
        <v>411977400</v>
      </c>
      <c r="P352" s="10"/>
      <c r="Q352" s="10"/>
      <c r="R352" s="10"/>
      <c r="S352" s="10"/>
      <c r="T352" s="10"/>
      <c r="U352" s="10"/>
      <c r="V352" s="10"/>
      <c r="W352" s="10"/>
    </row>
    <row r="353" spans="1:154" ht="292.89999999999998" customHeight="1">
      <c r="A353" s="640">
        <v>250329</v>
      </c>
      <c r="B353" s="352" t="s">
        <v>45</v>
      </c>
      <c r="C353" s="651">
        <f>87807200-20215700</f>
        <v>67591500</v>
      </c>
      <c r="D353" s="651"/>
      <c r="E353" s="651"/>
      <c r="F353" s="651">
        <f t="shared" si="40"/>
        <v>0</v>
      </c>
      <c r="G353" s="652"/>
      <c r="H353" s="652"/>
      <c r="I353" s="652"/>
      <c r="J353" s="652"/>
      <c r="K353" s="651"/>
      <c r="L353" s="652"/>
      <c r="M353" s="648">
        <f t="shared" si="41"/>
        <v>67591500</v>
      </c>
      <c r="N353" s="3">
        <f>+M353</f>
        <v>67591500</v>
      </c>
      <c r="O353" s="14">
        <f t="shared" si="39"/>
        <v>67591500</v>
      </c>
      <c r="P353" s="54">
        <v>1</v>
      </c>
    </row>
    <row r="354" spans="1:154" ht="79.900000000000006" customHeight="1">
      <c r="A354" s="640">
        <v>250330</v>
      </c>
      <c r="B354" s="351" t="s">
        <v>1169</v>
      </c>
      <c r="C354" s="563">
        <v>23232400</v>
      </c>
      <c r="D354" s="563"/>
      <c r="E354" s="563"/>
      <c r="F354" s="563">
        <f t="shared" si="40"/>
        <v>0</v>
      </c>
      <c r="G354" s="651"/>
      <c r="H354" s="651"/>
      <c r="I354" s="651"/>
      <c r="J354" s="651"/>
      <c r="K354" s="563"/>
      <c r="L354" s="651"/>
      <c r="M354" s="648">
        <f t="shared" si="41"/>
        <v>23232400</v>
      </c>
      <c r="N354">
        <v>1</v>
      </c>
      <c r="O354" s="14">
        <f t="shared" si="39"/>
        <v>23232400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</row>
    <row r="355" spans="1:154" ht="154.9" hidden="1" customHeight="1">
      <c r="A355" s="280">
        <v>250335</v>
      </c>
      <c r="B355" s="282" t="s">
        <v>968</v>
      </c>
      <c r="C355" s="458"/>
      <c r="D355" s="458"/>
      <c r="E355" s="458"/>
      <c r="F355" s="458">
        <f t="shared" si="40"/>
        <v>0</v>
      </c>
      <c r="G355" s="466"/>
      <c r="H355" s="466"/>
      <c r="I355" s="466"/>
      <c r="J355" s="466"/>
      <c r="K355" s="458"/>
      <c r="L355" s="466"/>
      <c r="M355" s="457">
        <f t="shared" si="41"/>
        <v>0</v>
      </c>
      <c r="O355" s="14">
        <f t="shared" si="39"/>
        <v>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</row>
    <row r="356" spans="1:154" ht="150" hidden="1">
      <c r="A356" s="280">
        <v>250339</v>
      </c>
      <c r="B356" s="283" t="s">
        <v>307</v>
      </c>
      <c r="C356" s="231"/>
      <c r="D356" s="231"/>
      <c r="E356" s="231"/>
      <c r="F356" s="231">
        <f t="shared" si="40"/>
        <v>0</v>
      </c>
      <c r="G356" s="234"/>
      <c r="H356" s="231"/>
      <c r="I356" s="231"/>
      <c r="J356" s="231"/>
      <c r="K356" s="231"/>
      <c r="L356" s="231"/>
      <c r="M356" s="228">
        <f t="shared" si="41"/>
        <v>0</v>
      </c>
      <c r="N356">
        <f>+M356</f>
        <v>0</v>
      </c>
      <c r="O356" s="14">
        <f t="shared" si="39"/>
        <v>0</v>
      </c>
      <c r="P356" s="54">
        <v>1</v>
      </c>
    </row>
    <row r="357" spans="1:154" ht="93.75" hidden="1">
      <c r="A357" s="286">
        <v>250333</v>
      </c>
      <c r="B357" s="420" t="s">
        <v>1396</v>
      </c>
      <c r="C357" s="275"/>
      <c r="D357" s="275"/>
      <c r="E357" s="275"/>
      <c r="F357" s="232">
        <f t="shared" si="40"/>
        <v>0</v>
      </c>
      <c r="G357" s="231"/>
      <c r="H357" s="231"/>
      <c r="I357" s="231"/>
      <c r="J357" s="231"/>
      <c r="K357" s="275"/>
      <c r="L357" s="231"/>
      <c r="M357" s="228">
        <f t="shared" si="41"/>
        <v>0</v>
      </c>
      <c r="O357" s="14">
        <f t="shared" si="39"/>
        <v>0</v>
      </c>
      <c r="P357" s="54">
        <v>1</v>
      </c>
    </row>
    <row r="358" spans="1:154" ht="37.5" hidden="1">
      <c r="A358" s="286">
        <v>250337</v>
      </c>
      <c r="B358" s="421" t="s">
        <v>522</v>
      </c>
      <c r="C358" s="284"/>
      <c r="D358" s="284"/>
      <c r="E358" s="284"/>
      <c r="F358" s="285">
        <f t="shared" si="40"/>
        <v>0</v>
      </c>
      <c r="G358" s="275"/>
      <c r="H358" s="275"/>
      <c r="I358" s="275"/>
      <c r="J358" s="275"/>
      <c r="K358" s="284"/>
      <c r="L358" s="275"/>
      <c r="M358" s="228">
        <f t="shared" si="41"/>
        <v>0</v>
      </c>
      <c r="O358" s="14">
        <f t="shared" si="39"/>
        <v>0</v>
      </c>
    </row>
    <row r="359" spans="1:154" ht="18.75" hidden="1">
      <c r="A359" s="286"/>
      <c r="B359" s="422"/>
      <c r="C359" s="284"/>
      <c r="D359" s="284"/>
      <c r="E359" s="284"/>
      <c r="F359" s="285">
        <f t="shared" si="40"/>
        <v>0</v>
      </c>
      <c r="G359" s="231"/>
      <c r="H359" s="284"/>
      <c r="I359" s="284"/>
      <c r="J359" s="284"/>
      <c r="K359" s="284"/>
      <c r="L359" s="284"/>
      <c r="M359" s="228">
        <f t="shared" si="41"/>
        <v>0</v>
      </c>
      <c r="O359" s="14">
        <f t="shared" si="39"/>
        <v>0</v>
      </c>
    </row>
    <row r="360" spans="1:154" ht="18.75" hidden="1">
      <c r="A360" s="286"/>
      <c r="B360" s="422"/>
      <c r="C360" s="231"/>
      <c r="D360" s="231"/>
      <c r="E360" s="231"/>
      <c r="F360" s="232">
        <f t="shared" si="40"/>
        <v>0</v>
      </c>
      <c r="G360" s="231"/>
      <c r="H360" s="284"/>
      <c r="I360" s="284"/>
      <c r="J360" s="284"/>
      <c r="K360" s="231"/>
      <c r="L360" s="284"/>
      <c r="M360" s="228">
        <f t="shared" si="41"/>
        <v>0</v>
      </c>
      <c r="N360">
        <f>+M360</f>
        <v>0</v>
      </c>
      <c r="O360" s="14">
        <f t="shared" si="39"/>
        <v>0</v>
      </c>
      <c r="P360" s="54">
        <v>1</v>
      </c>
    </row>
    <row r="361" spans="1:154" s="1" customFormat="1" ht="56.25" hidden="1">
      <c r="A361" s="286">
        <v>250348</v>
      </c>
      <c r="B361" s="293" t="s">
        <v>576</v>
      </c>
      <c r="C361" s="231"/>
      <c r="D361" s="231"/>
      <c r="E361" s="231"/>
      <c r="F361" s="232">
        <f t="shared" si="40"/>
        <v>0</v>
      </c>
      <c r="G361" s="234"/>
      <c r="H361" s="231"/>
      <c r="I361" s="231"/>
      <c r="J361" s="234"/>
      <c r="K361" s="231"/>
      <c r="L361" s="234"/>
      <c r="M361" s="228">
        <f t="shared" si="41"/>
        <v>0</v>
      </c>
      <c r="N361"/>
      <c r="O361" s="14">
        <f t="shared" si="39"/>
        <v>0</v>
      </c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</row>
    <row r="362" spans="1:154" s="1" customFormat="1" ht="37.5" hidden="1">
      <c r="A362" s="280">
        <v>250324</v>
      </c>
      <c r="B362" s="287" t="s">
        <v>656</v>
      </c>
      <c r="C362" s="480"/>
      <c r="D362" s="480"/>
      <c r="E362" s="480"/>
      <c r="F362" s="473">
        <f t="shared" si="40"/>
        <v>0</v>
      </c>
      <c r="G362" s="458"/>
      <c r="H362" s="458"/>
      <c r="I362" s="458"/>
      <c r="J362" s="458"/>
      <c r="K362" s="465">
        <f>+J362</f>
        <v>0</v>
      </c>
      <c r="L362" s="458"/>
      <c r="M362" s="457">
        <f t="shared" si="41"/>
        <v>0</v>
      </c>
      <c r="N362"/>
      <c r="O362" s="14">
        <f t="shared" si="39"/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</row>
    <row r="363" spans="1:154" s="1" customFormat="1" ht="18.75" hidden="1">
      <c r="A363" s="286"/>
      <c r="B363" s="287" t="s">
        <v>52</v>
      </c>
      <c r="C363" s="277"/>
      <c r="D363" s="277"/>
      <c r="E363" s="277"/>
      <c r="F363" s="350"/>
      <c r="G363" s="231"/>
      <c r="H363" s="231"/>
      <c r="I363" s="231"/>
      <c r="J363" s="231"/>
      <c r="K363" s="276"/>
      <c r="L363" s="231"/>
      <c r="M363" s="228"/>
      <c r="N363"/>
      <c r="O363" s="14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</row>
    <row r="364" spans="1:154" s="1" customFormat="1" ht="37.5" hidden="1">
      <c r="A364" s="280"/>
      <c r="B364" s="438" t="s">
        <v>1021</v>
      </c>
      <c r="C364" s="277"/>
      <c r="D364" s="277"/>
      <c r="E364" s="277"/>
      <c r="F364" s="250">
        <f t="shared" si="40"/>
        <v>0</v>
      </c>
      <c r="G364" s="277"/>
      <c r="H364" s="277"/>
      <c r="I364" s="277"/>
      <c r="J364" s="277"/>
      <c r="K364" s="277">
        <f>+J364</f>
        <v>0</v>
      </c>
      <c r="L364" s="277"/>
      <c r="M364" s="251">
        <f t="shared" ref="M364:M405" si="45">+C364+F364</f>
        <v>0</v>
      </c>
      <c r="N364"/>
      <c r="O364" s="14">
        <f t="shared" si="39"/>
        <v>0</v>
      </c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</row>
    <row r="365" spans="1:154" ht="33" hidden="1" customHeight="1">
      <c r="A365" s="640">
        <v>250380</v>
      </c>
      <c r="B365" s="292" t="s">
        <v>1246</v>
      </c>
      <c r="C365" s="651"/>
      <c r="D365" s="651"/>
      <c r="E365" s="651"/>
      <c r="F365" s="651">
        <f t="shared" si="40"/>
        <v>0</v>
      </c>
      <c r="G365" s="653"/>
      <c r="H365" s="653"/>
      <c r="I365" s="653"/>
      <c r="J365" s="653">
        <f>1450000-1450000</f>
        <v>0</v>
      </c>
      <c r="K365" s="651">
        <f>+J365</f>
        <v>0</v>
      </c>
      <c r="L365" s="651">
        <f>+K365</f>
        <v>0</v>
      </c>
      <c r="M365" s="648">
        <f t="shared" si="45"/>
        <v>0</v>
      </c>
      <c r="N365">
        <f>+M365</f>
        <v>0</v>
      </c>
      <c r="O365" s="14">
        <f t="shared" si="39"/>
        <v>0</v>
      </c>
      <c r="P365" s="54">
        <v>1</v>
      </c>
    </row>
    <row r="366" spans="1:154" ht="27.6" hidden="1" customHeight="1">
      <c r="A366" s="640"/>
      <c r="B366" s="684" t="s">
        <v>52</v>
      </c>
      <c r="C366" s="651"/>
      <c r="D366" s="651"/>
      <c r="E366" s="651"/>
      <c r="F366" s="651">
        <f t="shared" si="40"/>
        <v>0</v>
      </c>
      <c r="G366" s="653"/>
      <c r="H366" s="653"/>
      <c r="I366" s="653"/>
      <c r="J366" s="653"/>
      <c r="K366" s="651"/>
      <c r="L366" s="653"/>
      <c r="M366" s="648">
        <f t="shared" si="45"/>
        <v>0</v>
      </c>
      <c r="O366" s="14"/>
    </row>
    <row r="367" spans="1:154" ht="47.45" hidden="1" customHeight="1">
      <c r="A367" s="640"/>
      <c r="B367" s="352" t="s">
        <v>151</v>
      </c>
      <c r="C367" s="651"/>
      <c r="D367" s="651"/>
      <c r="E367" s="651"/>
      <c r="F367" s="651">
        <f t="shared" si="40"/>
        <v>0</v>
      </c>
      <c r="G367" s="653"/>
      <c r="H367" s="653"/>
      <c r="I367" s="653"/>
      <c r="J367" s="653"/>
      <c r="K367" s="651"/>
      <c r="L367" s="653"/>
      <c r="M367" s="648">
        <f t="shared" si="45"/>
        <v>0</v>
      </c>
      <c r="O367" s="14">
        <f t="shared" si="39"/>
        <v>0</v>
      </c>
    </row>
    <row r="368" spans="1:154" ht="37.5" hidden="1">
      <c r="A368" s="280"/>
      <c r="B368" s="233" t="s">
        <v>64</v>
      </c>
      <c r="C368" s="458"/>
      <c r="D368" s="458"/>
      <c r="E368" s="458"/>
      <c r="F368" s="459">
        <f t="shared" si="40"/>
        <v>0</v>
      </c>
      <c r="G368" s="458"/>
      <c r="H368" s="458"/>
      <c r="I368" s="458"/>
      <c r="J368" s="458">
        <f>2767751-2767751</f>
        <v>0</v>
      </c>
      <c r="K368" s="458"/>
      <c r="L368" s="458"/>
      <c r="M368" s="457">
        <f t="shared" si="45"/>
        <v>0</v>
      </c>
      <c r="O368" s="14">
        <f t="shared" si="39"/>
        <v>0</v>
      </c>
    </row>
    <row r="369" spans="1:15" ht="18.75" hidden="1">
      <c r="A369" s="280"/>
      <c r="B369" s="269" t="s">
        <v>528</v>
      </c>
      <c r="C369" s="458"/>
      <c r="D369" s="458"/>
      <c r="E369" s="458"/>
      <c r="F369" s="459">
        <f t="shared" si="40"/>
        <v>0</v>
      </c>
      <c r="G369" s="458">
        <f>519224-519224</f>
        <v>0</v>
      </c>
      <c r="H369" s="465"/>
      <c r="I369" s="465"/>
      <c r="J369" s="465"/>
      <c r="K369" s="465"/>
      <c r="L369" s="465"/>
      <c r="M369" s="457">
        <f t="shared" si="45"/>
        <v>0</v>
      </c>
      <c r="O369" s="14">
        <f t="shared" si="39"/>
        <v>0</v>
      </c>
    </row>
    <row r="370" spans="1:15" ht="18.75" hidden="1">
      <c r="A370" s="280"/>
      <c r="B370" s="269" t="s">
        <v>1022</v>
      </c>
      <c r="C370" s="458"/>
      <c r="D370" s="458"/>
      <c r="E370" s="458"/>
      <c r="F370" s="459">
        <f t="shared" si="40"/>
        <v>0</v>
      </c>
      <c r="G370" s="465"/>
      <c r="H370" s="465"/>
      <c r="I370" s="465"/>
      <c r="J370" s="465"/>
      <c r="K370" s="458"/>
      <c r="L370" s="465"/>
      <c r="M370" s="457">
        <f t="shared" si="45"/>
        <v>0</v>
      </c>
      <c r="O370" s="14">
        <f t="shared" si="39"/>
        <v>0</v>
      </c>
    </row>
    <row r="371" spans="1:15" ht="66.599999999999994" hidden="1" customHeight="1">
      <c r="A371" s="280"/>
      <c r="B371" s="269" t="s">
        <v>324</v>
      </c>
      <c r="C371" s="458"/>
      <c r="D371" s="458"/>
      <c r="E371" s="458"/>
      <c r="F371" s="459">
        <f t="shared" si="40"/>
        <v>0</v>
      </c>
      <c r="G371" s="465"/>
      <c r="H371" s="465"/>
      <c r="I371" s="465"/>
      <c r="J371" s="465"/>
      <c r="K371" s="458"/>
      <c r="L371" s="465"/>
      <c r="M371" s="457">
        <f t="shared" si="45"/>
        <v>0</v>
      </c>
      <c r="O371" s="14">
        <f t="shared" si="39"/>
        <v>0</v>
      </c>
    </row>
    <row r="372" spans="1:15" ht="30" hidden="1" customHeight="1">
      <c r="A372" s="280"/>
      <c r="B372" s="233" t="s">
        <v>345</v>
      </c>
      <c r="C372" s="458"/>
      <c r="D372" s="458"/>
      <c r="E372" s="458"/>
      <c r="F372" s="459">
        <f t="shared" si="40"/>
        <v>0</v>
      </c>
      <c r="G372" s="465"/>
      <c r="H372" s="465"/>
      <c r="I372" s="465"/>
      <c r="J372" s="465"/>
      <c r="K372" s="458">
        <f>+J372</f>
        <v>0</v>
      </c>
      <c r="L372" s="465">
        <f>+K372</f>
        <v>0</v>
      </c>
      <c r="M372" s="457">
        <f t="shared" si="45"/>
        <v>0</v>
      </c>
      <c r="O372" s="14">
        <f t="shared" si="39"/>
        <v>0</v>
      </c>
    </row>
    <row r="373" spans="1:15" ht="33" hidden="1" customHeight="1">
      <c r="A373" s="280"/>
      <c r="B373" s="233" t="s">
        <v>1130</v>
      </c>
      <c r="C373" s="458"/>
      <c r="D373" s="458"/>
      <c r="E373" s="458"/>
      <c r="F373" s="459">
        <f t="shared" si="40"/>
        <v>0</v>
      </c>
      <c r="G373" s="465"/>
      <c r="H373" s="465"/>
      <c r="I373" s="465"/>
      <c r="J373" s="465"/>
      <c r="K373" s="458"/>
      <c r="L373" s="465"/>
      <c r="M373" s="457">
        <f t="shared" si="45"/>
        <v>0</v>
      </c>
      <c r="O373" s="14">
        <f t="shared" si="39"/>
        <v>0</v>
      </c>
    </row>
    <row r="374" spans="1:15" ht="37.5" hidden="1">
      <c r="A374" s="280"/>
      <c r="B374" s="269" t="s">
        <v>817</v>
      </c>
      <c r="C374" s="458"/>
      <c r="D374" s="458"/>
      <c r="E374" s="458"/>
      <c r="F374" s="459">
        <f t="shared" si="40"/>
        <v>0</v>
      </c>
      <c r="G374" s="465"/>
      <c r="H374" s="465"/>
      <c r="I374" s="465"/>
      <c r="J374" s="465"/>
      <c r="K374" s="458"/>
      <c r="L374" s="465"/>
      <c r="M374" s="457">
        <f t="shared" si="45"/>
        <v>0</v>
      </c>
      <c r="O374" s="14">
        <f t="shared" si="39"/>
        <v>0</v>
      </c>
    </row>
    <row r="375" spans="1:15" ht="37.5" hidden="1">
      <c r="A375" s="280"/>
      <c r="B375" s="269" t="s">
        <v>132</v>
      </c>
      <c r="C375" s="458"/>
      <c r="D375" s="458"/>
      <c r="E375" s="458"/>
      <c r="F375" s="459">
        <f t="shared" si="40"/>
        <v>0</v>
      </c>
      <c r="G375" s="465"/>
      <c r="H375" s="465"/>
      <c r="I375" s="465"/>
      <c r="J375" s="465"/>
      <c r="K375" s="458">
        <f>+J375</f>
        <v>0</v>
      </c>
      <c r="L375" s="465">
        <f>+K375</f>
        <v>0</v>
      </c>
      <c r="M375" s="457">
        <f t="shared" si="45"/>
        <v>0</v>
      </c>
      <c r="O375" s="14">
        <f t="shared" si="39"/>
        <v>0</v>
      </c>
    </row>
    <row r="376" spans="1:15" ht="37.5" hidden="1">
      <c r="A376" s="280"/>
      <c r="B376" s="269" t="s">
        <v>817</v>
      </c>
      <c r="C376" s="458"/>
      <c r="D376" s="458"/>
      <c r="E376" s="458"/>
      <c r="F376" s="459">
        <f t="shared" si="40"/>
        <v>0</v>
      </c>
      <c r="G376" s="465"/>
      <c r="H376" s="465"/>
      <c r="I376" s="465"/>
      <c r="J376" s="465"/>
      <c r="K376" s="458"/>
      <c r="L376" s="465"/>
      <c r="M376" s="457">
        <f t="shared" si="45"/>
        <v>0</v>
      </c>
      <c r="N376" s="14">
        <v>99000</v>
      </c>
      <c r="O376" s="14">
        <f t="shared" si="39"/>
        <v>0</v>
      </c>
    </row>
    <row r="377" spans="1:15" ht="37.5" hidden="1">
      <c r="A377" s="280"/>
      <c r="B377" s="269" t="s">
        <v>444</v>
      </c>
      <c r="C377" s="458"/>
      <c r="D377" s="458"/>
      <c r="E377" s="458"/>
      <c r="F377" s="459">
        <f t="shared" si="40"/>
        <v>0</v>
      </c>
      <c r="G377" s="465"/>
      <c r="H377" s="465"/>
      <c r="I377" s="465"/>
      <c r="J377" s="465"/>
      <c r="K377" s="458"/>
      <c r="L377" s="465"/>
      <c r="M377" s="457">
        <f t="shared" si="45"/>
        <v>0</v>
      </c>
      <c r="O377" s="14">
        <f t="shared" si="39"/>
        <v>0</v>
      </c>
    </row>
    <row r="378" spans="1:15" ht="56.25" hidden="1">
      <c r="A378" s="280"/>
      <c r="B378" s="269" t="s">
        <v>623</v>
      </c>
      <c r="C378" s="458"/>
      <c r="D378" s="458"/>
      <c r="E378" s="458"/>
      <c r="F378" s="459">
        <f t="shared" si="40"/>
        <v>0</v>
      </c>
      <c r="G378" s="465"/>
      <c r="H378" s="465"/>
      <c r="I378" s="465"/>
      <c r="J378" s="465"/>
      <c r="K378" s="458">
        <f>+J378</f>
        <v>0</v>
      </c>
      <c r="L378" s="465">
        <f>+K378</f>
        <v>0</v>
      </c>
      <c r="M378" s="457">
        <f t="shared" si="45"/>
        <v>0</v>
      </c>
      <c r="O378" s="14">
        <f t="shared" si="39"/>
        <v>0</v>
      </c>
    </row>
    <row r="379" spans="1:15" ht="56.25" hidden="1">
      <c r="A379" s="280"/>
      <c r="B379" s="269" t="s">
        <v>703</v>
      </c>
      <c r="C379" s="231"/>
      <c r="D379" s="231"/>
      <c r="E379" s="231"/>
      <c r="F379" s="232">
        <f t="shared" si="40"/>
        <v>0</v>
      </c>
      <c r="G379" s="276"/>
      <c r="H379" s="276"/>
      <c r="I379" s="276"/>
      <c r="J379" s="276"/>
      <c r="K379" s="231"/>
      <c r="L379" s="276"/>
      <c r="M379" s="228">
        <f t="shared" si="45"/>
        <v>0</v>
      </c>
      <c r="O379" s="14">
        <f t="shared" si="39"/>
        <v>0</v>
      </c>
    </row>
    <row r="380" spans="1:15" ht="75" hidden="1">
      <c r="A380" s="280"/>
      <c r="B380" s="269" t="s">
        <v>519</v>
      </c>
      <c r="C380" s="231"/>
      <c r="D380" s="231"/>
      <c r="E380" s="231"/>
      <c r="F380" s="232">
        <f t="shared" si="40"/>
        <v>0</v>
      </c>
      <c r="G380" s="276"/>
      <c r="H380" s="276"/>
      <c r="I380" s="276"/>
      <c r="J380" s="276"/>
      <c r="K380" s="231"/>
      <c r="L380" s="276"/>
      <c r="M380" s="228">
        <f t="shared" si="45"/>
        <v>0</v>
      </c>
      <c r="O380" s="14">
        <f t="shared" si="39"/>
        <v>0</v>
      </c>
    </row>
    <row r="381" spans="1:15" ht="37.5" hidden="1">
      <c r="A381" s="280"/>
      <c r="B381" s="269" t="s">
        <v>817</v>
      </c>
      <c r="C381" s="231"/>
      <c r="D381" s="231"/>
      <c r="E381" s="231"/>
      <c r="F381" s="232">
        <v>0</v>
      </c>
      <c r="G381" s="276"/>
      <c r="H381" s="276"/>
      <c r="I381" s="276"/>
      <c r="J381" s="276"/>
      <c r="K381" s="231"/>
      <c r="L381" s="276"/>
      <c r="M381" s="228"/>
      <c r="N381" s="14">
        <v>850000</v>
      </c>
      <c r="O381" s="14"/>
    </row>
    <row r="382" spans="1:15" ht="27" hidden="1" customHeight="1">
      <c r="A382" s="280"/>
      <c r="B382" s="233" t="s">
        <v>1133</v>
      </c>
      <c r="C382" s="231"/>
      <c r="D382" s="231"/>
      <c r="E382" s="231"/>
      <c r="F382" s="232">
        <f t="shared" si="40"/>
        <v>0</v>
      </c>
      <c r="G382" s="276"/>
      <c r="H382" s="276"/>
      <c r="I382" s="276"/>
      <c r="J382" s="276"/>
      <c r="K382" s="231"/>
      <c r="L382" s="276"/>
      <c r="M382" s="228">
        <f t="shared" si="45"/>
        <v>0</v>
      </c>
      <c r="N382" s="14">
        <v>0</v>
      </c>
      <c r="O382" s="14">
        <f t="shared" si="39"/>
        <v>0</v>
      </c>
    </row>
    <row r="383" spans="1:15" ht="18.75" hidden="1">
      <c r="A383" s="280"/>
      <c r="B383" s="269"/>
      <c r="C383" s="231"/>
      <c r="D383" s="231"/>
      <c r="E383" s="231"/>
      <c r="F383" s="232">
        <f t="shared" si="40"/>
        <v>0</v>
      </c>
      <c r="G383" s="276"/>
      <c r="H383" s="276"/>
      <c r="I383" s="276"/>
      <c r="J383" s="276"/>
      <c r="K383" s="231"/>
      <c r="L383" s="276"/>
      <c r="M383" s="228">
        <f t="shared" si="45"/>
        <v>0</v>
      </c>
      <c r="N383" s="14">
        <v>750000</v>
      </c>
      <c r="O383" s="14">
        <f t="shared" si="39"/>
        <v>0</v>
      </c>
    </row>
    <row r="384" spans="1:15" ht="43.9" hidden="1" customHeight="1">
      <c r="A384" s="640"/>
      <c r="B384" s="421" t="s">
        <v>190</v>
      </c>
      <c r="C384" s="651"/>
      <c r="D384" s="651"/>
      <c r="E384" s="651"/>
      <c r="F384" s="651">
        <f t="shared" si="40"/>
        <v>0</v>
      </c>
      <c r="G384" s="653"/>
      <c r="H384" s="653"/>
      <c r="I384" s="653"/>
      <c r="J384" s="653"/>
      <c r="K384" s="651">
        <f>+J384</f>
        <v>0</v>
      </c>
      <c r="L384" s="653">
        <f>+K384</f>
        <v>0</v>
      </c>
      <c r="M384" s="648">
        <f t="shared" si="45"/>
        <v>0</v>
      </c>
      <c r="O384" s="14">
        <f t="shared" si="39"/>
        <v>0</v>
      </c>
    </row>
    <row r="385" spans="1:15" ht="36.6" hidden="1" customHeight="1">
      <c r="A385" s="280"/>
      <c r="B385" s="528" t="s">
        <v>1129</v>
      </c>
      <c r="C385" s="231"/>
      <c r="D385" s="231"/>
      <c r="E385" s="231"/>
      <c r="F385" s="232">
        <f t="shared" si="40"/>
        <v>0</v>
      </c>
      <c r="G385" s="276"/>
      <c r="H385" s="276"/>
      <c r="I385" s="276"/>
      <c r="J385" s="276"/>
      <c r="K385" s="231">
        <f>+J385</f>
        <v>0</v>
      </c>
      <c r="L385" s="276">
        <f>+K385</f>
        <v>0</v>
      </c>
      <c r="M385" s="228">
        <f t="shared" si="45"/>
        <v>0</v>
      </c>
      <c r="O385" s="14">
        <f t="shared" si="39"/>
        <v>0</v>
      </c>
    </row>
    <row r="386" spans="1:15" ht="18" hidden="1" customHeight="1">
      <c r="A386" s="280"/>
      <c r="B386" s="269"/>
      <c r="C386" s="231"/>
      <c r="D386" s="231"/>
      <c r="E386" s="231"/>
      <c r="F386" s="232">
        <f>+G386+J386</f>
        <v>0</v>
      </c>
      <c r="G386" s="276"/>
      <c r="H386" s="276"/>
      <c r="I386" s="276"/>
      <c r="J386" s="276"/>
      <c r="K386" s="231"/>
      <c r="L386" s="276"/>
      <c r="M386" s="228">
        <f>+C386+F386</f>
        <v>0</v>
      </c>
      <c r="O386" s="14">
        <f>+M386</f>
        <v>0</v>
      </c>
    </row>
    <row r="387" spans="1:15" ht="61.15" hidden="1" customHeight="1">
      <c r="A387" s="280"/>
      <c r="B387" s="421" t="s">
        <v>1061</v>
      </c>
      <c r="C387" s="505"/>
      <c r="D387" s="505"/>
      <c r="E387" s="505"/>
      <c r="F387" s="275">
        <f t="shared" si="40"/>
        <v>0</v>
      </c>
      <c r="G387" s="504"/>
      <c r="H387" s="431"/>
      <c r="I387" s="431"/>
      <c r="J387" s="504"/>
      <c r="K387" s="505"/>
      <c r="L387" s="504"/>
      <c r="M387" s="242">
        <f t="shared" si="45"/>
        <v>0</v>
      </c>
      <c r="O387" s="14">
        <f t="shared" si="39"/>
        <v>0</v>
      </c>
    </row>
    <row r="388" spans="1:15" ht="18.75" hidden="1">
      <c r="A388" s="280"/>
      <c r="B388" s="269" t="s">
        <v>318</v>
      </c>
      <c r="C388" s="458"/>
      <c r="D388" s="458"/>
      <c r="E388" s="458"/>
      <c r="F388" s="459">
        <f t="shared" si="40"/>
        <v>0</v>
      </c>
      <c r="G388" s="465"/>
      <c r="H388" s="465"/>
      <c r="I388" s="465"/>
      <c r="J388" s="465"/>
      <c r="K388" s="458"/>
      <c r="L388" s="465"/>
      <c r="M388" s="457">
        <f t="shared" si="45"/>
        <v>0</v>
      </c>
      <c r="O388" s="14">
        <f t="shared" si="39"/>
        <v>0</v>
      </c>
    </row>
    <row r="389" spans="1:15" ht="56.25" hidden="1">
      <c r="A389" s="280"/>
      <c r="B389" s="269" t="s">
        <v>319</v>
      </c>
      <c r="C389" s="458"/>
      <c r="D389" s="458"/>
      <c r="E389" s="458"/>
      <c r="F389" s="459"/>
      <c r="G389" s="465"/>
      <c r="H389" s="465"/>
      <c r="I389" s="465"/>
      <c r="J389" s="465"/>
      <c r="K389" s="458"/>
      <c r="L389" s="465"/>
      <c r="M389" s="457">
        <f t="shared" si="45"/>
        <v>0</v>
      </c>
      <c r="O389" s="14">
        <f t="shared" si="39"/>
        <v>0</v>
      </c>
    </row>
    <row r="390" spans="1:15" ht="56.25" hidden="1">
      <c r="A390" s="280"/>
      <c r="B390" s="526" t="s">
        <v>173</v>
      </c>
      <c r="C390" s="231"/>
      <c r="D390" s="231"/>
      <c r="E390" s="231"/>
      <c r="F390" s="232">
        <f t="shared" si="40"/>
        <v>0</v>
      </c>
      <c r="G390" s="276"/>
      <c r="H390" s="276"/>
      <c r="I390" s="276"/>
      <c r="J390" s="276"/>
      <c r="K390" s="231">
        <f>+J390</f>
        <v>0</v>
      </c>
      <c r="L390" s="276">
        <f>+K390</f>
        <v>0</v>
      </c>
      <c r="M390" s="228">
        <f t="shared" si="45"/>
        <v>0</v>
      </c>
      <c r="O390" s="14">
        <f t="shared" si="39"/>
        <v>0</v>
      </c>
    </row>
    <row r="391" spans="1:15" ht="18.75" hidden="1">
      <c r="A391" s="280"/>
      <c r="B391" s="269"/>
      <c r="C391" s="231"/>
      <c r="D391" s="231"/>
      <c r="E391" s="231"/>
      <c r="F391" s="232">
        <f t="shared" si="40"/>
        <v>0</v>
      </c>
      <c r="G391" s="276"/>
      <c r="H391" s="276"/>
      <c r="I391" s="276"/>
      <c r="J391" s="276"/>
      <c r="K391" s="231"/>
      <c r="L391" s="276"/>
      <c r="M391" s="228">
        <f t="shared" si="45"/>
        <v>0</v>
      </c>
      <c r="O391" s="14">
        <f t="shared" si="39"/>
        <v>0</v>
      </c>
    </row>
    <row r="392" spans="1:15" ht="18.75" hidden="1">
      <c r="A392" s="280"/>
      <c r="B392" s="269"/>
      <c r="C392" s="231"/>
      <c r="D392" s="231"/>
      <c r="E392" s="231"/>
      <c r="F392" s="232">
        <f t="shared" si="40"/>
        <v>0</v>
      </c>
      <c r="G392" s="276"/>
      <c r="H392" s="276"/>
      <c r="I392" s="276"/>
      <c r="J392" s="276"/>
      <c r="K392" s="231"/>
      <c r="L392" s="276"/>
      <c r="M392" s="228">
        <f t="shared" si="45"/>
        <v>0</v>
      </c>
      <c r="O392" s="14">
        <f t="shared" si="39"/>
        <v>0</v>
      </c>
    </row>
    <row r="393" spans="1:15" ht="18.75" hidden="1">
      <c r="A393" s="280"/>
      <c r="B393" s="269" t="s">
        <v>321</v>
      </c>
      <c r="C393" s="458"/>
      <c r="D393" s="458"/>
      <c r="E393" s="458"/>
      <c r="F393" s="459">
        <f t="shared" si="40"/>
        <v>0</v>
      </c>
      <c r="G393" s="465"/>
      <c r="H393" s="465"/>
      <c r="I393" s="465"/>
      <c r="J393" s="465"/>
      <c r="K393" s="458"/>
      <c r="L393" s="465"/>
      <c r="M393" s="457">
        <f t="shared" si="45"/>
        <v>0</v>
      </c>
      <c r="O393" s="14">
        <f t="shared" si="39"/>
        <v>0</v>
      </c>
    </row>
    <row r="394" spans="1:15" ht="40.15" hidden="1" customHeight="1">
      <c r="A394" s="280"/>
      <c r="B394" s="233" t="s">
        <v>175</v>
      </c>
      <c r="C394" s="458"/>
      <c r="D394" s="458"/>
      <c r="E394" s="458"/>
      <c r="F394" s="459">
        <f t="shared" si="40"/>
        <v>0</v>
      </c>
      <c r="G394" s="465"/>
      <c r="H394" s="465"/>
      <c r="I394" s="465"/>
      <c r="J394" s="465"/>
      <c r="K394" s="458"/>
      <c r="L394" s="465"/>
      <c r="M394" s="457">
        <f t="shared" si="45"/>
        <v>0</v>
      </c>
      <c r="O394" s="14">
        <f t="shared" si="39"/>
        <v>0</v>
      </c>
    </row>
    <row r="395" spans="1:15" ht="63.6" hidden="1" customHeight="1">
      <c r="A395" s="280"/>
      <c r="B395" s="233" t="s">
        <v>937</v>
      </c>
      <c r="C395" s="231"/>
      <c r="D395" s="231"/>
      <c r="E395" s="231"/>
      <c r="F395" s="459">
        <f t="shared" si="40"/>
        <v>0</v>
      </c>
      <c r="G395" s="465"/>
      <c r="H395" s="465"/>
      <c r="I395" s="465"/>
      <c r="J395" s="465"/>
      <c r="K395" s="458">
        <f t="shared" ref="K395:L397" si="46">+J395</f>
        <v>0</v>
      </c>
      <c r="L395" s="465">
        <f t="shared" si="46"/>
        <v>0</v>
      </c>
      <c r="M395" s="228">
        <f t="shared" si="45"/>
        <v>0</v>
      </c>
      <c r="N395" s="14">
        <v>79697</v>
      </c>
      <c r="O395" s="14">
        <f t="shared" si="39"/>
        <v>0</v>
      </c>
    </row>
    <row r="396" spans="1:15" ht="56.25" hidden="1">
      <c r="A396" s="280"/>
      <c r="B396" s="269" t="s">
        <v>346</v>
      </c>
      <c r="C396" s="458"/>
      <c r="D396" s="458"/>
      <c r="E396" s="458"/>
      <c r="F396" s="459">
        <f t="shared" si="40"/>
        <v>0</v>
      </c>
      <c r="G396" s="465"/>
      <c r="H396" s="465"/>
      <c r="I396" s="465"/>
      <c r="J396" s="465"/>
      <c r="K396" s="458">
        <f t="shared" si="46"/>
        <v>0</v>
      </c>
      <c r="L396" s="465">
        <f t="shared" si="46"/>
        <v>0</v>
      </c>
      <c r="M396" s="457">
        <f t="shared" si="45"/>
        <v>0</v>
      </c>
      <c r="O396" s="14">
        <f t="shared" si="39"/>
        <v>0</v>
      </c>
    </row>
    <row r="397" spans="1:15" ht="18.75" hidden="1">
      <c r="A397" s="280"/>
      <c r="B397" s="269" t="s">
        <v>938</v>
      </c>
      <c r="C397" s="458"/>
      <c r="D397" s="458"/>
      <c r="E397" s="458"/>
      <c r="F397" s="459">
        <f t="shared" si="40"/>
        <v>0</v>
      </c>
      <c r="G397" s="465"/>
      <c r="H397" s="465"/>
      <c r="I397" s="465"/>
      <c r="J397" s="465"/>
      <c r="K397" s="458">
        <f t="shared" si="46"/>
        <v>0</v>
      </c>
      <c r="L397" s="465">
        <f t="shared" si="46"/>
        <v>0</v>
      </c>
      <c r="M397" s="457">
        <f t="shared" si="45"/>
        <v>0</v>
      </c>
      <c r="N397" s="14">
        <v>647328.63</v>
      </c>
      <c r="O397" s="14">
        <f t="shared" si="39"/>
        <v>0</v>
      </c>
    </row>
    <row r="398" spans="1:15" ht="37.5" hidden="1">
      <c r="A398" s="280"/>
      <c r="B398" s="233" t="s">
        <v>1131</v>
      </c>
      <c r="C398" s="458"/>
      <c r="D398" s="458"/>
      <c r="E398" s="458"/>
      <c r="F398" s="459">
        <f t="shared" si="40"/>
        <v>0</v>
      </c>
      <c r="G398" s="465"/>
      <c r="H398" s="465"/>
      <c r="I398" s="465"/>
      <c r="J398" s="465"/>
      <c r="K398" s="458"/>
      <c r="L398" s="465"/>
      <c r="M398" s="457">
        <f t="shared" si="45"/>
        <v>0</v>
      </c>
      <c r="O398" s="14">
        <f t="shared" si="39"/>
        <v>0</v>
      </c>
    </row>
    <row r="399" spans="1:15" ht="56.25" hidden="1">
      <c r="A399" s="280"/>
      <c r="B399" s="269" t="s">
        <v>937</v>
      </c>
      <c r="C399" s="458"/>
      <c r="D399" s="458"/>
      <c r="E399" s="458"/>
      <c r="F399" s="459">
        <f t="shared" si="40"/>
        <v>0</v>
      </c>
      <c r="G399" s="465"/>
      <c r="H399" s="465"/>
      <c r="I399" s="465"/>
      <c r="J399" s="465"/>
      <c r="K399" s="458"/>
      <c r="L399" s="465"/>
      <c r="M399" s="457">
        <f t="shared" si="45"/>
        <v>0</v>
      </c>
      <c r="O399" s="14">
        <f t="shared" si="39"/>
        <v>0</v>
      </c>
    </row>
    <row r="400" spans="1:15" ht="25.9" hidden="1" customHeight="1">
      <c r="A400" s="280"/>
      <c r="B400" s="269" t="s">
        <v>938</v>
      </c>
      <c r="C400" s="458"/>
      <c r="D400" s="458"/>
      <c r="E400" s="458"/>
      <c r="F400" s="459">
        <f t="shared" si="40"/>
        <v>0</v>
      </c>
      <c r="G400" s="465"/>
      <c r="H400" s="465"/>
      <c r="I400" s="465"/>
      <c r="J400" s="465"/>
      <c r="K400" s="458"/>
      <c r="L400" s="465"/>
      <c r="M400" s="457">
        <f t="shared" si="45"/>
        <v>0</v>
      </c>
      <c r="O400" s="14">
        <f t="shared" si="39"/>
        <v>0</v>
      </c>
    </row>
    <row r="401" spans="1:154" ht="112.5" hidden="1">
      <c r="A401" s="280"/>
      <c r="B401" s="527" t="s">
        <v>326</v>
      </c>
      <c r="C401" s="231">
        <f>1050000-1050000</f>
        <v>0</v>
      </c>
      <c r="D401" s="231"/>
      <c r="E401" s="231"/>
      <c r="F401" s="232"/>
      <c r="G401" s="276"/>
      <c r="H401" s="276"/>
      <c r="I401" s="276"/>
      <c r="J401" s="276"/>
      <c r="K401" s="231"/>
      <c r="L401" s="276"/>
      <c r="M401" s="228">
        <f t="shared" si="45"/>
        <v>0</v>
      </c>
      <c r="O401" s="14">
        <f t="shared" si="39"/>
        <v>0</v>
      </c>
    </row>
    <row r="402" spans="1:154" ht="64.150000000000006" hidden="1" customHeight="1">
      <c r="A402" s="280"/>
      <c r="B402" s="292" t="s">
        <v>134</v>
      </c>
      <c r="C402" s="458"/>
      <c r="D402" s="458"/>
      <c r="E402" s="458"/>
      <c r="F402" s="459"/>
      <c r="G402" s="465"/>
      <c r="H402" s="465"/>
      <c r="I402" s="465"/>
      <c r="J402" s="465"/>
      <c r="K402" s="458"/>
      <c r="L402" s="465"/>
      <c r="M402" s="457">
        <f>+C402+F402</f>
        <v>0</v>
      </c>
      <c r="O402" s="14">
        <f>+M402</f>
        <v>0</v>
      </c>
    </row>
    <row r="403" spans="1:154" ht="97.15" hidden="1" customHeight="1">
      <c r="A403" s="280"/>
      <c r="B403" s="453" t="s">
        <v>666</v>
      </c>
      <c r="C403" s="458"/>
      <c r="D403" s="458"/>
      <c r="E403" s="458"/>
      <c r="F403" s="459"/>
      <c r="G403" s="465"/>
      <c r="H403" s="465"/>
      <c r="I403" s="465"/>
      <c r="J403" s="465"/>
      <c r="K403" s="458"/>
      <c r="L403" s="465"/>
      <c r="M403" s="457">
        <f>+C403+F403</f>
        <v>0</v>
      </c>
      <c r="O403" s="14">
        <f>+M403</f>
        <v>0</v>
      </c>
    </row>
    <row r="404" spans="1:154" ht="103.15" hidden="1" customHeight="1">
      <c r="A404" s="280"/>
      <c r="B404" s="269" t="s">
        <v>664</v>
      </c>
      <c r="C404" s="231">
        <f>1000000-1000000</f>
        <v>0</v>
      </c>
      <c r="D404" s="231"/>
      <c r="E404" s="231"/>
      <c r="F404" s="232"/>
      <c r="G404" s="276"/>
      <c r="H404" s="276"/>
      <c r="I404" s="276"/>
      <c r="J404" s="276"/>
      <c r="K404" s="231"/>
      <c r="L404" s="276"/>
      <c r="M404" s="228">
        <f t="shared" si="45"/>
        <v>0</v>
      </c>
      <c r="O404" s="14">
        <f t="shared" si="39"/>
        <v>0</v>
      </c>
    </row>
    <row r="405" spans="1:154" ht="93.75" hidden="1">
      <c r="A405" s="280"/>
      <c r="B405" s="269" t="s">
        <v>235</v>
      </c>
      <c r="C405" s="231">
        <f>50000-50000</f>
        <v>0</v>
      </c>
      <c r="D405" s="231"/>
      <c r="E405" s="231"/>
      <c r="F405" s="232"/>
      <c r="G405" s="276"/>
      <c r="H405" s="276"/>
      <c r="I405" s="276"/>
      <c r="J405" s="276"/>
      <c r="K405" s="231"/>
      <c r="L405" s="276"/>
      <c r="M405" s="228">
        <f t="shared" si="45"/>
        <v>0</v>
      </c>
      <c r="O405" s="14">
        <f t="shared" si="39"/>
        <v>0</v>
      </c>
    </row>
    <row r="406" spans="1:154" ht="56.25" hidden="1">
      <c r="A406" s="280"/>
      <c r="B406" s="236" t="s">
        <v>676</v>
      </c>
      <c r="C406" s="231">
        <f>937400-937400</f>
        <v>0</v>
      </c>
      <c r="D406" s="231"/>
      <c r="E406" s="231"/>
      <c r="F406" s="232">
        <f t="shared" si="40"/>
        <v>0</v>
      </c>
      <c r="G406" s="231"/>
      <c r="H406" s="231"/>
      <c r="I406" s="231"/>
      <c r="J406" s="231"/>
      <c r="K406" s="231"/>
      <c r="L406" s="231"/>
      <c r="M406" s="228">
        <f t="shared" ref="M406:M445" si="47">+C406+F406</f>
        <v>0</v>
      </c>
      <c r="O406" s="14">
        <f t="shared" si="39"/>
        <v>0</v>
      </c>
    </row>
    <row r="407" spans="1:154" ht="37.5" hidden="1">
      <c r="A407" s="280"/>
      <c r="B407" s="527" t="s">
        <v>1124</v>
      </c>
      <c r="C407" s="231"/>
      <c r="D407" s="231"/>
      <c r="E407" s="231"/>
      <c r="F407" s="232"/>
      <c r="G407" s="231"/>
      <c r="H407" s="231"/>
      <c r="I407" s="231"/>
      <c r="J407" s="231"/>
      <c r="K407" s="231"/>
      <c r="L407" s="231"/>
      <c r="M407" s="457">
        <f t="shared" si="47"/>
        <v>0</v>
      </c>
      <c r="O407" s="14">
        <f>+M407</f>
        <v>0</v>
      </c>
    </row>
    <row r="408" spans="1:154" ht="31.15" hidden="1" customHeight="1">
      <c r="A408" s="280"/>
      <c r="B408" s="230" t="s">
        <v>677</v>
      </c>
      <c r="C408" s="462"/>
      <c r="D408" s="547"/>
      <c r="E408" s="547"/>
      <c r="F408" s="476">
        <f t="shared" si="40"/>
        <v>0</v>
      </c>
      <c r="G408" s="458"/>
      <c r="H408" s="458"/>
      <c r="I408" s="458"/>
      <c r="J408" s="458"/>
      <c r="K408" s="547"/>
      <c r="L408" s="458"/>
      <c r="M408" s="457">
        <f t="shared" si="47"/>
        <v>0</v>
      </c>
      <c r="N408">
        <f>+M408</f>
        <v>0</v>
      </c>
      <c r="O408" s="14">
        <f t="shared" si="39"/>
        <v>0</v>
      </c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</row>
    <row r="409" spans="1:154" ht="37.5" hidden="1">
      <c r="A409" s="280"/>
      <c r="B409" s="230" t="s">
        <v>1412</v>
      </c>
      <c r="C409" s="248">
        <f>2369200-2369200</f>
        <v>0</v>
      </c>
      <c r="D409" s="289"/>
      <c r="E409" s="289"/>
      <c r="F409" s="254">
        <f t="shared" si="40"/>
        <v>0</v>
      </c>
      <c r="G409" s="288"/>
      <c r="H409" s="289"/>
      <c r="I409" s="289"/>
      <c r="J409" s="289"/>
      <c r="K409" s="288">
        <f>J409</f>
        <v>0</v>
      </c>
      <c r="L409" s="289"/>
      <c r="M409" s="251">
        <f t="shared" si="47"/>
        <v>0</v>
      </c>
      <c r="O409" s="14">
        <f t="shared" si="39"/>
        <v>0</v>
      </c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</row>
    <row r="410" spans="1:154" ht="37.5" hidden="1">
      <c r="A410" s="354"/>
      <c r="B410" s="240" t="s">
        <v>1013</v>
      </c>
      <c r="C410" s="231">
        <f>891200-891200</f>
        <v>0</v>
      </c>
      <c r="D410" s="231"/>
      <c r="E410" s="231"/>
      <c r="F410" s="254">
        <f t="shared" si="40"/>
        <v>0</v>
      </c>
      <c r="G410" s="288"/>
      <c r="H410" s="289"/>
      <c r="I410" s="289"/>
      <c r="J410" s="289"/>
      <c r="K410" s="231"/>
      <c r="L410" s="289"/>
      <c r="M410" s="251">
        <f t="shared" si="47"/>
        <v>0</v>
      </c>
      <c r="O410" s="14">
        <f t="shared" si="39"/>
        <v>0</v>
      </c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</row>
    <row r="411" spans="1:154" ht="56.25" hidden="1">
      <c r="A411" s="354"/>
      <c r="B411" s="453" t="s">
        <v>208</v>
      </c>
      <c r="C411" s="458"/>
      <c r="D411" s="458"/>
      <c r="E411" s="458"/>
      <c r="F411" s="463">
        <f t="shared" si="40"/>
        <v>0</v>
      </c>
      <c r="G411" s="462"/>
      <c r="H411" s="467"/>
      <c r="I411" s="467"/>
      <c r="J411" s="467"/>
      <c r="K411" s="458"/>
      <c r="L411" s="467"/>
      <c r="M411" s="460">
        <f t="shared" si="47"/>
        <v>0</v>
      </c>
      <c r="O411" s="14">
        <f t="shared" si="39"/>
        <v>0</v>
      </c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</row>
    <row r="412" spans="1:154" ht="56.25" hidden="1">
      <c r="A412" s="354"/>
      <c r="B412" s="244" t="s">
        <v>1413</v>
      </c>
      <c r="C412" s="465">
        <f>709600-709600</f>
        <v>0</v>
      </c>
      <c r="D412" s="276"/>
      <c r="E412" s="276"/>
      <c r="F412" s="506">
        <f t="shared" ref="F412:F454" si="48">+G412+J412</f>
        <v>0</v>
      </c>
      <c r="G412" s="231"/>
      <c r="H412" s="231"/>
      <c r="I412" s="231"/>
      <c r="J412" s="231"/>
      <c r="K412" s="276">
        <f>9405.6+260-9665.6</f>
        <v>0</v>
      </c>
      <c r="L412" s="231"/>
      <c r="M412" s="228">
        <f t="shared" si="47"/>
        <v>0</v>
      </c>
      <c r="N412">
        <f>+M412</f>
        <v>0</v>
      </c>
      <c r="O412" s="14">
        <f t="shared" si="39"/>
        <v>0</v>
      </c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</row>
    <row r="413" spans="1:154" ht="150" hidden="1">
      <c r="A413" s="423">
        <v>250334</v>
      </c>
      <c r="B413" s="409" t="s">
        <v>880</v>
      </c>
      <c r="C413" s="277"/>
      <c r="D413" s="277"/>
      <c r="E413" s="277"/>
      <c r="F413" s="290">
        <f t="shared" si="48"/>
        <v>0</v>
      </c>
      <c r="G413" s="277"/>
      <c r="H413" s="277"/>
      <c r="I413" s="277"/>
      <c r="J413" s="277"/>
      <c r="K413" s="277"/>
      <c r="L413" s="277"/>
      <c r="M413" s="251">
        <f t="shared" si="47"/>
        <v>0</v>
      </c>
      <c r="O413" s="14">
        <f t="shared" si="39"/>
        <v>0</v>
      </c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</row>
    <row r="414" spans="1:154" ht="75" hidden="1">
      <c r="A414" s="423"/>
      <c r="B414" s="409" t="s">
        <v>1446</v>
      </c>
      <c r="C414" s="277"/>
      <c r="D414" s="277"/>
      <c r="E414" s="277"/>
      <c r="F414" s="290">
        <f t="shared" si="48"/>
        <v>0</v>
      </c>
      <c r="G414" s="277"/>
      <c r="H414" s="277"/>
      <c r="I414" s="277"/>
      <c r="J414" s="277"/>
      <c r="K414" s="277"/>
      <c r="L414" s="277"/>
      <c r="M414" s="251">
        <f t="shared" si="47"/>
        <v>0</v>
      </c>
      <c r="O414" s="14">
        <f t="shared" si="39"/>
        <v>0</v>
      </c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</row>
    <row r="415" spans="1:154" ht="56.25" hidden="1">
      <c r="A415" s="423"/>
      <c r="B415" s="409" t="s">
        <v>1447</v>
      </c>
      <c r="C415" s="277"/>
      <c r="D415" s="277"/>
      <c r="E415" s="277"/>
      <c r="F415" s="290">
        <f t="shared" si="48"/>
        <v>0</v>
      </c>
      <c r="G415" s="277"/>
      <c r="H415" s="277"/>
      <c r="I415" s="277"/>
      <c r="J415" s="277"/>
      <c r="K415" s="277"/>
      <c r="L415" s="277"/>
      <c r="M415" s="251">
        <f t="shared" si="47"/>
        <v>0</v>
      </c>
      <c r="O415" s="14">
        <f t="shared" si="39"/>
        <v>0</v>
      </c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</row>
    <row r="416" spans="1:154" s="1" customFormat="1" ht="112.5" hidden="1">
      <c r="A416" s="423">
        <v>250337</v>
      </c>
      <c r="B416" s="409" t="s">
        <v>1499</v>
      </c>
      <c r="C416" s="247"/>
      <c r="D416" s="247"/>
      <c r="E416" s="247"/>
      <c r="F416" s="272">
        <f t="shared" si="48"/>
        <v>0</v>
      </c>
      <c r="G416" s="277"/>
      <c r="H416" s="277"/>
      <c r="I416" s="277"/>
      <c r="J416" s="277"/>
      <c r="K416" s="272"/>
      <c r="L416" s="277"/>
      <c r="M416" s="251">
        <f t="shared" si="47"/>
        <v>0</v>
      </c>
      <c r="N416">
        <f>+M416</f>
        <v>0</v>
      </c>
      <c r="O416" s="14">
        <f t="shared" si="39"/>
        <v>0</v>
      </c>
      <c r="P416" s="84"/>
    </row>
    <row r="417" spans="1:154" s="1" customFormat="1" ht="18.75" hidden="1">
      <c r="A417" s="423">
        <v>250339</v>
      </c>
      <c r="B417" s="269" t="e">
        <f>+#REF!</f>
        <v>#REF!</v>
      </c>
      <c r="C417" s="247"/>
      <c r="D417" s="247"/>
      <c r="E417" s="247"/>
      <c r="F417" s="247">
        <f t="shared" si="48"/>
        <v>0</v>
      </c>
      <c r="G417" s="247"/>
      <c r="H417" s="247"/>
      <c r="I417" s="247"/>
      <c r="J417" s="272"/>
      <c r="K417" s="247"/>
      <c r="L417" s="272"/>
      <c r="M417" s="251">
        <f t="shared" si="47"/>
        <v>0</v>
      </c>
      <c r="N417">
        <f>+M417</f>
        <v>0</v>
      </c>
      <c r="O417" s="14">
        <f t="shared" si="39"/>
        <v>0</v>
      </c>
      <c r="P417" s="84"/>
    </row>
    <row r="418" spans="1:154" s="1" customFormat="1" ht="168.75" hidden="1">
      <c r="A418" s="423">
        <v>250342</v>
      </c>
      <c r="B418" s="421" t="s">
        <v>661</v>
      </c>
      <c r="C418" s="247"/>
      <c r="D418" s="247"/>
      <c r="E418" s="247"/>
      <c r="F418" s="254">
        <f t="shared" si="48"/>
        <v>0</v>
      </c>
      <c r="G418" s="247"/>
      <c r="H418" s="247"/>
      <c r="I418" s="247"/>
      <c r="J418" s="247"/>
      <c r="K418" s="247"/>
      <c r="L418" s="247"/>
      <c r="M418" s="251">
        <f t="shared" si="47"/>
        <v>0</v>
      </c>
      <c r="N418"/>
      <c r="O418" s="14">
        <f t="shared" si="39"/>
        <v>0</v>
      </c>
      <c r="P418" s="83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</row>
    <row r="419" spans="1:154" s="1" customFormat="1" ht="111" hidden="1" customHeight="1">
      <c r="A419" s="281">
        <v>250343</v>
      </c>
      <c r="B419" s="233" t="s">
        <v>737</v>
      </c>
      <c r="C419" s="243"/>
      <c r="D419" s="243"/>
      <c r="E419" s="243"/>
      <c r="F419" s="285">
        <f t="shared" si="48"/>
        <v>0</v>
      </c>
      <c r="G419" s="291"/>
      <c r="H419" s="243"/>
      <c r="I419" s="243"/>
      <c r="J419" s="243"/>
      <c r="K419" s="243"/>
      <c r="L419" s="243"/>
      <c r="M419" s="228">
        <f t="shared" si="47"/>
        <v>0</v>
      </c>
      <c r="N419"/>
      <c r="O419" s="14">
        <f t="shared" si="39"/>
        <v>0</v>
      </c>
      <c r="P419" s="83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</row>
    <row r="420" spans="1:154" s="1" customFormat="1" ht="60" hidden="1" customHeight="1">
      <c r="A420" s="281">
        <v>250344</v>
      </c>
      <c r="B420" s="233" t="s">
        <v>713</v>
      </c>
      <c r="C420" s="475"/>
      <c r="D420" s="475"/>
      <c r="E420" s="475"/>
      <c r="F420" s="463">
        <f t="shared" si="48"/>
        <v>0</v>
      </c>
      <c r="G420" s="479"/>
      <c r="H420" s="475"/>
      <c r="I420" s="475"/>
      <c r="J420" s="479"/>
      <c r="K420" s="466"/>
      <c r="L420" s="479"/>
      <c r="M420" s="457">
        <f t="shared" si="47"/>
        <v>0</v>
      </c>
      <c r="N420"/>
      <c r="O420" s="14">
        <f t="shared" si="39"/>
        <v>0</v>
      </c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</row>
    <row r="421" spans="1:154" s="1" customFormat="1" ht="18.75" hidden="1">
      <c r="A421" s="281"/>
      <c r="B421" s="269" t="s">
        <v>984</v>
      </c>
      <c r="C421" s="256"/>
      <c r="D421" s="256"/>
      <c r="E421" s="256"/>
      <c r="F421" s="254">
        <f t="shared" si="48"/>
        <v>0</v>
      </c>
      <c r="G421" s="257"/>
      <c r="H421" s="256"/>
      <c r="I421" s="256"/>
      <c r="J421" s="256"/>
      <c r="K421" s="247"/>
      <c r="L421" s="256"/>
      <c r="M421" s="251">
        <f t="shared" si="47"/>
        <v>0</v>
      </c>
      <c r="N421"/>
      <c r="O421" s="14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</row>
    <row r="422" spans="1:154" s="1" customFormat="1" ht="37.5" hidden="1">
      <c r="A422" s="281"/>
      <c r="B422" s="233" t="s">
        <v>1635</v>
      </c>
      <c r="C422" s="294">
        <f>+C423+C425+C426</f>
        <v>0</v>
      </c>
      <c r="D422" s="294">
        <f t="shared" ref="D422:K422" si="49">+D423+D425+D426</f>
        <v>0</v>
      </c>
      <c r="E422" s="294">
        <f t="shared" si="49"/>
        <v>0</v>
      </c>
      <c r="F422" s="294"/>
      <c r="G422" s="294"/>
      <c r="H422" s="294">
        <f t="shared" si="49"/>
        <v>0</v>
      </c>
      <c r="I422" s="294">
        <f t="shared" si="49"/>
        <v>0</v>
      </c>
      <c r="J422" s="294"/>
      <c r="K422" s="294">
        <f t="shared" si="49"/>
        <v>0</v>
      </c>
      <c r="L422" s="294"/>
      <c r="M422" s="228">
        <f t="shared" si="47"/>
        <v>0</v>
      </c>
      <c r="N422"/>
      <c r="O422" s="14">
        <f t="shared" si="39"/>
        <v>0</v>
      </c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</row>
    <row r="423" spans="1:154" s="1" customFormat="1" ht="37.5" hidden="1">
      <c r="A423" s="281"/>
      <c r="B423" s="438" t="s">
        <v>479</v>
      </c>
      <c r="C423" s="441"/>
      <c r="D423" s="441"/>
      <c r="E423" s="441"/>
      <c r="F423" s="442">
        <f t="shared" si="48"/>
        <v>0</v>
      </c>
      <c r="G423" s="440"/>
      <c r="H423" s="441"/>
      <c r="I423" s="441"/>
      <c r="J423" s="440"/>
      <c r="K423" s="443"/>
      <c r="L423" s="440"/>
      <c r="M423" s="297">
        <f t="shared" si="47"/>
        <v>0</v>
      </c>
      <c r="N423"/>
      <c r="O423" s="14">
        <f t="shared" si="39"/>
        <v>0</v>
      </c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</row>
    <row r="424" spans="1:154" ht="56.25" hidden="1">
      <c r="A424" s="281"/>
      <c r="B424" s="243" t="s">
        <v>1077</v>
      </c>
      <c r="C424" s="330"/>
      <c r="D424" s="330"/>
      <c r="E424" s="330"/>
      <c r="F424" s="346">
        <f t="shared" si="48"/>
        <v>0</v>
      </c>
      <c r="G424" s="291"/>
      <c r="H424" s="330"/>
      <c r="I424" s="330"/>
      <c r="J424" s="330"/>
      <c r="K424" s="243"/>
      <c r="L424" s="330"/>
      <c r="M424" s="228">
        <f t="shared" si="47"/>
        <v>0</v>
      </c>
      <c r="O424" s="14">
        <f t="shared" si="39"/>
        <v>0</v>
      </c>
      <c r="P424" s="9"/>
      <c r="Q424" s="9"/>
    </row>
    <row r="425" spans="1:154" ht="19.5" hidden="1">
      <c r="A425" s="281"/>
      <c r="B425" s="438" t="s">
        <v>1636</v>
      </c>
      <c r="C425" s="441"/>
      <c r="D425" s="441"/>
      <c r="E425" s="441"/>
      <c r="F425" s="442">
        <f t="shared" si="48"/>
        <v>0</v>
      </c>
      <c r="G425" s="440"/>
      <c r="H425" s="441"/>
      <c r="I425" s="441"/>
      <c r="J425" s="440"/>
      <c r="K425" s="443"/>
      <c r="L425" s="440"/>
      <c r="M425" s="297">
        <f t="shared" si="47"/>
        <v>0</v>
      </c>
      <c r="O425" s="14">
        <f t="shared" si="39"/>
        <v>0</v>
      </c>
      <c r="P425" s="9"/>
      <c r="Q425" s="9"/>
    </row>
    <row r="426" spans="1:154" ht="56.25" hidden="1">
      <c r="A426" s="281"/>
      <c r="B426" s="438" t="s">
        <v>1637</v>
      </c>
      <c r="C426" s="444"/>
      <c r="D426" s="444"/>
      <c r="E426" s="444"/>
      <c r="F426" s="442">
        <f t="shared" si="48"/>
        <v>0</v>
      </c>
      <c r="G426" s="440"/>
      <c r="H426" s="441"/>
      <c r="I426" s="441"/>
      <c r="J426" s="440"/>
      <c r="K426" s="431"/>
      <c r="L426" s="440"/>
      <c r="M426" s="297">
        <f t="shared" si="47"/>
        <v>0</v>
      </c>
      <c r="O426" s="14">
        <f t="shared" si="39"/>
        <v>0</v>
      </c>
      <c r="P426" s="9"/>
      <c r="Q426" s="9"/>
    </row>
    <row r="427" spans="1:154" ht="18.75" hidden="1">
      <c r="A427" s="281"/>
      <c r="B427" s="291" t="s">
        <v>746</v>
      </c>
      <c r="C427" s="228"/>
      <c r="D427" s="228"/>
      <c r="E427" s="228"/>
      <c r="F427" s="232">
        <f t="shared" si="48"/>
        <v>0</v>
      </c>
      <c r="G427" s="279"/>
      <c r="H427" s="278"/>
      <c r="I427" s="278"/>
      <c r="J427" s="279"/>
      <c r="K427" s="231"/>
      <c r="L427" s="279"/>
      <c r="M427" s="228">
        <f t="shared" si="47"/>
        <v>0</v>
      </c>
      <c r="O427" s="14">
        <f t="shared" si="39"/>
        <v>0</v>
      </c>
      <c r="P427" s="9"/>
      <c r="Q427" s="9"/>
    </row>
    <row r="428" spans="1:154" ht="56.25" hidden="1">
      <c r="A428" s="281">
        <v>250351</v>
      </c>
      <c r="B428" s="512" t="s">
        <v>705</v>
      </c>
      <c r="C428" s="451"/>
      <c r="D428" s="481"/>
      <c r="E428" s="481"/>
      <c r="F428" s="464">
        <f>+G428+J428</f>
        <v>0</v>
      </c>
      <c r="G428" s="461"/>
      <c r="H428" s="457"/>
      <c r="I428" s="457"/>
      <c r="J428" s="457"/>
      <c r="K428" s="462"/>
      <c r="L428" s="457"/>
      <c r="M428" s="457">
        <f>+C428+F428</f>
        <v>0</v>
      </c>
      <c r="O428" s="14">
        <f>+M428</f>
        <v>0</v>
      </c>
      <c r="P428" s="9"/>
      <c r="Q428" s="9"/>
    </row>
    <row r="429" spans="1:154" ht="61.15" hidden="1" customHeight="1">
      <c r="A429" s="281"/>
      <c r="B429" s="269" t="s">
        <v>181</v>
      </c>
      <c r="C429" s="451"/>
      <c r="D429" s="481"/>
      <c r="E429" s="481"/>
      <c r="F429" s="464"/>
      <c r="G429" s="461"/>
      <c r="H429" s="457"/>
      <c r="I429" s="457"/>
      <c r="J429" s="461">
        <f>1450000-1450000</f>
        <v>0</v>
      </c>
      <c r="K429" s="462">
        <f>+J429</f>
        <v>0</v>
      </c>
      <c r="L429" s="461">
        <f>+K429</f>
        <v>0</v>
      </c>
      <c r="M429" s="457">
        <f>+C429+F429</f>
        <v>0</v>
      </c>
      <c r="N429" s="14">
        <v>2000000</v>
      </c>
      <c r="O429" s="14">
        <f t="shared" si="39"/>
        <v>0</v>
      </c>
      <c r="P429" s="9"/>
      <c r="Q429" s="9"/>
    </row>
    <row r="430" spans="1:154" ht="79.900000000000006" customHeight="1">
      <c r="A430" s="281">
        <v>250354</v>
      </c>
      <c r="B430" s="282" t="s">
        <v>1019</v>
      </c>
      <c r="C430" s="481"/>
      <c r="D430" s="481"/>
      <c r="E430" s="481"/>
      <c r="F430" s="464">
        <f>+G430+J430</f>
        <v>52497500</v>
      </c>
      <c r="G430" s="461">
        <f>52497500-35698300</f>
        <v>16799200</v>
      </c>
      <c r="H430" s="457"/>
      <c r="I430" s="457"/>
      <c r="J430" s="461">
        <v>35698300</v>
      </c>
      <c r="K430" s="462"/>
      <c r="L430" s="457"/>
      <c r="M430" s="457">
        <f>+C430+F430</f>
        <v>52497500</v>
      </c>
      <c r="O430" s="14">
        <f t="shared" si="39"/>
        <v>52497500</v>
      </c>
      <c r="P430" s="9"/>
      <c r="Q430" s="9"/>
    </row>
    <row r="431" spans="1:154" ht="56.25" hidden="1">
      <c r="A431" s="281">
        <v>250355</v>
      </c>
      <c r="B431" s="283" t="s">
        <v>624</v>
      </c>
      <c r="C431" s="239"/>
      <c r="D431" s="239"/>
      <c r="E431" s="239"/>
      <c r="F431" s="238">
        <f t="shared" si="48"/>
        <v>0</v>
      </c>
      <c r="G431" s="234"/>
      <c r="H431" s="228"/>
      <c r="I431" s="228"/>
      <c r="J431" s="228"/>
      <c r="K431" s="248"/>
      <c r="L431" s="228"/>
      <c r="M431" s="228">
        <f t="shared" si="47"/>
        <v>0</v>
      </c>
      <c r="O431" s="14">
        <f t="shared" si="39"/>
        <v>0</v>
      </c>
      <c r="P431" s="9"/>
      <c r="Q431" s="9"/>
    </row>
    <row r="432" spans="1:154" ht="93.75" hidden="1">
      <c r="A432" s="281">
        <v>250357</v>
      </c>
      <c r="B432" s="352" t="s">
        <v>681</v>
      </c>
      <c r="C432" s="481"/>
      <c r="D432" s="481"/>
      <c r="E432" s="481"/>
      <c r="F432" s="464">
        <f t="shared" si="48"/>
        <v>0</v>
      </c>
      <c r="G432" s="451"/>
      <c r="H432" s="481"/>
      <c r="I432" s="481"/>
      <c r="J432" s="451"/>
      <c r="K432" s="462">
        <f>+J432</f>
        <v>0</v>
      </c>
      <c r="L432" s="451"/>
      <c r="M432" s="457">
        <f t="shared" si="47"/>
        <v>0</v>
      </c>
      <c r="O432" s="14">
        <f t="shared" si="39"/>
        <v>0</v>
      </c>
      <c r="P432" s="9"/>
      <c r="Q432" s="9"/>
    </row>
    <row r="433" spans="1:17" ht="37.5" hidden="1">
      <c r="A433" s="281">
        <v>250358</v>
      </c>
      <c r="B433" s="240" t="s">
        <v>334</v>
      </c>
      <c r="C433" s="451"/>
      <c r="D433" s="481"/>
      <c r="E433" s="481"/>
      <c r="F433" s="464">
        <f t="shared" si="48"/>
        <v>0</v>
      </c>
      <c r="G433" s="451"/>
      <c r="H433" s="481"/>
      <c r="I433" s="481"/>
      <c r="J433" s="451"/>
      <c r="K433" s="462"/>
      <c r="L433" s="451"/>
      <c r="M433" s="457">
        <f t="shared" si="47"/>
        <v>0</v>
      </c>
      <c r="O433" s="14">
        <f t="shared" si="39"/>
        <v>0</v>
      </c>
      <c r="P433" s="9"/>
      <c r="Q433" s="9"/>
    </row>
    <row r="434" spans="1:17" ht="56.25" hidden="1">
      <c r="A434" s="281">
        <v>250364</v>
      </c>
      <c r="B434" s="424" t="s">
        <v>1001</v>
      </c>
      <c r="C434" s="239"/>
      <c r="D434" s="239"/>
      <c r="E434" s="239"/>
      <c r="F434" s="238">
        <f t="shared" si="48"/>
        <v>0</v>
      </c>
      <c r="G434" s="259"/>
      <c r="H434" s="239"/>
      <c r="I434" s="239"/>
      <c r="J434" s="259"/>
      <c r="K434" s="248"/>
      <c r="L434" s="259"/>
      <c r="M434" s="228">
        <f t="shared" si="47"/>
        <v>0</v>
      </c>
      <c r="O434" s="14">
        <f t="shared" si="39"/>
        <v>0</v>
      </c>
      <c r="P434" s="9"/>
      <c r="Q434" s="9"/>
    </row>
    <row r="435" spans="1:17" ht="76.150000000000006" customHeight="1">
      <c r="A435" s="281"/>
      <c r="B435" s="351" t="s">
        <v>959</v>
      </c>
      <c r="C435" s="451">
        <v>37243900</v>
      </c>
      <c r="D435" s="481"/>
      <c r="E435" s="481"/>
      <c r="F435" s="464"/>
      <c r="G435" s="461"/>
      <c r="H435" s="457"/>
      <c r="I435" s="457"/>
      <c r="J435" s="461"/>
      <c r="K435" s="462"/>
      <c r="L435" s="457"/>
      <c r="M435" s="457">
        <f>+C435+F435</f>
        <v>37243900</v>
      </c>
      <c r="N435" s="14">
        <v>52497500</v>
      </c>
      <c r="O435" s="14">
        <f t="shared" si="39"/>
        <v>37243900</v>
      </c>
      <c r="P435" s="9"/>
      <c r="Q435" s="9"/>
    </row>
    <row r="436" spans="1:17" ht="130.15" customHeight="1">
      <c r="A436" s="640">
        <v>250376</v>
      </c>
      <c r="B436" s="292" t="s">
        <v>545</v>
      </c>
      <c r="C436" s="502">
        <v>15080600</v>
      </c>
      <c r="D436" s="667"/>
      <c r="E436" s="667"/>
      <c r="F436" s="502">
        <f t="shared" si="48"/>
        <v>0</v>
      </c>
      <c r="G436" s="502"/>
      <c r="H436" s="667"/>
      <c r="I436" s="667"/>
      <c r="J436" s="502"/>
      <c r="K436" s="502"/>
      <c r="L436" s="502"/>
      <c r="M436" s="648">
        <f t="shared" si="47"/>
        <v>15080600</v>
      </c>
      <c r="O436" s="14">
        <f t="shared" si="39"/>
        <v>15080600</v>
      </c>
      <c r="P436" s="9"/>
      <c r="Q436" s="9"/>
    </row>
    <row r="437" spans="1:17" ht="93.75" hidden="1">
      <c r="A437" s="281">
        <v>250378</v>
      </c>
      <c r="B437" s="424" t="s">
        <v>263</v>
      </c>
      <c r="C437" s="239"/>
      <c r="D437" s="239"/>
      <c r="E437" s="239"/>
      <c r="F437" s="238">
        <f t="shared" si="48"/>
        <v>0</v>
      </c>
      <c r="G437" s="259"/>
      <c r="H437" s="239"/>
      <c r="I437" s="239"/>
      <c r="J437" s="259"/>
      <c r="K437" s="248"/>
      <c r="L437" s="259"/>
      <c r="M437" s="228">
        <f t="shared" si="47"/>
        <v>0</v>
      </c>
      <c r="O437" s="14">
        <f t="shared" si="39"/>
        <v>0</v>
      </c>
      <c r="P437" s="9"/>
      <c r="Q437" s="9"/>
    </row>
    <row r="438" spans="1:17" ht="75" hidden="1">
      <c r="A438" s="286">
        <v>250377</v>
      </c>
      <c r="B438" s="421" t="s">
        <v>431</v>
      </c>
      <c r="C438" s="239"/>
      <c r="D438" s="239"/>
      <c r="E438" s="239"/>
      <c r="F438" s="238">
        <f t="shared" si="48"/>
        <v>0</v>
      </c>
      <c r="G438" s="259"/>
      <c r="H438" s="239"/>
      <c r="I438" s="239"/>
      <c r="J438" s="259"/>
      <c r="K438" s="248"/>
      <c r="L438" s="259"/>
      <c r="M438" s="228">
        <f t="shared" si="47"/>
        <v>0</v>
      </c>
      <c r="O438" s="14">
        <f t="shared" si="39"/>
        <v>0</v>
      </c>
      <c r="P438" s="9"/>
      <c r="Q438" s="9"/>
    </row>
    <row r="439" spans="1:17" ht="18.75" hidden="1">
      <c r="A439" s="286">
        <v>250355</v>
      </c>
      <c r="B439" s="425"/>
      <c r="C439" s="239"/>
      <c r="D439" s="239"/>
      <c r="E439" s="239"/>
      <c r="F439" s="238">
        <f t="shared" si="48"/>
        <v>0</v>
      </c>
      <c r="G439" s="259"/>
      <c r="H439" s="239"/>
      <c r="I439" s="239"/>
      <c r="J439" s="259"/>
      <c r="K439" s="248"/>
      <c r="L439" s="259"/>
      <c r="M439" s="228">
        <f t="shared" si="47"/>
        <v>0</v>
      </c>
      <c r="O439" s="14">
        <f t="shared" si="39"/>
        <v>0</v>
      </c>
      <c r="P439" s="9"/>
      <c r="Q439" s="9"/>
    </row>
    <row r="440" spans="1:17" ht="112.5" hidden="1">
      <c r="A440" s="280">
        <v>250342</v>
      </c>
      <c r="B440" s="424" t="s">
        <v>551</v>
      </c>
      <c r="C440" s="451"/>
      <c r="D440" s="481"/>
      <c r="E440" s="481"/>
      <c r="F440" s="464">
        <f t="shared" si="48"/>
        <v>0</v>
      </c>
      <c r="G440" s="451"/>
      <c r="H440" s="481"/>
      <c r="I440" s="481"/>
      <c r="J440" s="451"/>
      <c r="K440" s="462"/>
      <c r="L440" s="451"/>
      <c r="M440" s="457">
        <f t="shared" si="47"/>
        <v>0</v>
      </c>
      <c r="O440" s="14">
        <f t="shared" si="39"/>
        <v>0</v>
      </c>
      <c r="P440" s="9"/>
      <c r="Q440" s="9"/>
    </row>
    <row r="441" spans="1:17" ht="112.5" hidden="1">
      <c r="A441" s="286"/>
      <c r="B441" s="424" t="s">
        <v>551</v>
      </c>
      <c r="C441" s="259"/>
      <c r="D441" s="239"/>
      <c r="E441" s="239"/>
      <c r="F441" s="238">
        <f t="shared" si="48"/>
        <v>0</v>
      </c>
      <c r="G441" s="259"/>
      <c r="H441" s="239"/>
      <c r="I441" s="239"/>
      <c r="J441" s="259"/>
      <c r="K441" s="248"/>
      <c r="L441" s="259"/>
      <c r="M441" s="228">
        <f t="shared" si="47"/>
        <v>0</v>
      </c>
      <c r="O441" s="14">
        <f t="shared" si="39"/>
        <v>0</v>
      </c>
      <c r="P441" s="9"/>
      <c r="Q441" s="9"/>
    </row>
    <row r="442" spans="1:17" ht="75" hidden="1">
      <c r="A442" s="286"/>
      <c r="B442" s="424" t="s">
        <v>395</v>
      </c>
      <c r="C442" s="259"/>
      <c r="D442" s="239"/>
      <c r="E442" s="239"/>
      <c r="F442" s="238">
        <f t="shared" si="48"/>
        <v>0</v>
      </c>
      <c r="G442" s="259"/>
      <c r="H442" s="239"/>
      <c r="I442" s="239"/>
      <c r="J442" s="259"/>
      <c r="K442" s="248"/>
      <c r="L442" s="259"/>
      <c r="M442" s="228">
        <f t="shared" si="47"/>
        <v>0</v>
      </c>
      <c r="O442" s="14">
        <f t="shared" si="39"/>
        <v>0</v>
      </c>
      <c r="P442" s="9"/>
      <c r="Q442" s="9"/>
    </row>
    <row r="443" spans="1:17" ht="75" hidden="1">
      <c r="A443" s="286"/>
      <c r="B443" s="422" t="s">
        <v>588</v>
      </c>
      <c r="C443" s="239"/>
      <c r="D443" s="239"/>
      <c r="E443" s="239"/>
      <c r="F443" s="238">
        <f t="shared" si="48"/>
        <v>0</v>
      </c>
      <c r="G443" s="259"/>
      <c r="H443" s="239"/>
      <c r="I443" s="239"/>
      <c r="J443" s="259"/>
      <c r="K443" s="248"/>
      <c r="L443" s="259"/>
      <c r="M443" s="228">
        <f t="shared" si="47"/>
        <v>0</v>
      </c>
      <c r="O443" s="14">
        <f t="shared" si="39"/>
        <v>0</v>
      </c>
      <c r="P443" s="9"/>
      <c r="Q443" s="9"/>
    </row>
    <row r="444" spans="1:17" ht="24" customHeight="1">
      <c r="A444" s="280">
        <v>250380</v>
      </c>
      <c r="B444" s="269" t="s">
        <v>1246</v>
      </c>
      <c r="C444" s="259">
        <f>95417700+6000000</f>
        <v>101417700</v>
      </c>
      <c r="D444" s="239"/>
      <c r="E444" s="239"/>
      <c r="F444" s="238">
        <f t="shared" si="48"/>
        <v>950000</v>
      </c>
      <c r="G444" s="259"/>
      <c r="H444" s="239"/>
      <c r="I444" s="239"/>
      <c r="J444" s="259">
        <f>700000+250000</f>
        <v>950000</v>
      </c>
      <c r="K444" s="248">
        <f>700000+250000</f>
        <v>950000</v>
      </c>
      <c r="L444" s="259">
        <f>700000+250000</f>
        <v>950000</v>
      </c>
      <c r="M444" s="228">
        <f t="shared" si="47"/>
        <v>102367700</v>
      </c>
      <c r="O444" s="14">
        <f t="shared" si="39"/>
        <v>102367700</v>
      </c>
      <c r="P444" s="9"/>
      <c r="Q444" s="9"/>
    </row>
    <row r="445" spans="1:17" ht="18.75">
      <c r="A445" s="280"/>
      <c r="B445" s="269" t="s">
        <v>52</v>
      </c>
      <c r="C445" s="239"/>
      <c r="D445" s="239"/>
      <c r="E445" s="239"/>
      <c r="F445" s="238">
        <f t="shared" si="48"/>
        <v>0</v>
      </c>
      <c r="G445" s="259"/>
      <c r="H445" s="239"/>
      <c r="I445" s="239"/>
      <c r="J445" s="259"/>
      <c r="K445" s="248"/>
      <c r="L445" s="259"/>
      <c r="M445" s="228">
        <f t="shared" si="47"/>
        <v>0</v>
      </c>
      <c r="O445" s="14">
        <v>1</v>
      </c>
      <c r="P445" s="9"/>
      <c r="Q445" s="9"/>
    </row>
    <row r="446" spans="1:17" ht="75" hidden="1">
      <c r="A446" s="280"/>
      <c r="B446" s="269" t="s">
        <v>519</v>
      </c>
      <c r="C446" s="239"/>
      <c r="D446" s="239"/>
      <c r="E446" s="239"/>
      <c r="F446" s="238">
        <f t="shared" si="48"/>
        <v>0</v>
      </c>
      <c r="G446" s="259"/>
      <c r="H446" s="239"/>
      <c r="I446" s="239"/>
      <c r="J446" s="259"/>
      <c r="K446" s="248"/>
      <c r="L446" s="259"/>
      <c r="M446" s="228">
        <f t="shared" ref="M446:M473" si="50">+C446+F446</f>
        <v>0</v>
      </c>
      <c r="O446" s="14">
        <f t="shared" si="39"/>
        <v>0</v>
      </c>
      <c r="P446" s="9"/>
      <c r="Q446" s="9"/>
    </row>
    <row r="447" spans="1:17" ht="56.25" hidden="1">
      <c r="A447" s="280"/>
      <c r="B447" s="269" t="s">
        <v>1061</v>
      </c>
      <c r="C447" s="239"/>
      <c r="D447" s="239"/>
      <c r="E447" s="239"/>
      <c r="F447" s="238">
        <f t="shared" si="48"/>
        <v>0</v>
      </c>
      <c r="G447" s="259"/>
      <c r="H447" s="239"/>
      <c r="I447" s="239"/>
      <c r="J447" s="259">
        <f>27500000-27500000</f>
        <v>0</v>
      </c>
      <c r="K447" s="248"/>
      <c r="L447" s="259">
        <f>27500000-27500000</f>
        <v>0</v>
      </c>
      <c r="M447" s="228">
        <f t="shared" si="50"/>
        <v>0</v>
      </c>
      <c r="O447" s="14">
        <f t="shared" si="39"/>
        <v>0</v>
      </c>
      <c r="P447" s="9"/>
      <c r="Q447" s="9"/>
    </row>
    <row r="448" spans="1:17" ht="37.5" hidden="1">
      <c r="A448" s="280"/>
      <c r="B448" s="292" t="s">
        <v>1142</v>
      </c>
      <c r="C448" s="239"/>
      <c r="D448" s="239"/>
      <c r="E448" s="239"/>
      <c r="F448" s="238">
        <f t="shared" si="48"/>
        <v>0</v>
      </c>
      <c r="G448" s="259"/>
      <c r="H448" s="239"/>
      <c r="I448" s="239"/>
      <c r="J448" s="259"/>
      <c r="K448" s="248"/>
      <c r="L448" s="259"/>
      <c r="M448" s="228">
        <f t="shared" si="50"/>
        <v>0</v>
      </c>
      <c r="O448" s="14">
        <f t="shared" si="39"/>
        <v>0</v>
      </c>
      <c r="P448" s="9"/>
      <c r="Q448" s="9"/>
    </row>
    <row r="449" spans="1:154" ht="56.25" hidden="1">
      <c r="A449" s="280"/>
      <c r="B449" s="236" t="s">
        <v>971</v>
      </c>
      <c r="C449" s="239"/>
      <c r="D449" s="239"/>
      <c r="E449" s="239"/>
      <c r="F449" s="238">
        <f t="shared" si="48"/>
        <v>0</v>
      </c>
      <c r="G449" s="259"/>
      <c r="H449" s="239"/>
      <c r="I449" s="239"/>
      <c r="J449" s="259"/>
      <c r="K449" s="248"/>
      <c r="L449" s="259"/>
      <c r="M449" s="228">
        <f t="shared" si="50"/>
        <v>0</v>
      </c>
      <c r="O449" s="14">
        <f t="shared" si="39"/>
        <v>0</v>
      </c>
      <c r="P449" s="9"/>
      <c r="Q449" s="9"/>
    </row>
    <row r="450" spans="1:154" ht="25.9" hidden="1" customHeight="1">
      <c r="A450" s="280"/>
      <c r="B450" s="230" t="s">
        <v>1411</v>
      </c>
      <c r="C450" s="239"/>
      <c r="D450" s="239"/>
      <c r="E450" s="239"/>
      <c r="F450" s="238">
        <f t="shared" si="48"/>
        <v>0</v>
      </c>
      <c r="G450" s="259"/>
      <c r="H450" s="239"/>
      <c r="I450" s="239"/>
      <c r="J450" s="259"/>
      <c r="K450" s="248"/>
      <c r="L450" s="259"/>
      <c r="M450" s="228">
        <f t="shared" si="50"/>
        <v>0</v>
      </c>
      <c r="O450" s="14">
        <f t="shared" si="39"/>
        <v>0</v>
      </c>
      <c r="P450" s="9"/>
      <c r="Q450" s="9"/>
    </row>
    <row r="451" spans="1:154" ht="43.9" customHeight="1">
      <c r="A451" s="280"/>
      <c r="B451" s="230" t="s">
        <v>859</v>
      </c>
      <c r="C451" s="259">
        <v>95417700</v>
      </c>
      <c r="D451" s="239"/>
      <c r="E451" s="239"/>
      <c r="F451" s="238">
        <f t="shared" si="48"/>
        <v>0</v>
      </c>
      <c r="G451" s="259"/>
      <c r="H451" s="239"/>
      <c r="I451" s="239"/>
      <c r="J451" s="259"/>
      <c r="K451" s="248"/>
      <c r="L451" s="259"/>
      <c r="M451" s="228">
        <f t="shared" si="50"/>
        <v>95417700</v>
      </c>
      <c r="O451" s="14">
        <f t="shared" si="39"/>
        <v>95417700</v>
      </c>
      <c r="P451" s="9"/>
      <c r="Q451" s="9"/>
    </row>
    <row r="452" spans="1:154" ht="75">
      <c r="A452" s="354"/>
      <c r="B452" s="240" t="s">
        <v>256</v>
      </c>
      <c r="C452" s="239"/>
      <c r="D452" s="239"/>
      <c r="E452" s="239"/>
      <c r="F452" s="238">
        <f t="shared" si="48"/>
        <v>700000</v>
      </c>
      <c r="G452" s="259"/>
      <c r="H452" s="239"/>
      <c r="I452" s="239"/>
      <c r="J452" s="259">
        <v>700000</v>
      </c>
      <c r="K452" s="248">
        <f>+J452</f>
        <v>700000</v>
      </c>
      <c r="L452" s="259">
        <f>+K452</f>
        <v>700000</v>
      </c>
      <c r="M452" s="228">
        <f t="shared" si="50"/>
        <v>700000</v>
      </c>
      <c r="O452" s="14">
        <f t="shared" si="39"/>
        <v>700000</v>
      </c>
      <c r="P452" s="9"/>
      <c r="Q452" s="9"/>
    </row>
    <row r="453" spans="1:154" ht="56.25">
      <c r="A453" s="354"/>
      <c r="B453" s="240" t="s">
        <v>115</v>
      </c>
      <c r="C453" s="239"/>
      <c r="D453" s="239"/>
      <c r="E453" s="239"/>
      <c r="F453" s="238">
        <f t="shared" si="48"/>
        <v>250000</v>
      </c>
      <c r="G453" s="259"/>
      <c r="H453" s="239"/>
      <c r="I453" s="239"/>
      <c r="J453" s="259">
        <v>250000</v>
      </c>
      <c r="K453" s="259">
        <v>250000</v>
      </c>
      <c r="L453" s="259">
        <v>250000</v>
      </c>
      <c r="M453" s="228">
        <f t="shared" si="50"/>
        <v>250000</v>
      </c>
      <c r="O453" s="14">
        <f t="shared" si="39"/>
        <v>250000</v>
      </c>
      <c r="P453" s="9"/>
      <c r="Q453" s="9"/>
    </row>
    <row r="454" spans="1:154" s="1" customFormat="1" ht="42" customHeight="1">
      <c r="A454" s="354"/>
      <c r="B454" s="421" t="s">
        <v>190</v>
      </c>
      <c r="C454" s="234">
        <v>6000000</v>
      </c>
      <c r="D454" s="228"/>
      <c r="E454" s="228"/>
      <c r="F454" s="238">
        <f t="shared" si="48"/>
        <v>0</v>
      </c>
      <c r="G454" s="259"/>
      <c r="H454" s="239"/>
      <c r="I454" s="239"/>
      <c r="J454" s="259"/>
      <c r="K454" s="231"/>
      <c r="L454" s="259"/>
      <c r="M454" s="228">
        <f t="shared" si="50"/>
        <v>6000000</v>
      </c>
      <c r="N454"/>
      <c r="O454" s="14">
        <f t="shared" si="39"/>
        <v>6000000</v>
      </c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</row>
    <row r="455" spans="1:154" s="1" customFormat="1" ht="93.75" hidden="1">
      <c r="A455" s="286">
        <v>250352</v>
      </c>
      <c r="B455" s="426" t="s">
        <v>60</v>
      </c>
      <c r="C455" s="239"/>
      <c r="D455" s="239"/>
      <c r="E455" s="239"/>
      <c r="F455" s="238">
        <f>+G455+J455</f>
        <v>0</v>
      </c>
      <c r="G455" s="234"/>
      <c r="H455" s="228"/>
      <c r="I455" s="228"/>
      <c r="J455" s="228"/>
      <c r="K455" s="248"/>
      <c r="L455" s="228"/>
      <c r="M455" s="228">
        <f t="shared" si="50"/>
        <v>0</v>
      </c>
      <c r="N455"/>
      <c r="O455" s="14">
        <f t="shared" si="39"/>
        <v>0</v>
      </c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</row>
    <row r="456" spans="1:154" ht="75" hidden="1">
      <c r="A456" s="280">
        <v>250388</v>
      </c>
      <c r="B456" s="427" t="s">
        <v>694</v>
      </c>
      <c r="C456" s="461"/>
      <c r="D456" s="482"/>
      <c r="E456" s="482"/>
      <c r="F456" s="483">
        <f>+G456+J456</f>
        <v>0</v>
      </c>
      <c r="G456" s="451"/>
      <c r="H456" s="481"/>
      <c r="I456" s="481"/>
      <c r="J456" s="451"/>
      <c r="K456" s="486"/>
      <c r="L456" s="451"/>
      <c r="M456" s="457">
        <f t="shared" si="50"/>
        <v>0</v>
      </c>
      <c r="O456" s="14">
        <f t="shared" si="39"/>
        <v>0</v>
      </c>
      <c r="P456" s="9"/>
      <c r="Q456" s="9"/>
    </row>
    <row r="457" spans="1:154" ht="78" customHeight="1">
      <c r="A457" s="280">
        <v>250382</v>
      </c>
      <c r="B457" s="293" t="s">
        <v>925</v>
      </c>
      <c r="C457" s="461">
        <v>1030900</v>
      </c>
      <c r="D457" s="457"/>
      <c r="E457" s="457"/>
      <c r="F457" s="459">
        <f>+G457+J457</f>
        <v>0</v>
      </c>
      <c r="G457" s="479"/>
      <c r="H457" s="475"/>
      <c r="I457" s="475"/>
      <c r="J457" s="479"/>
      <c r="K457" s="458"/>
      <c r="L457" s="479"/>
      <c r="M457" s="457">
        <f t="shared" si="50"/>
        <v>1030900</v>
      </c>
      <c r="O457" s="14">
        <f t="shared" si="39"/>
        <v>1030900</v>
      </c>
      <c r="P457" s="9"/>
      <c r="Q457" s="9"/>
    </row>
    <row r="458" spans="1:154" ht="18.75" hidden="1">
      <c r="A458" s="280"/>
      <c r="B458" s="233"/>
      <c r="C458" s="256"/>
      <c r="D458" s="256"/>
      <c r="E458" s="256"/>
      <c r="F458" s="270">
        <f>+G458+J458</f>
        <v>0</v>
      </c>
      <c r="G458" s="234"/>
      <c r="H458" s="228"/>
      <c r="I458" s="228"/>
      <c r="J458" s="234"/>
      <c r="K458" s="247"/>
      <c r="L458" s="234"/>
      <c r="M458" s="251">
        <f t="shared" si="50"/>
        <v>0</v>
      </c>
      <c r="O458" s="14">
        <f t="shared" si="39"/>
        <v>0</v>
      </c>
      <c r="P458" s="9"/>
      <c r="Q458" s="9"/>
    </row>
    <row r="459" spans="1:154" ht="18.75" hidden="1">
      <c r="A459" s="280"/>
      <c r="B459" s="233"/>
      <c r="C459" s="228"/>
      <c r="D459" s="228"/>
      <c r="E459" s="228"/>
      <c r="F459" s="232">
        <f t="shared" ref="F459:F473" si="51">+G459+J459</f>
        <v>0</v>
      </c>
      <c r="G459" s="257"/>
      <c r="H459" s="256"/>
      <c r="I459" s="256"/>
      <c r="J459" s="257"/>
      <c r="K459" s="231"/>
      <c r="L459" s="257"/>
      <c r="M459" s="228">
        <f t="shared" si="50"/>
        <v>0</v>
      </c>
      <c r="O459" s="14">
        <f t="shared" ref="O459:O483" si="52">+M459</f>
        <v>0</v>
      </c>
      <c r="P459" s="9"/>
      <c r="Q459" s="9"/>
    </row>
    <row r="460" spans="1:154" ht="75" hidden="1">
      <c r="A460" s="280">
        <v>250381</v>
      </c>
      <c r="B460" s="282" t="s">
        <v>494</v>
      </c>
      <c r="C460" s="278"/>
      <c r="D460" s="278"/>
      <c r="E460" s="278"/>
      <c r="F460" s="250">
        <f t="shared" si="51"/>
        <v>0</v>
      </c>
      <c r="G460" s="234"/>
      <c r="H460" s="228"/>
      <c r="I460" s="228"/>
      <c r="J460" s="234"/>
      <c r="K460" s="277"/>
      <c r="L460" s="234"/>
      <c r="M460" s="251">
        <f t="shared" si="50"/>
        <v>0</v>
      </c>
      <c r="O460" s="14">
        <f t="shared" si="52"/>
        <v>0</v>
      </c>
      <c r="P460" s="9"/>
      <c r="Q460" s="9"/>
    </row>
    <row r="461" spans="1:154" ht="154.9" hidden="1" customHeight="1">
      <c r="A461" s="280">
        <v>250383</v>
      </c>
      <c r="B461" s="535" t="s">
        <v>312</v>
      </c>
      <c r="C461" s="482"/>
      <c r="D461" s="482"/>
      <c r="E461" s="482"/>
      <c r="F461" s="472">
        <f t="shared" si="51"/>
        <v>0</v>
      </c>
      <c r="G461" s="474"/>
      <c r="H461" s="516"/>
      <c r="I461" s="516"/>
      <c r="J461" s="474"/>
      <c r="K461" s="466"/>
      <c r="L461" s="474"/>
      <c r="M461" s="457">
        <f t="shared" si="50"/>
        <v>0</v>
      </c>
      <c r="O461" s="14">
        <f t="shared" si="52"/>
        <v>0</v>
      </c>
      <c r="P461" s="9"/>
      <c r="Q461" s="9"/>
    </row>
    <row r="462" spans="1:154" ht="75" hidden="1">
      <c r="A462" s="280">
        <v>250388</v>
      </c>
      <c r="B462" s="428" t="s">
        <v>237</v>
      </c>
      <c r="C462" s="479"/>
      <c r="D462" s="482"/>
      <c r="E462" s="482"/>
      <c r="F462" s="483">
        <f t="shared" si="51"/>
        <v>0</v>
      </c>
      <c r="G462" s="484"/>
      <c r="H462" s="485"/>
      <c r="I462" s="485"/>
      <c r="J462" s="484"/>
      <c r="K462" s="486"/>
      <c r="L462" s="484"/>
      <c r="M462" s="457">
        <f t="shared" si="50"/>
        <v>0</v>
      </c>
      <c r="O462" s="14">
        <f t="shared" si="52"/>
        <v>0</v>
      </c>
      <c r="P462" s="9"/>
      <c r="Q462" s="9"/>
    </row>
    <row r="463" spans="1:154" ht="93.75" hidden="1">
      <c r="A463" s="280">
        <v>250396</v>
      </c>
      <c r="B463" s="295" t="s">
        <v>48</v>
      </c>
      <c r="C463" s="278"/>
      <c r="D463" s="278"/>
      <c r="E463" s="278"/>
      <c r="F463" s="250">
        <f t="shared" si="51"/>
        <v>0</v>
      </c>
      <c r="G463" s="257"/>
      <c r="H463" s="256"/>
      <c r="I463" s="256"/>
      <c r="J463" s="257"/>
      <c r="K463" s="277"/>
      <c r="L463" s="257"/>
      <c r="M463" s="251">
        <f t="shared" si="50"/>
        <v>0</v>
      </c>
      <c r="O463" s="14">
        <f t="shared" si="52"/>
        <v>0</v>
      </c>
      <c r="P463" s="9"/>
      <c r="Q463" s="9"/>
    </row>
    <row r="464" spans="1:154" ht="37.5" hidden="1">
      <c r="A464" s="286"/>
      <c r="B464" s="269" t="s">
        <v>1254</v>
      </c>
      <c r="C464" s="228"/>
      <c r="D464" s="228"/>
      <c r="E464" s="228"/>
      <c r="F464" s="232">
        <f t="shared" si="51"/>
        <v>0</v>
      </c>
      <c r="G464" s="279"/>
      <c r="H464" s="278"/>
      <c r="I464" s="278"/>
      <c r="J464" s="279"/>
      <c r="K464" s="231"/>
      <c r="L464" s="279"/>
      <c r="M464" s="228">
        <f t="shared" si="50"/>
        <v>0</v>
      </c>
      <c r="O464" s="14">
        <f t="shared" si="52"/>
        <v>0</v>
      </c>
      <c r="P464" s="9"/>
      <c r="Q464" s="9"/>
    </row>
    <row r="465" spans="1:154" ht="243.75" hidden="1">
      <c r="A465" s="286">
        <v>250342</v>
      </c>
      <c r="B465" s="352" t="s">
        <v>961</v>
      </c>
      <c r="C465" s="228"/>
      <c r="D465" s="228"/>
      <c r="E465" s="228"/>
      <c r="F465" s="232">
        <f t="shared" si="51"/>
        <v>0</v>
      </c>
      <c r="G465" s="234"/>
      <c r="H465" s="228"/>
      <c r="I465" s="228"/>
      <c r="J465" s="234"/>
      <c r="K465" s="231"/>
      <c r="L465" s="234"/>
      <c r="M465" s="228">
        <f t="shared" si="50"/>
        <v>0</v>
      </c>
      <c r="O465" s="14">
        <f t="shared" si="52"/>
        <v>0</v>
      </c>
      <c r="P465" s="9"/>
      <c r="Q465" s="9"/>
    </row>
    <row r="466" spans="1:154" ht="93.75" hidden="1">
      <c r="A466" s="286"/>
      <c r="B466" s="420" t="s">
        <v>162</v>
      </c>
      <c r="C466" s="228"/>
      <c r="D466" s="228"/>
      <c r="E466" s="228"/>
      <c r="F466" s="232">
        <f t="shared" si="51"/>
        <v>0</v>
      </c>
      <c r="G466" s="234"/>
      <c r="H466" s="228"/>
      <c r="I466" s="228"/>
      <c r="J466" s="234"/>
      <c r="K466" s="231"/>
      <c r="L466" s="234"/>
      <c r="M466" s="228">
        <f t="shared" si="50"/>
        <v>0</v>
      </c>
      <c r="O466" s="14">
        <f t="shared" si="52"/>
        <v>0</v>
      </c>
      <c r="P466" s="9"/>
      <c r="Q466" s="9"/>
    </row>
    <row r="467" spans="1:154" ht="75" hidden="1">
      <c r="A467" s="286"/>
      <c r="B467" s="295" t="s">
        <v>66</v>
      </c>
      <c r="C467" s="228"/>
      <c r="D467" s="228"/>
      <c r="E467" s="228"/>
      <c r="F467" s="232">
        <f t="shared" si="51"/>
        <v>0</v>
      </c>
      <c r="G467" s="234"/>
      <c r="H467" s="228"/>
      <c r="I467" s="228"/>
      <c r="J467" s="234"/>
      <c r="K467" s="231"/>
      <c r="L467" s="234"/>
      <c r="M467" s="228">
        <f t="shared" si="50"/>
        <v>0</v>
      </c>
      <c r="O467" s="14">
        <f t="shared" si="52"/>
        <v>0</v>
      </c>
      <c r="P467" s="9"/>
      <c r="Q467" s="9"/>
    </row>
    <row r="468" spans="1:154" ht="75" hidden="1">
      <c r="A468" s="286">
        <v>250376</v>
      </c>
      <c r="B468" s="295" t="s">
        <v>163</v>
      </c>
      <c r="C468" s="228"/>
      <c r="D468" s="228"/>
      <c r="E468" s="228"/>
      <c r="F468" s="232">
        <f t="shared" si="51"/>
        <v>0</v>
      </c>
      <c r="G468" s="234"/>
      <c r="H468" s="228"/>
      <c r="I468" s="228"/>
      <c r="J468" s="234"/>
      <c r="K468" s="231"/>
      <c r="L468" s="234"/>
      <c r="M468" s="228">
        <f t="shared" si="50"/>
        <v>0</v>
      </c>
      <c r="O468" s="14">
        <f t="shared" si="52"/>
        <v>0</v>
      </c>
      <c r="P468" s="9"/>
      <c r="Q468" s="9"/>
    </row>
    <row r="469" spans="1:154" ht="93.75" hidden="1">
      <c r="A469" s="286"/>
      <c r="B469" s="293" t="s">
        <v>207</v>
      </c>
      <c r="C469" s="256"/>
      <c r="D469" s="256"/>
      <c r="E469" s="256"/>
      <c r="F469" s="270">
        <f t="shared" si="51"/>
        <v>0</v>
      </c>
      <c r="G469" s="234"/>
      <c r="H469" s="228"/>
      <c r="I469" s="228"/>
      <c r="J469" s="234"/>
      <c r="K469" s="247"/>
      <c r="L469" s="234"/>
      <c r="M469" s="251">
        <f t="shared" si="50"/>
        <v>0</v>
      </c>
      <c r="O469" s="14">
        <f t="shared" si="52"/>
        <v>0</v>
      </c>
      <c r="P469" s="9"/>
      <c r="Q469" s="9"/>
    </row>
    <row r="470" spans="1:154" ht="56.25" hidden="1">
      <c r="A470" s="286">
        <v>250332</v>
      </c>
      <c r="B470" s="429" t="s">
        <v>1239</v>
      </c>
      <c r="C470" s="256"/>
      <c r="D470" s="256"/>
      <c r="E470" s="256"/>
      <c r="F470" s="270">
        <f t="shared" si="51"/>
        <v>0</v>
      </c>
      <c r="G470" s="257"/>
      <c r="H470" s="256"/>
      <c r="I470" s="256"/>
      <c r="J470" s="257"/>
      <c r="K470" s="247"/>
      <c r="L470" s="257"/>
      <c r="M470" s="251">
        <f t="shared" si="50"/>
        <v>0</v>
      </c>
      <c r="O470" s="14">
        <f t="shared" si="52"/>
        <v>0</v>
      </c>
      <c r="P470" s="9"/>
      <c r="Q470" s="9"/>
    </row>
    <row r="471" spans="1:154" ht="18.75" hidden="1">
      <c r="A471" s="286"/>
      <c r="B471" s="426"/>
      <c r="C471" s="256"/>
      <c r="D471" s="256"/>
      <c r="E471" s="256"/>
      <c r="F471" s="270">
        <f t="shared" si="51"/>
        <v>0</v>
      </c>
      <c r="G471" s="257"/>
      <c r="H471" s="256"/>
      <c r="I471" s="256"/>
      <c r="J471" s="257"/>
      <c r="K471" s="247"/>
      <c r="L471" s="257"/>
      <c r="M471" s="251">
        <f t="shared" si="50"/>
        <v>0</v>
      </c>
      <c r="O471" s="14">
        <f t="shared" si="52"/>
        <v>0</v>
      </c>
      <c r="P471" s="9"/>
      <c r="Q471" s="9"/>
    </row>
    <row r="472" spans="1:154" ht="56.25" hidden="1">
      <c r="A472" s="392"/>
      <c r="B472" s="409" t="s">
        <v>1262</v>
      </c>
      <c r="C472" s="256"/>
      <c r="D472" s="256"/>
      <c r="E472" s="256"/>
      <c r="F472" s="270">
        <f t="shared" si="51"/>
        <v>0</v>
      </c>
      <c r="G472" s="257"/>
      <c r="H472" s="256"/>
      <c r="I472" s="256"/>
      <c r="J472" s="257"/>
      <c r="K472" s="247"/>
      <c r="L472" s="257"/>
      <c r="M472" s="251">
        <f t="shared" si="50"/>
        <v>0</v>
      </c>
      <c r="O472" s="14">
        <f t="shared" si="52"/>
        <v>0</v>
      </c>
      <c r="P472" s="9"/>
      <c r="Q472" s="9"/>
    </row>
    <row r="473" spans="1:154" s="105" customFormat="1" ht="28.15" customHeight="1">
      <c r="A473" s="685">
        <v>0</v>
      </c>
      <c r="B473" s="686" t="s">
        <v>560</v>
      </c>
      <c r="C473" s="687">
        <f>+C335+C336+C348</f>
        <v>6199324384</v>
      </c>
      <c r="D473" s="687">
        <f>+D335+D336+D348</f>
        <v>926417538</v>
      </c>
      <c r="E473" s="687">
        <f>+E335+E336+E348</f>
        <v>133780100</v>
      </c>
      <c r="F473" s="687">
        <f t="shared" si="51"/>
        <v>213698300</v>
      </c>
      <c r="G473" s="687">
        <f t="shared" ref="G473:L473" si="53">+G335+G336+G348</f>
        <v>82936100</v>
      </c>
      <c r="H473" s="687">
        <f t="shared" si="53"/>
        <v>6773700</v>
      </c>
      <c r="I473" s="687">
        <f t="shared" si="53"/>
        <v>2925800</v>
      </c>
      <c r="J473" s="687">
        <f t="shared" si="53"/>
        <v>130762200</v>
      </c>
      <c r="K473" s="687">
        <f t="shared" si="53"/>
        <v>60322400</v>
      </c>
      <c r="L473" s="687">
        <f t="shared" si="53"/>
        <v>53322400</v>
      </c>
      <c r="M473" s="688">
        <f t="shared" si="50"/>
        <v>6413022684</v>
      </c>
      <c r="N473" s="303"/>
      <c r="O473" s="104">
        <f t="shared" si="52"/>
        <v>6413022684</v>
      </c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6"/>
      <c r="EJ473" s="16"/>
      <c r="EK473" s="16"/>
      <c r="EL473" s="16"/>
      <c r="EM473" s="16"/>
      <c r="EN473" s="16"/>
      <c r="EO473" s="16"/>
      <c r="EP473" s="16"/>
      <c r="EQ473" s="16"/>
      <c r="ER473" s="16"/>
      <c r="ES473" s="16"/>
      <c r="ET473" s="16"/>
      <c r="EU473" s="16"/>
      <c r="EV473" s="16"/>
      <c r="EW473" s="16"/>
      <c r="EX473" s="16"/>
    </row>
    <row r="474" spans="1:154" ht="19.5" hidden="1">
      <c r="A474" s="430"/>
      <c r="B474" s="269" t="s">
        <v>984</v>
      </c>
      <c r="C474" s="256"/>
      <c r="D474" s="256"/>
      <c r="E474" s="256"/>
      <c r="F474" s="270"/>
      <c r="G474" s="256"/>
      <c r="H474" s="256"/>
      <c r="I474" s="247"/>
      <c r="J474" s="247"/>
      <c r="K474" s="247"/>
      <c r="L474" s="247"/>
      <c r="M474" s="251"/>
      <c r="O474" s="14"/>
      <c r="P474" s="9"/>
      <c r="Q474" s="9"/>
    </row>
    <row r="475" spans="1:154" ht="19.5" hidden="1">
      <c r="A475" s="296"/>
      <c r="B475" s="233" t="s">
        <v>747</v>
      </c>
      <c r="C475" s="278"/>
      <c r="D475" s="278"/>
      <c r="E475" s="278"/>
      <c r="F475" s="250"/>
      <c r="G475" s="278"/>
      <c r="H475" s="278"/>
      <c r="I475" s="277"/>
      <c r="J475" s="277"/>
      <c r="K475" s="277"/>
      <c r="L475" s="277"/>
      <c r="M475" s="251"/>
      <c r="O475" s="14"/>
      <c r="P475" s="9"/>
      <c r="Q475" s="9"/>
    </row>
    <row r="476" spans="1:154" ht="19.5" hidden="1">
      <c r="A476" s="296"/>
      <c r="B476" s="438" t="s">
        <v>527</v>
      </c>
      <c r="C476" s="439">
        <f>+C41+C72+C113+C185+C209+C271</f>
        <v>2700000</v>
      </c>
      <c r="D476" s="439">
        <f t="shared" ref="D476:K476" si="54">+D41+D72+D113+D185+D209+D271</f>
        <v>0</v>
      </c>
      <c r="E476" s="439">
        <f t="shared" si="54"/>
        <v>0</v>
      </c>
      <c r="F476" s="439">
        <f t="shared" si="54"/>
        <v>4200000</v>
      </c>
      <c r="G476" s="439">
        <f t="shared" si="54"/>
        <v>0</v>
      </c>
      <c r="H476" s="439">
        <f t="shared" si="54"/>
        <v>0</v>
      </c>
      <c r="I476" s="439">
        <f t="shared" si="54"/>
        <v>0</v>
      </c>
      <c r="J476" s="439">
        <f t="shared" si="54"/>
        <v>4200000</v>
      </c>
      <c r="K476" s="439">
        <f t="shared" si="54"/>
        <v>4200000</v>
      </c>
      <c r="L476" s="439">
        <f>+L41+L72+L113+L185+L209+L271</f>
        <v>4200000</v>
      </c>
      <c r="M476" s="297">
        <f>+C476+F476</f>
        <v>6900000</v>
      </c>
      <c r="O476" s="14"/>
      <c r="P476" s="9"/>
      <c r="Q476" s="9"/>
    </row>
    <row r="477" spans="1:154" customFormat="1" ht="56.25" hidden="1">
      <c r="A477" s="296"/>
      <c r="B477" s="243" t="s">
        <v>1005</v>
      </c>
      <c r="C477" s="285">
        <f>+C270+C333+C424</f>
        <v>0</v>
      </c>
      <c r="D477" s="285">
        <f>+D270+D333+D424</f>
        <v>0</v>
      </c>
      <c r="E477" s="285">
        <f>+E270+E333+E424</f>
        <v>0</v>
      </c>
      <c r="F477" s="275">
        <f>+G477+J477</f>
        <v>0</v>
      </c>
      <c r="G477" s="285">
        <f>+G270+G333+G424</f>
        <v>0</v>
      </c>
      <c r="H477" s="285">
        <f>+H270+H333+H424</f>
        <v>0</v>
      </c>
      <c r="I477" s="285">
        <f>+I270+I333+I424</f>
        <v>0</v>
      </c>
      <c r="J477" s="285">
        <f>+J270+J333+J424</f>
        <v>0</v>
      </c>
      <c r="K477" s="285">
        <f>+K270+K333</f>
        <v>0</v>
      </c>
      <c r="L477" s="285">
        <f>+L270+L333+L424</f>
        <v>0</v>
      </c>
      <c r="M477" s="228">
        <f>+C477+F477</f>
        <v>0</v>
      </c>
      <c r="N477" s="3">
        <f>+M477</f>
        <v>0</v>
      </c>
      <c r="O477" s="14">
        <f>+M477</f>
        <v>0</v>
      </c>
      <c r="P477" s="86">
        <v>1</v>
      </c>
      <c r="Q477" s="80"/>
      <c r="R477" s="80"/>
    </row>
    <row r="478" spans="1:154" ht="37.5" hidden="1">
      <c r="A478" s="296"/>
      <c r="B478" s="438" t="s">
        <v>1021</v>
      </c>
      <c r="C478" s="439">
        <f>+C21+C43+C73+C114+C187+C210+C228+C247+C269+C292+C309+C364+C368+C422</f>
        <v>0</v>
      </c>
      <c r="D478" s="439">
        <f>+D21+D43+D73+D114+D187+D210+D228+D247+D269+D292+D309+D364+D368+D422</f>
        <v>0</v>
      </c>
      <c r="E478" s="439">
        <f>+E21+E43+E73+E114+E187+E210+E228+E247+E269+E292+E309+E364+E368+E422</f>
        <v>0</v>
      </c>
      <c r="F478" s="439"/>
      <c r="G478" s="439"/>
      <c r="H478" s="439">
        <f>+H21+H43+H73+H114+H187+H210+H228+H247+H269+H292+H309+H364+H368+H422</f>
        <v>0</v>
      </c>
      <c r="I478" s="439">
        <f>+I21+I43+I73+I114+I187+I210+I228+I247+I269+I292+I309+I364+I368+I422</f>
        <v>0</v>
      </c>
      <c r="J478" s="439">
        <f>+J21+J43+J73+J114+J187+J210+J228+J247+J269+J292+J309+J364+J368+J422</f>
        <v>0</v>
      </c>
      <c r="K478" s="439">
        <f>+K21+K43+K73+K114+K187+K210+K228+K247+K269+K292+K309+K364+K368+K422</f>
        <v>0</v>
      </c>
      <c r="L478" s="439">
        <f>+L21+L43+L73+L114+L187+L210+L228+L247+L269+L292+L309+L364+L368+L422</f>
        <v>0</v>
      </c>
      <c r="M478" s="297">
        <f>+C478+F478</f>
        <v>0</v>
      </c>
      <c r="N478" s="3">
        <f>+M478</f>
        <v>0</v>
      </c>
      <c r="O478" s="14"/>
      <c r="P478" s="54">
        <v>1</v>
      </c>
    </row>
    <row r="479" spans="1:154" hidden="1">
      <c r="A479" s="33"/>
      <c r="B479" s="204"/>
      <c r="C479" s="223"/>
      <c r="D479" s="223"/>
      <c r="E479" s="223"/>
      <c r="F479" s="223"/>
      <c r="G479" s="223"/>
      <c r="H479" s="223"/>
      <c r="I479" s="223"/>
      <c r="J479" s="223"/>
      <c r="K479" s="223"/>
      <c r="L479" s="223"/>
      <c r="M479" s="224"/>
      <c r="N479" s="34"/>
      <c r="O479" s="14">
        <f>+M479</f>
        <v>0</v>
      </c>
    </row>
    <row r="480" spans="1:154" hidden="1">
      <c r="A480" s="33"/>
      <c r="B480" s="93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  <c r="M480" s="199"/>
      <c r="N480" s="34"/>
      <c r="O480" s="14">
        <f t="shared" si="52"/>
        <v>0</v>
      </c>
    </row>
    <row r="481" spans="1:154" hidden="1">
      <c r="A481" s="98"/>
      <c r="B481" s="99"/>
      <c r="C481" s="200"/>
      <c r="D481" s="200"/>
      <c r="E481" s="200"/>
      <c r="F481" s="200"/>
      <c r="G481" s="200"/>
      <c r="H481" s="200"/>
      <c r="I481" s="200"/>
      <c r="J481" s="200"/>
      <c r="K481" s="200"/>
      <c r="L481" s="200"/>
      <c r="M481" s="201"/>
      <c r="N481" s="34"/>
      <c r="O481" s="14">
        <f t="shared" si="52"/>
        <v>0</v>
      </c>
    </row>
    <row r="482" spans="1:154" hidden="1">
      <c r="A482" s="98"/>
      <c r="B482" s="99"/>
      <c r="C482" s="201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34"/>
      <c r="O482" s="14">
        <f t="shared" si="52"/>
        <v>0</v>
      </c>
    </row>
    <row r="483" spans="1:154" hidden="1">
      <c r="A483" s="98"/>
      <c r="B483" s="99"/>
      <c r="C483" s="201"/>
      <c r="D483" s="203"/>
      <c r="E483" s="203"/>
      <c r="F483" s="203"/>
      <c r="G483" s="203"/>
      <c r="H483" s="203"/>
      <c r="I483" s="203"/>
      <c r="J483" s="203"/>
      <c r="K483" s="203"/>
      <c r="L483" s="203"/>
      <c r="M483" s="201"/>
      <c r="N483" s="34"/>
      <c r="O483" s="14">
        <f t="shared" si="52"/>
        <v>0</v>
      </c>
    </row>
    <row r="484" spans="1:154">
      <c r="A484" s="98"/>
      <c r="B484" s="99"/>
      <c r="C484" s="205"/>
      <c r="D484" s="206"/>
      <c r="E484" s="206"/>
      <c r="F484" s="207"/>
      <c r="G484" s="207"/>
      <c r="H484" s="207"/>
      <c r="I484" s="207"/>
      <c r="J484" s="207"/>
      <c r="K484" s="207"/>
      <c r="L484" s="207"/>
      <c r="M484" s="205"/>
      <c r="N484" s="34"/>
      <c r="O484" s="14">
        <v>1</v>
      </c>
    </row>
    <row r="485" spans="1:154">
      <c r="A485" s="98"/>
      <c r="B485" s="99"/>
      <c r="C485" s="183"/>
      <c r="D485" s="184"/>
      <c r="E485" s="184"/>
      <c r="F485" s="184"/>
      <c r="G485" s="184"/>
      <c r="H485" s="184"/>
      <c r="I485" s="184"/>
      <c r="J485" s="184"/>
      <c r="K485" s="184"/>
      <c r="L485" s="184"/>
      <c r="M485" s="331"/>
      <c r="N485" s="34"/>
      <c r="O485" s="14">
        <v>1</v>
      </c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</row>
    <row r="486" spans="1:154" s="83" customFormat="1" hidden="1">
      <c r="A486" s="98"/>
      <c r="B486" s="99"/>
      <c r="C486" s="185">
        <f>+C473-'видатки по розпорядниках'!E758</f>
        <v>0</v>
      </c>
      <c r="D486" s="185">
        <f>+D473-'видатки по розпорядниках'!F758</f>
        <v>0</v>
      </c>
      <c r="E486" s="185">
        <f>+E473-'видатки по розпорядниках'!G758</f>
        <v>0</v>
      </c>
      <c r="F486" s="185">
        <f>+F473-'видатки по розпорядниках'!H758</f>
        <v>0</v>
      </c>
      <c r="G486" s="185">
        <f>+G473-'видатки по розпорядниках'!I758</f>
        <v>0</v>
      </c>
      <c r="H486" s="185">
        <f>+H473-'видатки по розпорядниках'!J758</f>
        <v>0</v>
      </c>
      <c r="I486" s="185">
        <f>+I473-'видатки по розпорядниках'!K758</f>
        <v>0</v>
      </c>
      <c r="J486" s="185">
        <f>+J473-'видатки по розпорядниках'!L758</f>
        <v>0</v>
      </c>
      <c r="K486" s="185">
        <f>+K473-'видатки по розпорядниках'!M758</f>
        <v>0</v>
      </c>
      <c r="L486" s="185">
        <f>+L473-'видатки по розпорядниках'!N758</f>
        <v>0</v>
      </c>
      <c r="M486" s="332">
        <f>+M473-'видатки по розпорядниках'!O758</f>
        <v>0</v>
      </c>
      <c r="N486" s="94"/>
      <c r="O486" s="14"/>
      <c r="P486" s="54"/>
      <c r="Q486" s="54"/>
    </row>
    <row r="487" spans="1:154" s="83" customFormat="1" hidden="1">
      <c r="A487" s="98"/>
      <c r="B487" s="99"/>
      <c r="C487" s="118"/>
      <c r="D487" s="119"/>
      <c r="E487" s="119"/>
      <c r="F487" s="119"/>
      <c r="G487" s="119"/>
      <c r="H487" s="119"/>
      <c r="I487" s="119"/>
      <c r="J487" s="119"/>
      <c r="K487" s="119"/>
      <c r="L487" s="119"/>
      <c r="M487" s="333"/>
      <c r="N487" s="94"/>
      <c r="O487" s="14"/>
      <c r="P487" s="54"/>
      <c r="Q487" s="54"/>
    </row>
    <row r="488" spans="1:154" s="83" customFormat="1" ht="17.25" hidden="1">
      <c r="A488" s="33"/>
      <c r="B488" s="166"/>
      <c r="C488" s="118"/>
      <c r="D488" s="119"/>
      <c r="E488" s="119"/>
      <c r="F488" s="119"/>
      <c r="G488" s="119"/>
      <c r="H488" s="119"/>
      <c r="I488" s="119"/>
      <c r="J488" s="119"/>
      <c r="K488" s="121"/>
      <c r="L488" s="121"/>
      <c r="M488" s="333"/>
      <c r="N488" s="94"/>
      <c r="O488" s="14"/>
      <c r="P488" s="54"/>
      <c r="Q488" s="54"/>
    </row>
    <row r="489" spans="1:154" s="83" customFormat="1" ht="17.25" hidden="1">
      <c r="A489" s="24"/>
      <c r="B489" s="37"/>
      <c r="C489" s="118"/>
      <c r="D489" s="119"/>
      <c r="E489" s="119"/>
      <c r="F489" s="119"/>
      <c r="G489" s="119"/>
      <c r="H489" s="119"/>
      <c r="I489" s="119"/>
      <c r="J489" s="119"/>
      <c r="K489" s="119"/>
      <c r="L489" s="119"/>
      <c r="M489" s="333"/>
      <c r="N489" s="94"/>
      <c r="O489" s="14"/>
      <c r="P489" s="54"/>
      <c r="Q489" s="54"/>
    </row>
    <row r="490" spans="1:154" s="83" customFormat="1" ht="17.25" hidden="1">
      <c r="A490" s="24"/>
      <c r="B490" s="37"/>
      <c r="C490" s="118"/>
      <c r="D490" s="119"/>
      <c r="E490" s="119"/>
      <c r="F490" s="119"/>
      <c r="G490" s="119"/>
      <c r="H490" s="119"/>
      <c r="I490" s="119"/>
      <c r="J490" s="119"/>
      <c r="K490" s="119"/>
      <c r="L490" s="119"/>
      <c r="M490" s="333"/>
      <c r="N490" s="94"/>
      <c r="O490" s="14"/>
      <c r="P490" s="54"/>
      <c r="Q490" s="54"/>
    </row>
    <row r="491" spans="1:154" s="83" customFormat="1" ht="18.75" hidden="1">
      <c r="A491" s="76"/>
      <c r="B491" s="77" t="s">
        <v>812</v>
      </c>
      <c r="C491" s="118"/>
      <c r="D491" s="119"/>
      <c r="E491" s="119"/>
      <c r="F491" s="119"/>
      <c r="G491" s="119"/>
      <c r="H491" s="119"/>
      <c r="I491" s="119"/>
      <c r="J491" s="119"/>
      <c r="K491" s="119"/>
      <c r="L491" s="119"/>
      <c r="M491" s="333"/>
      <c r="N491" s="94"/>
      <c r="O491" s="14"/>
      <c r="P491" s="54"/>
      <c r="Q491" s="54"/>
    </row>
    <row r="492" spans="1:154" s="83" customFormat="1" ht="17.25" hidden="1">
      <c r="A492" s="24"/>
      <c r="B492" s="79"/>
      <c r="C492" s="118"/>
      <c r="D492" s="119"/>
      <c r="E492" s="119"/>
      <c r="F492" s="119"/>
      <c r="G492" s="119"/>
      <c r="H492" s="119"/>
      <c r="I492" s="119"/>
      <c r="J492" s="119"/>
      <c r="K492" s="119"/>
      <c r="L492" s="119"/>
      <c r="M492" s="333"/>
      <c r="N492" s="94"/>
      <c r="O492" s="14"/>
      <c r="P492" s="54"/>
      <c r="Q492" s="54"/>
    </row>
    <row r="493" spans="1:154" s="105" customFormat="1" ht="20.45" customHeight="1">
      <c r="A493" s="23"/>
      <c r="B493" s="1411" t="s">
        <v>232</v>
      </c>
      <c r="C493" s="1411"/>
      <c r="D493" s="183"/>
      <c r="E493" s="183"/>
      <c r="F493" s="183"/>
      <c r="G493" s="183"/>
      <c r="H493" s="183"/>
      <c r="I493" s="183"/>
      <c r="J493" s="183"/>
      <c r="K493" s="1411" t="s">
        <v>709</v>
      </c>
      <c r="L493" s="1411"/>
      <c r="M493" s="1411"/>
      <c r="N493" s="34"/>
      <c r="O493" s="104">
        <v>1</v>
      </c>
      <c r="P493" s="96"/>
      <c r="Q493" s="9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6"/>
      <c r="EJ493" s="16"/>
      <c r="EK493" s="16"/>
      <c r="EL493" s="16"/>
      <c r="EM493" s="16"/>
      <c r="EN493" s="16"/>
      <c r="EO493" s="16"/>
      <c r="EP493" s="16"/>
      <c r="EQ493" s="16"/>
      <c r="ER493" s="16"/>
      <c r="ES493" s="16"/>
      <c r="ET493" s="16"/>
      <c r="EU493" s="16"/>
      <c r="EV493" s="16"/>
      <c r="EW493" s="16"/>
      <c r="EX493" s="16"/>
    </row>
    <row r="494" spans="1:154" s="9" customFormat="1" ht="17.25" hidden="1">
      <c r="C494" s="90"/>
      <c r="D494" s="89"/>
      <c r="E494" s="89"/>
      <c r="F494" s="74"/>
      <c r="G494" s="37"/>
      <c r="H494" s="24"/>
      <c r="I494" s="24"/>
      <c r="J494" s="37"/>
      <c r="K494" s="75"/>
      <c r="L494" s="75"/>
      <c r="M494" s="334"/>
      <c r="N494"/>
      <c r="O494" s="2"/>
      <c r="P494" s="83"/>
    </row>
    <row r="495" spans="1:154" s="9" customFormat="1" ht="12.75" hidden="1">
      <c r="C495" s="91"/>
      <c r="D495" s="24">
        <v>0</v>
      </c>
      <c r="E495" s="24">
        <v>0</v>
      </c>
      <c r="F495" s="38" t="e">
        <f>+F478-#REF!</f>
        <v>#REF!</v>
      </c>
      <c r="G495" s="24">
        <v>0</v>
      </c>
      <c r="H495" s="24">
        <v>0</v>
      </c>
      <c r="I495" s="24">
        <v>0</v>
      </c>
      <c r="J495" s="24">
        <v>0</v>
      </c>
      <c r="K495" s="24">
        <v>0</v>
      </c>
      <c r="L495" s="24"/>
      <c r="M495" s="335"/>
      <c r="N495"/>
      <c r="O495" s="2"/>
      <c r="P495" s="83"/>
    </row>
    <row r="496" spans="1:154" s="11" customFormat="1" ht="18.75">
      <c r="A496" s="9"/>
      <c r="B496" s="9"/>
      <c r="C496" s="78">
        <f>+C473-'видатки по розпорядниках'!E758</f>
        <v>0</v>
      </c>
      <c r="D496" s="78">
        <f>+D473-'видатки по розпорядниках'!F758</f>
        <v>0</v>
      </c>
      <c r="E496" s="78">
        <f>+E473-'видатки по розпорядниках'!G758</f>
        <v>0</v>
      </c>
      <c r="F496" s="78">
        <f>+F473-'видатки по розпорядниках'!H758</f>
        <v>0</v>
      </c>
      <c r="G496" s="78">
        <f>+G473-'видатки по розпорядниках'!I758</f>
        <v>0</v>
      </c>
      <c r="H496" s="78">
        <f>+H473-'видатки по розпорядниках'!J758</f>
        <v>0</v>
      </c>
      <c r="I496" s="78">
        <f>+I473-'видатки по розпорядниках'!K758</f>
        <v>0</v>
      </c>
      <c r="J496" s="78">
        <f>+J473-'видатки по розпорядниках'!L758</f>
        <v>0</v>
      </c>
      <c r="K496" s="78">
        <f>+K473-'видатки по розпорядниках'!M758</f>
        <v>0</v>
      </c>
      <c r="L496" s="78">
        <f>+L473-'видатки по розпорядниках'!N758</f>
        <v>0</v>
      </c>
      <c r="M496" s="336">
        <f>+M473-'видатки по розпорядниках'!O758</f>
        <v>0</v>
      </c>
      <c r="N496" s="5"/>
      <c r="O496" s="25">
        <v>1</v>
      </c>
      <c r="P496" s="87"/>
    </row>
    <row r="497" spans="1:154" s="9" customFormat="1" ht="17.25" hidden="1">
      <c r="C497" s="88"/>
      <c r="D497" s="24"/>
      <c r="E497" s="24"/>
      <c r="F497" s="74" t="e">
        <f>+#REF!</f>
        <v>#REF!</v>
      </c>
      <c r="G497" s="79"/>
      <c r="H497" s="24"/>
      <c r="I497" s="24"/>
      <c r="J497" s="24"/>
      <c r="K497" s="24" t="e">
        <f>+#REF!</f>
        <v>#REF!</v>
      </c>
      <c r="L497" s="24"/>
      <c r="M497" s="334"/>
      <c r="N497" s="5"/>
      <c r="O497" s="2"/>
      <c r="P497" s="83"/>
    </row>
    <row r="498" spans="1:154" s="9" customFormat="1" ht="20.25" hidden="1">
      <c r="C498" s="92"/>
      <c r="D498" s="40"/>
      <c r="E498" s="23"/>
      <c r="F498" s="39" t="e">
        <f>+F478-#REF!</f>
        <v>#REF!</v>
      </c>
      <c r="G498" s="41"/>
      <c r="H498" s="23"/>
      <c r="I498" s="23"/>
      <c r="J498" s="23"/>
      <c r="K498" s="39" t="e">
        <f>+K478-#REF!</f>
        <v>#REF!</v>
      </c>
      <c r="L498" s="39"/>
      <c r="M498" s="337"/>
      <c r="N498" s="5"/>
      <c r="O498" s="105"/>
      <c r="P498" s="83"/>
    </row>
    <row r="499" spans="1:154" s="9" customFormat="1" hidden="1">
      <c r="C499" s="42" t="s">
        <v>813</v>
      </c>
      <c r="F499" s="15"/>
      <c r="M499" s="338"/>
      <c r="N499"/>
      <c r="O499" s="2"/>
      <c r="P499" s="83"/>
    </row>
    <row r="500" spans="1:154" s="9" customFormat="1" hidden="1">
      <c r="A500" s="54"/>
      <c r="B500" s="54"/>
      <c r="C500" s="9" t="s">
        <v>814</v>
      </c>
      <c r="M500" s="338"/>
      <c r="N500"/>
      <c r="O500" s="2"/>
      <c r="P500" s="83"/>
    </row>
    <row r="501" spans="1:154" s="9" customFormat="1" hidden="1">
      <c r="A501" s="49" t="s">
        <v>881</v>
      </c>
      <c r="B501" s="49"/>
      <c r="C501" s="9">
        <f>330+285+250+200+170+25+50+1.4+225.5-130+105.7</f>
        <v>1512.6000000000001</v>
      </c>
      <c r="F501" s="15"/>
      <c r="M501" s="338"/>
      <c r="N501"/>
      <c r="O501" s="2"/>
      <c r="P501" s="83"/>
    </row>
    <row r="502" spans="1:154" s="9" customFormat="1" hidden="1">
      <c r="A502" s="54"/>
      <c r="B502" s="54"/>
      <c r="C502" s="42">
        <v>1300</v>
      </c>
      <c r="M502" s="338"/>
      <c r="N502"/>
      <c r="O502" s="2"/>
      <c r="P502" s="83"/>
    </row>
    <row r="503" spans="1:154" s="9" customFormat="1" ht="18.75" hidden="1">
      <c r="A503" s="95"/>
      <c r="B503" s="95" t="s">
        <v>745</v>
      </c>
      <c r="C503" s="42" t="s">
        <v>1205</v>
      </c>
      <c r="M503" s="338"/>
      <c r="N503"/>
      <c r="O503" s="2"/>
      <c r="P503" s="83"/>
    </row>
    <row r="504" spans="1:154" s="36" customFormat="1" hidden="1">
      <c r="A504" s="218"/>
      <c r="B504" s="218" t="s">
        <v>1045</v>
      </c>
      <c r="C504" s="15" t="e">
        <f>+C478-#REF!</f>
        <v>#REF!</v>
      </c>
      <c r="D504" s="9"/>
      <c r="E504" s="9"/>
      <c r="F504" s="15">
        <f>+F478-'видатки по розпорядниках'!H758</f>
        <v>-213698300</v>
      </c>
      <c r="G504" s="15">
        <f>+G478-'видатки по розпорядниках'!I758</f>
        <v>-82936100</v>
      </c>
      <c r="H504" s="15">
        <f>+H478-'видатки по розпорядниках'!J758</f>
        <v>-6773700</v>
      </c>
      <c r="I504" s="15">
        <f>+I478-'видатки по розпорядниках'!K758</f>
        <v>-2925800</v>
      </c>
      <c r="J504" s="15">
        <f>+J478-'видатки по розпорядниках'!L758</f>
        <v>-130762200</v>
      </c>
      <c r="K504" s="15">
        <f>+K478-'видатки по розпорядниках'!M758</f>
        <v>-60322400</v>
      </c>
      <c r="L504" s="15"/>
      <c r="M504" s="338"/>
      <c r="N504"/>
      <c r="O504" s="2"/>
      <c r="P504" s="83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</row>
    <row r="505" spans="1:154" ht="15">
      <c r="A505" s="54"/>
      <c r="B505" s="54"/>
      <c r="C505" s="186"/>
      <c r="D505" s="187"/>
      <c r="E505" s="187"/>
      <c r="F505" s="186"/>
      <c r="G505" s="187"/>
      <c r="H505" s="186"/>
      <c r="I505" s="187"/>
      <c r="J505" s="187"/>
      <c r="K505" s="187"/>
      <c r="L505" s="187"/>
      <c r="M505" s="339">
        <f>+K485-M485</f>
        <v>0</v>
      </c>
    </row>
    <row r="506" spans="1:154" ht="15">
      <c r="A506" s="54"/>
      <c r="B506" s="54"/>
      <c r="C506" s="517"/>
      <c r="D506" s="188"/>
      <c r="E506" s="188"/>
      <c r="F506" s="188"/>
      <c r="G506" s="188"/>
      <c r="H506" s="188"/>
      <c r="I506" s="187"/>
      <c r="J506" s="187"/>
      <c r="K506" s="189"/>
      <c r="L506" s="517" t="e">
        <f>+L473-#REF!</f>
        <v>#REF!</v>
      </c>
      <c r="M506" s="339"/>
      <c r="N506" s="1"/>
    </row>
    <row r="507" spans="1:154" ht="15">
      <c r="A507" s="54"/>
      <c r="B507" s="54"/>
      <c r="C507" s="183"/>
      <c r="D507" s="187"/>
      <c r="E507" s="187"/>
      <c r="F507" s="187"/>
      <c r="G507" s="187"/>
      <c r="H507" s="187"/>
      <c r="I507" s="187"/>
      <c r="J507" s="187"/>
      <c r="K507" s="187"/>
      <c r="L507" s="187"/>
      <c r="M507" s="339" t="e">
        <f>+M506-#REF!</f>
        <v>#REF!</v>
      </c>
    </row>
    <row r="508" spans="1:154" s="95" customFormat="1" ht="18.75">
      <c r="A508" s="54"/>
      <c r="B508" s="54"/>
      <c r="C508" s="186"/>
      <c r="D508" s="190"/>
      <c r="E508" s="190"/>
      <c r="F508" s="190"/>
      <c r="G508" s="190"/>
      <c r="H508" s="190"/>
      <c r="I508" s="190"/>
      <c r="J508" s="190"/>
      <c r="K508" s="190"/>
      <c r="L508" s="190"/>
      <c r="M508" s="340"/>
      <c r="N508"/>
      <c r="O508" s="25"/>
    </row>
    <row r="509" spans="1:154" s="218" customFormat="1" ht="14.25">
      <c r="A509" s="54"/>
      <c r="B509" s="54"/>
      <c r="C509" s="219">
        <f>+C473-'видатки по розпорядниках'!E758</f>
        <v>0</v>
      </c>
      <c r="D509" s="219">
        <f>+D473-'видатки по розпорядниках'!F758</f>
        <v>0</v>
      </c>
      <c r="E509" s="219">
        <f>+E473-'видатки по розпорядниках'!G758</f>
        <v>0</v>
      </c>
      <c r="F509" s="219">
        <f>+F473-'видатки по розпорядниках'!H758</f>
        <v>0</v>
      </c>
      <c r="G509" s="219">
        <f>+G473-'видатки по розпорядниках'!I758</f>
        <v>0</v>
      </c>
      <c r="H509" s="219">
        <f>+H473-'видатки по розпорядниках'!J758</f>
        <v>0</v>
      </c>
      <c r="I509" s="219">
        <f>+I473-'видатки по розпорядниках'!K758</f>
        <v>0</v>
      </c>
      <c r="J509" s="219">
        <f>+J473-'видатки по розпорядниках'!L758</f>
        <v>0</v>
      </c>
      <c r="K509" s="219">
        <f>+K473-'видатки по розпорядниках'!M758</f>
        <v>0</v>
      </c>
      <c r="L509" s="219">
        <f>+L473-'видатки по розпорядниках'!N758</f>
        <v>0</v>
      </c>
      <c r="M509" s="341">
        <f>+M473-'видатки по розпорядниках'!O758</f>
        <v>0</v>
      </c>
      <c r="N509"/>
    </row>
    <row r="510" spans="1:154" ht="15">
      <c r="A510" s="54"/>
      <c r="B510" s="54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342"/>
    </row>
    <row r="511" spans="1:154" ht="15">
      <c r="A511" s="54"/>
      <c r="B511" s="54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342"/>
    </row>
    <row r="512" spans="1:154" ht="15">
      <c r="A512" s="54"/>
      <c r="B512" s="54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342"/>
    </row>
    <row r="513" spans="1:13" ht="15">
      <c r="A513" s="54"/>
      <c r="B513" s="54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342"/>
    </row>
    <row r="514" spans="1:13" ht="15">
      <c r="A514" s="54"/>
      <c r="B514" s="54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342"/>
    </row>
    <row r="515" spans="1:13" ht="15">
      <c r="A515" s="54"/>
      <c r="B515" s="54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342"/>
    </row>
    <row r="516" spans="1:13" ht="15">
      <c r="A516" s="54"/>
      <c r="B516" s="54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342"/>
    </row>
    <row r="517" spans="1:13" ht="15">
      <c r="A517" s="54"/>
      <c r="B517" s="54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342"/>
    </row>
    <row r="518" spans="1:13" ht="15">
      <c r="A518" s="54"/>
      <c r="B518" s="54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342"/>
    </row>
    <row r="519" spans="1:13" ht="15">
      <c r="A519" s="54"/>
      <c r="B519" s="54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342"/>
    </row>
    <row r="520" spans="1:13" ht="15">
      <c r="A520" s="54"/>
      <c r="B520" s="54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342"/>
    </row>
    <row r="521" spans="1:13" ht="15">
      <c r="A521" s="54"/>
      <c r="B521" s="54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342"/>
    </row>
    <row r="522" spans="1:13" ht="15">
      <c r="A522" s="54"/>
      <c r="B522" s="54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342"/>
    </row>
    <row r="523" spans="1:13" ht="15">
      <c r="A523" s="54"/>
      <c r="B523" s="54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342"/>
    </row>
    <row r="524" spans="1:13" ht="15">
      <c r="A524" s="54"/>
      <c r="B524" s="54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342"/>
    </row>
    <row r="525" spans="1:13" ht="15">
      <c r="A525" s="54"/>
      <c r="B525" s="54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342"/>
    </row>
    <row r="526" spans="1:13" ht="15">
      <c r="A526" s="54"/>
      <c r="B526" s="54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342"/>
    </row>
    <row r="527" spans="1:13" ht="15">
      <c r="A527" s="54"/>
      <c r="B527" s="54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342"/>
    </row>
    <row r="528" spans="1:13" ht="15">
      <c r="A528" s="54"/>
      <c r="B528" s="54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342"/>
    </row>
    <row r="529" spans="1:13" ht="15">
      <c r="A529" s="54"/>
      <c r="B529" s="54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342"/>
    </row>
    <row r="530" spans="1:13" ht="15">
      <c r="A530" s="54"/>
      <c r="B530" s="54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342"/>
    </row>
    <row r="531" spans="1:13" ht="15">
      <c r="A531" s="54"/>
      <c r="B531" s="54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342"/>
    </row>
    <row r="532" spans="1:13" ht="15">
      <c r="A532" s="54"/>
      <c r="B532" s="54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342"/>
    </row>
    <row r="533" spans="1:13" ht="15">
      <c r="A533" s="54"/>
      <c r="B533" s="54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342"/>
    </row>
    <row r="534" spans="1:13" ht="15">
      <c r="A534" s="54"/>
      <c r="B534" s="54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342"/>
    </row>
    <row r="535" spans="1:13" ht="15">
      <c r="A535" s="54"/>
      <c r="B535" s="54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342"/>
    </row>
    <row r="536" spans="1:13" ht="15">
      <c r="A536" s="54"/>
      <c r="B536" s="54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342"/>
    </row>
    <row r="537" spans="1:13" ht="15">
      <c r="A537" s="54"/>
      <c r="B537" s="54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342"/>
    </row>
    <row r="538" spans="1:13" ht="15">
      <c r="A538" s="54"/>
      <c r="B538" s="54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342"/>
    </row>
    <row r="539" spans="1:13" ht="15">
      <c r="A539" s="54"/>
      <c r="B539" s="54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342"/>
    </row>
    <row r="540" spans="1:13" ht="15">
      <c r="A540" s="54"/>
      <c r="B540" s="54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342"/>
    </row>
    <row r="541" spans="1:13" ht="15">
      <c r="A541" s="54"/>
      <c r="B541" s="54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342"/>
    </row>
    <row r="542" spans="1:13" ht="15">
      <c r="A542" s="54"/>
      <c r="B542" s="54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342"/>
    </row>
    <row r="543" spans="1:13" ht="15">
      <c r="A543" s="54"/>
      <c r="B543" s="54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342"/>
    </row>
    <row r="544" spans="1:13" ht="15">
      <c r="A544" s="54"/>
      <c r="B544" s="54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342"/>
    </row>
    <row r="545" spans="1:154" ht="15">
      <c r="A545" s="54"/>
      <c r="B545" s="54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342"/>
    </row>
    <row r="546" spans="1:154" ht="15">
      <c r="A546" s="54"/>
      <c r="B546" s="54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342"/>
    </row>
    <row r="547" spans="1:154" ht="15">
      <c r="A547" s="54"/>
      <c r="B547" s="54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342"/>
    </row>
    <row r="548" spans="1:154" ht="15">
      <c r="A548" s="54"/>
      <c r="B548" s="54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342"/>
    </row>
    <row r="549" spans="1:154" s="54" customFormat="1" ht="15"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342"/>
      <c r="N549"/>
      <c r="O549" s="2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</row>
    <row r="550" spans="1:154" s="54" customFormat="1" ht="15"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342"/>
      <c r="N550"/>
      <c r="O550" s="2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</row>
    <row r="551" spans="1:154" s="54" customFormat="1" ht="15"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342"/>
      <c r="N551"/>
      <c r="O551" s="2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</row>
    <row r="552" spans="1:154" s="54" customFormat="1" ht="15"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342"/>
      <c r="N552"/>
      <c r="O552" s="2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</row>
    <row r="553" spans="1:154" s="54" customFormat="1" ht="15"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342"/>
      <c r="N553"/>
      <c r="O553" s="2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</row>
    <row r="554" spans="1:154" s="54" customFormat="1" ht="15"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342"/>
      <c r="N554"/>
      <c r="O554" s="2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</row>
    <row r="555" spans="1:154" s="54" customFormat="1" ht="15"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342"/>
      <c r="N555"/>
      <c r="O555" s="2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</row>
    <row r="556" spans="1:154" s="54" customFormat="1" ht="15"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342"/>
      <c r="N556"/>
      <c r="O556" s="2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</row>
    <row r="557" spans="1:154" s="54" customFormat="1" ht="15"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342"/>
      <c r="N557"/>
      <c r="O557" s="2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</row>
    <row r="558" spans="1:154" s="54" customFormat="1" ht="15"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342"/>
      <c r="N558"/>
      <c r="O558" s="2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</row>
    <row r="559" spans="1:154" s="54" customFormat="1" ht="15"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342"/>
      <c r="N559"/>
      <c r="O559" s="2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</row>
    <row r="560" spans="1:154" s="54" customFormat="1" ht="15"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342"/>
      <c r="N560"/>
      <c r="O560" s="2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</row>
    <row r="561" spans="3:154" s="54" customFormat="1" ht="15"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342"/>
      <c r="N561"/>
      <c r="O561" s="2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</row>
    <row r="562" spans="3:154" s="54" customFormat="1" ht="15"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342"/>
      <c r="N562"/>
      <c r="O562" s="2"/>
    </row>
    <row r="563" spans="3:154" s="54" customFormat="1" ht="15"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342"/>
      <c r="N563"/>
      <c r="O563" s="2"/>
    </row>
    <row r="564" spans="3:154" s="54" customFormat="1" ht="15"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342"/>
      <c r="N564"/>
      <c r="O564" s="2"/>
    </row>
    <row r="565" spans="3:154" s="54" customFormat="1" ht="15"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342"/>
      <c r="N565"/>
      <c r="O565" s="2"/>
    </row>
    <row r="566" spans="3:154" s="54" customFormat="1" ht="15"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342"/>
      <c r="N566"/>
      <c r="O566" s="2"/>
    </row>
    <row r="567" spans="3:154" s="54" customFormat="1" ht="15"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342"/>
      <c r="N567"/>
      <c r="O567" s="2"/>
    </row>
    <row r="568" spans="3:154" s="54" customFormat="1" ht="15"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342"/>
      <c r="N568"/>
      <c r="O568" s="2"/>
    </row>
    <row r="569" spans="3:154" s="54" customFormat="1" ht="15"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342"/>
      <c r="N569"/>
      <c r="O569" s="2"/>
    </row>
    <row r="570" spans="3:154" s="54" customFormat="1" ht="15"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342"/>
      <c r="N570"/>
      <c r="O570" s="2"/>
    </row>
    <row r="571" spans="3:154" s="54" customFormat="1" ht="15"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342"/>
      <c r="N571"/>
      <c r="O571" s="2"/>
    </row>
    <row r="572" spans="3:154" s="54" customFormat="1" ht="15"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342"/>
      <c r="N572"/>
      <c r="O572" s="2"/>
    </row>
    <row r="573" spans="3:154" s="54" customFormat="1" ht="15"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342"/>
      <c r="N573"/>
      <c r="O573" s="2"/>
    </row>
    <row r="574" spans="3:154" s="54" customFormat="1" ht="15"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342"/>
      <c r="N574"/>
      <c r="O574" s="2"/>
    </row>
    <row r="575" spans="3:154" s="54" customFormat="1" ht="15"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342"/>
      <c r="N575"/>
      <c r="O575" s="2"/>
    </row>
    <row r="576" spans="3:154" s="54" customFormat="1" ht="15"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342"/>
      <c r="N576"/>
      <c r="O576" s="2"/>
    </row>
    <row r="577" spans="3:15" s="54" customFormat="1" ht="15"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342"/>
      <c r="N577"/>
      <c r="O577" s="2"/>
    </row>
    <row r="578" spans="3:15" s="54" customFormat="1" ht="15"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342"/>
      <c r="N578"/>
      <c r="O578" s="2"/>
    </row>
    <row r="579" spans="3:15" s="54" customFormat="1" ht="15"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342"/>
      <c r="N579"/>
      <c r="O579" s="2"/>
    </row>
    <row r="580" spans="3:15" s="54" customFormat="1" ht="15"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342"/>
      <c r="N580"/>
      <c r="O580" s="2"/>
    </row>
    <row r="581" spans="3:15" s="54" customFormat="1" ht="15"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342"/>
      <c r="N581"/>
      <c r="O581" s="2"/>
    </row>
    <row r="582" spans="3:15" s="54" customFormat="1" ht="15"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342"/>
      <c r="N582"/>
      <c r="O582" s="2"/>
    </row>
    <row r="583" spans="3:15" s="54" customFormat="1" ht="15"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342"/>
      <c r="N583"/>
      <c r="O583" s="2"/>
    </row>
    <row r="584" spans="3:15" s="54" customFormat="1" ht="15"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342"/>
      <c r="N584"/>
      <c r="O584" s="2"/>
    </row>
    <row r="585" spans="3:15" s="54" customFormat="1" ht="15"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342"/>
      <c r="N585"/>
      <c r="O585" s="2"/>
    </row>
    <row r="586" spans="3:15" s="54" customFormat="1" ht="15"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342"/>
      <c r="N586"/>
      <c r="O586" s="2"/>
    </row>
    <row r="587" spans="3:15" s="54" customFormat="1" ht="15"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342"/>
      <c r="N587"/>
      <c r="O587" s="2"/>
    </row>
    <row r="588" spans="3:15" s="54" customFormat="1" ht="15"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342"/>
      <c r="N588"/>
      <c r="O588" s="2"/>
    </row>
    <row r="589" spans="3:15" s="54" customFormat="1" ht="15"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342"/>
      <c r="N589"/>
      <c r="O589" s="2"/>
    </row>
    <row r="590" spans="3:15" s="54" customFormat="1" ht="15"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342"/>
      <c r="N590"/>
      <c r="O590" s="2"/>
    </row>
    <row r="591" spans="3:15" s="54" customFormat="1" ht="15"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342"/>
      <c r="N591"/>
      <c r="O591" s="2"/>
    </row>
    <row r="592" spans="3:15" s="54" customFormat="1" ht="15"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342"/>
      <c r="N592"/>
      <c r="O592" s="2"/>
    </row>
    <row r="593" spans="3:15" s="54" customFormat="1" ht="15"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342"/>
      <c r="N593"/>
      <c r="O593" s="2"/>
    </row>
    <row r="594" spans="3:15" s="54" customFormat="1" ht="15"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342"/>
      <c r="N594"/>
      <c r="O594" s="2"/>
    </row>
    <row r="595" spans="3:15" s="54" customFormat="1" ht="15"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342"/>
      <c r="N595"/>
      <c r="O595" s="2"/>
    </row>
    <row r="596" spans="3:15" s="54" customFormat="1" ht="15"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342"/>
      <c r="N596"/>
      <c r="O596" s="2"/>
    </row>
    <row r="597" spans="3:15" s="54" customFormat="1" ht="15"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342"/>
      <c r="N597"/>
      <c r="O597" s="2"/>
    </row>
    <row r="598" spans="3:15" s="54" customFormat="1" ht="15"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342"/>
      <c r="N598"/>
      <c r="O598" s="2"/>
    </row>
    <row r="599" spans="3:15" s="54" customFormat="1" ht="15"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342"/>
      <c r="N599"/>
      <c r="O599" s="2"/>
    </row>
    <row r="600" spans="3:15" s="54" customFormat="1" ht="15"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342"/>
      <c r="N600"/>
      <c r="O600" s="2"/>
    </row>
    <row r="601" spans="3:15" s="54" customFormat="1" ht="15"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342"/>
      <c r="N601"/>
      <c r="O601" s="2"/>
    </row>
    <row r="602" spans="3:15" s="54" customFormat="1" ht="15"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342"/>
      <c r="N602"/>
      <c r="O602" s="2"/>
    </row>
    <row r="603" spans="3:15" s="54" customFormat="1" ht="15"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342"/>
      <c r="N603"/>
      <c r="O603" s="2"/>
    </row>
    <row r="604" spans="3:15" s="54" customFormat="1" ht="15"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342"/>
      <c r="N604"/>
      <c r="O604" s="2"/>
    </row>
    <row r="605" spans="3:15" s="54" customFormat="1" ht="15"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342"/>
      <c r="N605"/>
      <c r="O605" s="2"/>
    </row>
    <row r="606" spans="3:15" s="54" customFormat="1" ht="15"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342"/>
      <c r="N606"/>
      <c r="O606" s="2"/>
    </row>
    <row r="607" spans="3:15" s="54" customFormat="1" ht="15"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342"/>
      <c r="N607"/>
      <c r="O607" s="2"/>
    </row>
    <row r="608" spans="3:15" s="54" customFormat="1" ht="15"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342"/>
      <c r="N608"/>
      <c r="O608" s="2"/>
    </row>
    <row r="609" spans="3:15" s="54" customFormat="1" ht="15"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342"/>
      <c r="N609"/>
      <c r="O609" s="2"/>
    </row>
    <row r="610" spans="3:15" s="54" customFormat="1" ht="15"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342"/>
      <c r="N610"/>
      <c r="O610" s="2"/>
    </row>
    <row r="611" spans="3:15" s="54" customFormat="1" ht="15"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342"/>
      <c r="N611"/>
      <c r="O611" s="2"/>
    </row>
    <row r="612" spans="3:15" s="54" customFormat="1" ht="15"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342"/>
      <c r="N612"/>
      <c r="O612" s="2"/>
    </row>
    <row r="613" spans="3:15" s="54" customFormat="1" ht="15"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342"/>
      <c r="N613"/>
      <c r="O613" s="2"/>
    </row>
    <row r="614" spans="3:15" s="54" customFormat="1" ht="15"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342"/>
      <c r="N614"/>
      <c r="O614" s="2"/>
    </row>
    <row r="615" spans="3:15" s="54" customFormat="1" ht="15"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342"/>
      <c r="N615"/>
      <c r="O615" s="2"/>
    </row>
    <row r="616" spans="3:15" s="54" customFormat="1" ht="15"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342"/>
      <c r="N616"/>
      <c r="O616" s="2"/>
    </row>
    <row r="617" spans="3:15" s="54" customFormat="1" ht="15"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342"/>
      <c r="N617"/>
      <c r="O617" s="2"/>
    </row>
    <row r="618" spans="3:15" s="54" customFormat="1" ht="15"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342"/>
      <c r="N618"/>
      <c r="O618" s="2"/>
    </row>
    <row r="619" spans="3:15" s="54" customFormat="1" ht="15"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342"/>
      <c r="N619"/>
      <c r="O619" s="2"/>
    </row>
    <row r="620" spans="3:15" s="54" customFormat="1" ht="15"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342"/>
      <c r="N620"/>
      <c r="O620" s="2"/>
    </row>
    <row r="621" spans="3:15" s="54" customFormat="1" ht="15"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342"/>
      <c r="N621"/>
      <c r="O621" s="2"/>
    </row>
    <row r="622" spans="3:15" s="54" customFormat="1" ht="15"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342"/>
      <c r="N622"/>
      <c r="O622" s="2"/>
    </row>
    <row r="623" spans="3:15" s="54" customFormat="1" ht="15"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342"/>
      <c r="N623"/>
      <c r="O623" s="2"/>
    </row>
    <row r="624" spans="3:15" s="54" customFormat="1" ht="15"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342"/>
      <c r="N624"/>
      <c r="O624" s="2"/>
    </row>
    <row r="625" spans="1:154" s="54" customFormat="1" ht="15"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342"/>
      <c r="N625"/>
      <c r="O625" s="2"/>
    </row>
    <row r="626" spans="1:154" s="54" customFormat="1" ht="15"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342"/>
      <c r="N626"/>
      <c r="O626" s="2"/>
    </row>
    <row r="627" spans="1:154" s="54" customFormat="1" ht="15"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342"/>
      <c r="N627"/>
      <c r="O627" s="2"/>
    </row>
    <row r="628" spans="1:154" s="54" customFormat="1" ht="15"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342"/>
      <c r="N628"/>
      <c r="O628" s="2"/>
    </row>
    <row r="629" spans="1:154" s="54" customFormat="1" ht="15"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342"/>
      <c r="N629"/>
      <c r="O629" s="2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  <c r="EW629" s="9"/>
      <c r="EX629" s="9"/>
    </row>
    <row r="630" spans="1:154" s="54" customFormat="1" ht="15"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342"/>
      <c r="N630"/>
      <c r="O630" s="2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  <c r="EW630" s="9"/>
      <c r="EX630" s="9"/>
    </row>
    <row r="631" spans="1:154" s="54" customFormat="1" ht="15"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342"/>
      <c r="N631"/>
      <c r="O631" s="2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  <c r="EW631" s="9"/>
      <c r="EX631" s="9"/>
    </row>
    <row r="632" spans="1:154" s="54" customFormat="1" ht="15"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342"/>
      <c r="N632"/>
      <c r="O632" s="2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  <c r="EW632" s="9"/>
      <c r="EX632" s="9"/>
    </row>
    <row r="633" spans="1:154" s="54" customFormat="1" ht="15"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342"/>
      <c r="N633"/>
      <c r="O633" s="2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  <c r="EW633" s="9"/>
      <c r="EX633" s="9"/>
    </row>
    <row r="634" spans="1:154" s="54" customFormat="1" ht="15"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342"/>
      <c r="N634"/>
      <c r="O634" s="2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  <c r="EW634" s="9"/>
      <c r="EX634" s="9"/>
    </row>
    <row r="635" spans="1:154" s="54" customFormat="1" ht="15"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342"/>
      <c r="N635"/>
      <c r="O635" s="2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  <c r="ES635" s="9"/>
      <c r="ET635" s="9"/>
      <c r="EU635" s="9"/>
      <c r="EV635" s="9"/>
      <c r="EW635" s="9"/>
      <c r="EX635" s="9"/>
    </row>
    <row r="636" spans="1:154" s="54" customFormat="1" ht="15">
      <c r="A636" s="2"/>
      <c r="B636" s="2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342"/>
      <c r="N636"/>
      <c r="O636" s="2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  <c r="EW636" s="9"/>
      <c r="EX636" s="9"/>
    </row>
    <row r="637" spans="1:154" s="54" customFormat="1" ht="15">
      <c r="A637" s="2"/>
      <c r="B637" s="2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342"/>
      <c r="N637"/>
      <c r="O637" s="2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  <c r="EW637" s="9"/>
      <c r="EX637" s="9"/>
    </row>
    <row r="638" spans="1:154" s="54" customFormat="1" ht="15">
      <c r="A638" s="2"/>
      <c r="B638" s="2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342"/>
      <c r="N638"/>
      <c r="O638" s="2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  <c r="EW638" s="9"/>
      <c r="EX638" s="9"/>
    </row>
    <row r="639" spans="1:154" s="54" customFormat="1" ht="15">
      <c r="A639" s="2"/>
      <c r="B639" s="2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342"/>
      <c r="N639"/>
      <c r="O639" s="2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  <c r="ES639" s="9"/>
      <c r="ET639" s="9"/>
      <c r="EU639" s="9"/>
      <c r="EV639" s="9"/>
      <c r="EW639" s="9"/>
      <c r="EX639" s="9"/>
    </row>
    <row r="640" spans="1:154" s="54" customFormat="1" ht="15">
      <c r="A640" s="2"/>
      <c r="B640" s="2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342"/>
      <c r="N640"/>
      <c r="O640" s="2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  <c r="EW640" s="9"/>
      <c r="EX640" s="9"/>
    </row>
    <row r="641" spans="3:13" ht="15"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343"/>
    </row>
    <row r="642" spans="3:13" ht="15"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343"/>
    </row>
    <row r="643" spans="3:13" ht="15"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343"/>
    </row>
    <row r="644" spans="3:13" ht="15"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343"/>
    </row>
    <row r="645" spans="3:13" ht="15"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343"/>
    </row>
    <row r="646" spans="3:13" ht="15"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343"/>
    </row>
    <row r="647" spans="3:13" ht="15"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343"/>
    </row>
    <row r="648" spans="3:13" ht="15"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343"/>
    </row>
    <row r="649" spans="3:13" ht="15"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343"/>
    </row>
    <row r="650" spans="3:13" ht="15"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343"/>
    </row>
    <row r="651" spans="3:13" ht="15"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343"/>
    </row>
    <row r="652" spans="3:13" ht="15"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343"/>
    </row>
    <row r="653" spans="3:13" ht="15"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343"/>
    </row>
    <row r="654" spans="3:13" ht="15"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343"/>
    </row>
    <row r="655" spans="3:13" ht="15"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343"/>
    </row>
    <row r="656" spans="3:13" ht="15"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343"/>
    </row>
    <row r="657" spans="3:13" ht="15"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343"/>
    </row>
    <row r="658" spans="3:13" ht="15"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343"/>
    </row>
    <row r="659" spans="3:13" ht="15"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343"/>
    </row>
    <row r="660" spans="3:13" ht="15"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343"/>
    </row>
    <row r="661" spans="3:13" ht="15"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343"/>
    </row>
    <row r="662" spans="3:13" ht="15"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343"/>
    </row>
    <row r="663" spans="3:13" ht="15"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343"/>
    </row>
    <row r="664" spans="3:13" ht="15"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343"/>
    </row>
    <row r="665" spans="3:13" ht="15"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343"/>
    </row>
    <row r="666" spans="3:13" ht="15"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343"/>
    </row>
    <row r="667" spans="3:13" ht="15"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343"/>
    </row>
    <row r="668" spans="3:13" ht="15"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343"/>
    </row>
    <row r="669" spans="3:13" ht="15"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343"/>
    </row>
    <row r="670" spans="3:13" ht="15"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343"/>
    </row>
    <row r="671" spans="3:13" ht="15"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343"/>
    </row>
    <row r="672" spans="3:13" ht="15"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343"/>
    </row>
    <row r="673" spans="3:13" ht="15"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343"/>
    </row>
    <row r="674" spans="3:13" ht="15"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343"/>
    </row>
    <row r="675" spans="3:13" ht="15"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343"/>
    </row>
    <row r="676" spans="3:13" ht="15"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343"/>
    </row>
    <row r="677" spans="3:13" ht="15"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343"/>
    </row>
    <row r="678" spans="3:13" ht="15"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343"/>
    </row>
    <row r="679" spans="3:13" ht="15"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343"/>
    </row>
    <row r="680" spans="3:13" ht="15"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343"/>
    </row>
    <row r="681" spans="3:13" ht="15"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343"/>
    </row>
    <row r="682" spans="3:13" ht="15"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343"/>
    </row>
    <row r="683" spans="3:13" ht="15"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343"/>
    </row>
    <row r="684" spans="3:13" ht="15"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343"/>
    </row>
    <row r="685" spans="3:13" ht="15"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343"/>
    </row>
    <row r="686" spans="3:13" ht="15"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343"/>
    </row>
    <row r="687" spans="3:13" ht="15"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343"/>
    </row>
    <row r="688" spans="3:13" ht="15"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343"/>
    </row>
    <row r="689" spans="3:13" ht="15"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343"/>
    </row>
    <row r="690" spans="3:13" ht="15"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343"/>
    </row>
    <row r="691" spans="3:13" ht="15"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343"/>
    </row>
    <row r="692" spans="3:13" ht="15"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343"/>
    </row>
    <row r="693" spans="3:13" ht="15"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343"/>
    </row>
    <row r="694" spans="3:13" ht="15"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343"/>
    </row>
    <row r="695" spans="3:13" ht="15"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343"/>
    </row>
    <row r="696" spans="3:13" ht="15"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343"/>
    </row>
    <row r="697" spans="3:13" ht="15"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343"/>
    </row>
    <row r="698" spans="3:13" ht="15"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343"/>
    </row>
    <row r="699" spans="3:13" ht="15"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343"/>
    </row>
    <row r="700" spans="3:13" ht="15"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343"/>
    </row>
    <row r="701" spans="3:13" ht="15"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343"/>
    </row>
    <row r="702" spans="3:13" ht="15"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343"/>
    </row>
    <row r="703" spans="3:13" ht="15"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343"/>
    </row>
    <row r="704" spans="3:13" ht="15"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343"/>
    </row>
    <row r="705" spans="3:13" ht="15"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343"/>
    </row>
    <row r="706" spans="3:13" ht="15"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343"/>
    </row>
    <row r="707" spans="3:13" ht="15"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343"/>
    </row>
    <row r="708" spans="3:13" ht="15"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343"/>
    </row>
    <row r="709" spans="3:13" ht="15"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343"/>
    </row>
    <row r="710" spans="3:13" ht="15"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343"/>
    </row>
    <row r="711" spans="3:13" ht="15"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343"/>
    </row>
    <row r="712" spans="3:13" ht="15"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343"/>
    </row>
    <row r="713" spans="3:13" ht="15"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343"/>
    </row>
    <row r="714" spans="3:13" ht="15"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343"/>
    </row>
    <row r="715" spans="3:13" ht="15"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343"/>
    </row>
    <row r="716" spans="3:13" ht="15"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343"/>
    </row>
    <row r="717" spans="3:13" ht="15"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343"/>
    </row>
    <row r="718" spans="3:13" ht="15"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343"/>
    </row>
    <row r="719" spans="3:13" ht="15"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343"/>
    </row>
    <row r="720" spans="3:13" ht="15"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343"/>
    </row>
    <row r="721" spans="3:13" ht="15"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343"/>
    </row>
    <row r="722" spans="3:13" ht="15"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343"/>
    </row>
    <row r="723" spans="3:13" ht="15"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343"/>
    </row>
    <row r="724" spans="3:13" ht="15"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343"/>
    </row>
    <row r="725" spans="3:13" ht="15"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343"/>
    </row>
    <row r="726" spans="3:13" ht="15"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343"/>
    </row>
    <row r="727" spans="3:13" ht="15"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343"/>
    </row>
    <row r="728" spans="3:13" ht="15"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343"/>
    </row>
    <row r="729" spans="3:13" ht="15"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343"/>
    </row>
    <row r="730" spans="3:13" ht="15"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343"/>
    </row>
    <row r="731" spans="3:13" ht="15"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343"/>
    </row>
    <row r="732" spans="3:13" ht="15"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343"/>
    </row>
    <row r="733" spans="3:13" ht="15"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343"/>
    </row>
    <row r="734" spans="3:13" ht="15"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343"/>
    </row>
    <row r="735" spans="3:13" ht="15"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343"/>
    </row>
    <row r="736" spans="3:13" ht="15"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343"/>
    </row>
    <row r="737" spans="3:13" ht="15"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343"/>
    </row>
    <row r="738" spans="3:13" ht="15"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343"/>
    </row>
    <row r="739" spans="3:13" ht="15"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343"/>
    </row>
    <row r="740" spans="3:13" ht="15"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343"/>
    </row>
    <row r="741" spans="3:13">
      <c r="M741" s="344"/>
    </row>
    <row r="742" spans="3:13">
      <c r="M742" s="344"/>
    </row>
    <row r="743" spans="3:13">
      <c r="M743" s="344"/>
    </row>
    <row r="744" spans="3:13">
      <c r="M744" s="344"/>
    </row>
    <row r="745" spans="3:13">
      <c r="M745" s="344"/>
    </row>
    <row r="746" spans="3:13">
      <c r="M746" s="344"/>
    </row>
    <row r="747" spans="3:13">
      <c r="M747" s="344"/>
    </row>
    <row r="748" spans="3:13">
      <c r="M748" s="344"/>
    </row>
    <row r="749" spans="3:13">
      <c r="M749" s="344"/>
    </row>
    <row r="750" spans="3:13">
      <c r="M750" s="344"/>
    </row>
    <row r="751" spans="3:13">
      <c r="M751" s="344"/>
    </row>
    <row r="752" spans="3:13">
      <c r="M752" s="344"/>
    </row>
    <row r="753" spans="13:13">
      <c r="M753" s="344"/>
    </row>
    <row r="754" spans="13:13">
      <c r="M754" s="344"/>
    </row>
    <row r="755" spans="13:13">
      <c r="M755" s="344"/>
    </row>
    <row r="756" spans="13:13">
      <c r="M756" s="344"/>
    </row>
    <row r="757" spans="13:13">
      <c r="M757" s="344"/>
    </row>
    <row r="758" spans="13:13">
      <c r="M758" s="344"/>
    </row>
    <row r="759" spans="13:13">
      <c r="M759" s="344"/>
    </row>
    <row r="760" spans="13:13">
      <c r="M760" s="344"/>
    </row>
    <row r="761" spans="13:13">
      <c r="M761" s="344"/>
    </row>
    <row r="762" spans="13:13">
      <c r="M762" s="344"/>
    </row>
    <row r="763" spans="13:13">
      <c r="M763" s="344"/>
    </row>
    <row r="764" spans="13:13">
      <c r="M764" s="344"/>
    </row>
    <row r="765" spans="13:13">
      <c r="M765" s="344"/>
    </row>
    <row r="766" spans="13:13">
      <c r="M766" s="344"/>
    </row>
    <row r="767" spans="13:13">
      <c r="M767" s="344"/>
    </row>
    <row r="768" spans="13:13">
      <c r="M768" s="344"/>
    </row>
    <row r="769" spans="13:13">
      <c r="M769" s="344"/>
    </row>
    <row r="770" spans="13:13">
      <c r="M770" s="344"/>
    </row>
    <row r="771" spans="13:13">
      <c r="M771" s="344"/>
    </row>
    <row r="772" spans="13:13">
      <c r="M772" s="344"/>
    </row>
    <row r="773" spans="13:13">
      <c r="M773" s="344"/>
    </row>
    <row r="774" spans="13:13">
      <c r="M774" s="344"/>
    </row>
    <row r="775" spans="13:13">
      <c r="M775" s="344"/>
    </row>
    <row r="776" spans="13:13">
      <c r="M776" s="344"/>
    </row>
    <row r="777" spans="13:13">
      <c r="M777" s="344"/>
    </row>
    <row r="778" spans="13:13">
      <c r="M778" s="344"/>
    </row>
  </sheetData>
  <autoFilter ref="O19:O504">
    <filterColumn colId="0">
      <customFilters and="1">
        <customFilter operator="notEqual" val=" "/>
        <customFilter operator="notEqual" val="0"/>
      </customFilters>
    </filterColumn>
  </autoFilter>
  <mergeCells count="39">
    <mergeCell ref="B493:C493"/>
    <mergeCell ref="J1:M1"/>
    <mergeCell ref="J4:M4"/>
    <mergeCell ref="A7:M8"/>
    <mergeCell ref="J2:M3"/>
    <mergeCell ref="M17:M18"/>
    <mergeCell ref="E17:E18"/>
    <mergeCell ref="D17:D18"/>
    <mergeCell ref="K493:M493"/>
    <mergeCell ref="K12:L12"/>
    <mergeCell ref="A10:A16"/>
    <mergeCell ref="H17:H18"/>
    <mergeCell ref="G17:G18"/>
    <mergeCell ref="I13:I16"/>
    <mergeCell ref="H12:I12"/>
    <mergeCell ref="A17:A18"/>
    <mergeCell ref="B17:B18"/>
    <mergeCell ref="F17:F18"/>
    <mergeCell ref="D13:D16"/>
    <mergeCell ref="E13:E16"/>
    <mergeCell ref="F12:F16"/>
    <mergeCell ref="B10:B16"/>
    <mergeCell ref="C17:C18"/>
    <mergeCell ref="C12:C16"/>
    <mergeCell ref="C10:E11"/>
    <mergeCell ref="F10:L11"/>
    <mergeCell ref="L17:L18"/>
    <mergeCell ref="K13:K16"/>
    <mergeCell ref="L14:L16"/>
    <mergeCell ref="N185:N186"/>
    <mergeCell ref="E4:F4"/>
    <mergeCell ref="J17:J18"/>
    <mergeCell ref="J12:J16"/>
    <mergeCell ref="I17:I18"/>
    <mergeCell ref="G12:G16"/>
    <mergeCell ref="H13:H16"/>
    <mergeCell ref="D12:E12"/>
    <mergeCell ref="M10:M16"/>
    <mergeCell ref="K17:K18"/>
  </mergeCells>
  <phoneticPr fontId="0" type="noConversion"/>
  <printOptions horizontalCentered="1"/>
  <pageMargins left="0.31496062992125984" right="0" top="0.18" bottom="0.17" header="0.17" footer="0.15748031496062992"/>
  <pageSetup paperSize="9" scale="50" orientation="landscape" r:id="rId1"/>
  <headerFooter alignWithMargins="0">
    <oddFooter xml:space="preserve">&amp;C&amp;"Times New Roman,обычный"
</oddFooter>
  </headerFooter>
  <colBreaks count="1" manualBreakCount="1">
    <brk id="13" max="49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filterMode="1"/>
  <dimension ref="A1:BM1243"/>
  <sheetViews>
    <sheetView showZeros="0" topLeftCell="A10" zoomScale="65" zoomScaleNormal="65" zoomScaleSheetLayoutView="65" workbookViewId="0">
      <pane xSplit="4" ySplit="10" topLeftCell="E20" activePane="bottomRight" state="frozen"/>
      <selection activeCell="A10" sqref="A10"/>
      <selection pane="topRight" activeCell="E10" sqref="E10"/>
      <selection pane="bottomLeft" activeCell="A20" sqref="A20"/>
      <selection pane="bottomRight" activeCell="A19" sqref="A19"/>
    </sheetView>
  </sheetViews>
  <sheetFormatPr defaultRowHeight="12.75" outlineLevelRow="1"/>
  <cols>
    <col min="1" max="1" width="4.5703125" style="2" customWidth="1"/>
    <col min="2" max="2" width="20.28515625" style="2" customWidth="1"/>
    <col min="3" max="3" width="19.85546875" style="2" customWidth="1"/>
    <col min="4" max="4" width="37.5703125" style="111" customWidth="1"/>
    <col min="5" max="5" width="17.7109375" style="2" customWidth="1"/>
    <col min="6" max="6" width="15.42578125" style="2" customWidth="1"/>
    <col min="7" max="7" width="19.42578125" style="2" customWidth="1"/>
    <col min="8" max="8" width="16.85546875" style="2" customWidth="1"/>
    <col min="9" max="9" width="16" style="2" customWidth="1"/>
    <col min="10" max="10" width="13" style="2" customWidth="1"/>
    <col min="11" max="11" width="14.28515625" style="2" customWidth="1"/>
    <col min="12" max="12" width="16.28515625" style="2" customWidth="1"/>
    <col min="13" max="13" width="14.28515625" style="2" customWidth="1"/>
    <col min="14" max="14" width="20.85546875" style="2" customWidth="1"/>
    <col min="15" max="15" width="17.5703125" style="2" customWidth="1"/>
    <col min="16" max="16" width="14.5703125" style="89" customWidth="1"/>
    <col min="17" max="17" width="9.140625" style="50" bestFit="1"/>
    <col min="18" max="18" width="14.7109375" style="50" bestFit="1" customWidth="1"/>
    <col min="19" max="22" width="8.85546875" style="50" customWidth="1"/>
    <col min="23" max="25" width="8.85546875" style="24" customWidth="1"/>
    <col min="26" max="27" width="9.140625" style="24"/>
    <col min="28" max="28" width="12" style="24" customWidth="1"/>
    <col min="29" max="29" width="9.140625" style="24"/>
    <col min="30" max="30" width="11" style="24" customWidth="1"/>
    <col min="31" max="31" width="9.140625" style="24"/>
    <col min="32" max="32" width="11.140625" style="24" customWidth="1"/>
    <col min="33" max="33" width="9.140625" style="24"/>
    <col min="34" max="34" width="12.7109375" style="24" customWidth="1"/>
    <col min="35" max="43" width="9.140625" style="24"/>
    <col min="44" max="65" width="9.140625" style="9"/>
    <col min="66" max="16384" width="9.140625" style="2"/>
  </cols>
  <sheetData>
    <row r="1" spans="1:65" ht="18.75">
      <c r="D1" s="698"/>
      <c r="E1" s="698"/>
      <c r="F1" s="698"/>
      <c r="G1" s="698"/>
      <c r="H1" s="698"/>
      <c r="I1" s="698"/>
      <c r="J1" s="698"/>
      <c r="K1" s="698"/>
      <c r="L1" s="1383" t="s">
        <v>1119</v>
      </c>
      <c r="M1" s="1383"/>
      <c r="N1" s="1383"/>
      <c r="O1" s="1383"/>
    </row>
    <row r="2" spans="1:65" ht="57.6" customHeight="1">
      <c r="D2" s="698"/>
      <c r="E2" s="698"/>
      <c r="F2" s="698"/>
      <c r="G2" s="698"/>
      <c r="H2" s="698"/>
      <c r="I2" s="698"/>
      <c r="J2" s="698"/>
      <c r="K2" s="698"/>
      <c r="L2" s="1383" t="s">
        <v>913</v>
      </c>
      <c r="M2" s="1383"/>
      <c r="N2" s="1383"/>
      <c r="O2" s="1383"/>
    </row>
    <row r="3" spans="1:65" ht="8.4499999999999993" customHeight="1">
      <c r="D3" s="698"/>
      <c r="E3" s="698"/>
      <c r="F3" s="698"/>
      <c r="G3" s="698"/>
      <c r="H3" s="8"/>
      <c r="I3" s="20"/>
      <c r="J3" s="20"/>
      <c r="K3" s="20"/>
      <c r="L3" s="1383"/>
      <c r="M3" s="1383"/>
      <c r="N3" s="1383"/>
      <c r="O3" s="1383"/>
    </row>
    <row r="4" spans="1:65" ht="14.45" customHeight="1">
      <c r="D4" s="699"/>
      <c r="E4" s="699"/>
      <c r="F4" s="699"/>
      <c r="G4" s="699"/>
      <c r="H4" s="699"/>
      <c r="I4" s="699"/>
      <c r="J4" s="699"/>
      <c r="K4" s="699"/>
      <c r="L4" s="1384" t="s">
        <v>92</v>
      </c>
      <c r="M4" s="1384"/>
      <c r="N4" s="1384"/>
      <c r="O4" s="1384"/>
    </row>
    <row r="5" spans="1:65" ht="20.25">
      <c r="C5" s="1422"/>
      <c r="D5" s="1422"/>
      <c r="E5" s="1422"/>
      <c r="F5" s="1422"/>
      <c r="G5" s="1422"/>
      <c r="H5" s="1422"/>
      <c r="I5" s="1422"/>
      <c r="J5" s="1422"/>
      <c r="K5" s="1422"/>
      <c r="L5" s="1422"/>
      <c r="M5" s="1422"/>
      <c r="N5" s="1422"/>
      <c r="O5" s="1422"/>
    </row>
    <row r="6" spans="1:65" ht="20.25">
      <c r="A6" s="26"/>
      <c r="B6" s="26"/>
      <c r="C6" s="1422" t="s">
        <v>1118</v>
      </c>
      <c r="D6" s="1422"/>
      <c r="E6" s="1422"/>
      <c r="F6" s="1422"/>
      <c r="G6" s="1422"/>
      <c r="H6" s="1422"/>
      <c r="I6" s="1422"/>
      <c r="J6" s="1422"/>
      <c r="K6" s="1422"/>
      <c r="L6" s="1422"/>
      <c r="M6" s="1422"/>
      <c r="N6" s="1422"/>
      <c r="O6" s="1422"/>
    </row>
    <row r="7" spans="1:65" ht="20.25">
      <c r="A7" s="26"/>
      <c r="B7" s="26"/>
      <c r="C7" s="1422" t="s">
        <v>76</v>
      </c>
      <c r="D7" s="1422"/>
      <c r="E7" s="1422"/>
      <c r="F7" s="1422"/>
      <c r="G7" s="1422"/>
      <c r="H7" s="1422"/>
      <c r="I7" s="1422"/>
      <c r="J7" s="1422"/>
      <c r="K7" s="1422"/>
      <c r="L7" s="1422"/>
      <c r="M7" s="1422"/>
      <c r="N7" s="1422"/>
      <c r="O7" s="1422"/>
    </row>
    <row r="8" spans="1:65" ht="13.5">
      <c r="A8" s="18"/>
      <c r="B8" s="18"/>
      <c r="C8" s="18"/>
      <c r="E8" s="18"/>
      <c r="F8" s="18"/>
      <c r="G8" s="18"/>
      <c r="H8" s="21"/>
      <c r="I8" s="21"/>
      <c r="J8" s="21"/>
      <c r="K8" s="21"/>
      <c r="L8" s="21"/>
      <c r="M8" s="21"/>
      <c r="N8" s="21"/>
      <c r="O8" s="21"/>
    </row>
    <row r="9" spans="1:65" ht="15.75">
      <c r="A9" s="19"/>
      <c r="B9" s="19"/>
      <c r="C9" s="19"/>
      <c r="D9" s="112"/>
      <c r="E9" s="19"/>
      <c r="F9" s="19"/>
      <c r="G9" s="192"/>
      <c r="H9" s="22"/>
      <c r="I9" s="22"/>
      <c r="J9" s="22"/>
      <c r="K9" s="22"/>
      <c r="L9" s="117"/>
      <c r="M9" s="192" t="s">
        <v>561</v>
      </c>
      <c r="N9" s="192"/>
      <c r="O9" s="22"/>
    </row>
    <row r="10" spans="1:65" ht="18.75">
      <c r="A10" s="1425" t="s">
        <v>875</v>
      </c>
      <c r="B10" s="1425" t="s">
        <v>1318</v>
      </c>
      <c r="C10" s="1425" t="s">
        <v>385</v>
      </c>
      <c r="D10" s="1425" t="s">
        <v>233</v>
      </c>
      <c r="E10" s="1429" t="s">
        <v>751</v>
      </c>
      <c r="F10" s="1429"/>
      <c r="G10" s="1429"/>
      <c r="H10" s="1429" t="s">
        <v>714</v>
      </c>
      <c r="I10" s="1429"/>
      <c r="J10" s="1429"/>
      <c r="K10" s="1429"/>
      <c r="L10" s="1429"/>
      <c r="M10" s="1429"/>
      <c r="N10" s="1429"/>
      <c r="O10" s="1434" t="s">
        <v>269</v>
      </c>
      <c r="R10" s="1432" t="s">
        <v>191</v>
      </c>
      <c r="S10" s="1432"/>
      <c r="T10" s="1432"/>
      <c r="U10" s="1432"/>
    </row>
    <row r="11" spans="1:65">
      <c r="A11" s="1425"/>
      <c r="B11" s="1425"/>
      <c r="C11" s="1425"/>
      <c r="D11" s="1425"/>
      <c r="E11" s="1429"/>
      <c r="F11" s="1429"/>
      <c r="G11" s="1429"/>
      <c r="H11" s="1429"/>
      <c r="I11" s="1429"/>
      <c r="J11" s="1429"/>
      <c r="K11" s="1429"/>
      <c r="L11" s="1429"/>
      <c r="M11" s="1429"/>
      <c r="N11" s="1429"/>
      <c r="O11" s="1435"/>
    </row>
    <row r="12" spans="1:65" ht="13.15" hidden="1" customHeight="1">
      <c r="A12" s="1426"/>
      <c r="B12" s="1425"/>
      <c r="C12" s="1426"/>
      <c r="D12" s="1427"/>
      <c r="E12" s="1430"/>
      <c r="F12" s="1430"/>
      <c r="G12" s="1430"/>
      <c r="H12" s="1429"/>
      <c r="I12" s="1429"/>
      <c r="J12" s="1429"/>
      <c r="K12" s="1429"/>
      <c r="L12" s="1429"/>
      <c r="M12" s="1429"/>
      <c r="N12" s="1429"/>
      <c r="O12" s="1436"/>
      <c r="P12" s="8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ht="13.15" hidden="1" customHeight="1">
      <c r="A13" s="1426"/>
      <c r="B13" s="1425"/>
      <c r="C13" s="1426"/>
      <c r="D13" s="1427"/>
      <c r="E13" s="1430"/>
      <c r="F13" s="1430"/>
      <c r="G13" s="1430"/>
      <c r="H13" s="1429"/>
      <c r="I13" s="1429"/>
      <c r="J13" s="1429"/>
      <c r="K13" s="1429"/>
      <c r="L13" s="1429"/>
      <c r="M13" s="1429"/>
      <c r="N13" s="1429"/>
      <c r="O13" s="1436"/>
      <c r="P13" s="8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ht="13.15" hidden="1" customHeight="1">
      <c r="A14" s="1426"/>
      <c r="B14" s="1425"/>
      <c r="C14" s="1426"/>
      <c r="D14" s="1427"/>
      <c r="E14" s="1430"/>
      <c r="F14" s="1430"/>
      <c r="G14" s="1430"/>
      <c r="H14" s="1429"/>
      <c r="I14" s="1429"/>
      <c r="J14" s="1429"/>
      <c r="K14" s="1429"/>
      <c r="L14" s="1429"/>
      <c r="M14" s="1429"/>
      <c r="N14" s="1429"/>
      <c r="O14" s="1436"/>
      <c r="P14" s="8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ht="13.15" hidden="1" customHeight="1">
      <c r="A15" s="1426"/>
      <c r="B15" s="1425"/>
      <c r="C15" s="1426"/>
      <c r="D15" s="1427"/>
      <c r="E15" s="1430"/>
      <c r="F15" s="1430"/>
      <c r="G15" s="1430"/>
      <c r="H15" s="1429"/>
      <c r="I15" s="1429"/>
      <c r="J15" s="1429"/>
      <c r="K15" s="1429"/>
      <c r="L15" s="1429"/>
      <c r="M15" s="1429"/>
      <c r="N15" s="1429"/>
      <c r="O15" s="1436"/>
      <c r="P15" s="83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ht="15.75">
      <c r="A16" s="1425"/>
      <c r="B16" s="1425"/>
      <c r="C16" s="1425"/>
      <c r="D16" s="1425"/>
      <c r="E16" s="1431" t="s">
        <v>1251</v>
      </c>
      <c r="F16" s="1425" t="s">
        <v>1252</v>
      </c>
      <c r="G16" s="1425"/>
      <c r="H16" s="1431" t="s">
        <v>1251</v>
      </c>
      <c r="I16" s="1425" t="s">
        <v>750</v>
      </c>
      <c r="J16" s="1425" t="s">
        <v>1252</v>
      </c>
      <c r="K16" s="1425"/>
      <c r="L16" s="1437" t="s">
        <v>752</v>
      </c>
      <c r="M16" s="1437" t="s">
        <v>564</v>
      </c>
      <c r="N16" s="1437"/>
      <c r="O16" s="1435"/>
      <c r="R16" s="69" t="s">
        <v>192</v>
      </c>
      <c r="S16" s="69" t="s">
        <v>503</v>
      </c>
      <c r="T16" s="1433" t="s">
        <v>504</v>
      </c>
      <c r="U16" s="1433"/>
    </row>
    <row r="17" spans="1:65" ht="15.75">
      <c r="A17" s="1425"/>
      <c r="B17" s="1425"/>
      <c r="C17" s="1425"/>
      <c r="D17" s="1425"/>
      <c r="E17" s="1431"/>
      <c r="F17" s="1425" t="s">
        <v>748</v>
      </c>
      <c r="G17" s="1389" t="s">
        <v>70</v>
      </c>
      <c r="H17" s="1431"/>
      <c r="I17" s="1425"/>
      <c r="J17" s="1425" t="s">
        <v>748</v>
      </c>
      <c r="K17" s="1389" t="s">
        <v>70</v>
      </c>
      <c r="L17" s="1437"/>
      <c r="M17" s="1425" t="s">
        <v>749</v>
      </c>
      <c r="N17" s="384" t="s">
        <v>567</v>
      </c>
      <c r="O17" s="1435"/>
      <c r="R17" s="69" t="s">
        <v>502</v>
      </c>
      <c r="S17" s="69" t="s">
        <v>502</v>
      </c>
      <c r="T17" s="69" t="s">
        <v>192</v>
      </c>
      <c r="U17" s="69" t="s">
        <v>503</v>
      </c>
    </row>
    <row r="18" spans="1:65" ht="127.9" customHeight="1">
      <c r="A18" s="1425"/>
      <c r="B18" s="1425"/>
      <c r="C18" s="1425"/>
      <c r="D18" s="1425"/>
      <c r="E18" s="1431"/>
      <c r="F18" s="1425"/>
      <c r="G18" s="1389"/>
      <c r="H18" s="1431"/>
      <c r="I18" s="1425"/>
      <c r="J18" s="1425"/>
      <c r="K18" s="1389"/>
      <c r="L18" s="1437"/>
      <c r="M18" s="1425"/>
      <c r="N18" s="384" t="s">
        <v>565</v>
      </c>
      <c r="O18" s="1435"/>
      <c r="R18" s="70"/>
      <c r="S18" s="70"/>
      <c r="T18" s="70"/>
      <c r="U18" s="70"/>
    </row>
    <row r="19" spans="1:65" s="122" customFormat="1" ht="15.75">
      <c r="A19" s="384">
        <v>1</v>
      </c>
      <c r="B19" s="384">
        <v>2</v>
      </c>
      <c r="C19" s="384">
        <v>3</v>
      </c>
      <c r="D19" s="384">
        <v>4</v>
      </c>
      <c r="E19" s="384">
        <v>5</v>
      </c>
      <c r="F19" s="384">
        <v>6</v>
      </c>
      <c r="G19" s="384">
        <v>7</v>
      </c>
      <c r="H19" s="384">
        <v>8</v>
      </c>
      <c r="I19" s="384">
        <v>9</v>
      </c>
      <c r="J19" s="384">
        <v>10</v>
      </c>
      <c r="K19" s="384">
        <v>11</v>
      </c>
      <c r="L19" s="384">
        <v>12</v>
      </c>
      <c r="M19" s="384">
        <v>13</v>
      </c>
      <c r="N19" s="384">
        <v>14</v>
      </c>
      <c r="O19" s="384">
        <v>15</v>
      </c>
      <c r="P19" s="106"/>
      <c r="Q19" s="107"/>
      <c r="R19" s="108"/>
      <c r="S19" s="108"/>
      <c r="T19" s="108"/>
      <c r="U19" s="108"/>
      <c r="V19" s="107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</row>
    <row r="20" spans="1:65" ht="33.6" customHeight="1">
      <c r="A20" s="359" t="s">
        <v>1003</v>
      </c>
      <c r="B20" s="359"/>
      <c r="C20" s="359" t="s">
        <v>1319</v>
      </c>
      <c r="D20" s="360" t="s">
        <v>488</v>
      </c>
      <c r="E20" s="487">
        <f>SUM(E21:E77)-E50-E51-E52-E53-E54-E56-E55-E57-E58-E59-E60-E27-E47-E48-E49-E30-E38-E22</f>
        <v>733837000</v>
      </c>
      <c r="F20" s="487">
        <f t="shared" ref="F20:N20" si="0">SUM(F21:F77)-F50-F51-F52-F53-F54-F56-F55-F57-F58-F59-F60-F27-F47-F48-F49-F30-F38-F22</f>
        <v>305803000</v>
      </c>
      <c r="G20" s="487">
        <f t="shared" si="0"/>
        <v>50006800</v>
      </c>
      <c r="H20" s="487">
        <f t="shared" si="0"/>
        <v>42562400</v>
      </c>
      <c r="I20" s="487">
        <f t="shared" si="0"/>
        <v>22231400</v>
      </c>
      <c r="J20" s="487">
        <f t="shared" si="0"/>
        <v>4947100</v>
      </c>
      <c r="K20" s="487">
        <f t="shared" si="0"/>
        <v>1366700</v>
      </c>
      <c r="L20" s="487">
        <f t="shared" si="0"/>
        <v>20331000</v>
      </c>
      <c r="M20" s="487">
        <f t="shared" si="0"/>
        <v>18810000</v>
      </c>
      <c r="N20" s="487">
        <f t="shared" si="0"/>
        <v>18810000</v>
      </c>
      <c r="O20" s="487">
        <f t="shared" ref="O20:O54" si="1">+E20+H20</f>
        <v>776399400</v>
      </c>
      <c r="P20" s="162">
        <f>+O20</f>
        <v>776399400</v>
      </c>
      <c r="R20" s="71">
        <f>SUM(E21:E70)</f>
        <v>696593100</v>
      </c>
      <c r="S20" s="71"/>
      <c r="T20" s="71"/>
      <c r="U20" s="71"/>
    </row>
    <row r="21" spans="1:65" ht="19.899999999999999" hidden="1" customHeight="1">
      <c r="A21" s="1415"/>
      <c r="B21" s="1415"/>
      <c r="C21" s="570" t="s">
        <v>1599</v>
      </c>
      <c r="D21" s="171" t="s">
        <v>896</v>
      </c>
      <c r="E21" s="173"/>
      <c r="F21" s="173"/>
      <c r="G21" s="173"/>
      <c r="H21" s="173">
        <f t="shared" ref="H21:H71" si="2">+I21+L21</f>
        <v>0</v>
      </c>
      <c r="I21" s="173"/>
      <c r="J21" s="173"/>
      <c r="K21" s="173"/>
      <c r="L21" s="173"/>
      <c r="M21" s="173"/>
      <c r="N21" s="173"/>
      <c r="O21" s="173">
        <f t="shared" si="1"/>
        <v>0</v>
      </c>
      <c r="P21" s="100">
        <f t="shared" ref="P21:P98" si="3">+O21</f>
        <v>0</v>
      </c>
      <c r="Q21" s="2"/>
      <c r="R21" s="7"/>
      <c r="S21" s="7"/>
      <c r="T21" s="7"/>
      <c r="U21" s="7"/>
      <c r="V21" s="2"/>
      <c r="W21" s="2"/>
      <c r="X21" s="2"/>
      <c r="Y21" s="2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 spans="1:65" ht="58.15" hidden="1" customHeight="1">
      <c r="A22" s="1415"/>
      <c r="B22" s="1415"/>
      <c r="C22" s="569"/>
      <c r="D22" s="539" t="s">
        <v>1040</v>
      </c>
      <c r="E22" s="541"/>
      <c r="F22" s="541"/>
      <c r="G22" s="541"/>
      <c r="H22" s="540">
        <f t="shared" si="2"/>
        <v>4200000</v>
      </c>
      <c r="I22" s="541"/>
      <c r="J22" s="541"/>
      <c r="K22" s="541"/>
      <c r="L22" s="540">
        <v>4200000</v>
      </c>
      <c r="M22" s="540">
        <f>+L22</f>
        <v>4200000</v>
      </c>
      <c r="N22" s="540">
        <f>+M22</f>
        <v>4200000</v>
      </c>
      <c r="O22" s="540">
        <f t="shared" si="1"/>
        <v>4200000</v>
      </c>
      <c r="P22" s="100"/>
      <c r="Q22" s="2"/>
      <c r="R22" s="132"/>
      <c r="S22" s="132"/>
      <c r="T22" s="132"/>
      <c r="U22" s="132"/>
      <c r="V22" s="2"/>
      <c r="W22" s="2"/>
      <c r="X22" s="2"/>
      <c r="Y22" s="2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65" ht="48" customHeight="1">
      <c r="A23" s="1416" t="s">
        <v>1320</v>
      </c>
      <c r="B23" s="1416"/>
      <c r="C23" s="569" t="s">
        <v>1600</v>
      </c>
      <c r="D23" s="362" t="s">
        <v>376</v>
      </c>
      <c r="E23" s="488">
        <f>+'видатки_затв '!C48</f>
        <v>36773100</v>
      </c>
      <c r="F23" s="488">
        <f>+'видатки_затв '!D48</f>
        <v>16862100</v>
      </c>
      <c r="G23" s="488">
        <f>+'видатки_затв '!E48</f>
        <v>3966200</v>
      </c>
      <c r="H23" s="488">
        <f t="shared" si="2"/>
        <v>483700</v>
      </c>
      <c r="I23" s="488">
        <f>+'видатки_затв '!G48</f>
        <v>54700</v>
      </c>
      <c r="J23" s="488">
        <f>+'видатки_затв '!H48</f>
        <v>0</v>
      </c>
      <c r="K23" s="488">
        <f>+'видатки_затв '!I48</f>
        <v>9000</v>
      </c>
      <c r="L23" s="488">
        <f>+'видатки_затв '!J48</f>
        <v>429000</v>
      </c>
      <c r="M23" s="488">
        <f>+'видатки_затв '!K48</f>
        <v>429000</v>
      </c>
      <c r="N23" s="488">
        <f>+'видатки_затв '!L48</f>
        <v>429000</v>
      </c>
      <c r="O23" s="488">
        <f t="shared" si="1"/>
        <v>37256800</v>
      </c>
      <c r="P23" s="162">
        <f t="shared" si="3"/>
        <v>37256800</v>
      </c>
      <c r="R23" s="71"/>
      <c r="S23" s="71"/>
      <c r="T23" s="71"/>
      <c r="U23" s="71"/>
    </row>
    <row r="24" spans="1:65" ht="48.6" customHeight="1">
      <c r="A24" s="1416" t="s">
        <v>1321</v>
      </c>
      <c r="B24" s="1416"/>
      <c r="C24" s="569" t="s">
        <v>1601</v>
      </c>
      <c r="D24" s="362" t="s">
        <v>1152</v>
      </c>
      <c r="E24" s="488">
        <f>+'видатки_затв '!C49</f>
        <v>8973000</v>
      </c>
      <c r="F24" s="488">
        <f>+'видатки_затв '!D49</f>
        <v>3953800</v>
      </c>
      <c r="G24" s="488">
        <f>+'видатки_затв '!E49</f>
        <v>939100</v>
      </c>
      <c r="H24" s="488">
        <f t="shared" si="2"/>
        <v>210000</v>
      </c>
      <c r="I24" s="488">
        <f>+'видатки_затв '!G49</f>
        <v>8000</v>
      </c>
      <c r="J24" s="488">
        <f>+'видатки_затв '!H49</f>
        <v>0</v>
      </c>
      <c r="K24" s="488">
        <f>+'видатки_затв '!I49</f>
        <v>0</v>
      </c>
      <c r="L24" s="488">
        <f>+'видатки_затв '!J49</f>
        <v>202000</v>
      </c>
      <c r="M24" s="488">
        <f>+'видатки_затв '!K49</f>
        <v>202000</v>
      </c>
      <c r="N24" s="488">
        <f>+'видатки_затв '!L49</f>
        <v>202000</v>
      </c>
      <c r="O24" s="488">
        <f t="shared" si="1"/>
        <v>9183000</v>
      </c>
      <c r="P24" s="162">
        <f t="shared" si="3"/>
        <v>9183000</v>
      </c>
      <c r="R24" s="71"/>
      <c r="S24" s="71"/>
      <c r="T24" s="71"/>
      <c r="U24" s="71"/>
    </row>
    <row r="25" spans="1:65" ht="49.15" hidden="1" customHeight="1">
      <c r="A25" s="1415"/>
      <c r="B25" s="1415"/>
      <c r="C25" s="550" t="s">
        <v>862</v>
      </c>
      <c r="D25" s="202" t="s">
        <v>187</v>
      </c>
      <c r="E25" s="180">
        <f>+'видатки_затв '!C50</f>
        <v>0</v>
      </c>
      <c r="F25" s="180">
        <f>+'видатки_затв '!D50</f>
        <v>0</v>
      </c>
      <c r="G25" s="180">
        <f>+'видатки_затв '!E50</f>
        <v>0</v>
      </c>
      <c r="H25" s="180">
        <f t="shared" si="2"/>
        <v>0</v>
      </c>
      <c r="I25" s="180">
        <f>+'видатки_затв '!G50</f>
        <v>0</v>
      </c>
      <c r="J25" s="180">
        <f>+'видатки_затв '!H50</f>
        <v>0</v>
      </c>
      <c r="K25" s="180">
        <f>+'видатки_затв '!I50</f>
        <v>0</v>
      </c>
      <c r="L25" s="180">
        <f>+'видатки_затв '!J50</f>
        <v>0</v>
      </c>
      <c r="M25" s="180">
        <f>+'видатки_затв '!K50</f>
        <v>0</v>
      </c>
      <c r="N25" s="180">
        <f>+'видатки_затв '!L50</f>
        <v>0</v>
      </c>
      <c r="O25" s="180">
        <f t="shared" si="1"/>
        <v>0</v>
      </c>
      <c r="P25" s="100">
        <f t="shared" si="3"/>
        <v>0</v>
      </c>
      <c r="R25" s="71"/>
      <c r="S25" s="71"/>
      <c r="T25" s="71"/>
      <c r="U25" s="71"/>
    </row>
    <row r="26" spans="1:65" ht="67.150000000000006" customHeight="1">
      <c r="A26" s="1416" t="s">
        <v>1322</v>
      </c>
      <c r="B26" s="1416"/>
      <c r="C26" s="569" t="s">
        <v>1602</v>
      </c>
      <c r="D26" s="362" t="s">
        <v>1224</v>
      </c>
      <c r="E26" s="488">
        <f>+'видатки_затв '!C51</f>
        <v>135489300</v>
      </c>
      <c r="F26" s="488">
        <f>+'видатки_затв '!D51</f>
        <v>74502400</v>
      </c>
      <c r="G26" s="488">
        <f>+'видатки_затв '!E51</f>
        <v>8646400</v>
      </c>
      <c r="H26" s="488">
        <f t="shared" si="2"/>
        <v>1943400</v>
      </c>
      <c r="I26" s="488">
        <f>+'видатки_затв '!G51</f>
        <v>56900</v>
      </c>
      <c r="J26" s="488">
        <f>+'видатки_затв '!H51</f>
        <v>0</v>
      </c>
      <c r="K26" s="488">
        <f>+'видатки_затв '!I51</f>
        <v>2300</v>
      </c>
      <c r="L26" s="488">
        <f>+'видатки_затв '!J51</f>
        <v>1886500</v>
      </c>
      <c r="M26" s="488">
        <f>+'видатки_затв '!K51</f>
        <v>1886500</v>
      </c>
      <c r="N26" s="488">
        <f>+'видатки_затв '!L51</f>
        <v>1886500</v>
      </c>
      <c r="O26" s="488">
        <f t="shared" si="1"/>
        <v>137432700</v>
      </c>
      <c r="P26" s="162">
        <f t="shared" si="3"/>
        <v>137432700</v>
      </c>
      <c r="R26" s="71"/>
      <c r="S26" s="71"/>
      <c r="T26" s="71"/>
      <c r="U26" s="71"/>
    </row>
    <row r="27" spans="1:65" ht="50.45" hidden="1" customHeight="1">
      <c r="A27" s="1415"/>
      <c r="B27" s="1415"/>
      <c r="C27" s="575"/>
      <c r="D27" s="582" t="s">
        <v>428</v>
      </c>
      <c r="E27" s="169"/>
      <c r="F27" s="169"/>
      <c r="G27" s="169"/>
      <c r="H27" s="226"/>
      <c r="I27" s="169"/>
      <c r="J27" s="169"/>
      <c r="K27" s="169"/>
      <c r="L27" s="169"/>
      <c r="M27" s="169"/>
      <c r="N27" s="169"/>
      <c r="O27" s="169">
        <f t="shared" si="1"/>
        <v>0</v>
      </c>
      <c r="P27" s="100">
        <f t="shared" si="3"/>
        <v>0</v>
      </c>
      <c r="R27" s="71"/>
      <c r="S27" s="71"/>
      <c r="T27" s="71"/>
      <c r="U27" s="71"/>
    </row>
    <row r="28" spans="1:65" ht="109.9" customHeight="1">
      <c r="A28" s="1416" t="s">
        <v>1323</v>
      </c>
      <c r="B28" s="1416"/>
      <c r="C28" s="569" t="s">
        <v>1589</v>
      </c>
      <c r="D28" s="362" t="s">
        <v>741</v>
      </c>
      <c r="E28" s="488">
        <f>+'видатки_затв '!C52</f>
        <v>18887800</v>
      </c>
      <c r="F28" s="488">
        <f>+'видатки_затв '!D52</f>
        <v>7721100</v>
      </c>
      <c r="G28" s="488">
        <f>+'видатки_затв '!E52</f>
        <v>1464100</v>
      </c>
      <c r="H28" s="488">
        <f t="shared" si="2"/>
        <v>348000</v>
      </c>
      <c r="I28" s="488">
        <f>+'видатки_затв '!G52</f>
        <v>0</v>
      </c>
      <c r="J28" s="488">
        <f>+'видатки_затв '!H52</f>
        <v>0</v>
      </c>
      <c r="K28" s="488">
        <f>+'видатки_затв '!I52</f>
        <v>0</v>
      </c>
      <c r="L28" s="488">
        <f>+'видатки_затв '!J52</f>
        <v>348000</v>
      </c>
      <c r="M28" s="488">
        <f>+'видатки_затв '!K52</f>
        <v>348000</v>
      </c>
      <c r="N28" s="488">
        <f>+'видатки_затв '!L52</f>
        <v>348000</v>
      </c>
      <c r="O28" s="488">
        <f t="shared" si="1"/>
        <v>19235800</v>
      </c>
      <c r="P28" s="162">
        <f t="shared" si="3"/>
        <v>19235800</v>
      </c>
      <c r="R28" s="71"/>
      <c r="S28" s="71"/>
      <c r="T28" s="71"/>
      <c r="U28" s="71"/>
    </row>
    <row r="29" spans="1:65" ht="34.9" customHeight="1">
      <c r="A29" s="1416" t="s">
        <v>1324</v>
      </c>
      <c r="B29" s="1416"/>
      <c r="C29" s="569" t="s">
        <v>1603</v>
      </c>
      <c r="D29" s="217" t="s">
        <v>480</v>
      </c>
      <c r="E29" s="488">
        <f>9167300+18200</f>
        <v>9185500</v>
      </c>
      <c r="F29" s="488">
        <v>4931400</v>
      </c>
      <c r="G29" s="488">
        <v>344500</v>
      </c>
      <c r="H29" s="488">
        <f t="shared" si="2"/>
        <v>878000</v>
      </c>
      <c r="I29" s="488">
        <v>647000</v>
      </c>
      <c r="J29" s="488">
        <v>326800</v>
      </c>
      <c r="K29" s="488">
        <v>29900</v>
      </c>
      <c r="L29" s="488">
        <f>131000+100000</f>
        <v>231000</v>
      </c>
      <c r="M29" s="488">
        <f>131000+100000</f>
        <v>231000</v>
      </c>
      <c r="N29" s="488">
        <f>131000+100000</f>
        <v>231000</v>
      </c>
      <c r="O29" s="488">
        <f t="shared" si="1"/>
        <v>10063500</v>
      </c>
      <c r="P29" s="162">
        <f t="shared" si="3"/>
        <v>10063500</v>
      </c>
      <c r="R29" s="71"/>
      <c r="S29" s="71"/>
      <c r="T29" s="71"/>
      <c r="U29" s="71"/>
    </row>
    <row r="30" spans="1:65" ht="36" hidden="1" customHeight="1">
      <c r="A30" s="1415"/>
      <c r="B30" s="1415"/>
      <c r="C30" s="569"/>
      <c r="D30" s="364" t="s">
        <v>508</v>
      </c>
      <c r="E30" s="363"/>
      <c r="F30" s="363"/>
      <c r="G30" s="363"/>
      <c r="H30" s="363">
        <f t="shared" si="2"/>
        <v>0</v>
      </c>
      <c r="I30" s="363"/>
      <c r="J30" s="363"/>
      <c r="K30" s="363"/>
      <c r="L30" s="363"/>
      <c r="M30" s="363"/>
      <c r="N30" s="363"/>
      <c r="O30" s="363">
        <f t="shared" si="1"/>
        <v>0</v>
      </c>
      <c r="P30" s="162">
        <f t="shared" si="3"/>
        <v>0</v>
      </c>
      <c r="R30" s="71"/>
      <c r="S30" s="71"/>
      <c r="T30" s="71"/>
      <c r="U30" s="71"/>
    </row>
    <row r="31" spans="1:65" ht="20.45" customHeight="1">
      <c r="A31" s="1416" t="s">
        <v>1325</v>
      </c>
      <c r="B31" s="1416"/>
      <c r="C31" s="569" t="s">
        <v>590</v>
      </c>
      <c r="D31" s="364" t="s">
        <v>204</v>
      </c>
      <c r="E31" s="488">
        <f>+'видатки_затв '!C54</f>
        <v>411085500</v>
      </c>
      <c r="F31" s="488">
        <f>+'видатки_затв '!D54</f>
        <v>190582800</v>
      </c>
      <c r="G31" s="488">
        <f>+'видатки_затв '!E54</f>
        <v>34120000</v>
      </c>
      <c r="H31" s="488">
        <f>+I31+L31</f>
        <v>32280000</v>
      </c>
      <c r="I31" s="488">
        <f>+'видатки_затв '!G54</f>
        <v>20000000</v>
      </c>
      <c r="J31" s="488">
        <f>+'видатки_затв '!H54</f>
        <v>4310000</v>
      </c>
      <c r="K31" s="488">
        <f>+'видатки_затв '!I54</f>
        <v>1300000</v>
      </c>
      <c r="L31" s="488">
        <f>+'видатки_затв '!J54</f>
        <v>12280000</v>
      </c>
      <c r="M31" s="488">
        <f>+'видатки_затв '!K54</f>
        <v>10780000</v>
      </c>
      <c r="N31" s="488">
        <f>+'видатки_затв '!L54</f>
        <v>10780000</v>
      </c>
      <c r="O31" s="488">
        <f t="shared" si="1"/>
        <v>443365500</v>
      </c>
      <c r="P31" s="162">
        <f t="shared" si="3"/>
        <v>443365500</v>
      </c>
      <c r="R31" s="71"/>
      <c r="S31" s="71"/>
      <c r="T31" s="71"/>
      <c r="U31" s="71"/>
    </row>
    <row r="32" spans="1:65" ht="19.149999999999999" hidden="1" customHeight="1">
      <c r="A32" s="1415"/>
      <c r="B32" s="1415"/>
      <c r="C32" s="551" t="s">
        <v>863</v>
      </c>
      <c r="D32" s="170" t="s">
        <v>1068</v>
      </c>
      <c r="E32" s="180">
        <f>+'видатки_затв '!C55</f>
        <v>0</v>
      </c>
      <c r="F32" s="180">
        <f>+'видатки_затв '!D55</f>
        <v>0</v>
      </c>
      <c r="G32" s="180">
        <f>+'видатки_затв '!E55</f>
        <v>0</v>
      </c>
      <c r="H32" s="169">
        <f t="shared" si="2"/>
        <v>0</v>
      </c>
      <c r="I32" s="180">
        <f>+'видатки_затв '!F55</f>
        <v>0</v>
      </c>
      <c r="J32" s="180">
        <f>+'видатки_затв '!G55</f>
        <v>0</v>
      </c>
      <c r="K32" s="180">
        <f>+'видатки_затв '!H55</f>
        <v>0</v>
      </c>
      <c r="L32" s="180">
        <f>+'видатки_затв '!I55</f>
        <v>0</v>
      </c>
      <c r="M32" s="180">
        <f>+'видатки_затв '!J55</f>
        <v>0</v>
      </c>
      <c r="N32" s="180">
        <f>+'видатки_затв '!K55</f>
        <v>0</v>
      </c>
      <c r="O32" s="169">
        <f t="shared" si="1"/>
        <v>0</v>
      </c>
      <c r="P32" s="100">
        <f t="shared" si="3"/>
        <v>0</v>
      </c>
      <c r="R32" s="71"/>
      <c r="S32" s="71"/>
      <c r="T32" s="71"/>
      <c r="U32" s="71"/>
    </row>
    <row r="33" spans="1:65" ht="30">
      <c r="A33" s="1416" t="s">
        <v>1326</v>
      </c>
      <c r="B33" s="1416"/>
      <c r="C33" s="569" t="s">
        <v>539</v>
      </c>
      <c r="D33" s="364" t="s">
        <v>1137</v>
      </c>
      <c r="E33" s="488">
        <f>49680600+34800</f>
        <v>49715400</v>
      </c>
      <c r="F33" s="488"/>
      <c r="G33" s="488"/>
      <c r="H33" s="488">
        <f t="shared" si="2"/>
        <v>1158100</v>
      </c>
      <c r="I33" s="488">
        <v>668100</v>
      </c>
      <c r="J33" s="488"/>
      <c r="K33" s="488"/>
      <c r="L33" s="488">
        <f>1068000+80000-658000</f>
        <v>490000</v>
      </c>
      <c r="M33" s="488">
        <f>+L33</f>
        <v>490000</v>
      </c>
      <c r="N33" s="488">
        <f>+M33</f>
        <v>490000</v>
      </c>
      <c r="O33" s="488">
        <f t="shared" si="1"/>
        <v>50873500</v>
      </c>
      <c r="P33" s="162">
        <f t="shared" si="3"/>
        <v>50873500</v>
      </c>
      <c r="R33" s="71"/>
      <c r="S33" s="71"/>
      <c r="T33" s="71"/>
      <c r="U33" s="71"/>
    </row>
    <row r="34" spans="1:65" ht="19.149999999999999" hidden="1" customHeight="1">
      <c r="A34" s="1415"/>
      <c r="B34" s="1415"/>
      <c r="C34" s="551" t="s">
        <v>727</v>
      </c>
      <c r="D34" s="170" t="s">
        <v>1065</v>
      </c>
      <c r="E34" s="180">
        <f>+'видатки_затв '!C57</f>
        <v>0</v>
      </c>
      <c r="F34" s="180">
        <f>+'видатки_затв '!D57</f>
        <v>0</v>
      </c>
      <c r="G34" s="180">
        <f>+'видатки_затв '!E57</f>
        <v>0</v>
      </c>
      <c r="H34" s="180">
        <f t="shared" si="2"/>
        <v>0</v>
      </c>
      <c r="I34" s="180">
        <f>+'видатки_затв '!G57</f>
        <v>0</v>
      </c>
      <c r="J34" s="180">
        <f>+'видатки_затв '!H57</f>
        <v>0</v>
      </c>
      <c r="K34" s="180">
        <f>+'видатки_затв '!I57</f>
        <v>0</v>
      </c>
      <c r="L34" s="180">
        <f>+'видатки_затв '!J57</f>
        <v>0</v>
      </c>
      <c r="M34" s="180">
        <f>+'видатки_затв '!K57</f>
        <v>0</v>
      </c>
      <c r="N34" s="180">
        <f>+'видатки_затв '!L57</f>
        <v>0</v>
      </c>
      <c r="O34" s="180">
        <f t="shared" si="1"/>
        <v>0</v>
      </c>
      <c r="P34" s="100">
        <f t="shared" si="3"/>
        <v>0</v>
      </c>
      <c r="R34" s="71"/>
      <c r="S34" s="71"/>
      <c r="T34" s="71"/>
      <c r="U34" s="71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ht="69" customHeight="1">
      <c r="A35" s="1416" t="s">
        <v>1327</v>
      </c>
      <c r="B35" s="1416"/>
      <c r="C35" s="569" t="s">
        <v>1604</v>
      </c>
      <c r="D35" s="364" t="s">
        <v>569</v>
      </c>
      <c r="E35" s="488">
        <f>7823300+37400</f>
        <v>7860700</v>
      </c>
      <c r="F35" s="488"/>
      <c r="G35" s="488"/>
      <c r="H35" s="488">
        <f t="shared" si="2"/>
        <v>210000</v>
      </c>
      <c r="I35" s="488">
        <v>150000</v>
      </c>
      <c r="J35" s="488"/>
      <c r="K35" s="488"/>
      <c r="L35" s="488">
        <v>60000</v>
      </c>
      <c r="M35" s="488">
        <v>60000</v>
      </c>
      <c r="N35" s="488">
        <v>60000</v>
      </c>
      <c r="O35" s="488">
        <f t="shared" si="1"/>
        <v>8070700</v>
      </c>
      <c r="P35" s="162">
        <f t="shared" si="3"/>
        <v>8070700</v>
      </c>
      <c r="R35" s="71"/>
      <c r="S35" s="71"/>
      <c r="T35" s="71"/>
      <c r="U35" s="71"/>
    </row>
    <row r="36" spans="1:65" ht="36" hidden="1" customHeight="1">
      <c r="A36" s="1415"/>
      <c r="B36" s="1415"/>
      <c r="C36" s="575" t="s">
        <v>1622</v>
      </c>
      <c r="D36" s="170" t="s">
        <v>637</v>
      </c>
      <c r="E36" s="169"/>
      <c r="F36" s="169"/>
      <c r="G36" s="169"/>
      <c r="H36" s="169">
        <f t="shared" si="2"/>
        <v>0</v>
      </c>
      <c r="I36" s="169"/>
      <c r="J36" s="169"/>
      <c r="K36" s="169"/>
      <c r="L36" s="169"/>
      <c r="M36" s="169"/>
      <c r="N36" s="169"/>
      <c r="O36" s="169">
        <f t="shared" si="1"/>
        <v>0</v>
      </c>
      <c r="P36" s="100">
        <f t="shared" si="3"/>
        <v>0</v>
      </c>
      <c r="R36" s="71"/>
      <c r="S36" s="71"/>
      <c r="T36" s="71"/>
      <c r="U36" s="71"/>
    </row>
    <row r="37" spans="1:65" ht="20.45" hidden="1" customHeight="1">
      <c r="A37" s="1415"/>
      <c r="B37" s="1415"/>
      <c r="C37" s="570" t="s">
        <v>1605</v>
      </c>
      <c r="D37" s="171" t="s">
        <v>639</v>
      </c>
      <c r="E37" s="173">
        <f>+'видатки_затв '!C60</f>
        <v>0</v>
      </c>
      <c r="F37" s="173">
        <f>+'видатки_затв '!D60</f>
        <v>0</v>
      </c>
      <c r="G37" s="173">
        <f>+'видатки_затв '!E60</f>
        <v>0</v>
      </c>
      <c r="H37" s="173">
        <f t="shared" si="2"/>
        <v>0</v>
      </c>
      <c r="I37" s="173">
        <f>+'видатки_затв '!G60</f>
        <v>0</v>
      </c>
      <c r="J37" s="173">
        <f>+'видатки_затв '!H60</f>
        <v>0</v>
      </c>
      <c r="K37" s="173">
        <f>+'видатки_затв '!I60</f>
        <v>0</v>
      </c>
      <c r="L37" s="173">
        <f>+'видатки_затв '!J60</f>
        <v>0</v>
      </c>
      <c r="M37" s="173">
        <f>+'видатки_затв '!K60</f>
        <v>0</v>
      </c>
      <c r="N37" s="173">
        <f>+'видатки_затв '!L60</f>
        <v>0</v>
      </c>
      <c r="O37" s="173">
        <f t="shared" si="1"/>
        <v>0</v>
      </c>
      <c r="P37" s="100">
        <f t="shared" si="3"/>
        <v>0</v>
      </c>
      <c r="Q37" s="24"/>
      <c r="R37" s="44"/>
      <c r="S37" s="44"/>
      <c r="T37" s="44"/>
      <c r="U37" s="44"/>
      <c r="V37" s="24"/>
    </row>
    <row r="38" spans="1:65" ht="28.15" hidden="1" customHeight="1">
      <c r="A38" s="1415"/>
      <c r="B38" s="1415"/>
      <c r="C38" s="569"/>
      <c r="D38" s="364" t="s">
        <v>509</v>
      </c>
      <c r="E38" s="363"/>
      <c r="F38" s="173"/>
      <c r="G38" s="173"/>
      <c r="H38" s="173"/>
      <c r="I38" s="173"/>
      <c r="J38" s="173"/>
      <c r="K38" s="173"/>
      <c r="L38" s="173"/>
      <c r="M38" s="173"/>
      <c r="N38" s="173"/>
      <c r="O38" s="363">
        <f t="shared" si="1"/>
        <v>0</v>
      </c>
      <c r="P38" s="162">
        <f t="shared" si="3"/>
        <v>0</v>
      </c>
      <c r="Q38" s="24"/>
      <c r="R38" s="44"/>
      <c r="S38" s="44"/>
      <c r="T38" s="44"/>
      <c r="U38" s="44"/>
      <c r="V38" s="24"/>
    </row>
    <row r="39" spans="1:65" ht="34.9" customHeight="1">
      <c r="A39" s="1416" t="s">
        <v>1328</v>
      </c>
      <c r="B39" s="1416"/>
      <c r="C39" s="569" t="s">
        <v>1606</v>
      </c>
      <c r="D39" s="364" t="s">
        <v>393</v>
      </c>
      <c r="E39" s="488">
        <f>+'видатки_затв '!C61</f>
        <v>486200</v>
      </c>
      <c r="F39" s="488">
        <f>+'видатки_затв '!D61</f>
        <v>288000</v>
      </c>
      <c r="G39" s="488">
        <f>+'видатки_затв '!E61</f>
        <v>10600</v>
      </c>
      <c r="H39" s="488">
        <f t="shared" si="2"/>
        <v>451900</v>
      </c>
      <c r="I39" s="488">
        <f>+'видатки_затв '!G61</f>
        <v>398900</v>
      </c>
      <c r="J39" s="488">
        <f>+'видатки_затв '!H61</f>
        <v>156800</v>
      </c>
      <c r="K39" s="488">
        <f>+'видатки_затв '!I61</f>
        <v>2900</v>
      </c>
      <c r="L39" s="488">
        <f>+'видатки_затв '!J61</f>
        <v>53000</v>
      </c>
      <c r="M39" s="488">
        <f>+'видатки_затв '!K61</f>
        <v>32000</v>
      </c>
      <c r="N39" s="488">
        <f>+'видатки_затв '!L61</f>
        <v>32000</v>
      </c>
      <c r="O39" s="488">
        <f t="shared" si="1"/>
        <v>938100</v>
      </c>
      <c r="P39" s="162">
        <f t="shared" si="3"/>
        <v>938100</v>
      </c>
      <c r="R39" s="71"/>
      <c r="S39" s="71"/>
      <c r="T39" s="71"/>
      <c r="U39" s="71"/>
    </row>
    <row r="40" spans="1:65" ht="33" customHeight="1">
      <c r="A40" s="1416" t="s">
        <v>1329</v>
      </c>
      <c r="B40" s="1416"/>
      <c r="C40" s="569" t="s">
        <v>1607</v>
      </c>
      <c r="D40" s="364" t="s">
        <v>394</v>
      </c>
      <c r="E40" s="488">
        <f>+'видатки_затв '!C62</f>
        <v>724400</v>
      </c>
      <c r="F40" s="488">
        <f>+'видатки_затв '!D62</f>
        <v>407000</v>
      </c>
      <c r="G40" s="488">
        <f>+'видатки_затв '!E62</f>
        <v>10300</v>
      </c>
      <c r="H40" s="488">
        <f t="shared" si="2"/>
        <v>21000</v>
      </c>
      <c r="I40" s="488">
        <f>+'видатки_затв '!G62</f>
        <v>0</v>
      </c>
      <c r="J40" s="488">
        <f>+'видатки_затв '!H62</f>
        <v>0</v>
      </c>
      <c r="K40" s="488">
        <f>+'видатки_затв '!I62</f>
        <v>0</v>
      </c>
      <c r="L40" s="488">
        <f>+'видатки_затв '!J62</f>
        <v>21000</v>
      </c>
      <c r="M40" s="488">
        <f>+'видатки_затв '!K62</f>
        <v>21000</v>
      </c>
      <c r="N40" s="488">
        <f>+'видатки_затв '!L62</f>
        <v>21000</v>
      </c>
      <c r="O40" s="488">
        <f t="shared" si="1"/>
        <v>745400</v>
      </c>
      <c r="P40" s="162">
        <f t="shared" si="3"/>
        <v>745400</v>
      </c>
      <c r="R40" s="71"/>
      <c r="S40" s="71"/>
      <c r="T40" s="71"/>
      <c r="U40" s="71"/>
    </row>
    <row r="41" spans="1:65" ht="37.15" customHeight="1">
      <c r="A41" s="1416" t="s">
        <v>1330</v>
      </c>
      <c r="B41" s="1416"/>
      <c r="C41" s="569" t="s">
        <v>1608</v>
      </c>
      <c r="D41" s="364" t="s">
        <v>702</v>
      </c>
      <c r="E41" s="488">
        <f>+'видатки_затв '!C63</f>
        <v>2493500</v>
      </c>
      <c r="F41" s="488">
        <f>+'видатки_затв '!D63</f>
        <v>1498700</v>
      </c>
      <c r="G41" s="488">
        <f>+'видатки_затв '!E63</f>
        <v>110500</v>
      </c>
      <c r="H41" s="488">
        <f t="shared" si="2"/>
        <v>80500</v>
      </c>
      <c r="I41" s="488">
        <f>+'видатки_затв '!G63</f>
        <v>0</v>
      </c>
      <c r="J41" s="488">
        <f>+'видатки_затв '!H63</f>
        <v>0</v>
      </c>
      <c r="K41" s="488">
        <f>+'видатки_затв '!I63</f>
        <v>0</v>
      </c>
      <c r="L41" s="488">
        <f>+'видатки_затв '!J63</f>
        <v>80500</v>
      </c>
      <c r="M41" s="488">
        <f>+'видатки_затв '!K63</f>
        <v>80500</v>
      </c>
      <c r="N41" s="488">
        <f>+'видатки_затв '!L63</f>
        <v>80500</v>
      </c>
      <c r="O41" s="488">
        <f t="shared" si="1"/>
        <v>2574000</v>
      </c>
      <c r="P41" s="162">
        <f t="shared" si="3"/>
        <v>2574000</v>
      </c>
      <c r="R41" s="71"/>
      <c r="S41" s="71"/>
      <c r="T41" s="71"/>
      <c r="U41" s="71"/>
    </row>
    <row r="42" spans="1:65" ht="20.45" customHeight="1">
      <c r="A42" s="1416" t="s">
        <v>1331</v>
      </c>
      <c r="B42" s="1416"/>
      <c r="C42" s="569" t="s">
        <v>708</v>
      </c>
      <c r="D42" s="364" t="s">
        <v>570</v>
      </c>
      <c r="E42" s="488">
        <f>+'видатки_затв '!C65</f>
        <v>1725600</v>
      </c>
      <c r="F42" s="488">
        <f>+'видатки_затв '!D65</f>
        <v>944600</v>
      </c>
      <c r="G42" s="488">
        <f>+'видатки_затв '!E65</f>
        <v>123600</v>
      </c>
      <c r="H42" s="488">
        <f t="shared" si="2"/>
        <v>153500</v>
      </c>
      <c r="I42" s="488">
        <f>+'видатки_затв '!G65</f>
        <v>148500</v>
      </c>
      <c r="J42" s="488">
        <f>+'видатки_затв '!H65</f>
        <v>101000</v>
      </c>
      <c r="K42" s="488">
        <f>+'видатки_затв '!I65</f>
        <v>4900</v>
      </c>
      <c r="L42" s="488">
        <f>+'видатки_затв '!J65</f>
        <v>5000</v>
      </c>
      <c r="M42" s="488">
        <f>+'видатки_затв '!K65</f>
        <v>5000</v>
      </c>
      <c r="N42" s="488">
        <f>+'видатки_затв '!L65</f>
        <v>5000</v>
      </c>
      <c r="O42" s="488">
        <f t="shared" si="1"/>
        <v>1879100</v>
      </c>
      <c r="P42" s="162">
        <f t="shared" si="3"/>
        <v>1879100</v>
      </c>
      <c r="R42" s="71"/>
      <c r="S42" s="71"/>
      <c r="T42" s="71"/>
      <c r="U42" s="71"/>
    </row>
    <row r="43" spans="1:65" ht="72" hidden="1" customHeight="1">
      <c r="A43" s="1415"/>
      <c r="B43" s="1415"/>
      <c r="C43" s="575"/>
      <c r="D43" s="177" t="s">
        <v>1261</v>
      </c>
      <c r="E43" s="169"/>
      <c r="F43" s="169"/>
      <c r="G43" s="169"/>
      <c r="H43" s="169">
        <f t="shared" si="2"/>
        <v>0</v>
      </c>
      <c r="I43" s="169"/>
      <c r="J43" s="169"/>
      <c r="K43" s="169"/>
      <c r="L43" s="195"/>
      <c r="M43" s="169"/>
      <c r="N43" s="195"/>
      <c r="O43" s="169">
        <f t="shared" si="1"/>
        <v>0</v>
      </c>
      <c r="P43" s="100">
        <f t="shared" si="3"/>
        <v>0</v>
      </c>
      <c r="R43" s="71"/>
      <c r="S43" s="71"/>
      <c r="T43" s="71"/>
      <c r="U43" s="71"/>
    </row>
    <row r="44" spans="1:65" ht="67.150000000000006" hidden="1" customHeight="1">
      <c r="A44" s="1415"/>
      <c r="B44" s="1415"/>
      <c r="C44" s="575"/>
      <c r="D44" s="177" t="s">
        <v>513</v>
      </c>
      <c r="E44" s="169"/>
      <c r="F44" s="169"/>
      <c r="G44" s="169"/>
      <c r="H44" s="169">
        <f t="shared" si="2"/>
        <v>0</v>
      </c>
      <c r="I44" s="169"/>
      <c r="J44" s="169"/>
      <c r="K44" s="169"/>
      <c r="L44" s="195"/>
      <c r="M44" s="169"/>
      <c r="N44" s="195"/>
      <c r="O44" s="169">
        <f t="shared" si="1"/>
        <v>0</v>
      </c>
      <c r="P44" s="100">
        <f t="shared" si="3"/>
        <v>0</v>
      </c>
      <c r="R44" s="71"/>
      <c r="S44" s="71"/>
      <c r="T44" s="71"/>
      <c r="U44" s="71"/>
    </row>
    <row r="45" spans="1:65" ht="45" hidden="1" customHeight="1">
      <c r="A45" s="1415"/>
      <c r="B45" s="1415"/>
      <c r="C45" s="575"/>
      <c r="D45" s="177" t="s">
        <v>1265</v>
      </c>
      <c r="E45" s="169"/>
      <c r="F45" s="169"/>
      <c r="G45" s="169"/>
      <c r="H45" s="169">
        <f t="shared" si="2"/>
        <v>0</v>
      </c>
      <c r="I45" s="169"/>
      <c r="J45" s="169"/>
      <c r="K45" s="169"/>
      <c r="L45" s="195"/>
      <c r="M45" s="169"/>
      <c r="N45" s="195"/>
      <c r="O45" s="169">
        <f t="shared" si="1"/>
        <v>0</v>
      </c>
      <c r="P45" s="100">
        <f t="shared" si="3"/>
        <v>0</v>
      </c>
      <c r="R45" s="71"/>
      <c r="S45" s="71"/>
      <c r="T45" s="71"/>
      <c r="U45" s="71"/>
    </row>
    <row r="46" spans="1:65" ht="19.149999999999999" hidden="1" customHeight="1">
      <c r="A46" s="1416" t="s">
        <v>1332</v>
      </c>
      <c r="B46" s="1416"/>
      <c r="C46" s="569" t="s">
        <v>1064</v>
      </c>
      <c r="D46" s="364" t="s">
        <v>1597</v>
      </c>
      <c r="E46" s="488">
        <f>+'видатки_затв '!C66</f>
        <v>0</v>
      </c>
      <c r="F46" s="488">
        <f>+'видатки_затв '!D66</f>
        <v>0</v>
      </c>
      <c r="G46" s="488">
        <f>+'видатки_затв '!E66</f>
        <v>0</v>
      </c>
      <c r="H46" s="488">
        <f t="shared" si="2"/>
        <v>0</v>
      </c>
      <c r="I46" s="488">
        <f>+'видатки_затв '!G66</f>
        <v>0</v>
      </c>
      <c r="J46" s="488">
        <f>+'видатки_затв '!H66</f>
        <v>0</v>
      </c>
      <c r="K46" s="488">
        <f>+'видатки_затв '!I66</f>
        <v>0</v>
      </c>
      <c r="L46" s="488">
        <f>+'видатки_затв '!J66</f>
        <v>0</v>
      </c>
      <c r="M46" s="488">
        <f>+'видатки_затв '!K66</f>
        <v>0</v>
      </c>
      <c r="N46" s="488">
        <f>+'видатки_затв '!L66</f>
        <v>0</v>
      </c>
      <c r="O46" s="488">
        <f t="shared" si="1"/>
        <v>0</v>
      </c>
      <c r="P46" s="162">
        <f t="shared" si="3"/>
        <v>0</v>
      </c>
      <c r="R46" s="71"/>
      <c r="S46" s="71"/>
      <c r="T46" s="71"/>
      <c r="U46" s="71"/>
    </row>
    <row r="47" spans="1:65" ht="48" hidden="1" customHeight="1">
      <c r="A47" s="1415"/>
      <c r="B47" s="1415"/>
      <c r="C47" s="577"/>
      <c r="D47" s="177" t="s">
        <v>1225</v>
      </c>
      <c r="E47" s="173"/>
      <c r="F47" s="173"/>
      <c r="G47" s="173"/>
      <c r="H47" s="173">
        <f t="shared" si="2"/>
        <v>0</v>
      </c>
      <c r="I47" s="173"/>
      <c r="J47" s="173"/>
      <c r="K47" s="173"/>
      <c r="L47" s="194"/>
      <c r="M47" s="173"/>
      <c r="N47" s="194"/>
      <c r="O47" s="173">
        <f t="shared" si="1"/>
        <v>0</v>
      </c>
      <c r="P47" s="100">
        <f t="shared" si="3"/>
        <v>0</v>
      </c>
      <c r="R47" s="71"/>
      <c r="S47" s="71"/>
      <c r="T47" s="71"/>
      <c r="U47" s="71"/>
    </row>
    <row r="48" spans="1:65" ht="42" hidden="1" customHeight="1">
      <c r="A48" s="1415"/>
      <c r="B48" s="1415"/>
      <c r="C48" s="577"/>
      <c r="D48" s="177" t="s">
        <v>86</v>
      </c>
      <c r="E48" s="173"/>
      <c r="F48" s="173"/>
      <c r="G48" s="173"/>
      <c r="H48" s="173">
        <f t="shared" si="2"/>
        <v>0</v>
      </c>
      <c r="I48" s="173"/>
      <c r="J48" s="173"/>
      <c r="K48" s="173"/>
      <c r="L48" s="194"/>
      <c r="M48" s="173"/>
      <c r="N48" s="194"/>
      <c r="O48" s="173">
        <f t="shared" si="1"/>
        <v>0</v>
      </c>
      <c r="P48" s="100">
        <f t="shared" si="3"/>
        <v>0</v>
      </c>
      <c r="R48" s="71"/>
      <c r="S48" s="71"/>
      <c r="T48" s="71"/>
      <c r="U48" s="71"/>
    </row>
    <row r="49" spans="1:21" ht="37.15" hidden="1" customHeight="1">
      <c r="A49" s="1415"/>
      <c r="B49" s="1415"/>
      <c r="C49" s="577"/>
      <c r="D49" s="177" t="s">
        <v>992</v>
      </c>
      <c r="E49" s="173"/>
      <c r="F49" s="173"/>
      <c r="G49" s="173"/>
      <c r="H49" s="173">
        <f t="shared" si="2"/>
        <v>0</v>
      </c>
      <c r="I49" s="173"/>
      <c r="J49" s="173"/>
      <c r="K49" s="173"/>
      <c r="L49" s="194"/>
      <c r="M49" s="173"/>
      <c r="N49" s="194"/>
      <c r="O49" s="173">
        <f t="shared" si="1"/>
        <v>0</v>
      </c>
      <c r="P49" s="100">
        <f t="shared" si="3"/>
        <v>0</v>
      </c>
      <c r="R49" s="71"/>
      <c r="S49" s="71"/>
      <c r="T49" s="71"/>
      <c r="U49" s="71"/>
    </row>
    <row r="50" spans="1:21" ht="38.450000000000003" hidden="1" customHeight="1">
      <c r="A50" s="1415"/>
      <c r="B50" s="1415"/>
      <c r="C50" s="575"/>
      <c r="D50" s="170" t="s">
        <v>1164</v>
      </c>
      <c r="E50" s="169"/>
      <c r="F50" s="169"/>
      <c r="G50" s="169"/>
      <c r="H50" s="169">
        <f t="shared" si="2"/>
        <v>0</v>
      </c>
      <c r="I50" s="169"/>
      <c r="J50" s="169"/>
      <c r="K50" s="169"/>
      <c r="L50" s="195"/>
      <c r="M50" s="169"/>
      <c r="N50" s="195"/>
      <c r="O50" s="169">
        <f t="shared" si="1"/>
        <v>0</v>
      </c>
      <c r="P50" s="100">
        <f t="shared" si="3"/>
        <v>0</v>
      </c>
      <c r="R50" s="71"/>
      <c r="S50" s="71"/>
      <c r="T50" s="71"/>
      <c r="U50" s="71"/>
    </row>
    <row r="51" spans="1:21" ht="28.9" hidden="1" customHeight="1">
      <c r="A51" s="1415"/>
      <c r="B51" s="1415"/>
      <c r="C51" s="575"/>
      <c r="D51" s="170" t="s">
        <v>1165</v>
      </c>
      <c r="E51" s="169"/>
      <c r="F51" s="169"/>
      <c r="G51" s="169"/>
      <c r="H51" s="169">
        <f t="shared" si="2"/>
        <v>0</v>
      </c>
      <c r="I51" s="169"/>
      <c r="J51" s="169"/>
      <c r="K51" s="169"/>
      <c r="L51" s="195"/>
      <c r="M51" s="169"/>
      <c r="N51" s="195"/>
      <c r="O51" s="169">
        <f t="shared" si="1"/>
        <v>0</v>
      </c>
      <c r="P51" s="100">
        <f t="shared" si="3"/>
        <v>0</v>
      </c>
      <c r="R51" s="71"/>
      <c r="S51" s="71"/>
      <c r="T51" s="71"/>
      <c r="U51" s="71"/>
    </row>
    <row r="52" spans="1:21" ht="36" hidden="1" customHeight="1">
      <c r="A52" s="1415"/>
      <c r="B52" s="1415"/>
      <c r="C52" s="575"/>
      <c r="D52" s="177" t="s">
        <v>55</v>
      </c>
      <c r="E52" s="169"/>
      <c r="F52" s="169"/>
      <c r="G52" s="169"/>
      <c r="H52" s="169">
        <f t="shared" si="2"/>
        <v>0</v>
      </c>
      <c r="I52" s="169"/>
      <c r="J52" s="169"/>
      <c r="K52" s="169"/>
      <c r="L52" s="195"/>
      <c r="M52" s="169"/>
      <c r="N52" s="195"/>
      <c r="O52" s="169">
        <f t="shared" si="1"/>
        <v>0</v>
      </c>
      <c r="P52" s="100">
        <f t="shared" si="3"/>
        <v>0</v>
      </c>
      <c r="R52" s="71"/>
      <c r="S52" s="71"/>
      <c r="T52" s="71"/>
      <c r="U52" s="71"/>
    </row>
    <row r="53" spans="1:21" ht="31.9" hidden="1" customHeight="1">
      <c r="A53" s="1415"/>
      <c r="B53" s="1415"/>
      <c r="C53" s="575"/>
      <c r="D53" s="177" t="s">
        <v>1166</v>
      </c>
      <c r="E53" s="169"/>
      <c r="F53" s="169"/>
      <c r="G53" s="169"/>
      <c r="H53" s="169">
        <f t="shared" si="2"/>
        <v>0</v>
      </c>
      <c r="I53" s="169"/>
      <c r="J53" s="169"/>
      <c r="K53" s="169"/>
      <c r="L53" s="195"/>
      <c r="M53" s="169"/>
      <c r="N53" s="195"/>
      <c r="O53" s="169">
        <f t="shared" si="1"/>
        <v>0</v>
      </c>
      <c r="P53" s="100">
        <f t="shared" si="3"/>
        <v>0</v>
      </c>
      <c r="R53" s="71"/>
      <c r="S53" s="71"/>
      <c r="T53" s="71"/>
      <c r="U53" s="71"/>
    </row>
    <row r="54" spans="1:21" ht="40.9" hidden="1" customHeight="1">
      <c r="A54" s="1415"/>
      <c r="B54" s="1415"/>
      <c r="C54" s="575"/>
      <c r="D54" s="170" t="s">
        <v>1303</v>
      </c>
      <c r="E54" s="169"/>
      <c r="F54" s="169"/>
      <c r="G54" s="169"/>
      <c r="H54" s="169">
        <f t="shared" si="2"/>
        <v>0</v>
      </c>
      <c r="I54" s="169"/>
      <c r="J54" s="169"/>
      <c r="K54" s="169"/>
      <c r="L54" s="195"/>
      <c r="M54" s="169"/>
      <c r="N54" s="195"/>
      <c r="O54" s="169">
        <f t="shared" si="1"/>
        <v>0</v>
      </c>
      <c r="P54" s="100">
        <f t="shared" si="3"/>
        <v>0</v>
      </c>
      <c r="R54" s="71"/>
      <c r="S54" s="71"/>
      <c r="T54" s="71"/>
      <c r="U54" s="71"/>
    </row>
    <row r="55" spans="1:21" ht="35.450000000000003" hidden="1" customHeight="1">
      <c r="A55" s="1415"/>
      <c r="B55" s="1415"/>
      <c r="C55" s="575"/>
      <c r="D55" s="170" t="s">
        <v>506</v>
      </c>
      <c r="E55" s="169"/>
      <c r="F55" s="169"/>
      <c r="G55" s="169"/>
      <c r="H55" s="169">
        <f t="shared" si="2"/>
        <v>0</v>
      </c>
      <c r="I55" s="169"/>
      <c r="J55" s="169"/>
      <c r="K55" s="169"/>
      <c r="L55" s="195"/>
      <c r="M55" s="169"/>
      <c r="N55" s="195"/>
      <c r="O55" s="169">
        <f t="shared" ref="O55:O88" si="4">+E55+H55</f>
        <v>0</v>
      </c>
      <c r="P55" s="100">
        <f t="shared" si="3"/>
        <v>0</v>
      </c>
      <c r="R55" s="71"/>
      <c r="S55" s="71"/>
      <c r="T55" s="71"/>
      <c r="U55" s="71"/>
    </row>
    <row r="56" spans="1:21" ht="34.9" hidden="1" customHeight="1">
      <c r="A56" s="1415"/>
      <c r="B56" s="1415"/>
      <c r="C56" s="575"/>
      <c r="D56" s="177" t="s">
        <v>888</v>
      </c>
      <c r="E56" s="169"/>
      <c r="F56" s="169"/>
      <c r="G56" s="169"/>
      <c r="H56" s="169">
        <f t="shared" si="2"/>
        <v>0</v>
      </c>
      <c r="I56" s="169"/>
      <c r="J56" s="169"/>
      <c r="K56" s="169"/>
      <c r="L56" s="195"/>
      <c r="M56" s="169"/>
      <c r="N56" s="195"/>
      <c r="O56" s="169">
        <f t="shared" si="4"/>
        <v>0</v>
      </c>
      <c r="P56" s="100">
        <f t="shared" si="3"/>
        <v>0</v>
      </c>
      <c r="R56" s="71"/>
      <c r="S56" s="71"/>
      <c r="T56" s="71"/>
      <c r="U56" s="71"/>
    </row>
    <row r="57" spans="1:21" ht="31.15" hidden="1" customHeight="1">
      <c r="A57" s="1415"/>
      <c r="B57" s="1415"/>
      <c r="C57" s="575"/>
      <c r="D57" s="177" t="s">
        <v>889</v>
      </c>
      <c r="E57" s="169"/>
      <c r="F57" s="169"/>
      <c r="G57" s="169"/>
      <c r="H57" s="169">
        <f t="shared" si="2"/>
        <v>0</v>
      </c>
      <c r="I57" s="169"/>
      <c r="J57" s="169"/>
      <c r="K57" s="169"/>
      <c r="L57" s="195"/>
      <c r="M57" s="169"/>
      <c r="N57" s="195"/>
      <c r="O57" s="169">
        <f t="shared" si="4"/>
        <v>0</v>
      </c>
      <c r="P57" s="100">
        <f t="shared" si="3"/>
        <v>0</v>
      </c>
      <c r="R57" s="71"/>
      <c r="S57" s="71"/>
      <c r="T57" s="71"/>
      <c r="U57" s="71"/>
    </row>
    <row r="58" spans="1:21" ht="63" hidden="1" customHeight="1">
      <c r="A58" s="1415"/>
      <c r="B58" s="1415"/>
      <c r="C58" s="575"/>
      <c r="D58" s="170" t="s">
        <v>1057</v>
      </c>
      <c r="E58" s="169"/>
      <c r="F58" s="169"/>
      <c r="G58" s="169"/>
      <c r="H58" s="169">
        <f t="shared" si="2"/>
        <v>0</v>
      </c>
      <c r="I58" s="169"/>
      <c r="J58" s="169"/>
      <c r="K58" s="169"/>
      <c r="L58" s="195"/>
      <c r="M58" s="169"/>
      <c r="N58" s="195"/>
      <c r="O58" s="169">
        <f t="shared" si="4"/>
        <v>0</v>
      </c>
      <c r="P58" s="100">
        <f t="shared" si="3"/>
        <v>0</v>
      </c>
      <c r="R58" s="71"/>
      <c r="S58" s="71"/>
      <c r="T58" s="71"/>
      <c r="U58" s="71"/>
    </row>
    <row r="59" spans="1:21" ht="40.15" hidden="1" customHeight="1">
      <c r="A59" s="1415"/>
      <c r="B59" s="1415"/>
      <c r="C59" s="575"/>
      <c r="D59" s="177" t="s">
        <v>999</v>
      </c>
      <c r="E59" s="169"/>
      <c r="F59" s="169"/>
      <c r="G59" s="169"/>
      <c r="H59" s="169">
        <f t="shared" si="2"/>
        <v>0</v>
      </c>
      <c r="I59" s="169"/>
      <c r="J59" s="169"/>
      <c r="K59" s="169"/>
      <c r="L59" s="195"/>
      <c r="M59" s="169"/>
      <c r="N59" s="195"/>
      <c r="O59" s="169">
        <f t="shared" si="4"/>
        <v>0</v>
      </c>
      <c r="P59" s="100">
        <f t="shared" si="3"/>
        <v>0</v>
      </c>
      <c r="R59" s="71"/>
      <c r="S59" s="71"/>
      <c r="T59" s="71"/>
      <c r="U59" s="71"/>
    </row>
    <row r="60" spans="1:21" ht="44.45" hidden="1" customHeight="1">
      <c r="A60" s="1415"/>
      <c r="B60" s="1415"/>
      <c r="C60" s="575"/>
      <c r="D60" s="170" t="s">
        <v>898</v>
      </c>
      <c r="E60" s="169"/>
      <c r="F60" s="169"/>
      <c r="G60" s="169"/>
      <c r="H60" s="169">
        <f t="shared" si="2"/>
        <v>0</v>
      </c>
      <c r="I60" s="169"/>
      <c r="J60" s="169"/>
      <c r="K60" s="169"/>
      <c r="L60" s="195"/>
      <c r="M60" s="169"/>
      <c r="N60" s="195"/>
      <c r="O60" s="169">
        <f t="shared" si="4"/>
        <v>0</v>
      </c>
      <c r="P60" s="100">
        <f t="shared" si="3"/>
        <v>0</v>
      </c>
      <c r="R60" s="71"/>
      <c r="S60" s="71"/>
      <c r="T60" s="71"/>
      <c r="U60" s="71"/>
    </row>
    <row r="61" spans="1:21" ht="129.75" hidden="1" customHeight="1">
      <c r="A61" s="1415"/>
      <c r="B61" s="1415"/>
      <c r="C61" s="569" t="s">
        <v>1028</v>
      </c>
      <c r="D61" s="364" t="s">
        <v>1027</v>
      </c>
      <c r="E61" s="363"/>
      <c r="F61" s="363"/>
      <c r="G61" s="363"/>
      <c r="H61" s="363">
        <f t="shared" si="2"/>
        <v>0</v>
      </c>
      <c r="I61" s="363"/>
      <c r="J61" s="363"/>
      <c r="K61" s="363"/>
      <c r="L61" s="365"/>
      <c r="M61" s="363"/>
      <c r="N61" s="365"/>
      <c r="O61" s="363">
        <f t="shared" si="4"/>
        <v>0</v>
      </c>
      <c r="P61" s="100">
        <f t="shared" si="3"/>
        <v>0</v>
      </c>
      <c r="R61" s="71"/>
      <c r="S61" s="71"/>
      <c r="T61" s="71"/>
      <c r="U61" s="71"/>
    </row>
    <row r="62" spans="1:21" ht="60" hidden="1" customHeight="1">
      <c r="A62" s="1438" t="s">
        <v>1333</v>
      </c>
      <c r="B62" s="1438"/>
      <c r="C62" s="550" t="s">
        <v>707</v>
      </c>
      <c r="D62" s="213" t="s">
        <v>1397</v>
      </c>
      <c r="E62" s="488">
        <f>389900-389900</f>
        <v>0</v>
      </c>
      <c r="F62" s="488">
        <f>246200-246200</f>
        <v>0</v>
      </c>
      <c r="G62" s="488">
        <f>32100-32100</f>
        <v>0</v>
      </c>
      <c r="H62" s="488">
        <f>+I62+L62</f>
        <v>0</v>
      </c>
      <c r="I62" s="488"/>
      <c r="J62" s="488"/>
      <c r="K62" s="488"/>
      <c r="L62" s="488"/>
      <c r="M62" s="488"/>
      <c r="N62" s="488"/>
      <c r="O62" s="488">
        <f>+E62+H62</f>
        <v>0</v>
      </c>
      <c r="P62" s="162">
        <f t="shared" si="3"/>
        <v>0</v>
      </c>
      <c r="R62" s="71"/>
      <c r="S62" s="71"/>
      <c r="T62" s="71"/>
      <c r="U62" s="71"/>
    </row>
    <row r="63" spans="1:21" ht="41.45" hidden="1" customHeight="1">
      <c r="A63" s="1438" t="s">
        <v>1334</v>
      </c>
      <c r="B63" s="1438"/>
      <c r="C63" s="569" t="s">
        <v>536</v>
      </c>
      <c r="D63" s="364" t="s">
        <v>308</v>
      </c>
      <c r="E63" s="488"/>
      <c r="F63" s="488"/>
      <c r="G63" s="488"/>
      <c r="H63" s="488">
        <f>+I63+L63</f>
        <v>0</v>
      </c>
      <c r="I63" s="488"/>
      <c r="J63" s="488"/>
      <c r="K63" s="488"/>
      <c r="L63" s="488"/>
      <c r="M63" s="488"/>
      <c r="N63" s="488"/>
      <c r="O63" s="488">
        <f>+E63+H63</f>
        <v>0</v>
      </c>
      <c r="P63" s="162">
        <f t="shared" si="3"/>
        <v>0</v>
      </c>
      <c r="R63" s="71"/>
      <c r="S63" s="71"/>
      <c r="T63" s="71"/>
      <c r="U63" s="71"/>
    </row>
    <row r="64" spans="1:21" ht="33.6" hidden="1" customHeight="1">
      <c r="A64" s="1438" t="s">
        <v>1335</v>
      </c>
      <c r="B64" s="1438"/>
      <c r="C64" s="569" t="s">
        <v>537</v>
      </c>
      <c r="D64" s="364" t="s">
        <v>309</v>
      </c>
      <c r="E64" s="488"/>
      <c r="F64" s="488"/>
      <c r="G64" s="488"/>
      <c r="H64" s="488">
        <f>+I64+L64</f>
        <v>0</v>
      </c>
      <c r="I64" s="488">
        <f>+'видатки_затв '!G147</f>
        <v>0</v>
      </c>
      <c r="J64" s="488">
        <f>+'видатки_затв '!H147</f>
        <v>0</v>
      </c>
      <c r="K64" s="488">
        <f>+'видатки_затв '!I147</f>
        <v>0</v>
      </c>
      <c r="L64" s="488">
        <f>+'видатки_затв '!J147</f>
        <v>0</v>
      </c>
      <c r="M64" s="488">
        <f>+'видатки_затв '!K147</f>
        <v>0</v>
      </c>
      <c r="N64" s="488">
        <f>+'видатки_затв '!L147</f>
        <v>0</v>
      </c>
      <c r="O64" s="488">
        <f>+E64+H64</f>
        <v>0</v>
      </c>
      <c r="P64" s="162">
        <f t="shared" si="3"/>
        <v>0</v>
      </c>
      <c r="R64" s="71"/>
      <c r="S64" s="71"/>
      <c r="T64" s="71"/>
      <c r="U64" s="71"/>
    </row>
    <row r="65" spans="1:65" ht="33.6" hidden="1" customHeight="1">
      <c r="A65" s="1438" t="s">
        <v>1336</v>
      </c>
      <c r="B65" s="1438"/>
      <c r="C65" s="569" t="s">
        <v>538</v>
      </c>
      <c r="D65" s="364" t="s">
        <v>313</v>
      </c>
      <c r="E65" s="488"/>
      <c r="F65" s="488">
        <f>+'видатки_затв '!D148</f>
        <v>0</v>
      </c>
      <c r="G65" s="488">
        <f>+'видатки_затв '!E148</f>
        <v>0</v>
      </c>
      <c r="H65" s="488">
        <f>+I65+L65</f>
        <v>0</v>
      </c>
      <c r="I65" s="488">
        <f>+'видатки_затв '!G148</f>
        <v>0</v>
      </c>
      <c r="J65" s="488">
        <f>+'видатки_затв '!H148</f>
        <v>0</v>
      </c>
      <c r="K65" s="488">
        <f>+'видатки_затв '!I148</f>
        <v>0</v>
      </c>
      <c r="L65" s="488">
        <f>+'видатки_затв '!J148</f>
        <v>0</v>
      </c>
      <c r="M65" s="488">
        <f>+'видатки_затв '!K148</f>
        <v>0</v>
      </c>
      <c r="N65" s="488">
        <f>+'видатки_затв '!L148</f>
        <v>0</v>
      </c>
      <c r="O65" s="488">
        <f>+E65+H65</f>
        <v>0</v>
      </c>
      <c r="P65" s="162">
        <f t="shared" si="3"/>
        <v>0</v>
      </c>
      <c r="R65" s="71"/>
      <c r="S65" s="71"/>
      <c r="T65" s="71"/>
      <c r="U65" s="71"/>
    </row>
    <row r="66" spans="1:65" ht="15" hidden="1">
      <c r="A66" s="1416" t="s">
        <v>1337</v>
      </c>
      <c r="B66" s="1416"/>
      <c r="C66" s="569" t="s">
        <v>333</v>
      </c>
      <c r="D66" s="364" t="s">
        <v>967</v>
      </c>
      <c r="E66" s="488"/>
      <c r="F66" s="488"/>
      <c r="G66" s="488"/>
      <c r="H66" s="488">
        <f>+I66+L66</f>
        <v>0</v>
      </c>
      <c r="I66" s="488">
        <f>17100-17100</f>
        <v>0</v>
      </c>
      <c r="J66" s="488">
        <v>0</v>
      </c>
      <c r="K66" s="488">
        <v>0</v>
      </c>
      <c r="L66" s="488">
        <f>3000-3000</f>
        <v>0</v>
      </c>
      <c r="M66" s="488">
        <f>3000-3000</f>
        <v>0</v>
      </c>
      <c r="N66" s="488">
        <f>3000-3000</f>
        <v>0</v>
      </c>
      <c r="O66" s="488">
        <f>+E66+H66</f>
        <v>0</v>
      </c>
      <c r="P66" s="162">
        <f t="shared" si="3"/>
        <v>0</v>
      </c>
      <c r="R66" s="71"/>
      <c r="S66" s="71"/>
      <c r="T66" s="71"/>
      <c r="U66" s="71"/>
    </row>
    <row r="67" spans="1:65" ht="81" customHeight="1">
      <c r="A67" s="1438" t="s">
        <v>698</v>
      </c>
      <c r="B67" s="1438"/>
      <c r="C67" s="569" t="s">
        <v>900</v>
      </c>
      <c r="D67" s="364" t="s">
        <v>62</v>
      </c>
      <c r="E67" s="488">
        <v>6375900</v>
      </c>
      <c r="F67" s="488">
        <f>+'видатки_затв '!D152</f>
        <v>0</v>
      </c>
      <c r="G67" s="488">
        <f>+'видатки_затв '!E152</f>
        <v>0</v>
      </c>
      <c r="H67" s="488">
        <f t="shared" si="2"/>
        <v>0</v>
      </c>
      <c r="I67" s="488"/>
      <c r="J67" s="488">
        <f>+'видатки_затв '!H152</f>
        <v>0</v>
      </c>
      <c r="K67" s="488">
        <f>+'видатки_затв '!I152</f>
        <v>0</v>
      </c>
      <c r="L67" s="488">
        <f>+'видатки_затв '!J152</f>
        <v>0</v>
      </c>
      <c r="M67" s="488">
        <f>+'видатки_затв '!K152</f>
        <v>0</v>
      </c>
      <c r="N67" s="488">
        <f>+'видатки_затв '!L152</f>
        <v>0</v>
      </c>
      <c r="O67" s="488">
        <f t="shared" si="4"/>
        <v>6375900</v>
      </c>
      <c r="P67" s="162">
        <f t="shared" si="3"/>
        <v>6375900</v>
      </c>
      <c r="R67" s="71"/>
      <c r="S67" s="71"/>
      <c r="T67" s="71"/>
      <c r="U67" s="71"/>
    </row>
    <row r="68" spans="1:65" ht="24" customHeight="1">
      <c r="A68" s="1416" t="s">
        <v>1338</v>
      </c>
      <c r="B68" s="1416"/>
      <c r="C68" s="569">
        <v>110201</v>
      </c>
      <c r="D68" s="364" t="s">
        <v>389</v>
      </c>
      <c r="E68" s="488">
        <v>2064700</v>
      </c>
      <c r="F68" s="488">
        <v>1284400</v>
      </c>
      <c r="G68" s="488">
        <v>96800</v>
      </c>
      <c r="H68" s="488">
        <f t="shared" si="2"/>
        <v>36300</v>
      </c>
      <c r="I68" s="488">
        <v>11300</v>
      </c>
      <c r="J68" s="488"/>
      <c r="K68" s="488">
        <v>7700</v>
      </c>
      <c r="L68" s="488">
        <v>25000</v>
      </c>
      <c r="M68" s="488">
        <v>25000</v>
      </c>
      <c r="N68" s="488">
        <v>25000</v>
      </c>
      <c r="O68" s="488">
        <f t="shared" si="4"/>
        <v>2101000</v>
      </c>
      <c r="P68" s="162">
        <f t="shared" si="3"/>
        <v>2101000</v>
      </c>
      <c r="R68" s="71"/>
      <c r="S68" s="71"/>
      <c r="T68" s="71"/>
      <c r="U68" s="71"/>
    </row>
    <row r="69" spans="1:65" ht="44.45" customHeight="1">
      <c r="A69" s="1416" t="s">
        <v>1339</v>
      </c>
      <c r="B69" s="1416"/>
      <c r="C69" s="569">
        <v>130107</v>
      </c>
      <c r="D69" s="364" t="s">
        <v>390</v>
      </c>
      <c r="E69" s="488">
        <v>4752500</v>
      </c>
      <c r="F69" s="488">
        <v>2826700</v>
      </c>
      <c r="G69" s="488">
        <v>174700</v>
      </c>
      <c r="H69" s="488">
        <f t="shared" si="2"/>
        <v>108000</v>
      </c>
      <c r="I69" s="488">
        <v>88000</v>
      </c>
      <c r="J69" s="488">
        <v>52500</v>
      </c>
      <c r="K69" s="488">
        <v>10000</v>
      </c>
      <c r="L69" s="488">
        <f>120000-100000</f>
        <v>20000</v>
      </c>
      <c r="M69" s="488">
        <f>120000-100000</f>
        <v>20000</v>
      </c>
      <c r="N69" s="488">
        <f>120000-100000</f>
        <v>20000</v>
      </c>
      <c r="O69" s="488">
        <f t="shared" si="4"/>
        <v>4860500</v>
      </c>
      <c r="P69" s="162">
        <f t="shared" si="3"/>
        <v>4860500</v>
      </c>
      <c r="R69" s="71"/>
      <c r="S69" s="71"/>
      <c r="T69" s="71"/>
      <c r="U69" s="71"/>
    </row>
    <row r="70" spans="1:65" ht="31.9" hidden="1" customHeight="1">
      <c r="A70" s="1415"/>
      <c r="B70" s="1415"/>
      <c r="C70" s="570" t="s">
        <v>759</v>
      </c>
      <c r="D70" s="171" t="s">
        <v>736</v>
      </c>
      <c r="E70" s="173"/>
      <c r="F70" s="173"/>
      <c r="G70" s="173"/>
      <c r="H70" s="173">
        <f t="shared" si="2"/>
        <v>0</v>
      </c>
      <c r="I70" s="173"/>
      <c r="J70" s="173"/>
      <c r="K70" s="173"/>
      <c r="L70" s="194"/>
      <c r="M70" s="173"/>
      <c r="N70" s="194"/>
      <c r="O70" s="173">
        <f t="shared" si="4"/>
        <v>0</v>
      </c>
      <c r="P70" s="100">
        <f t="shared" si="3"/>
        <v>0</v>
      </c>
      <c r="R70" s="71"/>
      <c r="S70" s="71"/>
      <c r="T70" s="71"/>
      <c r="U70" s="71"/>
    </row>
    <row r="71" spans="1:65" ht="24" hidden="1" customHeight="1" outlineLevel="1">
      <c r="A71" s="1415"/>
      <c r="B71" s="1415"/>
      <c r="C71" s="550" t="s">
        <v>1508</v>
      </c>
      <c r="D71" s="213" t="s">
        <v>532</v>
      </c>
      <c r="E71" s="489"/>
      <c r="F71" s="489"/>
      <c r="G71" s="489"/>
      <c r="H71" s="489">
        <f t="shared" si="2"/>
        <v>0</v>
      </c>
      <c r="I71" s="489"/>
      <c r="J71" s="489"/>
      <c r="K71" s="489"/>
      <c r="L71" s="489"/>
      <c r="M71" s="489">
        <f>+L71</f>
        <v>0</v>
      </c>
      <c r="N71" s="489">
        <f>+M71</f>
        <v>0</v>
      </c>
      <c r="O71" s="489">
        <f t="shared" si="4"/>
        <v>0</v>
      </c>
      <c r="P71" s="100">
        <f t="shared" si="3"/>
        <v>0</v>
      </c>
      <c r="Q71" s="2"/>
      <c r="R71" s="7"/>
      <c r="S71" s="7"/>
      <c r="T71" s="7"/>
      <c r="U71" s="7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ht="63" hidden="1" customHeight="1" outlineLevel="1">
      <c r="A72" s="1415"/>
      <c r="B72" s="1415"/>
      <c r="C72" s="550" t="s">
        <v>901</v>
      </c>
      <c r="D72" s="552" t="s">
        <v>1234</v>
      </c>
      <c r="E72" s="489"/>
      <c r="F72" s="489"/>
      <c r="G72" s="489"/>
      <c r="H72" s="489">
        <f t="shared" ref="H72:H77" si="5">+I72+L72</f>
        <v>0</v>
      </c>
      <c r="I72" s="489"/>
      <c r="J72" s="489"/>
      <c r="K72" s="489"/>
      <c r="L72" s="489"/>
      <c r="M72" s="489">
        <f>+L72</f>
        <v>0</v>
      </c>
      <c r="N72" s="489">
        <f>+M72</f>
        <v>0</v>
      </c>
      <c r="O72" s="489">
        <f t="shared" si="4"/>
        <v>0</v>
      </c>
      <c r="P72" s="100">
        <f t="shared" si="3"/>
        <v>0</v>
      </c>
      <c r="Q72" s="2"/>
      <c r="R72" s="132"/>
      <c r="S72" s="132"/>
      <c r="T72" s="132"/>
      <c r="U72" s="13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ht="68.45" hidden="1" customHeight="1" outlineLevel="1">
      <c r="A73" s="1415"/>
      <c r="B73" s="1415"/>
      <c r="C73" s="550" t="s">
        <v>895</v>
      </c>
      <c r="D73" s="213" t="s">
        <v>575</v>
      </c>
      <c r="E73" s="489"/>
      <c r="F73" s="489"/>
      <c r="G73" s="489"/>
      <c r="H73" s="489">
        <f t="shared" si="5"/>
        <v>0</v>
      </c>
      <c r="I73" s="489"/>
      <c r="J73" s="489"/>
      <c r="K73" s="489"/>
      <c r="L73" s="489"/>
      <c r="M73" s="489">
        <f>+L73</f>
        <v>0</v>
      </c>
      <c r="N73" s="489"/>
      <c r="O73" s="489">
        <f t="shared" si="4"/>
        <v>0</v>
      </c>
      <c r="P73" s="100">
        <f t="shared" si="3"/>
        <v>0</v>
      </c>
      <c r="Q73" s="2"/>
      <c r="R73" s="132"/>
      <c r="S73" s="132"/>
      <c r="T73" s="132"/>
      <c r="U73" s="13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ht="45" hidden="1" outlineLevel="1">
      <c r="A74" s="1415"/>
      <c r="B74" s="1415"/>
      <c r="C74" s="550" t="s">
        <v>1204</v>
      </c>
      <c r="D74" s="213" t="s">
        <v>1138</v>
      </c>
      <c r="E74" s="180"/>
      <c r="F74" s="180"/>
      <c r="G74" s="180"/>
      <c r="H74" s="180">
        <f t="shared" si="5"/>
        <v>0</v>
      </c>
      <c r="I74" s="180"/>
      <c r="J74" s="180"/>
      <c r="K74" s="180"/>
      <c r="L74" s="193"/>
      <c r="M74" s="180"/>
      <c r="N74" s="193"/>
      <c r="O74" s="180">
        <f t="shared" si="4"/>
        <v>0</v>
      </c>
      <c r="P74" s="100">
        <f t="shared" si="3"/>
        <v>0</v>
      </c>
      <c r="Q74" s="2"/>
      <c r="R74" s="132"/>
      <c r="S74" s="132"/>
      <c r="T74" s="132"/>
      <c r="U74" s="13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ht="30" hidden="1" outlineLevel="1">
      <c r="A75" s="1415"/>
      <c r="B75" s="1415"/>
      <c r="C75" s="550" t="s">
        <v>67</v>
      </c>
      <c r="D75" s="436" t="s">
        <v>1249</v>
      </c>
      <c r="E75" s="180"/>
      <c r="F75" s="180"/>
      <c r="G75" s="180"/>
      <c r="H75" s="180">
        <f t="shared" si="5"/>
        <v>0</v>
      </c>
      <c r="I75" s="180"/>
      <c r="J75" s="180"/>
      <c r="K75" s="180"/>
      <c r="L75" s="193"/>
      <c r="M75" s="180"/>
      <c r="N75" s="193"/>
      <c r="O75" s="180">
        <f t="shared" si="4"/>
        <v>0</v>
      </c>
      <c r="P75" s="100">
        <f t="shared" si="3"/>
        <v>0</v>
      </c>
      <c r="Q75" s="2"/>
      <c r="R75" s="132"/>
      <c r="S75" s="132"/>
      <c r="T75" s="132"/>
      <c r="U75" s="13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ht="28.9" customHeight="1" outlineLevel="1">
      <c r="A76" s="1418" t="s">
        <v>121</v>
      </c>
      <c r="B76" s="1419"/>
      <c r="C76" s="1375">
        <v>180107</v>
      </c>
      <c r="D76" s="367" t="s">
        <v>229</v>
      </c>
      <c r="E76" s="180"/>
      <c r="F76" s="180"/>
      <c r="G76" s="180"/>
      <c r="H76" s="488">
        <f t="shared" si="5"/>
        <v>4200000</v>
      </c>
      <c r="I76" s="180"/>
      <c r="J76" s="180"/>
      <c r="K76" s="180"/>
      <c r="L76" s="488">
        <v>4200000</v>
      </c>
      <c r="M76" s="180">
        <f>+L76</f>
        <v>4200000</v>
      </c>
      <c r="N76" s="180">
        <f>+M76</f>
        <v>4200000</v>
      </c>
      <c r="O76" s="488">
        <f>+E76+H76</f>
        <v>4200000</v>
      </c>
      <c r="P76" s="162">
        <f t="shared" si="3"/>
        <v>4200000</v>
      </c>
      <c r="Q76" s="2"/>
      <c r="R76" s="132"/>
      <c r="S76" s="132"/>
      <c r="T76" s="132"/>
      <c r="U76" s="13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ht="73.150000000000006" customHeight="1" outlineLevel="1">
      <c r="A77" s="1415"/>
      <c r="B77" s="1415"/>
      <c r="C77" s="550"/>
      <c r="D77" s="520" t="s">
        <v>959</v>
      </c>
      <c r="E77" s="180">
        <f>+'видатки_затв '!C435</f>
        <v>37243900</v>
      </c>
      <c r="F77" s="180"/>
      <c r="G77" s="180"/>
      <c r="H77" s="180">
        <f t="shared" si="5"/>
        <v>0</v>
      </c>
      <c r="I77" s="180"/>
      <c r="J77" s="180"/>
      <c r="K77" s="180"/>
      <c r="L77" s="193"/>
      <c r="M77" s="180"/>
      <c r="N77" s="193"/>
      <c r="O77" s="180">
        <f t="shared" si="4"/>
        <v>37243900</v>
      </c>
      <c r="P77" s="162">
        <f t="shared" si="3"/>
        <v>37243900</v>
      </c>
      <c r="Q77" s="2"/>
      <c r="R77" s="132"/>
      <c r="S77" s="132"/>
      <c r="T77" s="132"/>
      <c r="U77" s="13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ht="29.45" customHeight="1">
      <c r="A78" s="359" t="s">
        <v>1004</v>
      </c>
      <c r="B78" s="359"/>
      <c r="C78" s="359" t="s">
        <v>1177</v>
      </c>
      <c r="D78" s="360" t="s">
        <v>1186</v>
      </c>
      <c r="E78" s="487">
        <f>SUM(E79:E135)-E90-E83-E85-E86-E91-E92-E96-E107-E113-E84-E93-E94-E95-E114-E103-E105-E106-E110-E115-E116-E117-E118-E119</f>
        <v>1127187884</v>
      </c>
      <c r="F78" s="487">
        <f t="shared" ref="F78:N78" si="6">SUM(F79:F135)-F90-F83-F85-F86-F91-F92-F96-F107-F113-F84-F93-F94-F95-F114-F103-F105-F106-F110-F115-F116-F117-F118-F119</f>
        <v>541472600</v>
      </c>
      <c r="G78" s="487">
        <f t="shared" si="6"/>
        <v>69694700</v>
      </c>
      <c r="H78" s="487">
        <f t="shared" si="6"/>
        <v>29083900</v>
      </c>
      <c r="I78" s="487">
        <f t="shared" si="6"/>
        <v>16917600</v>
      </c>
      <c r="J78" s="487">
        <f t="shared" si="6"/>
        <v>1465500</v>
      </c>
      <c r="K78" s="487">
        <f t="shared" si="6"/>
        <v>198100</v>
      </c>
      <c r="L78" s="487">
        <f t="shared" si="6"/>
        <v>12166300</v>
      </c>
      <c r="M78" s="487">
        <f t="shared" si="6"/>
        <v>10080000</v>
      </c>
      <c r="N78" s="487">
        <f t="shared" si="6"/>
        <v>10080000</v>
      </c>
      <c r="O78" s="487">
        <f t="shared" si="4"/>
        <v>1156271784</v>
      </c>
      <c r="P78" s="162">
        <f t="shared" si="3"/>
        <v>1156271784</v>
      </c>
      <c r="R78" s="71">
        <f>SUM(E82:E126)</f>
        <v>1069705600</v>
      </c>
      <c r="S78" s="71"/>
      <c r="T78" s="71"/>
      <c r="U78" s="71"/>
    </row>
    <row r="79" spans="1:65" ht="31.15" customHeight="1">
      <c r="A79" s="1416" t="s">
        <v>1340</v>
      </c>
      <c r="B79" s="1416"/>
      <c r="C79" s="569" t="s">
        <v>539</v>
      </c>
      <c r="D79" s="364" t="s">
        <v>1137</v>
      </c>
      <c r="E79" s="488">
        <v>40057630</v>
      </c>
      <c r="F79" s="488"/>
      <c r="G79" s="488"/>
      <c r="H79" s="488">
        <f t="shared" ref="H79:H124" si="7">+I79+L79</f>
        <v>9702500</v>
      </c>
      <c r="I79" s="488">
        <v>9344600</v>
      </c>
      <c r="J79" s="488"/>
      <c r="K79" s="488"/>
      <c r="L79" s="488">
        <v>357900</v>
      </c>
      <c r="M79" s="488"/>
      <c r="N79" s="488"/>
      <c r="O79" s="488">
        <f t="shared" si="4"/>
        <v>49760130</v>
      </c>
      <c r="P79" s="162">
        <f t="shared" si="3"/>
        <v>49760130</v>
      </c>
      <c r="R79" s="71"/>
      <c r="S79" s="71"/>
      <c r="T79" s="71"/>
      <c r="U79" s="71"/>
    </row>
    <row r="80" spans="1:65" ht="34.9" customHeight="1">
      <c r="A80" s="1416" t="s">
        <v>1341</v>
      </c>
      <c r="B80" s="1416"/>
      <c r="C80" s="569" t="s">
        <v>1622</v>
      </c>
      <c r="D80" s="364" t="s">
        <v>1200</v>
      </c>
      <c r="E80" s="488">
        <v>3420254</v>
      </c>
      <c r="F80" s="488"/>
      <c r="G80" s="488"/>
      <c r="H80" s="488">
        <f t="shared" si="7"/>
        <v>500000</v>
      </c>
      <c r="I80" s="488">
        <v>470000</v>
      </c>
      <c r="J80" s="488"/>
      <c r="K80" s="488"/>
      <c r="L80" s="488">
        <v>30000</v>
      </c>
      <c r="M80" s="488"/>
      <c r="N80" s="488"/>
      <c r="O80" s="488">
        <f t="shared" si="4"/>
        <v>3920254</v>
      </c>
      <c r="P80" s="162">
        <f t="shared" si="3"/>
        <v>3920254</v>
      </c>
      <c r="R80" s="71"/>
      <c r="S80" s="71"/>
      <c r="T80" s="71"/>
      <c r="U80" s="71"/>
    </row>
    <row r="81" spans="1:22" ht="124.5" hidden="1" customHeight="1">
      <c r="A81" s="1415"/>
      <c r="B81" s="1415"/>
      <c r="C81" s="569" t="s">
        <v>1028</v>
      </c>
      <c r="D81" s="364" t="s">
        <v>1027</v>
      </c>
      <c r="E81" s="363"/>
      <c r="F81" s="363"/>
      <c r="G81" s="363"/>
      <c r="H81" s="363">
        <f t="shared" si="7"/>
        <v>0</v>
      </c>
      <c r="I81" s="363"/>
      <c r="J81" s="363"/>
      <c r="K81" s="363"/>
      <c r="L81" s="365"/>
      <c r="M81" s="363"/>
      <c r="N81" s="365"/>
      <c r="O81" s="363">
        <f t="shared" si="4"/>
        <v>0</v>
      </c>
      <c r="P81" s="100">
        <f t="shared" si="3"/>
        <v>0</v>
      </c>
      <c r="R81" s="71"/>
      <c r="S81" s="71"/>
      <c r="T81" s="71"/>
      <c r="U81" s="71"/>
    </row>
    <row r="82" spans="1:22" ht="25.9" customHeight="1">
      <c r="A82" s="1416" t="s">
        <v>1342</v>
      </c>
      <c r="B82" s="1416"/>
      <c r="C82" s="569" t="s">
        <v>1609</v>
      </c>
      <c r="D82" s="364" t="s">
        <v>1628</v>
      </c>
      <c r="E82" s="488">
        <f>+'видатки_затв '!C79</f>
        <v>180049800</v>
      </c>
      <c r="F82" s="488">
        <f>+'видатки_затв '!D79</f>
        <v>82335000</v>
      </c>
      <c r="G82" s="488">
        <f>+'видатки_затв '!E79</f>
        <v>14870800</v>
      </c>
      <c r="H82" s="488">
        <f t="shared" si="7"/>
        <v>1612100</v>
      </c>
      <c r="I82" s="488">
        <f>+'видатки_затв '!G79</f>
        <v>877100</v>
      </c>
      <c r="J82" s="488">
        <f>+'видатки_затв '!H79</f>
        <v>58400</v>
      </c>
      <c r="K82" s="488">
        <f>+'видатки_затв '!I79</f>
        <v>4500</v>
      </c>
      <c r="L82" s="488">
        <f>+'видатки_затв '!J79</f>
        <v>735000</v>
      </c>
      <c r="M82" s="488">
        <f>+'видатки_затв '!K79</f>
        <v>650000</v>
      </c>
      <c r="N82" s="488">
        <f>+'видатки_затв '!L79</f>
        <v>650000</v>
      </c>
      <c r="O82" s="488">
        <f t="shared" si="4"/>
        <v>181661900</v>
      </c>
      <c r="P82" s="162">
        <f t="shared" si="3"/>
        <v>181661900</v>
      </c>
      <c r="R82" s="71"/>
      <c r="S82" s="71"/>
      <c r="T82" s="71"/>
      <c r="U82" s="71"/>
    </row>
    <row r="83" spans="1:22" ht="45.6" hidden="1" customHeight="1">
      <c r="A83" s="1415"/>
      <c r="B83" s="1415"/>
      <c r="C83" s="577"/>
      <c r="D83" s="177" t="s">
        <v>739</v>
      </c>
      <c r="E83" s="173"/>
      <c r="F83" s="173"/>
      <c r="G83" s="173"/>
      <c r="H83" s="173"/>
      <c r="I83" s="173"/>
      <c r="J83" s="173"/>
      <c r="K83" s="173"/>
      <c r="L83" s="194"/>
      <c r="M83" s="173"/>
      <c r="N83" s="194"/>
      <c r="O83" s="173">
        <f t="shared" si="4"/>
        <v>0</v>
      </c>
      <c r="P83" s="100">
        <f t="shared" si="3"/>
        <v>0</v>
      </c>
      <c r="R83" s="71"/>
      <c r="S83" s="71"/>
      <c r="T83" s="71"/>
      <c r="U83" s="71"/>
    </row>
    <row r="84" spans="1:22" ht="45.6" hidden="1" customHeight="1">
      <c r="A84" s="1415"/>
      <c r="B84" s="1415"/>
      <c r="C84" s="577"/>
      <c r="D84" s="177" t="s">
        <v>202</v>
      </c>
      <c r="E84" s="173"/>
      <c r="F84" s="173"/>
      <c r="G84" s="173"/>
      <c r="H84" s="173"/>
      <c r="I84" s="173"/>
      <c r="J84" s="173"/>
      <c r="K84" s="173"/>
      <c r="L84" s="194"/>
      <c r="M84" s="173"/>
      <c r="N84" s="194"/>
      <c r="O84" s="173">
        <f t="shared" si="4"/>
        <v>0</v>
      </c>
      <c r="P84" s="100">
        <f t="shared" si="3"/>
        <v>0</v>
      </c>
      <c r="R84" s="71"/>
      <c r="S84" s="71"/>
      <c r="T84" s="71"/>
      <c r="U84" s="71"/>
    </row>
    <row r="85" spans="1:22" ht="46.9" hidden="1" customHeight="1">
      <c r="A85" s="1415"/>
      <c r="B85" s="1415"/>
      <c r="C85" s="577"/>
      <c r="D85" s="177" t="s">
        <v>203</v>
      </c>
      <c r="E85" s="173"/>
      <c r="F85" s="173"/>
      <c r="G85" s="173"/>
      <c r="H85" s="173"/>
      <c r="I85" s="173"/>
      <c r="J85" s="173"/>
      <c r="K85" s="173"/>
      <c r="L85" s="194"/>
      <c r="M85" s="173"/>
      <c r="N85" s="194"/>
      <c r="O85" s="173">
        <f t="shared" si="4"/>
        <v>0</v>
      </c>
      <c r="P85" s="100">
        <f t="shared" si="3"/>
        <v>0</v>
      </c>
      <c r="R85" s="71"/>
      <c r="S85" s="71"/>
      <c r="T85" s="71"/>
      <c r="U85" s="71"/>
    </row>
    <row r="86" spans="1:22" ht="64.150000000000006" hidden="1" customHeight="1">
      <c r="A86" s="1415"/>
      <c r="B86" s="1415"/>
      <c r="C86" s="577"/>
      <c r="D86" s="177" t="s">
        <v>1134</v>
      </c>
      <c r="E86" s="173"/>
      <c r="F86" s="173"/>
      <c r="G86" s="173"/>
      <c r="H86" s="173"/>
      <c r="I86" s="173"/>
      <c r="J86" s="173"/>
      <c r="K86" s="173"/>
      <c r="L86" s="194"/>
      <c r="M86" s="173"/>
      <c r="N86" s="194"/>
      <c r="O86" s="173">
        <f t="shared" si="4"/>
        <v>0</v>
      </c>
      <c r="P86" s="100">
        <f t="shared" si="3"/>
        <v>0</v>
      </c>
      <c r="R86" s="71"/>
      <c r="S86" s="71"/>
      <c r="T86" s="71"/>
      <c r="U86" s="71"/>
    </row>
    <row r="87" spans="1:22" ht="37.15" hidden="1" customHeight="1">
      <c r="A87" s="1415"/>
      <c r="B87" s="1415"/>
      <c r="C87" s="575"/>
      <c r="D87" s="170"/>
      <c r="E87" s="169"/>
      <c r="F87" s="169"/>
      <c r="G87" s="169"/>
      <c r="H87" s="169"/>
      <c r="I87" s="169"/>
      <c r="J87" s="169"/>
      <c r="K87" s="169"/>
      <c r="L87" s="195"/>
      <c r="M87" s="169"/>
      <c r="N87" s="195"/>
      <c r="O87" s="169">
        <f t="shared" si="4"/>
        <v>0</v>
      </c>
      <c r="P87" s="100">
        <f t="shared" si="3"/>
        <v>0</v>
      </c>
      <c r="R87" s="71"/>
      <c r="S87" s="71"/>
      <c r="T87" s="71"/>
      <c r="U87" s="71"/>
    </row>
    <row r="88" spans="1:22" ht="75.599999999999994" customHeight="1">
      <c r="A88" s="1416" t="s">
        <v>1343</v>
      </c>
      <c r="B88" s="1416"/>
      <c r="C88" s="569" t="s">
        <v>1610</v>
      </c>
      <c r="D88" s="364" t="s">
        <v>1633</v>
      </c>
      <c r="E88" s="488">
        <f>+'видатки_затв '!C81</f>
        <v>513127700</v>
      </c>
      <c r="F88" s="488">
        <f>+'видатки_затв '!D81</f>
        <v>266625700</v>
      </c>
      <c r="G88" s="488">
        <f>+'видатки_затв '!E81</f>
        <v>44049600</v>
      </c>
      <c r="H88" s="488">
        <f t="shared" si="7"/>
        <v>6254400</v>
      </c>
      <c r="I88" s="488">
        <f>+'видатки_затв '!G81</f>
        <v>4353400</v>
      </c>
      <c r="J88" s="488">
        <f>+'видатки_затв '!H81</f>
        <v>1171700</v>
      </c>
      <c r="K88" s="488">
        <f>+'видатки_затв '!I81</f>
        <v>181500</v>
      </c>
      <c r="L88" s="488">
        <f>+'видатки_затв '!J81</f>
        <v>1901000</v>
      </c>
      <c r="M88" s="488">
        <f>+'видатки_затв '!K81</f>
        <v>1350000</v>
      </c>
      <c r="N88" s="488">
        <f>+'видатки_затв '!L81</f>
        <v>1350000</v>
      </c>
      <c r="O88" s="488">
        <f t="shared" si="4"/>
        <v>519382100</v>
      </c>
      <c r="P88" s="162">
        <f t="shared" si="3"/>
        <v>519382100</v>
      </c>
      <c r="R88" s="71"/>
      <c r="S88" s="71"/>
      <c r="T88" s="71"/>
      <c r="U88" s="71"/>
    </row>
    <row r="89" spans="1:22" ht="15" hidden="1">
      <c r="A89" s="1417"/>
      <c r="B89" s="1417"/>
      <c r="C89" s="641"/>
      <c r="D89" s="364" t="s">
        <v>529</v>
      </c>
      <c r="E89" s="689"/>
      <c r="F89" s="689"/>
      <c r="G89" s="689"/>
      <c r="H89" s="690"/>
      <c r="I89" s="689"/>
      <c r="J89" s="689"/>
      <c r="K89" s="689"/>
      <c r="L89" s="691"/>
      <c r="M89" s="689"/>
      <c r="N89" s="691"/>
      <c r="O89" s="689"/>
      <c r="P89" s="100"/>
      <c r="R89" s="71"/>
      <c r="S89" s="71"/>
      <c r="T89" s="71"/>
      <c r="U89" s="71"/>
    </row>
    <row r="90" spans="1:22" ht="45" hidden="1">
      <c r="A90" s="1417"/>
      <c r="B90" s="1417"/>
      <c r="C90" s="641"/>
      <c r="D90" s="364" t="s">
        <v>546</v>
      </c>
      <c r="E90" s="456"/>
      <c r="F90" s="456"/>
      <c r="G90" s="456"/>
      <c r="H90" s="488">
        <f t="shared" si="7"/>
        <v>0</v>
      </c>
      <c r="I90" s="456"/>
      <c r="J90" s="456"/>
      <c r="K90" s="456"/>
      <c r="L90" s="456"/>
      <c r="M90" s="456"/>
      <c r="N90" s="456"/>
      <c r="O90" s="456">
        <f t="shared" ref="O90:O143" si="8">+E90+H90</f>
        <v>0</v>
      </c>
      <c r="P90" s="100">
        <f t="shared" si="3"/>
        <v>0</v>
      </c>
      <c r="Q90" s="24"/>
      <c r="R90" s="44"/>
      <c r="S90" s="44"/>
      <c r="T90" s="44"/>
      <c r="U90" s="44"/>
      <c r="V90" s="24"/>
    </row>
    <row r="91" spans="1:22" ht="53.45" hidden="1" customHeight="1">
      <c r="A91" s="1415"/>
      <c r="B91" s="1415"/>
      <c r="C91" s="577"/>
      <c r="D91" s="177" t="s">
        <v>1080</v>
      </c>
      <c r="E91" s="173"/>
      <c r="F91" s="173"/>
      <c r="G91" s="173"/>
      <c r="H91" s="178">
        <f t="shared" si="7"/>
        <v>0</v>
      </c>
      <c r="I91" s="173"/>
      <c r="J91" s="173"/>
      <c r="K91" s="173"/>
      <c r="L91" s="194"/>
      <c r="M91" s="173"/>
      <c r="N91" s="194"/>
      <c r="O91" s="173">
        <f t="shared" si="8"/>
        <v>0</v>
      </c>
      <c r="P91" s="100">
        <f t="shared" si="3"/>
        <v>0</v>
      </c>
      <c r="Q91" s="24"/>
      <c r="R91" s="44"/>
      <c r="S91" s="44"/>
      <c r="T91" s="44"/>
      <c r="U91" s="44"/>
      <c r="V91" s="24"/>
    </row>
    <row r="92" spans="1:22" ht="26.45" hidden="1" customHeight="1">
      <c r="A92" s="1415" t="s">
        <v>1345</v>
      </c>
      <c r="B92" s="1415"/>
      <c r="C92" s="570"/>
      <c r="D92" s="171" t="s">
        <v>89</v>
      </c>
      <c r="E92" s="173"/>
      <c r="F92" s="173"/>
      <c r="G92" s="173"/>
      <c r="H92" s="583">
        <f t="shared" si="7"/>
        <v>0</v>
      </c>
      <c r="I92" s="173"/>
      <c r="J92" s="173"/>
      <c r="K92" s="173"/>
      <c r="L92" s="194"/>
      <c r="M92" s="173"/>
      <c r="N92" s="194"/>
      <c r="O92" s="169">
        <f t="shared" si="8"/>
        <v>0</v>
      </c>
      <c r="P92" s="100">
        <f t="shared" si="3"/>
        <v>0</v>
      </c>
      <c r="Q92" s="24"/>
      <c r="R92" s="44"/>
      <c r="S92" s="44"/>
      <c r="T92" s="44"/>
      <c r="U92" s="44"/>
      <c r="V92" s="24"/>
    </row>
    <row r="93" spans="1:22" ht="26.45" hidden="1" customHeight="1">
      <c r="A93" s="1415"/>
      <c r="B93" s="1415"/>
      <c r="C93" s="577"/>
      <c r="D93" s="177" t="s">
        <v>1081</v>
      </c>
      <c r="E93" s="173"/>
      <c r="F93" s="173"/>
      <c r="G93" s="173"/>
      <c r="H93" s="178">
        <f t="shared" si="7"/>
        <v>0</v>
      </c>
      <c r="I93" s="173"/>
      <c r="J93" s="173"/>
      <c r="K93" s="173"/>
      <c r="L93" s="194"/>
      <c r="M93" s="173"/>
      <c r="N93" s="194"/>
      <c r="O93" s="173">
        <f t="shared" si="8"/>
        <v>0</v>
      </c>
      <c r="P93" s="100">
        <f t="shared" si="3"/>
        <v>0</v>
      </c>
      <c r="Q93" s="24"/>
      <c r="R93" s="44"/>
      <c r="S93" s="44"/>
      <c r="T93" s="44"/>
      <c r="U93" s="44"/>
      <c r="V93" s="24"/>
    </row>
    <row r="94" spans="1:22" ht="26.45" hidden="1" customHeight="1">
      <c r="A94" s="1415"/>
      <c r="B94" s="1415"/>
      <c r="C94" s="570"/>
      <c r="D94" s="171" t="s">
        <v>886</v>
      </c>
      <c r="E94" s="173"/>
      <c r="F94" s="173"/>
      <c r="G94" s="173"/>
      <c r="H94" s="583">
        <f t="shared" si="7"/>
        <v>0</v>
      </c>
      <c r="I94" s="173"/>
      <c r="J94" s="173"/>
      <c r="K94" s="173"/>
      <c r="L94" s="194"/>
      <c r="M94" s="173"/>
      <c r="N94" s="194"/>
      <c r="O94" s="169">
        <f t="shared" si="8"/>
        <v>0</v>
      </c>
      <c r="P94" s="100">
        <f t="shared" si="3"/>
        <v>0</v>
      </c>
      <c r="Q94" s="24"/>
      <c r="R94" s="44"/>
      <c r="S94" s="44"/>
      <c r="T94" s="44"/>
      <c r="U94" s="44"/>
      <c r="V94" s="24"/>
    </row>
    <row r="95" spans="1:22" ht="43.9" hidden="1" customHeight="1">
      <c r="A95" s="1415"/>
      <c r="B95" s="1415"/>
      <c r="C95" s="577"/>
      <c r="D95" s="177" t="s">
        <v>142</v>
      </c>
      <c r="E95" s="173"/>
      <c r="F95" s="173"/>
      <c r="G95" s="173"/>
      <c r="H95" s="178">
        <f t="shared" si="7"/>
        <v>0</v>
      </c>
      <c r="I95" s="173"/>
      <c r="J95" s="173"/>
      <c r="K95" s="173"/>
      <c r="L95" s="194"/>
      <c r="M95" s="173"/>
      <c r="N95" s="194"/>
      <c r="O95" s="173">
        <f t="shared" si="8"/>
        <v>0</v>
      </c>
      <c r="P95" s="100">
        <f t="shared" si="3"/>
        <v>0</v>
      </c>
      <c r="Q95" s="24"/>
      <c r="R95" s="44"/>
      <c r="S95" s="44"/>
      <c r="T95" s="44"/>
      <c r="U95" s="44"/>
      <c r="V95" s="24"/>
    </row>
    <row r="96" spans="1:22" ht="11.25" hidden="1" customHeight="1">
      <c r="A96" s="1415"/>
      <c r="B96" s="1415"/>
      <c r="C96" s="570"/>
      <c r="D96" s="171"/>
      <c r="E96" s="173"/>
      <c r="F96" s="173"/>
      <c r="G96" s="173"/>
      <c r="H96" s="583">
        <f t="shared" si="7"/>
        <v>0</v>
      </c>
      <c r="I96" s="173"/>
      <c r="J96" s="173"/>
      <c r="K96" s="173"/>
      <c r="L96" s="194"/>
      <c r="M96" s="173"/>
      <c r="N96" s="194"/>
      <c r="O96" s="169">
        <f t="shared" si="8"/>
        <v>0</v>
      </c>
      <c r="P96" s="100">
        <f t="shared" si="3"/>
        <v>0</v>
      </c>
      <c r="Q96" s="24"/>
      <c r="R96" s="44"/>
      <c r="S96" s="44"/>
      <c r="T96" s="44"/>
      <c r="U96" s="44"/>
      <c r="V96" s="24"/>
    </row>
    <row r="97" spans="1:22" ht="22.15" customHeight="1">
      <c r="A97" s="1416" t="s">
        <v>699</v>
      </c>
      <c r="B97" s="1416"/>
      <c r="C97" s="569" t="s">
        <v>541</v>
      </c>
      <c r="D97" s="501" t="s">
        <v>542</v>
      </c>
      <c r="E97" s="488">
        <f>+'видатки_затв '!C83</f>
        <v>10718600</v>
      </c>
      <c r="F97" s="488">
        <f>+'видатки_затв '!D83</f>
        <v>7663200</v>
      </c>
      <c r="G97" s="488">
        <f>+'видатки_затв '!E83</f>
        <v>260000</v>
      </c>
      <c r="H97" s="488">
        <f t="shared" si="7"/>
        <v>69200</v>
      </c>
      <c r="I97" s="488">
        <f>+'видатки_затв '!G83</f>
        <v>67200</v>
      </c>
      <c r="J97" s="488">
        <f>+'видатки_затв '!H83</f>
        <v>0</v>
      </c>
      <c r="K97" s="488">
        <f>+'видатки_затв '!I83</f>
        <v>0</v>
      </c>
      <c r="L97" s="488">
        <f>+'видатки_затв '!J83</f>
        <v>2000</v>
      </c>
      <c r="M97" s="488">
        <f>+'видатки_затв '!K83</f>
        <v>0</v>
      </c>
      <c r="N97" s="488">
        <f>+'видатки_затв '!L83</f>
        <v>0</v>
      </c>
      <c r="O97" s="488">
        <f t="shared" si="8"/>
        <v>10787800</v>
      </c>
      <c r="P97" s="162">
        <f t="shared" si="3"/>
        <v>10787800</v>
      </c>
      <c r="Q97" s="24"/>
      <c r="R97" s="44"/>
      <c r="S97" s="44"/>
      <c r="T97" s="44"/>
      <c r="U97" s="44"/>
      <c r="V97" s="24"/>
    </row>
    <row r="98" spans="1:22" ht="21" customHeight="1">
      <c r="A98" s="1416" t="s">
        <v>1344</v>
      </c>
      <c r="B98" s="1416"/>
      <c r="C98" s="569" t="s">
        <v>1611</v>
      </c>
      <c r="D98" s="364" t="s">
        <v>868</v>
      </c>
      <c r="E98" s="488">
        <f>+'видатки_затв '!C84</f>
        <v>21528300</v>
      </c>
      <c r="F98" s="488">
        <f>+'видатки_затв '!D84</f>
        <v>12039200</v>
      </c>
      <c r="G98" s="488">
        <f>+'видатки_затв '!E84</f>
        <v>2325000</v>
      </c>
      <c r="H98" s="488">
        <f t="shared" si="7"/>
        <v>2800</v>
      </c>
      <c r="I98" s="488">
        <f>+'видатки_затв '!G84</f>
        <v>2800</v>
      </c>
      <c r="J98" s="488">
        <f>+'видатки_затв '!H84</f>
        <v>0</v>
      </c>
      <c r="K98" s="488">
        <f>+'видатки_затв '!I84</f>
        <v>0</v>
      </c>
      <c r="L98" s="488">
        <f>+'видатки_затв '!J84</f>
        <v>0</v>
      </c>
      <c r="M98" s="488">
        <f>+'видатки_затв '!K84</f>
        <v>0</v>
      </c>
      <c r="N98" s="488">
        <f>+'видатки_затв '!L84</f>
        <v>0</v>
      </c>
      <c r="O98" s="488">
        <f t="shared" si="8"/>
        <v>21531100</v>
      </c>
      <c r="P98" s="162">
        <f t="shared" si="3"/>
        <v>21531100</v>
      </c>
      <c r="R98" s="71"/>
      <c r="S98" s="71"/>
      <c r="T98" s="71"/>
      <c r="U98" s="71"/>
    </row>
    <row r="99" spans="1:22" ht="32.450000000000003" customHeight="1">
      <c r="A99" s="1416" t="s">
        <v>1346</v>
      </c>
      <c r="B99" s="1416"/>
      <c r="C99" s="569" t="s">
        <v>1612</v>
      </c>
      <c r="D99" s="364" t="s">
        <v>869</v>
      </c>
      <c r="E99" s="488">
        <f>+'видатки_затв '!C85</f>
        <v>1601400</v>
      </c>
      <c r="F99" s="488">
        <f>+'видатки_затв '!D85</f>
        <v>956500</v>
      </c>
      <c r="G99" s="488">
        <f>+'видатки_затв '!E85</f>
        <v>84500</v>
      </c>
      <c r="H99" s="488">
        <f t="shared" si="7"/>
        <v>0</v>
      </c>
      <c r="I99" s="488">
        <f>+'видатки_затв '!G85</f>
        <v>0</v>
      </c>
      <c r="J99" s="488">
        <f>+'видатки_затв '!H85</f>
        <v>0</v>
      </c>
      <c r="K99" s="488">
        <f>+'видатки_затв '!I85</f>
        <v>0</v>
      </c>
      <c r="L99" s="488">
        <f>+'видатки_затв '!J85</f>
        <v>0</v>
      </c>
      <c r="M99" s="488">
        <f>+'видатки_затв '!K85</f>
        <v>0</v>
      </c>
      <c r="N99" s="488">
        <f>+'видатки_затв '!L85</f>
        <v>0</v>
      </c>
      <c r="O99" s="488">
        <f t="shared" si="8"/>
        <v>1601400</v>
      </c>
      <c r="P99" s="162">
        <f t="shared" ref="P99:P215" si="9">+O99</f>
        <v>1601400</v>
      </c>
      <c r="R99" s="71"/>
      <c r="S99" s="71"/>
      <c r="T99" s="71"/>
      <c r="U99" s="71"/>
    </row>
    <row r="100" spans="1:22" ht="25.9" customHeight="1">
      <c r="A100" s="1416" t="s">
        <v>1347</v>
      </c>
      <c r="B100" s="1416"/>
      <c r="C100" s="569" t="s">
        <v>1613</v>
      </c>
      <c r="D100" s="211" t="s">
        <v>1206</v>
      </c>
      <c r="E100" s="488">
        <f>+'видатки_затв '!C87</f>
        <v>16887500</v>
      </c>
      <c r="F100" s="488">
        <f>+'видатки_затв '!D87</f>
        <v>10596400</v>
      </c>
      <c r="G100" s="488">
        <f>+'видатки_затв '!E87</f>
        <v>1351600</v>
      </c>
      <c r="H100" s="488">
        <f t="shared" si="7"/>
        <v>0</v>
      </c>
      <c r="I100" s="488">
        <f>+'видатки_затв '!G87</f>
        <v>0</v>
      </c>
      <c r="J100" s="488">
        <f>+'видатки_затв '!H87</f>
        <v>0</v>
      </c>
      <c r="K100" s="488">
        <f>+'видатки_затв '!I87</f>
        <v>0</v>
      </c>
      <c r="L100" s="488">
        <f>+'видатки_затв '!J87</f>
        <v>0</v>
      </c>
      <c r="M100" s="488">
        <f>+'видатки_затв '!K87</f>
        <v>0</v>
      </c>
      <c r="N100" s="488">
        <f>+'видатки_затв '!L87</f>
        <v>0</v>
      </c>
      <c r="O100" s="488">
        <f t="shared" si="8"/>
        <v>16887500</v>
      </c>
      <c r="P100" s="162">
        <f t="shared" si="9"/>
        <v>16887500</v>
      </c>
      <c r="R100" s="71"/>
      <c r="S100" s="71"/>
      <c r="T100" s="71"/>
      <c r="U100" s="71"/>
    </row>
    <row r="101" spans="1:22" ht="20.45" customHeight="1">
      <c r="A101" s="1416" t="s">
        <v>1348</v>
      </c>
      <c r="B101" s="1416"/>
      <c r="C101" s="569" t="s">
        <v>1614</v>
      </c>
      <c r="D101" s="364" t="s">
        <v>1207</v>
      </c>
      <c r="E101" s="488">
        <f>+'видатки_затв '!C88</f>
        <v>12951900</v>
      </c>
      <c r="F101" s="488">
        <f>+'видатки_затв '!D88</f>
        <v>7461200</v>
      </c>
      <c r="G101" s="488">
        <f>+'видатки_затв '!E88</f>
        <v>1303600</v>
      </c>
      <c r="H101" s="488">
        <f t="shared" si="7"/>
        <v>2031000</v>
      </c>
      <c r="I101" s="488">
        <f>+'видатки_затв '!G88</f>
        <v>1131000</v>
      </c>
      <c r="J101" s="488">
        <f>+'видатки_затв '!H88</f>
        <v>175000</v>
      </c>
      <c r="K101" s="488">
        <f>+'видатки_затв '!I88</f>
        <v>0</v>
      </c>
      <c r="L101" s="488">
        <f>+'видатки_затв '!J88</f>
        <v>900000</v>
      </c>
      <c r="M101" s="488">
        <f>+'видатки_затв '!K88</f>
        <v>0</v>
      </c>
      <c r="N101" s="488">
        <f>+'видатки_затв '!L88</f>
        <v>0</v>
      </c>
      <c r="O101" s="488">
        <f t="shared" si="8"/>
        <v>14982900</v>
      </c>
      <c r="P101" s="162">
        <f t="shared" si="9"/>
        <v>14982900</v>
      </c>
      <c r="R101" s="71"/>
      <c r="S101" s="71"/>
      <c r="T101" s="71"/>
      <c r="U101" s="71"/>
    </row>
    <row r="102" spans="1:22" ht="53.45" customHeight="1">
      <c r="A102" s="1416" t="s">
        <v>1398</v>
      </c>
      <c r="B102" s="1416"/>
      <c r="C102" s="569" t="s">
        <v>543</v>
      </c>
      <c r="D102" s="501" t="s">
        <v>544</v>
      </c>
      <c r="E102" s="488">
        <f>+'видатки_затв '!C89</f>
        <v>166508000</v>
      </c>
      <c r="F102" s="488">
        <f>+'видатки_затв '!D89</f>
        <v>105827800</v>
      </c>
      <c r="G102" s="488">
        <f>+'видатки_затв '!E89</f>
        <v>1857800</v>
      </c>
      <c r="H102" s="488">
        <f t="shared" si="7"/>
        <v>70000</v>
      </c>
      <c r="I102" s="488">
        <f>+'видатки_затв '!G89</f>
        <v>52000</v>
      </c>
      <c r="J102" s="488">
        <f>+'видатки_затв '!H89</f>
        <v>0</v>
      </c>
      <c r="K102" s="488">
        <f>+'видатки_затв '!I89</f>
        <v>0</v>
      </c>
      <c r="L102" s="488">
        <f>+'видатки_затв '!J89</f>
        <v>18000</v>
      </c>
      <c r="M102" s="488">
        <f>+'видатки_затв '!K89</f>
        <v>0</v>
      </c>
      <c r="N102" s="488">
        <f>+'видатки_затв '!L89</f>
        <v>0</v>
      </c>
      <c r="O102" s="488">
        <f t="shared" si="8"/>
        <v>166578000</v>
      </c>
      <c r="P102" s="162">
        <f t="shared" si="9"/>
        <v>166578000</v>
      </c>
      <c r="R102" s="71"/>
      <c r="S102" s="71"/>
      <c r="T102" s="71"/>
      <c r="U102" s="71"/>
    </row>
    <row r="103" spans="1:22" ht="73.150000000000006" hidden="1" customHeight="1">
      <c r="A103" s="1415"/>
      <c r="B103" s="1415"/>
      <c r="C103" s="577"/>
      <c r="D103" s="177" t="s">
        <v>1594</v>
      </c>
      <c r="E103" s="173"/>
      <c r="F103" s="173"/>
      <c r="G103" s="173"/>
      <c r="H103" s="173">
        <f t="shared" si="7"/>
        <v>0</v>
      </c>
      <c r="I103" s="173"/>
      <c r="J103" s="173"/>
      <c r="K103" s="173"/>
      <c r="L103" s="194"/>
      <c r="M103" s="173"/>
      <c r="N103" s="194"/>
      <c r="O103" s="173">
        <f t="shared" si="8"/>
        <v>0</v>
      </c>
      <c r="P103" s="100">
        <f t="shared" si="9"/>
        <v>0</v>
      </c>
      <c r="R103" s="71"/>
      <c r="S103" s="71"/>
      <c r="T103" s="71"/>
      <c r="U103" s="71"/>
    </row>
    <row r="104" spans="1:22" ht="76.150000000000006" customHeight="1">
      <c r="A104" s="1416" t="s">
        <v>1349</v>
      </c>
      <c r="B104" s="1416"/>
      <c r="C104" s="569" t="s">
        <v>1615</v>
      </c>
      <c r="D104" s="364" t="s">
        <v>1255</v>
      </c>
      <c r="E104" s="488">
        <f>+'видатки_затв '!C91</f>
        <v>29932500</v>
      </c>
      <c r="F104" s="488">
        <f>+'видатки_затв '!D91</f>
        <v>17824400</v>
      </c>
      <c r="G104" s="488">
        <f>+'видатки_затв '!E91</f>
        <v>1773300</v>
      </c>
      <c r="H104" s="488">
        <f t="shared" si="7"/>
        <v>367500</v>
      </c>
      <c r="I104" s="488">
        <f>+'видатки_затв '!G91</f>
        <v>170100</v>
      </c>
      <c r="J104" s="488">
        <f>+'видатки_затв '!H91</f>
        <v>60400</v>
      </c>
      <c r="K104" s="488">
        <f>+'видатки_затв '!I91</f>
        <v>6000</v>
      </c>
      <c r="L104" s="488">
        <f>+'видатки_затв '!J91</f>
        <v>197400</v>
      </c>
      <c r="M104" s="488">
        <f>+'видатки_затв '!K91</f>
        <v>75000</v>
      </c>
      <c r="N104" s="488">
        <f>+'видатки_затв '!L91</f>
        <v>75000</v>
      </c>
      <c r="O104" s="488">
        <f t="shared" si="8"/>
        <v>30300000</v>
      </c>
      <c r="P104" s="162">
        <f t="shared" si="9"/>
        <v>30300000</v>
      </c>
      <c r="R104" s="71"/>
      <c r="S104" s="71"/>
      <c r="T104" s="71"/>
      <c r="U104" s="71"/>
    </row>
    <row r="105" spans="1:22" ht="25.9" hidden="1" customHeight="1">
      <c r="A105" s="1415"/>
      <c r="B105" s="1415"/>
      <c r="C105" s="577"/>
      <c r="D105" s="177" t="s">
        <v>1082</v>
      </c>
      <c r="E105" s="173"/>
      <c r="F105" s="173"/>
      <c r="G105" s="173"/>
      <c r="H105" s="173">
        <f t="shared" si="7"/>
        <v>0</v>
      </c>
      <c r="I105" s="173"/>
      <c r="J105" s="173"/>
      <c r="K105" s="173"/>
      <c r="L105" s="194"/>
      <c r="M105" s="173"/>
      <c r="N105" s="194"/>
      <c r="O105" s="173">
        <f t="shared" si="8"/>
        <v>0</v>
      </c>
      <c r="P105" s="100">
        <f t="shared" si="9"/>
        <v>0</v>
      </c>
      <c r="R105" s="71"/>
      <c r="S105" s="71"/>
      <c r="T105" s="71"/>
      <c r="U105" s="71"/>
    </row>
    <row r="106" spans="1:22" ht="61.9" hidden="1" customHeight="1">
      <c r="A106" s="1415"/>
      <c r="B106" s="1415"/>
      <c r="C106" s="577"/>
      <c r="D106" s="177" t="s">
        <v>990</v>
      </c>
      <c r="E106" s="173"/>
      <c r="F106" s="173"/>
      <c r="G106" s="173"/>
      <c r="H106" s="173">
        <f t="shared" si="7"/>
        <v>0</v>
      </c>
      <c r="I106" s="173"/>
      <c r="J106" s="173"/>
      <c r="K106" s="173"/>
      <c r="L106" s="194"/>
      <c r="M106" s="173"/>
      <c r="N106" s="194"/>
      <c r="O106" s="173">
        <f t="shared" si="8"/>
        <v>0</v>
      </c>
      <c r="P106" s="100">
        <f t="shared" si="9"/>
        <v>0</v>
      </c>
      <c r="R106" s="71"/>
      <c r="S106" s="71"/>
      <c r="T106" s="71"/>
      <c r="U106" s="71"/>
    </row>
    <row r="107" spans="1:22" ht="63.6" hidden="1" customHeight="1">
      <c r="A107" s="1415"/>
      <c r="B107" s="1415"/>
      <c r="C107" s="577"/>
      <c r="D107" s="177" t="s">
        <v>1594</v>
      </c>
      <c r="E107" s="173"/>
      <c r="F107" s="173"/>
      <c r="G107" s="173"/>
      <c r="H107" s="173">
        <f t="shared" si="7"/>
        <v>0</v>
      </c>
      <c r="I107" s="173"/>
      <c r="J107" s="173"/>
      <c r="K107" s="173"/>
      <c r="L107" s="194"/>
      <c r="M107" s="173"/>
      <c r="N107" s="194"/>
      <c r="O107" s="173">
        <f t="shared" si="8"/>
        <v>0</v>
      </c>
      <c r="P107" s="100">
        <f t="shared" si="9"/>
        <v>0</v>
      </c>
      <c r="R107" s="71"/>
      <c r="S107" s="71"/>
      <c r="T107" s="71"/>
      <c r="U107" s="71"/>
    </row>
    <row r="108" spans="1:22" ht="33" hidden="1" customHeight="1">
      <c r="A108" s="1415"/>
      <c r="B108" s="1415"/>
      <c r="C108" s="569" t="s">
        <v>1616</v>
      </c>
      <c r="D108" s="364" t="s">
        <v>521</v>
      </c>
      <c r="E108" s="488">
        <f>+'видатки_затв '!C92</f>
        <v>0</v>
      </c>
      <c r="F108" s="488">
        <f>+'видатки_затв '!D92</f>
        <v>0</v>
      </c>
      <c r="G108" s="488">
        <f>+'видатки_затв '!E92</f>
        <v>0</v>
      </c>
      <c r="H108" s="488">
        <f t="shared" si="7"/>
        <v>0</v>
      </c>
      <c r="I108" s="488">
        <f>+'видатки_затв '!G92</f>
        <v>0</v>
      </c>
      <c r="J108" s="488">
        <f>+'видатки_затв '!H92</f>
        <v>0</v>
      </c>
      <c r="K108" s="488">
        <f>+'видатки_затв '!I92</f>
        <v>0</v>
      </c>
      <c r="L108" s="488">
        <f>+'видатки_затв '!J92</f>
        <v>0</v>
      </c>
      <c r="M108" s="488">
        <f>+'видатки_затв '!K92</f>
        <v>0</v>
      </c>
      <c r="N108" s="488">
        <f>+'видатки_затв '!L92</f>
        <v>0</v>
      </c>
      <c r="O108" s="488">
        <f t="shared" si="8"/>
        <v>0</v>
      </c>
      <c r="P108" s="162">
        <f t="shared" si="9"/>
        <v>0</v>
      </c>
      <c r="R108" s="71"/>
      <c r="S108" s="71"/>
      <c r="T108" s="71"/>
      <c r="U108" s="71"/>
    </row>
    <row r="109" spans="1:22" ht="35.450000000000003" customHeight="1">
      <c r="A109" s="1416" t="s">
        <v>1350</v>
      </c>
      <c r="B109" s="1416"/>
      <c r="C109" s="569" t="s">
        <v>1617</v>
      </c>
      <c r="D109" s="364" t="s">
        <v>1036</v>
      </c>
      <c r="E109" s="488">
        <f>+'видатки_затв '!C95</f>
        <v>805800</v>
      </c>
      <c r="F109" s="488">
        <f>+'видатки_затв '!D95</f>
        <v>505000</v>
      </c>
      <c r="G109" s="488">
        <f>+'видатки_затв '!E95</f>
        <v>27800</v>
      </c>
      <c r="H109" s="488">
        <f t="shared" si="7"/>
        <v>0</v>
      </c>
      <c r="I109" s="488">
        <f>+'видатки_затв '!G95</f>
        <v>0</v>
      </c>
      <c r="J109" s="488">
        <f>+'видатки_затв '!H95</f>
        <v>0</v>
      </c>
      <c r="K109" s="488">
        <f>+'видатки_затв '!I95</f>
        <v>0</v>
      </c>
      <c r="L109" s="488">
        <f>+'видатки_затв '!J95</f>
        <v>0</v>
      </c>
      <c r="M109" s="488">
        <f>+'видатки_затв '!K95</f>
        <v>0</v>
      </c>
      <c r="N109" s="488">
        <f>+'видатки_затв '!L95</f>
        <v>0</v>
      </c>
      <c r="O109" s="488">
        <f t="shared" si="8"/>
        <v>805800</v>
      </c>
      <c r="P109" s="162">
        <f t="shared" si="9"/>
        <v>805800</v>
      </c>
      <c r="R109" s="71"/>
      <c r="S109" s="71"/>
      <c r="T109" s="71"/>
      <c r="U109" s="71"/>
    </row>
    <row r="110" spans="1:22" ht="71.45" hidden="1" customHeight="1">
      <c r="A110" s="1415"/>
      <c r="B110" s="1415"/>
      <c r="C110" s="577"/>
      <c r="D110" s="177" t="s">
        <v>1594</v>
      </c>
      <c r="E110" s="173"/>
      <c r="F110" s="173"/>
      <c r="G110" s="173"/>
      <c r="H110" s="173">
        <f t="shared" si="7"/>
        <v>0</v>
      </c>
      <c r="I110" s="173"/>
      <c r="J110" s="173"/>
      <c r="K110" s="173"/>
      <c r="L110" s="194"/>
      <c r="M110" s="173"/>
      <c r="N110" s="194"/>
      <c r="O110" s="173">
        <f t="shared" si="8"/>
        <v>0</v>
      </c>
      <c r="P110" s="100">
        <f t="shared" si="9"/>
        <v>0</v>
      </c>
      <c r="R110" s="71"/>
      <c r="S110" s="71"/>
      <c r="T110" s="71"/>
      <c r="U110" s="71"/>
    </row>
    <row r="111" spans="1:22" ht="22.15" customHeight="1">
      <c r="A111" s="1416" t="s">
        <v>1351</v>
      </c>
      <c r="B111" s="1416"/>
      <c r="C111" s="569" t="s">
        <v>1618</v>
      </c>
      <c r="D111" s="364" t="s">
        <v>1139</v>
      </c>
      <c r="E111" s="488">
        <f>+'видатки_затв '!C96</f>
        <v>9250800</v>
      </c>
      <c r="F111" s="488">
        <f>+'видатки_затв '!D96</f>
        <v>5862500</v>
      </c>
      <c r="G111" s="488">
        <f>+'видатки_затв '!E96</f>
        <v>287000</v>
      </c>
      <c r="H111" s="488">
        <f t="shared" si="7"/>
        <v>0</v>
      </c>
      <c r="I111" s="488">
        <f>+'видатки_затв '!G96</f>
        <v>0</v>
      </c>
      <c r="J111" s="488">
        <f>+'видатки_затв '!H96</f>
        <v>0</v>
      </c>
      <c r="K111" s="488">
        <f>+'видатки_затв '!I96</f>
        <v>0</v>
      </c>
      <c r="L111" s="488">
        <f>+'видатки_затв '!J96</f>
        <v>0</v>
      </c>
      <c r="M111" s="488">
        <f>+'видатки_затв '!K96</f>
        <v>0</v>
      </c>
      <c r="N111" s="488">
        <f>+'видатки_затв '!L96</f>
        <v>0</v>
      </c>
      <c r="O111" s="488">
        <f t="shared" si="8"/>
        <v>9250800</v>
      </c>
      <c r="P111" s="162">
        <f t="shared" si="9"/>
        <v>9250800</v>
      </c>
      <c r="R111" s="71"/>
      <c r="S111" s="71"/>
      <c r="T111" s="71"/>
      <c r="U111" s="71"/>
    </row>
    <row r="112" spans="1:22" ht="75" customHeight="1">
      <c r="A112" s="1416" t="s">
        <v>1352</v>
      </c>
      <c r="B112" s="1416"/>
      <c r="C112" s="569" t="s">
        <v>1619</v>
      </c>
      <c r="D112" s="217" t="s">
        <v>1317</v>
      </c>
      <c r="E112" s="488">
        <f>+'видатки_затв '!C97</f>
        <v>76397500</v>
      </c>
      <c r="F112" s="488">
        <f>+'видатки_затв '!D97</f>
        <v>22422100</v>
      </c>
      <c r="G112" s="488">
        <f>+'видатки_затв '!E97</f>
        <v>1454900</v>
      </c>
      <c r="H112" s="488">
        <f t="shared" si="7"/>
        <v>5654400</v>
      </c>
      <c r="I112" s="488">
        <f>+'видатки_затв '!G97</f>
        <v>449400</v>
      </c>
      <c r="J112" s="488">
        <f>+'видатки_затв '!H97</f>
        <v>0</v>
      </c>
      <c r="K112" s="488">
        <f>+'видатки_затв '!I97</f>
        <v>6100</v>
      </c>
      <c r="L112" s="488">
        <f>+'видатки_затв '!J97</f>
        <v>5205000</v>
      </c>
      <c r="M112" s="488">
        <f>+'видатки_затв '!K97</f>
        <v>5185000</v>
      </c>
      <c r="N112" s="488">
        <f>+'видатки_затв '!L97</f>
        <v>5185000</v>
      </c>
      <c r="O112" s="488">
        <f t="shared" si="8"/>
        <v>82051900</v>
      </c>
      <c r="P112" s="162">
        <f t="shared" si="9"/>
        <v>82051900</v>
      </c>
      <c r="R112" s="71"/>
      <c r="S112" s="71"/>
      <c r="T112" s="71"/>
      <c r="U112" s="71"/>
    </row>
    <row r="113" spans="1:65" ht="54" hidden="1" customHeight="1">
      <c r="A113" s="1415"/>
      <c r="B113" s="1415"/>
      <c r="C113" s="577"/>
      <c r="D113" s="177" t="s">
        <v>654</v>
      </c>
      <c r="E113" s="173"/>
      <c r="F113" s="173"/>
      <c r="G113" s="173"/>
      <c r="H113" s="173">
        <f t="shared" si="7"/>
        <v>0</v>
      </c>
      <c r="I113" s="173"/>
      <c r="J113" s="173"/>
      <c r="K113" s="173"/>
      <c r="L113" s="194"/>
      <c r="M113" s="173"/>
      <c r="N113" s="194"/>
      <c r="O113" s="173">
        <f t="shared" si="8"/>
        <v>0</v>
      </c>
      <c r="P113" s="100">
        <f t="shared" si="9"/>
        <v>0</v>
      </c>
      <c r="R113" s="71"/>
      <c r="S113" s="71"/>
      <c r="T113" s="71"/>
      <c r="U113" s="71"/>
    </row>
    <row r="114" spans="1:65" ht="49.15" hidden="1" customHeight="1">
      <c r="A114" s="1415"/>
      <c r="B114" s="1415"/>
      <c r="C114" s="577"/>
      <c r="D114" s="177" t="s">
        <v>53</v>
      </c>
      <c r="E114" s="173"/>
      <c r="F114" s="173"/>
      <c r="G114" s="173"/>
      <c r="H114" s="173">
        <f t="shared" si="7"/>
        <v>0</v>
      </c>
      <c r="I114" s="173"/>
      <c r="J114" s="173"/>
      <c r="K114" s="173"/>
      <c r="L114" s="194"/>
      <c r="M114" s="173"/>
      <c r="N114" s="194"/>
      <c r="O114" s="173">
        <f t="shared" si="8"/>
        <v>0</v>
      </c>
      <c r="P114" s="100">
        <f t="shared" si="9"/>
        <v>0</v>
      </c>
      <c r="R114" s="71"/>
      <c r="S114" s="71"/>
      <c r="T114" s="71"/>
      <c r="U114" s="71"/>
    </row>
    <row r="115" spans="1:65" ht="23.45" hidden="1" customHeight="1">
      <c r="A115" s="1415"/>
      <c r="B115" s="1415"/>
      <c r="C115" s="577"/>
      <c r="D115" s="177" t="s">
        <v>991</v>
      </c>
      <c r="E115" s="173"/>
      <c r="F115" s="173"/>
      <c r="G115" s="173"/>
      <c r="H115" s="173">
        <f>+I115+L115</f>
        <v>0</v>
      </c>
      <c r="I115" s="173"/>
      <c r="J115" s="173"/>
      <c r="K115" s="173"/>
      <c r="L115" s="194"/>
      <c r="M115" s="173"/>
      <c r="N115" s="194"/>
      <c r="O115" s="173">
        <f t="shared" si="8"/>
        <v>0</v>
      </c>
      <c r="P115" s="100">
        <f t="shared" si="9"/>
        <v>0</v>
      </c>
      <c r="R115" s="71"/>
      <c r="S115" s="71"/>
      <c r="T115" s="71"/>
      <c r="U115" s="71"/>
    </row>
    <row r="116" spans="1:65" ht="15" hidden="1">
      <c r="A116" s="1416"/>
      <c r="B116" s="1416"/>
      <c r="C116" s="569"/>
      <c r="D116" s="364" t="s">
        <v>529</v>
      </c>
      <c r="E116" s="689"/>
      <c r="F116" s="689"/>
      <c r="G116" s="689"/>
      <c r="H116" s="689"/>
      <c r="I116" s="689"/>
      <c r="J116" s="689"/>
      <c r="K116" s="689"/>
      <c r="L116" s="691"/>
      <c r="M116" s="689"/>
      <c r="N116" s="691"/>
      <c r="O116" s="689"/>
      <c r="P116" s="100"/>
      <c r="R116" s="71"/>
      <c r="S116" s="71"/>
      <c r="T116" s="71"/>
      <c r="U116" s="71"/>
    </row>
    <row r="117" spans="1:65" ht="75" hidden="1" customHeight="1">
      <c r="A117" s="1416"/>
      <c r="B117" s="1416"/>
      <c r="C117" s="569"/>
      <c r="D117" s="217" t="s">
        <v>1228</v>
      </c>
      <c r="E117" s="364">
        <f>+'видатки_затв '!C76</f>
        <v>0</v>
      </c>
      <c r="F117" s="364"/>
      <c r="G117" s="364"/>
      <c r="H117" s="364"/>
      <c r="I117" s="364"/>
      <c r="J117" s="364"/>
      <c r="K117" s="364"/>
      <c r="L117" s="364"/>
      <c r="M117" s="364"/>
      <c r="N117" s="364"/>
      <c r="O117" s="488">
        <f t="shared" si="8"/>
        <v>0</v>
      </c>
      <c r="P117" s="100"/>
      <c r="R117" s="71"/>
      <c r="S117" s="71"/>
      <c r="T117" s="71"/>
      <c r="U117" s="71"/>
    </row>
    <row r="118" spans="1:65" ht="88.9" hidden="1" customHeight="1">
      <c r="A118" s="1416"/>
      <c r="B118" s="1416"/>
      <c r="C118" s="569"/>
      <c r="D118" s="217" t="s">
        <v>883</v>
      </c>
      <c r="E118" s="364">
        <f>+'видатки_затв '!C77</f>
        <v>0</v>
      </c>
      <c r="F118" s="364"/>
      <c r="G118" s="364"/>
      <c r="H118" s="364"/>
      <c r="I118" s="364"/>
      <c r="J118" s="364"/>
      <c r="K118" s="364"/>
      <c r="L118" s="364"/>
      <c r="M118" s="364"/>
      <c r="N118" s="364"/>
      <c r="O118" s="488">
        <f t="shared" si="8"/>
        <v>0</v>
      </c>
      <c r="P118" s="100"/>
      <c r="R118" s="71"/>
      <c r="S118" s="71"/>
      <c r="T118" s="71"/>
      <c r="U118" s="71"/>
    </row>
    <row r="119" spans="1:65" ht="90" hidden="1">
      <c r="A119" s="1416"/>
      <c r="B119" s="1416"/>
      <c r="C119" s="569"/>
      <c r="D119" s="217" t="s">
        <v>884</v>
      </c>
      <c r="E119" s="364">
        <f>+'видатки_затв '!C78</f>
        <v>0</v>
      </c>
      <c r="F119" s="364"/>
      <c r="G119" s="364"/>
      <c r="H119" s="364"/>
      <c r="I119" s="364"/>
      <c r="J119" s="364"/>
      <c r="K119" s="364"/>
      <c r="L119" s="364"/>
      <c r="M119" s="364"/>
      <c r="N119" s="364"/>
      <c r="O119" s="488">
        <f t="shared" si="8"/>
        <v>0</v>
      </c>
      <c r="P119" s="100"/>
      <c r="R119" s="71"/>
      <c r="S119" s="71"/>
      <c r="T119" s="71"/>
      <c r="U119" s="71"/>
    </row>
    <row r="120" spans="1:65" ht="75.599999999999994" customHeight="1">
      <c r="A120" s="1416" t="s">
        <v>1353</v>
      </c>
      <c r="B120" s="1416"/>
      <c r="C120" s="569" t="s">
        <v>1620</v>
      </c>
      <c r="D120" s="1373" t="s">
        <v>298</v>
      </c>
      <c r="E120" s="488">
        <f>+'видатки_затв '!C102</f>
        <v>785000</v>
      </c>
      <c r="F120" s="488">
        <f>+'видатки_затв '!D102</f>
        <v>488000</v>
      </c>
      <c r="G120" s="488">
        <f>+'видатки_затв '!E102</f>
        <v>25200</v>
      </c>
      <c r="H120" s="488">
        <f t="shared" si="7"/>
        <v>0</v>
      </c>
      <c r="I120" s="488">
        <f>+'видатки_затв '!G102</f>
        <v>0</v>
      </c>
      <c r="J120" s="488">
        <f>+'видатки_затв '!H102</f>
        <v>0</v>
      </c>
      <c r="K120" s="488">
        <f>+'видатки_затв '!I102</f>
        <v>0</v>
      </c>
      <c r="L120" s="488">
        <f>+'видатки_затв '!J102</f>
        <v>0</v>
      </c>
      <c r="M120" s="488">
        <f>+'видатки_затв '!K102</f>
        <v>0</v>
      </c>
      <c r="N120" s="488">
        <f>+'видатки_затв '!L102</f>
        <v>0</v>
      </c>
      <c r="O120" s="488">
        <f t="shared" si="8"/>
        <v>785000</v>
      </c>
      <c r="P120" s="162">
        <f t="shared" si="9"/>
        <v>785000</v>
      </c>
      <c r="R120" s="71"/>
      <c r="S120" s="71"/>
      <c r="T120" s="71"/>
      <c r="U120" s="71"/>
    </row>
    <row r="121" spans="1:65" ht="18" hidden="1" customHeight="1">
      <c r="A121" s="1415"/>
      <c r="B121" s="1415"/>
      <c r="C121" s="570" t="s">
        <v>1621</v>
      </c>
      <c r="D121" s="171" t="s">
        <v>388</v>
      </c>
      <c r="E121" s="173">
        <f>+'видатки_затв '!C103</f>
        <v>0</v>
      </c>
      <c r="F121" s="173">
        <f>+'видатки_затв '!D103</f>
        <v>0</v>
      </c>
      <c r="G121" s="173">
        <f>+'видатки_затв '!E103</f>
        <v>0</v>
      </c>
      <c r="H121" s="173">
        <f t="shared" si="7"/>
        <v>0</v>
      </c>
      <c r="I121" s="173">
        <f>+'видатки_затв '!G103</f>
        <v>0</v>
      </c>
      <c r="J121" s="173">
        <f>+'видатки_затв '!H103</f>
        <v>0</v>
      </c>
      <c r="K121" s="173">
        <f>+'видатки_затв '!I103</f>
        <v>0</v>
      </c>
      <c r="L121" s="173">
        <f>+'видатки_затв '!J103</f>
        <v>0</v>
      </c>
      <c r="M121" s="173">
        <f>+'видатки_затв '!K103</f>
        <v>0</v>
      </c>
      <c r="N121" s="173">
        <f>+'видатки_затв '!L103</f>
        <v>0</v>
      </c>
      <c r="O121" s="173">
        <f t="shared" si="8"/>
        <v>0</v>
      </c>
      <c r="P121" s="100">
        <f t="shared" si="9"/>
        <v>0</v>
      </c>
      <c r="Q121" s="2"/>
      <c r="R121" s="7"/>
      <c r="S121" s="7"/>
      <c r="T121" s="7"/>
      <c r="U121" s="7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 ht="54.6" customHeight="1">
      <c r="A122" s="1416" t="s">
        <v>1354</v>
      </c>
      <c r="B122" s="1416"/>
      <c r="C122" s="569" t="s">
        <v>238</v>
      </c>
      <c r="D122" s="217" t="s">
        <v>83</v>
      </c>
      <c r="E122" s="488">
        <f>+'видатки_затв '!C108</f>
        <v>27917700</v>
      </c>
      <c r="F122" s="488">
        <f>+'видатки_затв '!D108</f>
        <v>0</v>
      </c>
      <c r="G122" s="488">
        <f>+'видатки_затв '!E108</f>
        <v>0</v>
      </c>
      <c r="H122" s="488">
        <f>+'видатки_затв '!F108</f>
        <v>0</v>
      </c>
      <c r="I122" s="488">
        <f>+'видатки_затв '!G108</f>
        <v>0</v>
      </c>
      <c r="J122" s="488">
        <f>+'видатки_затв '!H108</f>
        <v>0</v>
      </c>
      <c r="K122" s="488">
        <f>+'видатки_затв '!I108</f>
        <v>0</v>
      </c>
      <c r="L122" s="488">
        <f>+'видатки_затв '!J108</f>
        <v>0</v>
      </c>
      <c r="M122" s="488">
        <f>+'видатки_затв '!K108</f>
        <v>0</v>
      </c>
      <c r="N122" s="488">
        <f>+'видатки_затв '!L108</f>
        <v>0</v>
      </c>
      <c r="O122" s="488">
        <f t="shared" si="8"/>
        <v>27917700</v>
      </c>
      <c r="P122" s="162">
        <f t="shared" si="9"/>
        <v>27917700</v>
      </c>
      <c r="Q122" s="2"/>
      <c r="R122" s="7"/>
      <c r="S122" s="7"/>
      <c r="T122" s="7"/>
      <c r="U122" s="7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 ht="125.25" hidden="1" customHeight="1">
      <c r="A123" s="1415"/>
      <c r="B123" s="1415"/>
      <c r="C123" s="569" t="s">
        <v>1029</v>
      </c>
      <c r="D123" s="364" t="s">
        <v>1027</v>
      </c>
      <c r="E123" s="363"/>
      <c r="F123" s="363"/>
      <c r="G123" s="363"/>
      <c r="H123" s="363">
        <f t="shared" si="7"/>
        <v>0</v>
      </c>
      <c r="I123" s="363"/>
      <c r="J123" s="363"/>
      <c r="K123" s="363"/>
      <c r="L123" s="365"/>
      <c r="M123" s="363"/>
      <c r="N123" s="365"/>
      <c r="O123" s="363">
        <f t="shared" si="8"/>
        <v>0</v>
      </c>
      <c r="P123" s="100">
        <f t="shared" si="9"/>
        <v>0</v>
      </c>
      <c r="Q123" s="2"/>
      <c r="R123" s="124"/>
      <c r="S123" s="124"/>
      <c r="T123" s="124"/>
      <c r="U123" s="124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 ht="50.45" hidden="1" customHeight="1">
      <c r="A124" s="1415"/>
      <c r="B124" s="1415"/>
      <c r="C124" s="569"/>
      <c r="D124" s="364"/>
      <c r="E124" s="363"/>
      <c r="F124" s="363"/>
      <c r="G124" s="363"/>
      <c r="H124" s="363">
        <f t="shared" si="7"/>
        <v>0</v>
      </c>
      <c r="I124" s="363"/>
      <c r="J124" s="363"/>
      <c r="K124" s="363"/>
      <c r="L124" s="365"/>
      <c r="M124" s="363"/>
      <c r="N124" s="365"/>
      <c r="O124" s="363">
        <f t="shared" si="8"/>
        <v>0</v>
      </c>
      <c r="P124" s="100">
        <f t="shared" si="9"/>
        <v>0</v>
      </c>
      <c r="Q124" s="2"/>
      <c r="R124" s="124"/>
      <c r="S124" s="124"/>
      <c r="T124" s="124"/>
      <c r="U124" s="124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 ht="15.75" hidden="1">
      <c r="A125" s="1415"/>
      <c r="B125" s="1415"/>
      <c r="C125" s="570"/>
      <c r="D125" s="171"/>
      <c r="E125" s="173"/>
      <c r="F125" s="173"/>
      <c r="G125" s="173"/>
      <c r="H125" s="173"/>
      <c r="I125" s="173"/>
      <c r="J125" s="173"/>
      <c r="K125" s="173"/>
      <c r="L125" s="194"/>
      <c r="M125" s="173"/>
      <c r="N125" s="194"/>
      <c r="O125" s="173">
        <f t="shared" si="8"/>
        <v>0</v>
      </c>
      <c r="P125" s="100">
        <f t="shared" si="9"/>
        <v>0</v>
      </c>
      <c r="Q125" s="2"/>
      <c r="R125" s="124"/>
      <c r="S125" s="124"/>
      <c r="T125" s="124"/>
      <c r="U125" s="124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1:65" ht="27" customHeight="1">
      <c r="A126" s="1416" t="s">
        <v>1355</v>
      </c>
      <c r="B126" s="1416"/>
      <c r="C126" s="569">
        <v>110201</v>
      </c>
      <c r="D126" s="364" t="s">
        <v>389</v>
      </c>
      <c r="E126" s="488">
        <v>1243100</v>
      </c>
      <c r="F126" s="488">
        <v>865600</v>
      </c>
      <c r="G126" s="488">
        <v>23600</v>
      </c>
      <c r="H126" s="488">
        <f t="shared" ref="H126:H177" si="10">+I126+L126</f>
        <v>20000</v>
      </c>
      <c r="I126" s="488"/>
      <c r="J126" s="488"/>
      <c r="K126" s="488"/>
      <c r="L126" s="488">
        <v>20000</v>
      </c>
      <c r="M126" s="488">
        <v>20000</v>
      </c>
      <c r="N126" s="488">
        <v>20000</v>
      </c>
      <c r="O126" s="488">
        <f t="shared" si="8"/>
        <v>1263100</v>
      </c>
      <c r="P126" s="162">
        <f t="shared" si="9"/>
        <v>1263100</v>
      </c>
      <c r="R126" s="71"/>
      <c r="S126" s="71"/>
      <c r="T126" s="71"/>
      <c r="U126" s="71"/>
    </row>
    <row r="127" spans="1:65" ht="22.9" hidden="1" customHeight="1">
      <c r="A127" s="1415"/>
      <c r="B127" s="1415"/>
      <c r="C127" s="550" t="s">
        <v>1508</v>
      </c>
      <c r="D127" s="197" t="s">
        <v>532</v>
      </c>
      <c r="E127" s="173"/>
      <c r="F127" s="173"/>
      <c r="G127" s="173"/>
      <c r="H127" s="197">
        <f t="shared" si="10"/>
        <v>0</v>
      </c>
      <c r="I127" s="197"/>
      <c r="J127" s="197"/>
      <c r="K127" s="197"/>
      <c r="L127" s="197">
        <f>2850000-2850000</f>
        <v>0</v>
      </c>
      <c r="M127" s="197">
        <f>+L127</f>
        <v>0</v>
      </c>
      <c r="N127" s="197">
        <f>2850000-2850000</f>
        <v>0</v>
      </c>
      <c r="O127" s="197">
        <f t="shared" si="8"/>
        <v>0</v>
      </c>
      <c r="P127" s="100">
        <f t="shared" si="9"/>
        <v>0</v>
      </c>
      <c r="Q127" s="24"/>
      <c r="R127" s="44"/>
      <c r="S127" s="44"/>
      <c r="T127" s="44"/>
      <c r="U127" s="44"/>
      <c r="V127" s="24"/>
    </row>
    <row r="128" spans="1:65" ht="63" hidden="1" customHeight="1">
      <c r="A128" s="1415"/>
      <c r="B128" s="1415"/>
      <c r="C128" s="550" t="s">
        <v>902</v>
      </c>
      <c r="D128" s="197" t="s">
        <v>715</v>
      </c>
      <c r="E128" s="180"/>
      <c r="F128" s="180"/>
      <c r="G128" s="180"/>
      <c r="H128" s="180">
        <f t="shared" si="10"/>
        <v>0</v>
      </c>
      <c r="I128" s="180"/>
      <c r="J128" s="180"/>
      <c r="K128" s="180"/>
      <c r="L128" s="180">
        <f>300000-300000+300000-300000</f>
        <v>0</v>
      </c>
      <c r="M128" s="180">
        <f>+L128</f>
        <v>0</v>
      </c>
      <c r="N128" s="180">
        <f>300000-300000+300000-300000</f>
        <v>0</v>
      </c>
      <c r="O128" s="180">
        <f t="shared" si="8"/>
        <v>0</v>
      </c>
      <c r="P128" s="162">
        <f t="shared" si="9"/>
        <v>0</v>
      </c>
      <c r="Q128" s="24"/>
      <c r="R128" s="44"/>
      <c r="S128" s="44"/>
      <c r="T128" s="44"/>
      <c r="U128" s="44"/>
      <c r="V128" s="24"/>
    </row>
    <row r="129" spans="1:65" ht="65.45" hidden="1" customHeight="1">
      <c r="A129" s="1415"/>
      <c r="B129" s="1415"/>
      <c r="C129" s="550" t="s">
        <v>1242</v>
      </c>
      <c r="D129" s="197" t="s">
        <v>940</v>
      </c>
      <c r="E129" s="489"/>
      <c r="F129" s="489"/>
      <c r="G129" s="489"/>
      <c r="H129" s="489">
        <f t="shared" si="10"/>
        <v>0</v>
      </c>
      <c r="I129" s="489"/>
      <c r="J129" s="489"/>
      <c r="K129" s="489"/>
      <c r="L129" s="489"/>
      <c r="M129" s="489">
        <f>+L129</f>
        <v>0</v>
      </c>
      <c r="N129" s="489">
        <f>+M129</f>
        <v>0</v>
      </c>
      <c r="O129" s="489">
        <f t="shared" si="8"/>
        <v>0</v>
      </c>
      <c r="P129" s="100">
        <f t="shared" si="9"/>
        <v>0</v>
      </c>
      <c r="Q129" s="24"/>
      <c r="R129" s="44"/>
      <c r="S129" s="44"/>
      <c r="T129" s="44"/>
      <c r="U129" s="44"/>
      <c r="V129" s="24"/>
    </row>
    <row r="130" spans="1:65" ht="72" customHeight="1">
      <c r="A130" s="1418" t="s">
        <v>635</v>
      </c>
      <c r="B130" s="1419"/>
      <c r="C130" s="569" t="s">
        <v>1034</v>
      </c>
      <c r="D130" s="501" t="s">
        <v>1233</v>
      </c>
      <c r="E130" s="488">
        <f>+'видатки_затв '!C280</f>
        <v>0</v>
      </c>
      <c r="F130" s="488">
        <f>+'видатки_затв '!D280</f>
        <v>0</v>
      </c>
      <c r="G130" s="488">
        <f>+'видатки_затв '!E280</f>
        <v>0</v>
      </c>
      <c r="H130" s="488">
        <f t="shared" si="10"/>
        <v>2800000</v>
      </c>
      <c r="I130" s="488">
        <f>+'видатки_затв '!G280</f>
        <v>0</v>
      </c>
      <c r="J130" s="488">
        <f>+'видатки_затв '!H280</f>
        <v>0</v>
      </c>
      <c r="K130" s="488">
        <f>+'видатки_затв '!I280</f>
        <v>0</v>
      </c>
      <c r="L130" s="488">
        <f>+'видатки_затв '!J280</f>
        <v>2800000</v>
      </c>
      <c r="M130" s="488">
        <f>+'видатки_затв '!K280</f>
        <v>2800000</v>
      </c>
      <c r="N130" s="488">
        <f>+'видатки_затв '!L280</f>
        <v>2800000</v>
      </c>
      <c r="O130" s="488">
        <f t="shared" si="8"/>
        <v>2800000</v>
      </c>
      <c r="P130" s="100">
        <f t="shared" si="9"/>
        <v>2800000</v>
      </c>
      <c r="Q130" s="24"/>
      <c r="R130" s="44"/>
      <c r="S130" s="44"/>
      <c r="T130" s="44"/>
      <c r="U130" s="44"/>
      <c r="V130" s="24"/>
    </row>
    <row r="131" spans="1:65" ht="48" hidden="1" customHeight="1">
      <c r="A131" s="1415"/>
      <c r="B131" s="1415"/>
      <c r="C131" s="550" t="s">
        <v>1204</v>
      </c>
      <c r="D131" s="213" t="s">
        <v>1138</v>
      </c>
      <c r="E131" s="180"/>
      <c r="F131" s="180"/>
      <c r="G131" s="180"/>
      <c r="H131" s="180">
        <f>+I131+L131</f>
        <v>0</v>
      </c>
      <c r="I131" s="180"/>
      <c r="J131" s="180"/>
      <c r="K131" s="180"/>
      <c r="L131" s="193"/>
      <c r="M131" s="180"/>
      <c r="N131" s="193"/>
      <c r="O131" s="180">
        <f t="shared" si="8"/>
        <v>0</v>
      </c>
      <c r="P131" s="100">
        <f t="shared" si="9"/>
        <v>0</v>
      </c>
      <c r="Q131" s="24"/>
      <c r="R131" s="44"/>
      <c r="S131" s="44"/>
      <c r="T131" s="44"/>
      <c r="U131" s="44"/>
      <c r="V131" s="24"/>
    </row>
    <row r="132" spans="1:65" ht="97.15" customHeight="1">
      <c r="A132" s="1415"/>
      <c r="B132" s="1415"/>
      <c r="C132" s="550"/>
      <c r="D132" s="520" t="s">
        <v>960</v>
      </c>
      <c r="E132" s="180">
        <f>+'видатки_затв '!C338</f>
        <v>10556400</v>
      </c>
      <c r="F132" s="180"/>
      <c r="G132" s="180"/>
      <c r="H132" s="180"/>
      <c r="I132" s="180"/>
      <c r="J132" s="180"/>
      <c r="K132" s="180"/>
      <c r="L132" s="193"/>
      <c r="M132" s="180"/>
      <c r="N132" s="193"/>
      <c r="O132" s="363">
        <f t="shared" si="8"/>
        <v>10556400</v>
      </c>
      <c r="P132" s="100">
        <f t="shared" si="9"/>
        <v>10556400</v>
      </c>
      <c r="Q132" s="24"/>
      <c r="R132" s="44"/>
      <c r="S132" s="44"/>
      <c r="T132" s="44"/>
      <c r="U132" s="44"/>
      <c r="V132" s="24"/>
    </row>
    <row r="133" spans="1:65" ht="64.900000000000006" customHeight="1">
      <c r="A133" s="1416" t="s">
        <v>1356</v>
      </c>
      <c r="B133" s="1416"/>
      <c r="C133" s="569" t="s">
        <v>589</v>
      </c>
      <c r="D133" s="217" t="s">
        <v>37</v>
      </c>
      <c r="E133" s="363">
        <v>3448000</v>
      </c>
      <c r="F133" s="363"/>
      <c r="G133" s="363"/>
      <c r="H133" s="363"/>
      <c r="I133" s="363"/>
      <c r="J133" s="363"/>
      <c r="K133" s="363"/>
      <c r="L133" s="365"/>
      <c r="M133" s="363"/>
      <c r="N133" s="365"/>
      <c r="O133" s="363">
        <f t="shared" si="8"/>
        <v>3448000</v>
      </c>
      <c r="P133" s="100">
        <f t="shared" si="9"/>
        <v>3448000</v>
      </c>
      <c r="Q133" s="24"/>
      <c r="R133" s="44">
        <f>+E78-E79-E80-E126-E130-E132-E133+N78-N126-N130</f>
        <v>1075722500</v>
      </c>
      <c r="S133" s="44"/>
      <c r="T133" s="44"/>
      <c r="U133" s="44"/>
      <c r="V133" s="24"/>
    </row>
    <row r="134" spans="1:65" ht="44.45" hidden="1" customHeight="1">
      <c r="A134" s="1415"/>
      <c r="B134" s="1415"/>
      <c r="C134" s="567" t="s">
        <v>893</v>
      </c>
      <c r="D134" s="197" t="s">
        <v>1135</v>
      </c>
      <c r="E134" s="170"/>
      <c r="F134" s="170"/>
      <c r="G134" s="170"/>
      <c r="H134" s="170">
        <f>+I134+L134</f>
        <v>0</v>
      </c>
      <c r="I134" s="170"/>
      <c r="J134" s="170"/>
      <c r="K134" s="170"/>
      <c r="L134" s="584"/>
      <c r="M134" s="170">
        <f>+L134</f>
        <v>0</v>
      </c>
      <c r="N134" s="584"/>
      <c r="O134" s="170">
        <f t="shared" si="8"/>
        <v>0</v>
      </c>
      <c r="P134" s="162">
        <f t="shared" si="9"/>
        <v>0</v>
      </c>
      <c r="Q134" s="24"/>
      <c r="R134" s="44"/>
      <c r="S134" s="44"/>
      <c r="T134" s="44"/>
      <c r="U134" s="44"/>
      <c r="V134" s="24"/>
    </row>
    <row r="135" spans="1:65" ht="33" hidden="1" customHeight="1">
      <c r="A135" s="1415"/>
      <c r="B135" s="1415"/>
      <c r="C135" s="575" t="s">
        <v>224</v>
      </c>
      <c r="D135" s="215" t="s">
        <v>653</v>
      </c>
      <c r="E135" s="169"/>
      <c r="F135" s="169"/>
      <c r="G135" s="169"/>
      <c r="H135" s="169">
        <f>+I135+L135</f>
        <v>0</v>
      </c>
      <c r="I135" s="169"/>
      <c r="J135" s="169"/>
      <c r="K135" s="169"/>
      <c r="L135" s="195"/>
      <c r="M135" s="169">
        <f>+L135</f>
        <v>0</v>
      </c>
      <c r="N135" s="195"/>
      <c r="O135" s="169">
        <f t="shared" si="8"/>
        <v>0</v>
      </c>
      <c r="P135" s="100">
        <f t="shared" si="9"/>
        <v>0</v>
      </c>
      <c r="Q135" s="24"/>
      <c r="R135" s="44"/>
      <c r="S135" s="44"/>
      <c r="T135" s="44"/>
      <c r="U135" s="44"/>
      <c r="V135" s="24"/>
    </row>
    <row r="136" spans="1:65" ht="34.15" customHeight="1">
      <c r="A136" s="359" t="s">
        <v>962</v>
      </c>
      <c r="B136" s="359"/>
      <c r="C136" s="359" t="s">
        <v>1178</v>
      </c>
      <c r="D136" s="360" t="s">
        <v>1190</v>
      </c>
      <c r="E136" s="487">
        <f>SUM(E137:E195)-E153-E147-E150-E152-E146-E184-E151-E170-E168-E141-E137-E145-E148-E149-E185-E186-E195-E191-E162</f>
        <v>219196500</v>
      </c>
      <c r="F136" s="487">
        <f t="shared" ref="F136:N136" si="11">SUM(F137:F195)-F153-F147-F150-F152-F146-F184-F151-F170-F168-F141-F137-F145-F148-F149-F185-F186-F195-F191-F162</f>
        <v>39134200</v>
      </c>
      <c r="G136" s="487">
        <f t="shared" si="11"/>
        <v>9833000</v>
      </c>
      <c r="H136" s="487">
        <f t="shared" si="11"/>
        <v>23382000</v>
      </c>
      <c r="I136" s="487">
        <f t="shared" si="11"/>
        <v>21350000</v>
      </c>
      <c r="J136" s="487">
        <f t="shared" si="11"/>
        <v>0</v>
      </c>
      <c r="K136" s="487">
        <f t="shared" si="11"/>
        <v>68000</v>
      </c>
      <c r="L136" s="487">
        <f t="shared" si="11"/>
        <v>2032000</v>
      </c>
      <c r="M136" s="487">
        <f t="shared" si="11"/>
        <v>930000</v>
      </c>
      <c r="N136" s="487">
        <f t="shared" si="11"/>
        <v>930000</v>
      </c>
      <c r="O136" s="487">
        <f t="shared" si="8"/>
        <v>242578500</v>
      </c>
      <c r="P136" s="162">
        <f t="shared" si="9"/>
        <v>242578500</v>
      </c>
      <c r="R136" s="71">
        <f>SUM(E137:E175)</f>
        <v>117186300</v>
      </c>
      <c r="S136" s="71"/>
      <c r="T136" s="71"/>
      <c r="U136" s="71"/>
    </row>
    <row r="137" spans="1:65" ht="46.9" hidden="1" customHeight="1">
      <c r="A137" s="1423"/>
      <c r="B137" s="1423"/>
      <c r="C137" s="579"/>
      <c r="D137" s="539" t="s">
        <v>46</v>
      </c>
      <c r="E137" s="540"/>
      <c r="F137" s="541"/>
      <c r="G137" s="541"/>
      <c r="H137" s="540">
        <f>+I137+L137</f>
        <v>0</v>
      </c>
      <c r="I137" s="541"/>
      <c r="J137" s="541"/>
      <c r="K137" s="541"/>
      <c r="L137" s="540"/>
      <c r="M137" s="540"/>
      <c r="N137" s="540"/>
      <c r="O137" s="540">
        <f>+E137+H137</f>
        <v>0</v>
      </c>
      <c r="P137" s="100"/>
      <c r="Q137" s="2"/>
      <c r="R137" s="7"/>
      <c r="S137" s="7"/>
      <c r="T137" s="7"/>
      <c r="U137" s="7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1:65" ht="54" customHeight="1">
      <c r="A138" s="1443" t="s">
        <v>1313</v>
      </c>
      <c r="B138" s="1443"/>
      <c r="C138" s="568" t="s">
        <v>695</v>
      </c>
      <c r="D138" s="367" t="s">
        <v>491</v>
      </c>
      <c r="E138" s="363">
        <f>+'видатки_затв '!C116</f>
        <v>1108000</v>
      </c>
      <c r="F138" s="363">
        <f>+'видатки_затв '!D116</f>
        <v>0</v>
      </c>
      <c r="G138" s="363">
        <f>+'видатки_затв '!E116</f>
        <v>0</v>
      </c>
      <c r="H138" s="363">
        <f t="shared" si="10"/>
        <v>0</v>
      </c>
      <c r="I138" s="363">
        <f>+'видатки_затв '!G116</f>
        <v>0</v>
      </c>
      <c r="J138" s="363">
        <f>+'видатки_затв '!H116</f>
        <v>0</v>
      </c>
      <c r="K138" s="363">
        <f>+'видатки_затв '!I116</f>
        <v>0</v>
      </c>
      <c r="L138" s="363">
        <f>+'видатки_затв '!J116</f>
        <v>0</v>
      </c>
      <c r="M138" s="363">
        <f>+'видатки_затв '!K116</f>
        <v>0</v>
      </c>
      <c r="N138" s="363">
        <f>+'видатки_затв '!L116</f>
        <v>0</v>
      </c>
      <c r="O138" s="363">
        <f t="shared" si="8"/>
        <v>1108000</v>
      </c>
      <c r="P138" s="100">
        <f t="shared" si="9"/>
        <v>1108000</v>
      </c>
      <c r="Q138" s="2"/>
      <c r="R138" s="7"/>
      <c r="S138" s="7"/>
      <c r="T138" s="7"/>
      <c r="U138" s="7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1:65" ht="25.9" hidden="1" customHeight="1">
      <c r="A139" s="1423"/>
      <c r="B139" s="1423"/>
      <c r="C139" s="574"/>
      <c r="D139" s="585" t="s">
        <v>1000</v>
      </c>
      <c r="E139" s="173">
        <f>+'видатки_затв '!C122</f>
        <v>0</v>
      </c>
      <c r="F139" s="173">
        <f>+'видатки_затв '!D122</f>
        <v>0</v>
      </c>
      <c r="G139" s="173">
        <f>+'видатки_затв '!E122</f>
        <v>0</v>
      </c>
      <c r="H139" s="169">
        <f t="shared" si="10"/>
        <v>0</v>
      </c>
      <c r="I139" s="173"/>
      <c r="J139" s="173"/>
      <c r="K139" s="173"/>
      <c r="L139" s="194"/>
      <c r="M139" s="173"/>
      <c r="N139" s="194"/>
      <c r="O139" s="169">
        <f t="shared" si="8"/>
        <v>0</v>
      </c>
      <c r="P139" s="100">
        <f t="shared" si="9"/>
        <v>0</v>
      </c>
      <c r="Q139" s="2"/>
      <c r="R139" s="7"/>
      <c r="S139" s="7"/>
      <c r="T139" s="7"/>
      <c r="U139" s="7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1:65" ht="33" hidden="1" customHeight="1">
      <c r="A140" s="1423"/>
      <c r="B140" s="1423"/>
      <c r="C140" s="574" t="s">
        <v>696</v>
      </c>
      <c r="D140" s="585" t="s">
        <v>1198</v>
      </c>
      <c r="E140" s="173">
        <f>+'видатки_затв '!C123</f>
        <v>0</v>
      </c>
      <c r="F140" s="173">
        <f>+'видатки_затв '!D123</f>
        <v>0</v>
      </c>
      <c r="G140" s="173">
        <f>+'видатки_затв '!E123</f>
        <v>0</v>
      </c>
      <c r="H140" s="169">
        <f t="shared" si="10"/>
        <v>0</v>
      </c>
      <c r="I140" s="173">
        <f>+'видатки_затв '!G123</f>
        <v>0</v>
      </c>
      <c r="J140" s="173">
        <f>+'видатки_затв '!H123</f>
        <v>0</v>
      </c>
      <c r="K140" s="173">
        <f>+'видатки_затв '!I123</f>
        <v>0</v>
      </c>
      <c r="L140" s="194">
        <f>+'видатки_затв '!J123</f>
        <v>0</v>
      </c>
      <c r="M140" s="173">
        <f>+'видатки_затв '!K123</f>
        <v>0</v>
      </c>
      <c r="N140" s="194">
        <f>+'видатки_затв '!L123</f>
        <v>0</v>
      </c>
      <c r="O140" s="169">
        <f t="shared" si="8"/>
        <v>0</v>
      </c>
      <c r="P140" s="100">
        <f t="shared" si="9"/>
        <v>0</v>
      </c>
      <c r="Q140" s="2"/>
      <c r="R140" s="7"/>
      <c r="S140" s="7"/>
      <c r="T140" s="7"/>
      <c r="U140" s="7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1:65" ht="54.6" hidden="1" customHeight="1">
      <c r="A141" s="1423"/>
      <c r="B141" s="1423"/>
      <c r="C141" s="568"/>
      <c r="D141" s="539" t="s">
        <v>46</v>
      </c>
      <c r="E141" s="540"/>
      <c r="F141" s="541"/>
      <c r="G141" s="541"/>
      <c r="H141" s="540"/>
      <c r="I141" s="541"/>
      <c r="J141" s="541"/>
      <c r="K141" s="541"/>
      <c r="L141" s="540"/>
      <c r="M141" s="540"/>
      <c r="N141" s="540"/>
      <c r="O141" s="540">
        <f t="shared" si="8"/>
        <v>0</v>
      </c>
      <c r="P141" s="100"/>
      <c r="Q141" s="2"/>
      <c r="R141" s="7"/>
      <c r="S141" s="7"/>
      <c r="T141" s="7"/>
      <c r="U141" s="7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1:65" ht="27.6" customHeight="1">
      <c r="A142" s="1443" t="s">
        <v>1314</v>
      </c>
      <c r="B142" s="1443"/>
      <c r="C142" s="568" t="s">
        <v>706</v>
      </c>
      <c r="D142" s="217" t="s">
        <v>94</v>
      </c>
      <c r="E142" s="488">
        <f>+'видатки_затв '!C124</f>
        <v>10600</v>
      </c>
      <c r="F142" s="692"/>
      <c r="G142" s="692"/>
      <c r="H142" s="540"/>
      <c r="I142" s="692"/>
      <c r="J142" s="692"/>
      <c r="K142" s="692"/>
      <c r="L142" s="540"/>
      <c r="M142" s="540"/>
      <c r="N142" s="540"/>
      <c r="O142" s="488">
        <f t="shared" si="8"/>
        <v>10600</v>
      </c>
      <c r="P142" s="162">
        <f t="shared" si="9"/>
        <v>10600</v>
      </c>
      <c r="Q142" s="2"/>
      <c r="R142" s="7"/>
      <c r="S142" s="7"/>
      <c r="T142" s="7"/>
      <c r="U142" s="7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1:65" ht="30">
      <c r="A143" s="1443" t="s">
        <v>931</v>
      </c>
      <c r="B143" s="1443"/>
      <c r="C143" s="568" t="s">
        <v>1140</v>
      </c>
      <c r="D143" s="217" t="s">
        <v>317</v>
      </c>
      <c r="E143" s="488">
        <v>14405000</v>
      </c>
      <c r="F143" s="488"/>
      <c r="G143" s="488"/>
      <c r="H143" s="488">
        <f t="shared" si="10"/>
        <v>0</v>
      </c>
      <c r="I143" s="488"/>
      <c r="J143" s="488"/>
      <c r="K143" s="488"/>
      <c r="L143" s="488"/>
      <c r="M143" s="488"/>
      <c r="N143" s="488"/>
      <c r="O143" s="488">
        <f t="shared" si="8"/>
        <v>14405000</v>
      </c>
      <c r="P143" s="162">
        <f t="shared" si="9"/>
        <v>14405000</v>
      </c>
      <c r="Q143" s="54"/>
      <c r="R143" s="125"/>
      <c r="S143" s="125"/>
      <c r="T143" s="125"/>
      <c r="U143" s="125"/>
      <c r="V143" s="5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1:65" ht="24" customHeight="1">
      <c r="A144" s="1443"/>
      <c r="B144" s="1443"/>
      <c r="C144" s="642"/>
      <c r="D144" s="217" t="s">
        <v>52</v>
      </c>
      <c r="E144" s="488"/>
      <c r="F144" s="488"/>
      <c r="G144" s="488"/>
      <c r="H144" s="488"/>
      <c r="I144" s="488"/>
      <c r="J144" s="488"/>
      <c r="K144" s="488"/>
      <c r="L144" s="488"/>
      <c r="M144" s="488"/>
      <c r="N144" s="488"/>
      <c r="O144" s="488"/>
      <c r="P144" s="162">
        <v>1</v>
      </c>
      <c r="Q144" s="54"/>
      <c r="R144" s="71"/>
      <c r="S144" s="71"/>
      <c r="T144" s="71"/>
      <c r="U144" s="71"/>
      <c r="V144" s="5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1:65" ht="123.6" hidden="1" customHeight="1">
      <c r="A145" s="1423"/>
      <c r="B145" s="1423"/>
      <c r="C145" s="574"/>
      <c r="D145" s="544" t="s">
        <v>252</v>
      </c>
      <c r="E145" s="488"/>
      <c r="F145" s="488"/>
      <c r="G145" s="488"/>
      <c r="H145" s="488"/>
      <c r="I145" s="488"/>
      <c r="J145" s="488"/>
      <c r="K145" s="488"/>
      <c r="L145" s="488"/>
      <c r="M145" s="488"/>
      <c r="N145" s="488"/>
      <c r="O145" s="170">
        <f>+E145+H145</f>
        <v>0</v>
      </c>
      <c r="P145" s="100">
        <f t="shared" si="9"/>
        <v>0</v>
      </c>
      <c r="Q145" s="54"/>
      <c r="R145" s="71"/>
      <c r="S145" s="71"/>
      <c r="T145" s="71"/>
      <c r="U145" s="71"/>
      <c r="V145" s="5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1:65" ht="126" customHeight="1">
      <c r="A146" s="1443"/>
      <c r="B146" s="1443"/>
      <c r="C146" s="642"/>
      <c r="D146" s="533" t="s">
        <v>252</v>
      </c>
      <c r="E146" s="456">
        <v>290000</v>
      </c>
      <c r="F146" s="689"/>
      <c r="G146" s="689"/>
      <c r="H146" s="689">
        <f t="shared" si="10"/>
        <v>0</v>
      </c>
      <c r="I146" s="689"/>
      <c r="J146" s="689"/>
      <c r="K146" s="689"/>
      <c r="L146" s="691"/>
      <c r="M146" s="689"/>
      <c r="N146" s="691"/>
      <c r="O146" s="364">
        <f t="shared" ref="O146:O210" si="12">+E146+H146</f>
        <v>290000</v>
      </c>
      <c r="P146" s="100">
        <f t="shared" si="9"/>
        <v>290000</v>
      </c>
      <c r="Q146" s="54"/>
      <c r="R146" s="71"/>
      <c r="S146" s="71"/>
      <c r="T146" s="71"/>
      <c r="U146" s="71"/>
      <c r="V146" s="5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1:65" ht="111.6" customHeight="1">
      <c r="A147" s="1443"/>
      <c r="B147" s="1443"/>
      <c r="C147" s="642"/>
      <c r="D147" s="370" t="s">
        <v>253</v>
      </c>
      <c r="E147" s="693">
        <v>1000000</v>
      </c>
      <c r="F147" s="689"/>
      <c r="G147" s="689"/>
      <c r="H147" s="689">
        <f t="shared" si="10"/>
        <v>0</v>
      </c>
      <c r="I147" s="689"/>
      <c r="J147" s="689"/>
      <c r="K147" s="689"/>
      <c r="L147" s="691"/>
      <c r="M147" s="689"/>
      <c r="N147" s="691"/>
      <c r="O147" s="364">
        <f t="shared" si="12"/>
        <v>1000000</v>
      </c>
      <c r="P147" s="100">
        <f t="shared" si="9"/>
        <v>1000000</v>
      </c>
      <c r="Q147" s="54"/>
      <c r="R147" s="71"/>
      <c r="S147" s="71"/>
      <c r="T147" s="71"/>
      <c r="U147" s="71"/>
      <c r="V147" s="5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1:65" ht="95.45" customHeight="1">
      <c r="A148" s="1443"/>
      <c r="B148" s="1443"/>
      <c r="C148" s="642"/>
      <c r="D148" s="370" t="s">
        <v>254</v>
      </c>
      <c r="E148" s="693">
        <v>65000</v>
      </c>
      <c r="F148" s="689"/>
      <c r="G148" s="689"/>
      <c r="H148" s="689"/>
      <c r="I148" s="689"/>
      <c r="J148" s="689"/>
      <c r="K148" s="689"/>
      <c r="L148" s="691"/>
      <c r="M148" s="689"/>
      <c r="N148" s="691"/>
      <c r="O148" s="364">
        <f>+E148+H148</f>
        <v>65000</v>
      </c>
      <c r="P148" s="100">
        <f t="shared" si="9"/>
        <v>65000</v>
      </c>
      <c r="Q148" s="54"/>
      <c r="R148" s="71"/>
      <c r="S148" s="71"/>
      <c r="T148" s="71"/>
      <c r="U148" s="71"/>
      <c r="V148" s="5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1:65" ht="76.900000000000006" customHeight="1">
      <c r="A149" s="1443"/>
      <c r="B149" s="1443"/>
      <c r="C149" s="642"/>
      <c r="D149" s="217" t="s">
        <v>972</v>
      </c>
      <c r="E149" s="693">
        <v>10000000</v>
      </c>
      <c r="F149" s="689"/>
      <c r="G149" s="689"/>
      <c r="H149" s="689"/>
      <c r="I149" s="689"/>
      <c r="J149" s="689"/>
      <c r="K149" s="689"/>
      <c r="L149" s="691"/>
      <c r="M149" s="689"/>
      <c r="N149" s="691"/>
      <c r="O149" s="364">
        <f>+E149+H149</f>
        <v>10000000</v>
      </c>
      <c r="P149" s="100">
        <f t="shared" si="9"/>
        <v>10000000</v>
      </c>
      <c r="Q149" s="54"/>
      <c r="R149" s="71"/>
      <c r="S149" s="71"/>
      <c r="T149" s="71"/>
      <c r="U149" s="71"/>
      <c r="V149" s="5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1:65" ht="121.15" customHeight="1">
      <c r="A150" s="1443"/>
      <c r="B150" s="1443"/>
      <c r="C150" s="568"/>
      <c r="D150" s="454" t="s">
        <v>1221</v>
      </c>
      <c r="E150" s="693">
        <v>500000</v>
      </c>
      <c r="F150" s="363"/>
      <c r="G150" s="363"/>
      <c r="H150" s="363">
        <f t="shared" si="10"/>
        <v>0</v>
      </c>
      <c r="I150" s="363"/>
      <c r="J150" s="363"/>
      <c r="K150" s="363"/>
      <c r="L150" s="365"/>
      <c r="M150" s="363"/>
      <c r="N150" s="365"/>
      <c r="O150" s="363">
        <f t="shared" si="12"/>
        <v>500000</v>
      </c>
      <c r="P150" s="100">
        <f t="shared" si="9"/>
        <v>500000</v>
      </c>
      <c r="Q150" s="54"/>
      <c r="R150" s="71"/>
      <c r="S150" s="71"/>
      <c r="T150" s="71"/>
      <c r="U150" s="71"/>
      <c r="V150" s="5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1:65" ht="102.6" customHeight="1">
      <c r="A151" s="1443"/>
      <c r="B151" s="1443"/>
      <c r="C151" s="568"/>
      <c r="D151" s="497" t="s">
        <v>1304</v>
      </c>
      <c r="E151" s="693">
        <v>2550000</v>
      </c>
      <c r="F151" s="363"/>
      <c r="G151" s="363"/>
      <c r="H151" s="363">
        <f>+I151+L151</f>
        <v>0</v>
      </c>
      <c r="I151" s="363"/>
      <c r="J151" s="363"/>
      <c r="K151" s="363"/>
      <c r="L151" s="365"/>
      <c r="M151" s="363"/>
      <c r="N151" s="365"/>
      <c r="O151" s="363">
        <f t="shared" si="12"/>
        <v>2550000</v>
      </c>
      <c r="P151" s="100">
        <f t="shared" si="9"/>
        <v>2550000</v>
      </c>
      <c r="Q151" s="54"/>
      <c r="R151" s="71"/>
      <c r="S151" s="71"/>
      <c r="T151" s="71"/>
      <c r="U151" s="71"/>
      <c r="V151" s="5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1:65" ht="81" hidden="1" customHeight="1">
      <c r="A152" s="1423"/>
      <c r="B152" s="1423"/>
      <c r="C152" s="586"/>
      <c r="D152" s="197" t="s">
        <v>1020</v>
      </c>
      <c r="E152" s="490"/>
      <c r="F152" s="490"/>
      <c r="G152" s="490"/>
      <c r="H152" s="490">
        <f t="shared" si="10"/>
        <v>0</v>
      </c>
      <c r="I152" s="490"/>
      <c r="J152" s="490"/>
      <c r="K152" s="490"/>
      <c r="L152" s="490"/>
      <c r="M152" s="490"/>
      <c r="N152" s="490"/>
      <c r="O152" s="490">
        <f t="shared" si="12"/>
        <v>0</v>
      </c>
      <c r="P152" s="162">
        <f t="shared" si="9"/>
        <v>0</v>
      </c>
      <c r="Q152" s="54"/>
      <c r="R152" s="71"/>
      <c r="S152" s="71"/>
      <c r="T152" s="71"/>
      <c r="U152" s="71"/>
      <c r="V152" s="5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1:65" ht="66" hidden="1" customHeight="1">
      <c r="A153" s="1423"/>
      <c r="B153" s="1423"/>
      <c r="C153" s="586"/>
      <c r="D153" s="587" t="s">
        <v>640</v>
      </c>
      <c r="E153" s="173"/>
      <c r="F153" s="173"/>
      <c r="G153" s="173"/>
      <c r="H153" s="173"/>
      <c r="I153" s="173"/>
      <c r="J153" s="173"/>
      <c r="K153" s="173"/>
      <c r="L153" s="194"/>
      <c r="M153" s="173"/>
      <c r="N153" s="194"/>
      <c r="O153" s="173">
        <f t="shared" si="12"/>
        <v>0</v>
      </c>
      <c r="P153" s="100">
        <f t="shared" si="9"/>
        <v>0</v>
      </c>
      <c r="Q153" s="54"/>
      <c r="R153" s="71"/>
      <c r="S153" s="71"/>
      <c r="T153" s="71"/>
      <c r="U153" s="71"/>
      <c r="V153" s="5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1:65" ht="34.15" hidden="1" customHeight="1">
      <c r="A154" s="1444" t="s">
        <v>1315</v>
      </c>
      <c r="B154" s="1444"/>
      <c r="C154" s="550" t="s">
        <v>505</v>
      </c>
      <c r="D154" s="197" t="s">
        <v>973</v>
      </c>
      <c r="E154" s="180">
        <f>+'видатки_затв '!C137</f>
        <v>0</v>
      </c>
      <c r="F154" s="180">
        <f>+'видатки_затв '!D137</f>
        <v>0</v>
      </c>
      <c r="G154" s="180">
        <f>+'видатки_затв '!E137</f>
        <v>0</v>
      </c>
      <c r="H154" s="180">
        <f t="shared" si="10"/>
        <v>0</v>
      </c>
      <c r="I154" s="180">
        <f>+'видатки_затв '!G137</f>
        <v>0</v>
      </c>
      <c r="J154" s="180">
        <f>+'видатки_затв '!H137</f>
        <v>0</v>
      </c>
      <c r="K154" s="180">
        <f>+'видатки_затв '!I137</f>
        <v>0</v>
      </c>
      <c r="L154" s="180">
        <f>+'видатки_затв '!J137</f>
        <v>0</v>
      </c>
      <c r="M154" s="180">
        <f>+'видатки_затв '!K137</f>
        <v>0</v>
      </c>
      <c r="N154" s="180">
        <f>+'видатки_затв '!L137</f>
        <v>0</v>
      </c>
      <c r="O154" s="180">
        <f t="shared" si="12"/>
        <v>0</v>
      </c>
      <c r="P154" s="100">
        <f t="shared" si="9"/>
        <v>0</v>
      </c>
      <c r="R154" s="71"/>
      <c r="S154" s="71"/>
      <c r="T154" s="71"/>
      <c r="U154" s="71"/>
    </row>
    <row r="155" spans="1:65" ht="41.45" customHeight="1">
      <c r="A155" s="1443" t="s">
        <v>1316</v>
      </c>
      <c r="B155" s="1443"/>
      <c r="C155" s="569" t="s">
        <v>337</v>
      </c>
      <c r="D155" s="211" t="s">
        <v>763</v>
      </c>
      <c r="E155" s="363">
        <f>+'видатки_затв '!C138</f>
        <v>737300</v>
      </c>
      <c r="F155" s="363">
        <f>+'видатки_затв '!D138</f>
        <v>0</v>
      </c>
      <c r="G155" s="363">
        <f>+'видатки_затв '!E138</f>
        <v>0</v>
      </c>
      <c r="H155" s="363">
        <f t="shared" si="10"/>
        <v>0</v>
      </c>
      <c r="I155" s="363">
        <f>+'видатки_затв '!G138</f>
        <v>0</v>
      </c>
      <c r="J155" s="363">
        <f>+'видатки_затв '!H138</f>
        <v>0</v>
      </c>
      <c r="K155" s="363">
        <f>+'видатки_затв '!I138</f>
        <v>0</v>
      </c>
      <c r="L155" s="363">
        <f>+'видатки_затв '!J138</f>
        <v>0</v>
      </c>
      <c r="M155" s="363">
        <f>+'видатки_затв '!K138</f>
        <v>0</v>
      </c>
      <c r="N155" s="363">
        <f>+'видатки_затв '!L138</f>
        <v>0</v>
      </c>
      <c r="O155" s="363">
        <f t="shared" si="12"/>
        <v>737300</v>
      </c>
      <c r="P155" s="100">
        <f t="shared" si="9"/>
        <v>737300</v>
      </c>
      <c r="R155" s="71"/>
      <c r="S155" s="71"/>
      <c r="T155" s="71"/>
      <c r="U155" s="71"/>
    </row>
    <row r="156" spans="1:65" ht="36.6" customHeight="1">
      <c r="A156" s="1443" t="s">
        <v>580</v>
      </c>
      <c r="B156" s="1443"/>
      <c r="C156" s="569" t="s">
        <v>1014</v>
      </c>
      <c r="D156" s="364" t="s">
        <v>1025</v>
      </c>
      <c r="E156" s="488">
        <f>+'видатки_затв '!C139</f>
        <v>8713400</v>
      </c>
      <c r="F156" s="488">
        <f>+'видатки_затв '!D139</f>
        <v>4186300</v>
      </c>
      <c r="G156" s="488">
        <f>+'видатки_затв '!E139</f>
        <v>831100</v>
      </c>
      <c r="H156" s="488">
        <f t="shared" si="10"/>
        <v>1539000</v>
      </c>
      <c r="I156" s="488">
        <f>+'видатки_затв '!G139</f>
        <v>1422000</v>
      </c>
      <c r="J156" s="488">
        <f>+'видатки_затв '!H139</f>
        <v>0</v>
      </c>
      <c r="K156" s="488">
        <f>+'видатки_затв '!I139</f>
        <v>0</v>
      </c>
      <c r="L156" s="488">
        <f>+'видатки_затв '!J139</f>
        <v>117000</v>
      </c>
      <c r="M156" s="488">
        <f>+'видатки_затв '!K139</f>
        <v>20000</v>
      </c>
      <c r="N156" s="488">
        <f>+'видатки_затв '!L139</f>
        <v>20000</v>
      </c>
      <c r="O156" s="488">
        <f t="shared" si="12"/>
        <v>10252400</v>
      </c>
      <c r="P156" s="162">
        <f t="shared" si="9"/>
        <v>10252400</v>
      </c>
      <c r="R156" s="71"/>
      <c r="S156" s="71"/>
      <c r="T156" s="71"/>
      <c r="U156" s="71"/>
    </row>
    <row r="157" spans="1:65" ht="50.45" customHeight="1">
      <c r="A157" s="1443" t="s">
        <v>156</v>
      </c>
      <c r="B157" s="1443"/>
      <c r="C157" s="569" t="s">
        <v>707</v>
      </c>
      <c r="D157" s="217" t="s">
        <v>1397</v>
      </c>
      <c r="E157" s="488">
        <v>393700</v>
      </c>
      <c r="F157" s="488">
        <v>254900</v>
      </c>
      <c r="G157" s="488">
        <v>31300</v>
      </c>
      <c r="H157" s="488"/>
      <c r="I157" s="488"/>
      <c r="J157" s="488"/>
      <c r="K157" s="488"/>
      <c r="L157" s="488"/>
      <c r="M157" s="488"/>
      <c r="N157" s="488"/>
      <c r="O157" s="488">
        <f t="shared" si="12"/>
        <v>393700</v>
      </c>
      <c r="P157" s="162">
        <f t="shared" si="9"/>
        <v>393700</v>
      </c>
      <c r="R157" s="71"/>
      <c r="S157" s="71"/>
      <c r="T157" s="71"/>
      <c r="U157" s="71"/>
    </row>
    <row r="158" spans="1:65" ht="54.6" customHeight="1">
      <c r="A158" s="1443" t="s">
        <v>581</v>
      </c>
      <c r="B158" s="1443"/>
      <c r="C158" s="569" t="s">
        <v>1015</v>
      </c>
      <c r="D158" s="364" t="s">
        <v>158</v>
      </c>
      <c r="E158" s="488">
        <f>+'видатки_затв '!C142</f>
        <v>53852800</v>
      </c>
      <c r="F158" s="488">
        <f>+'видатки_затв '!D142</f>
        <v>27061000</v>
      </c>
      <c r="G158" s="488">
        <f>+'видатки_затв '!E142</f>
        <v>7707000</v>
      </c>
      <c r="H158" s="488">
        <f t="shared" si="10"/>
        <v>20948000</v>
      </c>
      <c r="I158" s="488">
        <f>+'видатки_затв '!G142</f>
        <v>19343000</v>
      </c>
      <c r="J158" s="488">
        <f>+'видатки_затв '!H142</f>
        <v>0</v>
      </c>
      <c r="K158" s="488">
        <f>+'видатки_затв '!I142</f>
        <v>68000</v>
      </c>
      <c r="L158" s="488">
        <f>+'видатки_затв '!J142</f>
        <v>1605000</v>
      </c>
      <c r="M158" s="488">
        <f>+'видатки_затв '!K142</f>
        <v>600000</v>
      </c>
      <c r="N158" s="488">
        <f>+'видатки_затв '!L142</f>
        <v>600000</v>
      </c>
      <c r="O158" s="488">
        <f t="shared" si="12"/>
        <v>74800800</v>
      </c>
      <c r="P158" s="162">
        <f t="shared" si="9"/>
        <v>74800800</v>
      </c>
      <c r="R158" s="71"/>
      <c r="S158" s="71"/>
      <c r="T158" s="71"/>
      <c r="U158" s="71"/>
    </row>
    <row r="159" spans="1:65" ht="43.15" customHeight="1">
      <c r="A159" s="1443" t="s">
        <v>301</v>
      </c>
      <c r="B159" s="1443"/>
      <c r="C159" s="569" t="s">
        <v>536</v>
      </c>
      <c r="D159" s="217" t="s">
        <v>933</v>
      </c>
      <c r="E159" s="488">
        <f>1254600+5200</f>
        <v>1259800</v>
      </c>
      <c r="F159" s="488">
        <v>813200</v>
      </c>
      <c r="G159" s="488">
        <f>67500+5200</f>
        <v>72700</v>
      </c>
      <c r="H159" s="488">
        <f t="shared" si="10"/>
        <v>30000</v>
      </c>
      <c r="I159" s="488">
        <v>30000</v>
      </c>
      <c r="J159" s="488"/>
      <c r="K159" s="488"/>
      <c r="L159" s="488"/>
      <c r="M159" s="488"/>
      <c r="N159" s="488"/>
      <c r="O159" s="488">
        <f t="shared" si="12"/>
        <v>1289800</v>
      </c>
      <c r="P159" s="162">
        <f t="shared" si="9"/>
        <v>1289800</v>
      </c>
      <c r="R159" s="71"/>
      <c r="S159" s="71"/>
      <c r="T159" s="71"/>
      <c r="U159" s="71"/>
    </row>
    <row r="160" spans="1:65" ht="37.15" customHeight="1">
      <c r="A160" s="1443" t="s">
        <v>302</v>
      </c>
      <c r="B160" s="1443"/>
      <c r="C160" s="569" t="s">
        <v>537</v>
      </c>
      <c r="D160" s="217" t="s">
        <v>934</v>
      </c>
      <c r="E160" s="488">
        <v>106500</v>
      </c>
      <c r="F160" s="488"/>
      <c r="G160" s="488"/>
      <c r="H160" s="488"/>
      <c r="I160" s="488"/>
      <c r="J160" s="488"/>
      <c r="K160" s="488"/>
      <c r="L160" s="488"/>
      <c r="M160" s="488"/>
      <c r="N160" s="488"/>
      <c r="O160" s="488">
        <f t="shared" si="12"/>
        <v>106500</v>
      </c>
      <c r="P160" s="162">
        <f t="shared" si="9"/>
        <v>106500</v>
      </c>
      <c r="R160" s="71"/>
      <c r="S160" s="71"/>
      <c r="T160" s="71"/>
      <c r="U160" s="71"/>
    </row>
    <row r="161" spans="1:65" ht="40.15" customHeight="1">
      <c r="A161" s="1416" t="s">
        <v>303</v>
      </c>
      <c r="B161" s="1416"/>
      <c r="C161" s="569" t="s">
        <v>538</v>
      </c>
      <c r="D161" s="217" t="s">
        <v>1049</v>
      </c>
      <c r="E161" s="488">
        <f>879400+100000</f>
        <v>979400</v>
      </c>
      <c r="F161" s="488"/>
      <c r="G161" s="488"/>
      <c r="H161" s="488"/>
      <c r="I161" s="488"/>
      <c r="J161" s="488"/>
      <c r="K161" s="488"/>
      <c r="L161" s="488"/>
      <c r="M161" s="488"/>
      <c r="N161" s="488"/>
      <c r="O161" s="488">
        <f>+E161+H161</f>
        <v>979400</v>
      </c>
      <c r="P161" s="162">
        <f t="shared" si="9"/>
        <v>979400</v>
      </c>
      <c r="R161" s="71"/>
      <c r="S161" s="71"/>
      <c r="T161" s="71"/>
      <c r="U161" s="71"/>
    </row>
    <row r="162" spans="1:65" ht="49.9" hidden="1" customHeight="1">
      <c r="A162" s="1416"/>
      <c r="B162" s="1416"/>
      <c r="C162" s="569"/>
      <c r="D162" s="217" t="s">
        <v>262</v>
      </c>
      <c r="E162" s="488"/>
      <c r="F162" s="488"/>
      <c r="G162" s="488"/>
      <c r="H162" s="488">
        <f>+I162+L162</f>
        <v>0</v>
      </c>
      <c r="I162" s="488"/>
      <c r="J162" s="488"/>
      <c r="K162" s="488"/>
      <c r="L162" s="488"/>
      <c r="M162" s="488">
        <f t="shared" ref="M162:N164" si="13">+L162</f>
        <v>0</v>
      </c>
      <c r="N162" s="488">
        <f t="shared" si="13"/>
        <v>0</v>
      </c>
      <c r="O162" s="488">
        <f>+E162+H162</f>
        <v>0</v>
      </c>
      <c r="P162" s="162">
        <f t="shared" si="9"/>
        <v>0</v>
      </c>
      <c r="R162" s="71"/>
      <c r="S162" s="71"/>
      <c r="T162" s="71"/>
      <c r="U162" s="71"/>
    </row>
    <row r="163" spans="1:65" ht="28.15" customHeight="1">
      <c r="A163" s="1443" t="s">
        <v>156</v>
      </c>
      <c r="B163" s="1443"/>
      <c r="C163" s="569" t="s">
        <v>333</v>
      </c>
      <c r="D163" s="217" t="s">
        <v>866</v>
      </c>
      <c r="E163" s="488">
        <f>1187100+6800</f>
        <v>1193900</v>
      </c>
      <c r="F163" s="488">
        <v>616900</v>
      </c>
      <c r="G163" s="488">
        <f>137600+6800</f>
        <v>144400</v>
      </c>
      <c r="H163" s="488">
        <f t="shared" si="10"/>
        <v>5000</v>
      </c>
      <c r="I163" s="488">
        <v>5000</v>
      </c>
      <c r="J163" s="488"/>
      <c r="K163" s="488"/>
      <c r="L163" s="488"/>
      <c r="M163" s="488">
        <f t="shared" si="13"/>
        <v>0</v>
      </c>
      <c r="N163" s="488">
        <f t="shared" si="13"/>
        <v>0</v>
      </c>
      <c r="O163" s="488">
        <f t="shared" si="12"/>
        <v>1198900</v>
      </c>
      <c r="P163" s="162">
        <f t="shared" si="9"/>
        <v>1198900</v>
      </c>
      <c r="R163" s="71"/>
      <c r="S163" s="71"/>
      <c r="T163" s="71"/>
      <c r="U163" s="71"/>
    </row>
    <row r="164" spans="1:65" ht="85.15" customHeight="1">
      <c r="A164" s="1443" t="s">
        <v>304</v>
      </c>
      <c r="B164" s="1443"/>
      <c r="C164" s="569" t="s">
        <v>900</v>
      </c>
      <c r="D164" s="364" t="s">
        <v>62</v>
      </c>
      <c r="E164" s="488">
        <f>6158600-100000-12000</f>
        <v>6046600</v>
      </c>
      <c r="F164" s="488"/>
      <c r="G164" s="488"/>
      <c r="H164" s="488">
        <f>+I164+L164</f>
        <v>550000</v>
      </c>
      <c r="I164" s="488">
        <v>550000</v>
      </c>
      <c r="J164" s="488"/>
      <c r="K164" s="488"/>
      <c r="L164" s="488"/>
      <c r="M164" s="488">
        <f t="shared" si="13"/>
        <v>0</v>
      </c>
      <c r="N164" s="488">
        <f t="shared" si="13"/>
        <v>0</v>
      </c>
      <c r="O164" s="488">
        <f>+E164+H164</f>
        <v>6596600</v>
      </c>
      <c r="P164" s="162">
        <f t="shared" si="9"/>
        <v>6596600</v>
      </c>
      <c r="R164" s="71"/>
      <c r="S164" s="71"/>
      <c r="T164" s="71"/>
      <c r="U164" s="71"/>
    </row>
    <row r="165" spans="1:65" ht="39.6" customHeight="1">
      <c r="A165" s="1443" t="s">
        <v>582</v>
      </c>
      <c r="B165" s="1443"/>
      <c r="C165" s="569" t="s">
        <v>1016</v>
      </c>
      <c r="D165" s="364" t="s">
        <v>983</v>
      </c>
      <c r="E165" s="488">
        <f>+'видатки_затв '!C156</f>
        <v>9216500</v>
      </c>
      <c r="F165" s="488">
        <f>+'видатки_затв '!D156</f>
        <v>4098400</v>
      </c>
      <c r="G165" s="488">
        <f>+'видатки_затв '!E156</f>
        <v>954900</v>
      </c>
      <c r="H165" s="488">
        <f t="shared" si="10"/>
        <v>90000</v>
      </c>
      <c r="I165" s="488">
        <f>+'видатки_затв '!G156</f>
        <v>0</v>
      </c>
      <c r="J165" s="488">
        <f>+'видатки_затв '!H156</f>
        <v>0</v>
      </c>
      <c r="K165" s="488">
        <f>+'видатки_затв '!I156</f>
        <v>0</v>
      </c>
      <c r="L165" s="488">
        <f>+'видатки_затв '!J156</f>
        <v>90000</v>
      </c>
      <c r="M165" s="488">
        <f>+'видатки_затв '!K156</f>
        <v>90000</v>
      </c>
      <c r="N165" s="488">
        <f>+'видатки_затв '!L156</f>
        <v>90000</v>
      </c>
      <c r="O165" s="488">
        <f t="shared" si="12"/>
        <v>9306500</v>
      </c>
      <c r="P165" s="162">
        <f t="shared" si="9"/>
        <v>9306500</v>
      </c>
      <c r="R165" s="71"/>
      <c r="S165" s="71"/>
      <c r="T165" s="71"/>
      <c r="U165" s="71"/>
    </row>
    <row r="166" spans="1:65" ht="51.6" customHeight="1">
      <c r="A166" s="1443" t="s">
        <v>583</v>
      </c>
      <c r="B166" s="1443"/>
      <c r="C166" s="569" t="s">
        <v>1192</v>
      </c>
      <c r="D166" s="694" t="s">
        <v>1193</v>
      </c>
      <c r="E166" s="488">
        <f>+'видатки_затв '!C157</f>
        <v>2255700</v>
      </c>
      <c r="F166" s="488">
        <f>+'видатки_затв '!D157</f>
        <v>884400</v>
      </c>
      <c r="G166" s="488">
        <f>+'видатки_затв '!E157</f>
        <v>38000</v>
      </c>
      <c r="H166" s="488">
        <f>+'видатки_затв '!F157</f>
        <v>140000</v>
      </c>
      <c r="I166" s="488">
        <f>+'видатки_затв '!G157</f>
        <v>0</v>
      </c>
      <c r="J166" s="488">
        <f>+'видатки_затв '!H157</f>
        <v>0</v>
      </c>
      <c r="K166" s="488">
        <f>+'видатки_затв '!I157</f>
        <v>0</v>
      </c>
      <c r="L166" s="488">
        <f>+'видатки_затв '!J157</f>
        <v>140000</v>
      </c>
      <c r="M166" s="488">
        <f>+'видатки_затв '!K157</f>
        <v>140000</v>
      </c>
      <c r="N166" s="488">
        <f>+'видатки_затв '!L157</f>
        <v>140000</v>
      </c>
      <c r="O166" s="488">
        <f t="shared" si="12"/>
        <v>2395700</v>
      </c>
      <c r="P166" s="162">
        <f t="shared" si="9"/>
        <v>2395700</v>
      </c>
      <c r="R166" s="71"/>
      <c r="S166" s="71"/>
      <c r="T166" s="71"/>
      <c r="U166" s="71"/>
    </row>
    <row r="167" spans="1:65" ht="23.45" hidden="1" customHeight="1">
      <c r="A167" s="1423"/>
      <c r="B167" s="1423"/>
      <c r="C167" s="569"/>
      <c r="D167" s="501" t="s">
        <v>529</v>
      </c>
      <c r="E167" s="488"/>
      <c r="F167" s="488"/>
      <c r="G167" s="488"/>
      <c r="H167" s="488"/>
      <c r="I167" s="488"/>
      <c r="J167" s="488"/>
      <c r="K167" s="488"/>
      <c r="L167" s="488"/>
      <c r="M167" s="488"/>
      <c r="N167" s="488"/>
      <c r="O167" s="488">
        <f t="shared" si="12"/>
        <v>0</v>
      </c>
      <c r="P167" s="162"/>
      <c r="R167" s="71"/>
      <c r="S167" s="71"/>
      <c r="T167" s="71"/>
      <c r="U167" s="71"/>
    </row>
    <row r="168" spans="1:65" ht="49.15" hidden="1" customHeight="1">
      <c r="A168" s="1423"/>
      <c r="B168" s="1423"/>
      <c r="C168" s="569"/>
      <c r="D168" s="501" t="s">
        <v>530</v>
      </c>
      <c r="E168" s="488"/>
      <c r="F168" s="488"/>
      <c r="G168" s="488"/>
      <c r="H168" s="488"/>
      <c r="I168" s="488"/>
      <c r="J168" s="488"/>
      <c r="K168" s="488"/>
      <c r="L168" s="488"/>
      <c r="M168" s="488"/>
      <c r="N168" s="488"/>
      <c r="O168" s="488">
        <f t="shared" si="12"/>
        <v>0</v>
      </c>
      <c r="P168" s="162">
        <f t="shared" si="9"/>
        <v>0</v>
      </c>
      <c r="R168" s="71"/>
      <c r="S168" s="71"/>
      <c r="T168" s="71"/>
      <c r="U168" s="71"/>
    </row>
    <row r="169" spans="1:65" ht="34.9" customHeight="1">
      <c r="A169" s="1443" t="s">
        <v>584</v>
      </c>
      <c r="B169" s="1443"/>
      <c r="C169" s="569" t="s">
        <v>378</v>
      </c>
      <c r="D169" s="217" t="s">
        <v>47</v>
      </c>
      <c r="E169" s="488">
        <f>+'видатки_затв '!C159</f>
        <v>260000</v>
      </c>
      <c r="F169" s="488">
        <f>+'видатки_затв '!D159</f>
        <v>0</v>
      </c>
      <c r="G169" s="488">
        <f>+'видатки_затв '!E159</f>
        <v>0</v>
      </c>
      <c r="H169" s="488">
        <f t="shared" si="10"/>
        <v>0</v>
      </c>
      <c r="I169" s="488">
        <f>+'видатки_затв '!G159</f>
        <v>0</v>
      </c>
      <c r="J169" s="488">
        <f>+'видатки_затв '!H159</f>
        <v>0</v>
      </c>
      <c r="K169" s="488">
        <f>+'видатки_затв '!I159</f>
        <v>0</v>
      </c>
      <c r="L169" s="488">
        <f>+'видатки_затв '!J159</f>
        <v>0</v>
      </c>
      <c r="M169" s="488">
        <f>+'видатки_затв '!K159</f>
        <v>0</v>
      </c>
      <c r="N169" s="488">
        <f>+'видатки_затв '!L159</f>
        <v>0</v>
      </c>
      <c r="O169" s="488">
        <f t="shared" si="12"/>
        <v>260000</v>
      </c>
      <c r="P169" s="162">
        <f t="shared" si="9"/>
        <v>260000</v>
      </c>
      <c r="Q169" s="24"/>
      <c r="R169" s="44"/>
      <c r="S169" s="44"/>
      <c r="T169" s="44"/>
      <c r="U169" s="44"/>
      <c r="V169" s="24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1:65" ht="45" hidden="1" customHeight="1">
      <c r="A170" s="1423"/>
      <c r="B170" s="1423"/>
      <c r="C170" s="569"/>
      <c r="D170" s="215" t="s">
        <v>989</v>
      </c>
      <c r="E170" s="488">
        <f>200000-200000</f>
        <v>0</v>
      </c>
      <c r="F170" s="488"/>
      <c r="G170" s="488"/>
      <c r="H170" s="488">
        <f t="shared" si="10"/>
        <v>0</v>
      </c>
      <c r="I170" s="488"/>
      <c r="J170" s="488"/>
      <c r="K170" s="488"/>
      <c r="L170" s="488"/>
      <c r="M170" s="488"/>
      <c r="N170" s="488"/>
      <c r="O170" s="488">
        <f t="shared" si="12"/>
        <v>0</v>
      </c>
      <c r="P170" s="162">
        <f t="shared" si="9"/>
        <v>0</v>
      </c>
      <c r="Q170" s="24"/>
      <c r="R170" s="44"/>
      <c r="S170" s="44"/>
      <c r="T170" s="44"/>
      <c r="U170" s="44"/>
      <c r="V170" s="24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1:65" ht="24.6" hidden="1" customHeight="1">
      <c r="A171" s="1423"/>
      <c r="B171" s="1423"/>
      <c r="C171" s="570" t="s">
        <v>1017</v>
      </c>
      <c r="D171" s="171" t="s">
        <v>531</v>
      </c>
      <c r="E171" s="173"/>
      <c r="F171" s="173"/>
      <c r="G171" s="173"/>
      <c r="H171" s="173">
        <f t="shared" si="10"/>
        <v>0</v>
      </c>
      <c r="I171" s="173">
        <f>+'видатки_затв '!G168</f>
        <v>0</v>
      </c>
      <c r="J171" s="173">
        <f>+'видатки_затв '!H168</f>
        <v>0</v>
      </c>
      <c r="K171" s="173">
        <f>+'видатки_затв '!I168</f>
        <v>0</v>
      </c>
      <c r="L171" s="194">
        <f>+'видатки_затв '!J168</f>
        <v>0</v>
      </c>
      <c r="M171" s="173">
        <f>+'видатки_затв '!K168</f>
        <v>0</v>
      </c>
      <c r="N171" s="194">
        <f>+'видатки_затв '!L168</f>
        <v>0</v>
      </c>
      <c r="O171" s="173">
        <f t="shared" si="12"/>
        <v>0</v>
      </c>
      <c r="P171" s="100">
        <f t="shared" si="9"/>
        <v>0</v>
      </c>
      <c r="R171" s="71"/>
      <c r="S171" s="71"/>
      <c r="T171" s="71"/>
      <c r="U171" s="71"/>
    </row>
    <row r="172" spans="1:65" ht="24.6" hidden="1" customHeight="1">
      <c r="A172" s="1423"/>
      <c r="B172" s="1423"/>
      <c r="C172" s="569"/>
      <c r="D172" s="364" t="s">
        <v>375</v>
      </c>
      <c r="E172" s="488">
        <f>+'видатки_затв '!C163</f>
        <v>0</v>
      </c>
      <c r="F172" s="488">
        <f>+'видатки_затв '!D163</f>
        <v>0</v>
      </c>
      <c r="G172" s="488">
        <f>+'видатки_затв '!E163</f>
        <v>0</v>
      </c>
      <c r="H172" s="488">
        <f t="shared" si="10"/>
        <v>0</v>
      </c>
      <c r="I172" s="488">
        <f>+'видатки_затв '!G163</f>
        <v>0</v>
      </c>
      <c r="J172" s="488">
        <f>+'видатки_затв '!H163</f>
        <v>0</v>
      </c>
      <c r="K172" s="488">
        <f>+'видатки_затв '!I163</f>
        <v>0</v>
      </c>
      <c r="L172" s="488">
        <f>+'видатки_затв '!J163</f>
        <v>0</v>
      </c>
      <c r="M172" s="488">
        <f>+'видатки_затв '!K163</f>
        <v>0</v>
      </c>
      <c r="N172" s="488">
        <f>+'видатки_затв '!L163</f>
        <v>0</v>
      </c>
      <c r="O172" s="488">
        <f t="shared" si="12"/>
        <v>0</v>
      </c>
      <c r="P172" s="162"/>
      <c r="R172" s="71"/>
      <c r="S172" s="71"/>
      <c r="T172" s="71"/>
      <c r="U172" s="71"/>
    </row>
    <row r="173" spans="1:65" ht="118.9" hidden="1" customHeight="1">
      <c r="A173" s="1423" t="s">
        <v>1382</v>
      </c>
      <c r="B173" s="1423"/>
      <c r="C173" s="569"/>
      <c r="D173" s="501" t="s">
        <v>374</v>
      </c>
      <c r="E173" s="488">
        <f>+'видатки_затв '!C164</f>
        <v>0</v>
      </c>
      <c r="F173" s="488">
        <f>+'видатки_затв '!D164</f>
        <v>0</v>
      </c>
      <c r="G173" s="488">
        <f>+'видатки_затв '!E164</f>
        <v>0</v>
      </c>
      <c r="H173" s="488">
        <f>+I173+L173</f>
        <v>0</v>
      </c>
      <c r="I173" s="488">
        <f>+'видатки_затв '!G164</f>
        <v>0</v>
      </c>
      <c r="J173" s="488">
        <f>+'видатки_затв '!H164</f>
        <v>0</v>
      </c>
      <c r="K173" s="488">
        <f>+'видатки_затв '!I164</f>
        <v>0</v>
      </c>
      <c r="L173" s="488">
        <f>+'видатки_затв '!J164</f>
        <v>0</v>
      </c>
      <c r="M173" s="488">
        <f>+'видатки_затв '!K164</f>
        <v>0</v>
      </c>
      <c r="N173" s="488">
        <f>+'видатки_затв '!L164</f>
        <v>0</v>
      </c>
      <c r="O173" s="488">
        <f>+E173+H173</f>
        <v>0</v>
      </c>
      <c r="P173" s="162">
        <f t="shared" si="9"/>
        <v>0</v>
      </c>
      <c r="R173" s="71"/>
      <c r="S173" s="71"/>
      <c r="T173" s="71"/>
      <c r="U173" s="71"/>
    </row>
    <row r="174" spans="1:65" ht="34.9" customHeight="1">
      <c r="A174" s="1443" t="s">
        <v>585</v>
      </c>
      <c r="B174" s="1443"/>
      <c r="C174" s="569" t="s">
        <v>1141</v>
      </c>
      <c r="D174" s="364" t="s">
        <v>872</v>
      </c>
      <c r="E174" s="488">
        <f>+'видатки_затв '!C165</f>
        <v>1642100</v>
      </c>
      <c r="F174" s="488">
        <f>+'видатки_затв '!D165</f>
        <v>946000</v>
      </c>
      <c r="G174" s="488">
        <f>+'видатки_затв '!E165</f>
        <v>45200</v>
      </c>
      <c r="H174" s="488">
        <f t="shared" si="10"/>
        <v>80000</v>
      </c>
      <c r="I174" s="488">
        <f>+'видатки_затв '!G165</f>
        <v>0</v>
      </c>
      <c r="J174" s="488">
        <f>+'видатки_затв '!H165</f>
        <v>0</v>
      </c>
      <c r="K174" s="488">
        <f>+'видатки_затв '!I165</f>
        <v>0</v>
      </c>
      <c r="L174" s="488">
        <f>+'видатки_затв '!J165</f>
        <v>80000</v>
      </c>
      <c r="M174" s="488">
        <f>+'видатки_затв '!K165</f>
        <v>80000</v>
      </c>
      <c r="N174" s="488">
        <f>+'видатки_затв '!L165</f>
        <v>80000</v>
      </c>
      <c r="O174" s="488">
        <f t="shared" si="12"/>
        <v>1722100</v>
      </c>
      <c r="P174" s="162">
        <f t="shared" si="9"/>
        <v>1722100</v>
      </c>
      <c r="R174" s="71"/>
      <c r="S174" s="71"/>
      <c r="T174" s="71"/>
      <c r="U174" s="71"/>
    </row>
    <row r="175" spans="1:65" ht="29.45" customHeight="1">
      <c r="A175" s="1443" t="s">
        <v>932</v>
      </c>
      <c r="B175" s="1443"/>
      <c r="C175" s="569" t="s">
        <v>1018</v>
      </c>
      <c r="D175" s="364" t="s">
        <v>1191</v>
      </c>
      <c r="E175" s="488">
        <f>+'видатки_затв '!C166</f>
        <v>600000</v>
      </c>
      <c r="F175" s="488">
        <f>+'видатки_затв '!D166</f>
        <v>273100</v>
      </c>
      <c r="G175" s="488">
        <f>+'видатки_затв '!E166</f>
        <v>8400</v>
      </c>
      <c r="H175" s="488">
        <f>+'видатки_затв '!F166</f>
        <v>0</v>
      </c>
      <c r="I175" s="488">
        <f>+'видатки_затв '!G166</f>
        <v>0</v>
      </c>
      <c r="J175" s="488">
        <f>+'видатки_затв '!H166</f>
        <v>0</v>
      </c>
      <c r="K175" s="488">
        <f>+'видатки_затв '!I166</f>
        <v>0</v>
      </c>
      <c r="L175" s="488">
        <f>+'видатки_затв '!J166</f>
        <v>0</v>
      </c>
      <c r="M175" s="488">
        <f>+'видатки_затв '!K166</f>
        <v>0</v>
      </c>
      <c r="N175" s="488">
        <f>+'видатки_затв '!L166</f>
        <v>0</v>
      </c>
      <c r="O175" s="488">
        <f t="shared" si="12"/>
        <v>600000</v>
      </c>
      <c r="P175" s="100">
        <f t="shared" si="9"/>
        <v>600000</v>
      </c>
      <c r="R175" s="71"/>
      <c r="S175" s="71"/>
      <c r="T175" s="71"/>
      <c r="U175" s="71"/>
    </row>
    <row r="176" spans="1:65" ht="30.6" hidden="1" customHeight="1">
      <c r="A176" s="1423"/>
      <c r="B176" s="1423"/>
      <c r="C176" s="579" t="s">
        <v>335</v>
      </c>
      <c r="D176" s="588" t="s">
        <v>130</v>
      </c>
      <c r="E176" s="173"/>
      <c r="F176" s="173"/>
      <c r="G176" s="173"/>
      <c r="H176" s="173">
        <f t="shared" si="10"/>
        <v>0</v>
      </c>
      <c r="I176" s="173"/>
      <c r="J176" s="173"/>
      <c r="K176" s="173"/>
      <c r="L176" s="194"/>
      <c r="M176" s="173"/>
      <c r="N176" s="194"/>
      <c r="O176" s="173">
        <f t="shared" si="12"/>
        <v>0</v>
      </c>
      <c r="P176" s="100">
        <f t="shared" si="9"/>
        <v>0</v>
      </c>
      <c r="Q176" s="2"/>
      <c r="R176" s="7"/>
      <c r="S176" s="7"/>
      <c r="T176" s="7"/>
      <c r="U176" s="7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</row>
    <row r="177" spans="1:65" ht="60" customHeight="1">
      <c r="A177" s="1443" t="s">
        <v>586</v>
      </c>
      <c r="B177" s="1443"/>
      <c r="C177" s="568" t="s">
        <v>315</v>
      </c>
      <c r="D177" s="366" t="s">
        <v>1469</v>
      </c>
      <c r="E177" s="363">
        <f>+'видатки_затв '!C167</f>
        <v>731800</v>
      </c>
      <c r="F177" s="363"/>
      <c r="G177" s="363"/>
      <c r="H177" s="363">
        <f t="shared" si="10"/>
        <v>0</v>
      </c>
      <c r="I177" s="363"/>
      <c r="J177" s="363"/>
      <c r="K177" s="363"/>
      <c r="L177" s="365"/>
      <c r="M177" s="363"/>
      <c r="N177" s="365"/>
      <c r="O177" s="363">
        <f t="shared" si="12"/>
        <v>731800</v>
      </c>
      <c r="P177" s="100">
        <f t="shared" si="9"/>
        <v>731800</v>
      </c>
      <c r="Q177" s="2"/>
      <c r="R177" s="132"/>
      <c r="S177" s="132"/>
      <c r="T177" s="132"/>
      <c r="U177" s="13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1:65" ht="36.6" customHeight="1">
      <c r="A178" s="1443" t="s">
        <v>587</v>
      </c>
      <c r="B178" s="1443"/>
      <c r="C178" s="568" t="s">
        <v>316</v>
      </c>
      <c r="D178" s="366" t="s">
        <v>1044</v>
      </c>
      <c r="E178" s="488">
        <f>+'видатки_затв '!C168</f>
        <v>50000</v>
      </c>
      <c r="F178" s="488">
        <f>+'видатки_затв '!D168</f>
        <v>0</v>
      </c>
      <c r="G178" s="488">
        <f>+'видатки_затв '!E168</f>
        <v>0</v>
      </c>
      <c r="H178" s="488">
        <f>+'видатки_затв '!F168</f>
        <v>0</v>
      </c>
      <c r="I178" s="488">
        <f>+'видатки_затв '!G168</f>
        <v>0</v>
      </c>
      <c r="J178" s="488">
        <f>+'видатки_затв '!H168</f>
        <v>0</v>
      </c>
      <c r="K178" s="488">
        <f>+'видатки_затв '!I168</f>
        <v>0</v>
      </c>
      <c r="L178" s="488">
        <f>+'видатки_затв '!J168</f>
        <v>0</v>
      </c>
      <c r="M178" s="488">
        <f>+'видатки_затв '!K168</f>
        <v>0</v>
      </c>
      <c r="N178" s="488">
        <f>+'видатки_затв '!L168</f>
        <v>0</v>
      </c>
      <c r="O178" s="488">
        <f t="shared" si="12"/>
        <v>50000</v>
      </c>
      <c r="P178" s="162">
        <f t="shared" si="9"/>
        <v>50000</v>
      </c>
      <c r="Q178" s="2"/>
      <c r="R178" s="132"/>
      <c r="S178" s="132"/>
      <c r="T178" s="132"/>
      <c r="U178" s="13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</row>
    <row r="179" spans="1:65" ht="71.45" hidden="1" customHeight="1">
      <c r="A179" s="1423"/>
      <c r="B179" s="1423"/>
      <c r="C179" s="579" t="s">
        <v>1031</v>
      </c>
      <c r="D179" s="171" t="s">
        <v>1027</v>
      </c>
      <c r="E179" s="173"/>
      <c r="F179" s="173"/>
      <c r="G179" s="173"/>
      <c r="H179" s="173">
        <f t="shared" ref="H179:H189" si="14">+I179+L179</f>
        <v>0</v>
      </c>
      <c r="I179" s="173"/>
      <c r="J179" s="173"/>
      <c r="K179" s="173"/>
      <c r="L179" s="194"/>
      <c r="M179" s="173"/>
      <c r="N179" s="194"/>
      <c r="O179" s="173">
        <f t="shared" si="12"/>
        <v>0</v>
      </c>
      <c r="P179" s="100">
        <f t="shared" si="9"/>
        <v>0</v>
      </c>
      <c r="Q179" s="2"/>
      <c r="R179" s="132"/>
      <c r="S179" s="132"/>
      <c r="T179" s="132"/>
      <c r="U179" s="13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</row>
    <row r="180" spans="1:65" ht="25.15" hidden="1" customHeight="1">
      <c r="A180" s="1423"/>
      <c r="B180" s="1423"/>
      <c r="C180" s="566" t="s">
        <v>1508</v>
      </c>
      <c r="D180" s="213" t="s">
        <v>532</v>
      </c>
      <c r="E180" s="489"/>
      <c r="F180" s="489"/>
      <c r="G180" s="489"/>
      <c r="H180" s="489">
        <f t="shared" si="14"/>
        <v>0</v>
      </c>
      <c r="I180" s="489"/>
      <c r="J180" s="489"/>
      <c r="K180" s="489"/>
      <c r="L180" s="489"/>
      <c r="M180" s="489"/>
      <c r="N180" s="489">
        <f>+M180</f>
        <v>0</v>
      </c>
      <c r="O180" s="489">
        <f t="shared" si="12"/>
        <v>0</v>
      </c>
      <c r="P180" s="162">
        <f t="shared" si="9"/>
        <v>0</v>
      </c>
      <c r="Q180" s="2"/>
      <c r="R180" s="132"/>
      <c r="S180" s="132"/>
      <c r="T180" s="132"/>
      <c r="U180" s="13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</row>
    <row r="181" spans="1:65" ht="46.15" hidden="1" customHeight="1">
      <c r="A181" s="1423"/>
      <c r="B181" s="1423"/>
      <c r="C181" s="579" t="s">
        <v>895</v>
      </c>
      <c r="D181" s="587" t="s">
        <v>575</v>
      </c>
      <c r="E181" s="173"/>
      <c r="F181" s="173"/>
      <c r="G181" s="173"/>
      <c r="H181" s="173">
        <f t="shared" si="14"/>
        <v>0</v>
      </c>
      <c r="I181" s="173"/>
      <c r="J181" s="173"/>
      <c r="K181" s="173"/>
      <c r="L181" s="194"/>
      <c r="M181" s="173">
        <f>+L181</f>
        <v>0</v>
      </c>
      <c r="N181" s="194"/>
      <c r="O181" s="173">
        <f t="shared" si="12"/>
        <v>0</v>
      </c>
      <c r="P181" s="100">
        <f t="shared" si="9"/>
        <v>0</v>
      </c>
      <c r="Q181" s="2"/>
      <c r="R181" s="132"/>
      <c r="S181" s="132"/>
      <c r="T181" s="132"/>
      <c r="U181" s="13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</row>
    <row r="182" spans="1:65" ht="46.15" hidden="1" customHeight="1">
      <c r="A182" s="1423"/>
      <c r="B182" s="1423"/>
      <c r="C182" s="579" t="s">
        <v>1243</v>
      </c>
      <c r="D182" s="589" t="s">
        <v>230</v>
      </c>
      <c r="E182" s="173"/>
      <c r="F182" s="173"/>
      <c r="G182" s="173"/>
      <c r="H182" s="173">
        <f t="shared" si="14"/>
        <v>0</v>
      </c>
      <c r="I182" s="173"/>
      <c r="J182" s="173"/>
      <c r="K182" s="173"/>
      <c r="L182" s="194">
        <f>150-150</f>
        <v>0</v>
      </c>
      <c r="M182" s="173">
        <f>+L182</f>
        <v>0</v>
      </c>
      <c r="N182" s="194">
        <f>150-150</f>
        <v>0</v>
      </c>
      <c r="O182" s="173">
        <f t="shared" si="12"/>
        <v>0</v>
      </c>
      <c r="P182" s="100">
        <f t="shared" si="9"/>
        <v>0</v>
      </c>
      <c r="Q182" s="2"/>
      <c r="R182" s="132"/>
      <c r="S182" s="132"/>
      <c r="T182" s="132"/>
      <c r="U182" s="13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</row>
    <row r="183" spans="1:65" ht="54.6" customHeight="1">
      <c r="A183" s="1443" t="s">
        <v>1305</v>
      </c>
      <c r="B183" s="1443"/>
      <c r="C183" s="568" t="s">
        <v>1212</v>
      </c>
      <c r="D183" s="217" t="s">
        <v>1214</v>
      </c>
      <c r="E183" s="488">
        <f>+'видатки_затв '!C257</f>
        <v>3897500</v>
      </c>
      <c r="F183" s="488"/>
      <c r="G183" s="488"/>
      <c r="H183" s="488">
        <f t="shared" si="14"/>
        <v>0</v>
      </c>
      <c r="I183" s="488"/>
      <c r="J183" s="488"/>
      <c r="K183" s="488"/>
      <c r="L183" s="488"/>
      <c r="M183" s="488"/>
      <c r="N183" s="488"/>
      <c r="O183" s="488">
        <f t="shared" si="12"/>
        <v>3897500</v>
      </c>
      <c r="P183" s="162">
        <f t="shared" si="9"/>
        <v>3897500</v>
      </c>
      <c r="Q183" s="2"/>
      <c r="R183" s="132"/>
      <c r="S183" s="132"/>
      <c r="T183" s="132"/>
      <c r="U183" s="13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</row>
    <row r="184" spans="1:65" ht="100.9" hidden="1" customHeight="1">
      <c r="A184" s="1423"/>
      <c r="B184" s="1423"/>
      <c r="C184" s="566"/>
      <c r="D184" s="590" t="s">
        <v>1264</v>
      </c>
      <c r="E184" s="489"/>
      <c r="F184" s="489"/>
      <c r="G184" s="489"/>
      <c r="H184" s="489">
        <f t="shared" si="14"/>
        <v>0</v>
      </c>
      <c r="I184" s="489"/>
      <c r="J184" s="489"/>
      <c r="K184" s="489"/>
      <c r="L184" s="489"/>
      <c r="M184" s="489"/>
      <c r="N184" s="489"/>
      <c r="O184" s="489">
        <f t="shared" si="12"/>
        <v>0</v>
      </c>
      <c r="P184" s="100">
        <f t="shared" si="9"/>
        <v>0</v>
      </c>
      <c r="Q184" s="2"/>
      <c r="R184" s="132"/>
      <c r="S184" s="132"/>
      <c r="T184" s="132"/>
      <c r="U184" s="13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</row>
    <row r="185" spans="1:65" ht="21" hidden="1" customHeight="1">
      <c r="A185" s="1424"/>
      <c r="B185" s="1424"/>
      <c r="C185" s="568"/>
      <c r="D185" s="454" t="s">
        <v>150</v>
      </c>
      <c r="E185" s="488"/>
      <c r="F185" s="488"/>
      <c r="G185" s="488"/>
      <c r="H185" s="488"/>
      <c r="I185" s="488"/>
      <c r="J185" s="488"/>
      <c r="K185" s="488"/>
      <c r="L185" s="488"/>
      <c r="M185" s="488"/>
      <c r="N185" s="488"/>
      <c r="O185" s="488">
        <f t="shared" si="12"/>
        <v>0</v>
      </c>
      <c r="P185" s="162"/>
      <c r="Q185" s="2"/>
      <c r="R185" s="132"/>
      <c r="S185" s="132"/>
      <c r="T185" s="132"/>
      <c r="U185" s="13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1:65" ht="312.60000000000002" hidden="1" customHeight="1">
      <c r="A186" s="1443"/>
      <c r="B186" s="1443"/>
      <c r="C186" s="568"/>
      <c r="D186" s="454" t="s">
        <v>671</v>
      </c>
      <c r="E186" s="488">
        <f>+E183</f>
        <v>3897500</v>
      </c>
      <c r="F186" s="488"/>
      <c r="G186" s="488"/>
      <c r="H186" s="488"/>
      <c r="I186" s="488"/>
      <c r="J186" s="488"/>
      <c r="K186" s="488"/>
      <c r="L186" s="488"/>
      <c r="M186" s="488"/>
      <c r="N186" s="488"/>
      <c r="O186" s="488">
        <f t="shared" si="12"/>
        <v>3897500</v>
      </c>
      <c r="P186" s="162"/>
      <c r="Q186" s="2"/>
      <c r="R186" s="132"/>
      <c r="S186" s="132"/>
      <c r="T186" s="132"/>
      <c r="U186" s="13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1:65" ht="52.15" customHeight="1">
      <c r="A187" s="1443" t="s">
        <v>1306</v>
      </c>
      <c r="B187" s="1443"/>
      <c r="C187" s="568" t="s">
        <v>1211</v>
      </c>
      <c r="D187" s="217" t="s">
        <v>1250</v>
      </c>
      <c r="E187" s="488">
        <f>+'видатки_затв '!C260</f>
        <v>16318200</v>
      </c>
      <c r="F187" s="488"/>
      <c r="G187" s="488"/>
      <c r="H187" s="488">
        <f t="shared" si="14"/>
        <v>0</v>
      </c>
      <c r="I187" s="488"/>
      <c r="J187" s="488"/>
      <c r="K187" s="488"/>
      <c r="L187" s="488"/>
      <c r="M187" s="488"/>
      <c r="N187" s="488"/>
      <c r="O187" s="488">
        <f t="shared" si="12"/>
        <v>16318200</v>
      </c>
      <c r="P187" s="162">
        <f t="shared" si="9"/>
        <v>16318200</v>
      </c>
      <c r="Q187" s="2"/>
      <c r="R187" s="132"/>
      <c r="S187" s="132"/>
      <c r="T187" s="132"/>
      <c r="U187" s="13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1:65" ht="53.45" hidden="1" customHeight="1">
      <c r="A188" s="1423"/>
      <c r="B188" s="1423"/>
      <c r="C188" s="567" t="s">
        <v>893</v>
      </c>
      <c r="D188" s="197" t="s">
        <v>1135</v>
      </c>
      <c r="E188" s="180"/>
      <c r="F188" s="180"/>
      <c r="G188" s="180"/>
      <c r="H188" s="180">
        <f>+I188+L188</f>
        <v>0</v>
      </c>
      <c r="I188" s="180"/>
      <c r="J188" s="180"/>
      <c r="K188" s="180"/>
      <c r="L188" s="193"/>
      <c r="M188" s="180"/>
      <c r="N188" s="193"/>
      <c r="O188" s="180">
        <f t="shared" si="12"/>
        <v>0</v>
      </c>
      <c r="P188" s="162">
        <f t="shared" si="9"/>
        <v>0</v>
      </c>
      <c r="Q188" s="2"/>
      <c r="R188" s="132"/>
      <c r="S188" s="132"/>
      <c r="T188" s="132"/>
      <c r="U188" s="13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1:65" ht="55.9" hidden="1" customHeight="1">
      <c r="A189" s="1423"/>
      <c r="B189" s="1423"/>
      <c r="C189" s="566" t="s">
        <v>1204</v>
      </c>
      <c r="D189" s="213" t="s">
        <v>1138</v>
      </c>
      <c r="E189" s="180"/>
      <c r="F189" s="180"/>
      <c r="G189" s="180"/>
      <c r="H189" s="180">
        <f t="shared" si="14"/>
        <v>0</v>
      </c>
      <c r="I189" s="180"/>
      <c r="J189" s="180"/>
      <c r="K189" s="180"/>
      <c r="L189" s="193"/>
      <c r="M189" s="180"/>
      <c r="N189" s="193"/>
      <c r="O189" s="180">
        <f t="shared" si="12"/>
        <v>0</v>
      </c>
      <c r="P189" s="100">
        <f t="shared" si="9"/>
        <v>0</v>
      </c>
      <c r="Q189" s="2"/>
      <c r="R189" s="132"/>
      <c r="S189" s="132"/>
      <c r="T189" s="132"/>
      <c r="U189" s="13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1:65" ht="19.899999999999999" hidden="1" customHeight="1">
      <c r="A190" s="1424"/>
      <c r="B190" s="1424"/>
      <c r="C190" s="568"/>
      <c r="D190" s="454" t="s">
        <v>150</v>
      </c>
      <c r="E190" s="363"/>
      <c r="F190" s="363"/>
      <c r="G190" s="363"/>
      <c r="H190" s="363"/>
      <c r="I190" s="363"/>
      <c r="J190" s="363"/>
      <c r="K190" s="363"/>
      <c r="L190" s="365"/>
      <c r="M190" s="363"/>
      <c r="N190" s="365"/>
      <c r="O190" s="488">
        <f t="shared" si="12"/>
        <v>0</v>
      </c>
      <c r="P190" s="162"/>
      <c r="Q190" s="2"/>
      <c r="R190" s="132"/>
      <c r="S190" s="132"/>
      <c r="T190" s="132"/>
      <c r="U190" s="13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1:65" ht="317.45" hidden="1" customHeight="1">
      <c r="A191" s="1443"/>
      <c r="B191" s="1443"/>
      <c r="C191" s="568"/>
      <c r="D191" s="454" t="s">
        <v>671</v>
      </c>
      <c r="E191" s="363"/>
      <c r="F191" s="363"/>
      <c r="G191" s="363"/>
      <c r="H191" s="363"/>
      <c r="I191" s="363"/>
      <c r="J191" s="363"/>
      <c r="K191" s="363"/>
      <c r="L191" s="365"/>
      <c r="M191" s="363"/>
      <c r="N191" s="365"/>
      <c r="O191" s="488">
        <f t="shared" si="12"/>
        <v>0</v>
      </c>
      <c r="P191" s="162">
        <f t="shared" si="9"/>
        <v>0</v>
      </c>
      <c r="Q191" s="2"/>
      <c r="R191" s="132"/>
      <c r="S191" s="132"/>
      <c r="T191" s="132"/>
      <c r="U191" s="13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1:65" ht="28.9" customHeight="1">
      <c r="A192" s="1443" t="s">
        <v>928</v>
      </c>
      <c r="B192" s="1443"/>
      <c r="C192" s="568" t="s">
        <v>1247</v>
      </c>
      <c r="D192" s="217" t="s">
        <v>1246</v>
      </c>
      <c r="E192" s="363">
        <v>95417700</v>
      </c>
      <c r="F192" s="363"/>
      <c r="G192" s="363"/>
      <c r="H192" s="363"/>
      <c r="I192" s="363"/>
      <c r="J192" s="363"/>
      <c r="K192" s="363"/>
      <c r="L192" s="365"/>
      <c r="M192" s="363"/>
      <c r="N192" s="365"/>
      <c r="O192" s="488">
        <f t="shared" si="12"/>
        <v>95417700</v>
      </c>
      <c r="P192" s="162">
        <f t="shared" si="9"/>
        <v>95417700</v>
      </c>
      <c r="Q192" s="2"/>
      <c r="R192" s="132"/>
      <c r="S192" s="132"/>
      <c r="T192" s="132"/>
      <c r="U192" s="13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1:65" ht="24.6" customHeight="1">
      <c r="A193" s="1443"/>
      <c r="B193" s="1443"/>
      <c r="C193" s="568"/>
      <c r="D193" s="211" t="s">
        <v>52</v>
      </c>
      <c r="E193" s="363"/>
      <c r="F193" s="363"/>
      <c r="G193" s="363"/>
      <c r="H193" s="363"/>
      <c r="I193" s="363"/>
      <c r="J193" s="363"/>
      <c r="K193" s="363"/>
      <c r="L193" s="365"/>
      <c r="M193" s="363"/>
      <c r="N193" s="365"/>
      <c r="O193" s="488">
        <f t="shared" si="12"/>
        <v>0</v>
      </c>
      <c r="P193" s="162">
        <v>1</v>
      </c>
      <c r="Q193" s="2"/>
      <c r="R193" s="132"/>
      <c r="S193" s="132"/>
      <c r="T193" s="132"/>
      <c r="U193" s="13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1:65" ht="48.6" hidden="1" customHeight="1">
      <c r="A194" s="1443"/>
      <c r="B194" s="1443"/>
      <c r="C194" s="568"/>
      <c r="D194" s="370" t="s">
        <v>201</v>
      </c>
      <c r="E194" s="363"/>
      <c r="F194" s="363"/>
      <c r="G194" s="363"/>
      <c r="H194" s="363"/>
      <c r="I194" s="363"/>
      <c r="J194" s="363"/>
      <c r="K194" s="363"/>
      <c r="L194" s="365"/>
      <c r="M194" s="363"/>
      <c r="N194" s="365"/>
      <c r="O194" s="488">
        <f t="shared" si="12"/>
        <v>0</v>
      </c>
      <c r="P194" s="162">
        <f t="shared" si="9"/>
        <v>0</v>
      </c>
      <c r="Q194" s="2"/>
      <c r="R194" s="132"/>
      <c r="S194" s="132"/>
      <c r="T194" s="132"/>
      <c r="U194" s="13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1:65" ht="49.15" customHeight="1">
      <c r="A195" s="1443"/>
      <c r="B195" s="1443"/>
      <c r="C195" s="568"/>
      <c r="D195" s="211" t="s">
        <v>151</v>
      </c>
      <c r="E195" s="363">
        <v>95417700</v>
      </c>
      <c r="F195" s="363"/>
      <c r="G195" s="363"/>
      <c r="H195" s="363"/>
      <c r="I195" s="363"/>
      <c r="J195" s="363"/>
      <c r="K195" s="363"/>
      <c r="L195" s="365"/>
      <c r="M195" s="363"/>
      <c r="N195" s="365"/>
      <c r="O195" s="488">
        <f t="shared" si="12"/>
        <v>95417700</v>
      </c>
      <c r="P195" s="162">
        <f t="shared" si="9"/>
        <v>95417700</v>
      </c>
      <c r="Q195" s="2"/>
      <c r="R195" s="132"/>
      <c r="S195" s="132"/>
      <c r="T195" s="132"/>
      <c r="U195" s="13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1:65" ht="49.15" customHeight="1">
      <c r="A196" s="359" t="s">
        <v>963</v>
      </c>
      <c r="B196" s="359"/>
      <c r="C196" s="359" t="s">
        <v>686</v>
      </c>
      <c r="D196" s="360" t="s">
        <v>29</v>
      </c>
      <c r="E196" s="487">
        <f>+E197+E198+E199</f>
        <v>300000</v>
      </c>
      <c r="F196" s="487">
        <f t="shared" ref="F196:N196" si="15">+F197+F198+F199</f>
        <v>0</v>
      </c>
      <c r="G196" s="487">
        <f t="shared" si="15"/>
        <v>0</v>
      </c>
      <c r="H196" s="487">
        <f t="shared" si="15"/>
        <v>2900000</v>
      </c>
      <c r="I196" s="487">
        <f t="shared" si="15"/>
        <v>0</v>
      </c>
      <c r="J196" s="487">
        <f t="shared" si="15"/>
        <v>0</v>
      </c>
      <c r="K196" s="487">
        <f t="shared" si="15"/>
        <v>0</v>
      </c>
      <c r="L196" s="487">
        <f t="shared" si="15"/>
        <v>2900000</v>
      </c>
      <c r="M196" s="487">
        <f t="shared" si="15"/>
        <v>2900000</v>
      </c>
      <c r="N196" s="487">
        <f t="shared" si="15"/>
        <v>2900000</v>
      </c>
      <c r="O196" s="487">
        <f>+E196+H196</f>
        <v>3200000</v>
      </c>
      <c r="P196" s="100">
        <f t="shared" si="9"/>
        <v>3200000</v>
      </c>
      <c r="Q196" s="2"/>
      <c r="R196" s="132"/>
      <c r="S196" s="132"/>
      <c r="T196" s="132"/>
      <c r="U196" s="13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1:65" ht="49.15" hidden="1" customHeight="1">
      <c r="A197" s="1442" t="s">
        <v>1307</v>
      </c>
      <c r="B197" s="1442"/>
      <c r="C197" s="564" t="s">
        <v>1380</v>
      </c>
      <c r="D197" s="197" t="s">
        <v>1381</v>
      </c>
      <c r="E197" s="173"/>
      <c r="F197" s="173"/>
      <c r="G197" s="173"/>
      <c r="H197" s="490">
        <f>+I197+L197</f>
        <v>0</v>
      </c>
      <c r="I197" s="173"/>
      <c r="J197" s="173"/>
      <c r="K197" s="173"/>
      <c r="L197" s="488"/>
      <c r="M197" s="490">
        <f>+L197</f>
        <v>0</v>
      </c>
      <c r="N197" s="490">
        <f>+M197</f>
        <v>0</v>
      </c>
      <c r="O197" s="488">
        <f>+E197+H197</f>
        <v>0</v>
      </c>
      <c r="P197" s="100">
        <f t="shared" si="9"/>
        <v>0</v>
      </c>
      <c r="Q197" s="2"/>
      <c r="R197" s="132"/>
      <c r="S197" s="132"/>
      <c r="T197" s="132"/>
      <c r="U197" s="13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</row>
    <row r="198" spans="1:65" ht="49.15" customHeight="1">
      <c r="A198" s="1416" t="s">
        <v>372</v>
      </c>
      <c r="B198" s="1416"/>
      <c r="C198" s="569" t="s">
        <v>1395</v>
      </c>
      <c r="D198" s="367" t="s">
        <v>1394</v>
      </c>
      <c r="E198" s="488">
        <v>300000</v>
      </c>
      <c r="F198" s="488">
        <f>+'видатки_затв '!D172</f>
        <v>0</v>
      </c>
      <c r="G198" s="488">
        <f>+'видатки_затв '!E172</f>
        <v>0</v>
      </c>
      <c r="H198" s="364">
        <f>+I198+L198</f>
        <v>0</v>
      </c>
      <c r="I198" s="488">
        <f>+'видатки_затв '!G172</f>
        <v>0</v>
      </c>
      <c r="J198" s="488">
        <f>+'видатки_затв '!H172</f>
        <v>0</v>
      </c>
      <c r="K198" s="488">
        <f>+'видатки_затв '!I172</f>
        <v>0</v>
      </c>
      <c r="L198" s="488">
        <f>+'видатки_затв '!J172</f>
        <v>0</v>
      </c>
      <c r="M198" s="488">
        <f>+'видатки_затв '!K172</f>
        <v>0</v>
      </c>
      <c r="N198" s="488">
        <f>+'видатки_затв '!L172</f>
        <v>0</v>
      </c>
      <c r="O198" s="488">
        <f>+E198+H198</f>
        <v>300000</v>
      </c>
      <c r="P198" s="100">
        <f t="shared" si="9"/>
        <v>300000</v>
      </c>
      <c r="Q198" s="2"/>
      <c r="R198" s="132"/>
      <c r="S198" s="132"/>
      <c r="T198" s="132"/>
      <c r="U198" s="13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1:65" ht="42.6" customHeight="1">
      <c r="A199" s="1416" t="s">
        <v>373</v>
      </c>
      <c r="B199" s="1416"/>
      <c r="C199" s="569" t="s">
        <v>1508</v>
      </c>
      <c r="D199" s="454" t="s">
        <v>532</v>
      </c>
      <c r="E199" s="488"/>
      <c r="F199" s="689"/>
      <c r="G199" s="689"/>
      <c r="H199" s="364">
        <f>+I199+L199</f>
        <v>2900000</v>
      </c>
      <c r="I199" s="364"/>
      <c r="J199" s="364"/>
      <c r="K199" s="364"/>
      <c r="L199" s="488">
        <f>2500000-300000+750000-50000</f>
        <v>2900000</v>
      </c>
      <c r="M199" s="456">
        <f>+L199</f>
        <v>2900000</v>
      </c>
      <c r="N199" s="456">
        <f>+M199</f>
        <v>2900000</v>
      </c>
      <c r="O199" s="488">
        <f>+E199+H199</f>
        <v>2900000</v>
      </c>
      <c r="P199" s="100">
        <f t="shared" si="9"/>
        <v>2900000</v>
      </c>
      <c r="Q199" s="2"/>
      <c r="R199" s="132"/>
      <c r="S199" s="132"/>
      <c r="T199" s="132"/>
      <c r="U199" s="13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</row>
    <row r="200" spans="1:65" ht="63.6" customHeight="1">
      <c r="A200" s="359" t="s">
        <v>964</v>
      </c>
      <c r="B200" s="359"/>
      <c r="C200" s="359" t="s">
        <v>30</v>
      </c>
      <c r="D200" s="360" t="s">
        <v>31</v>
      </c>
      <c r="E200" s="487">
        <f>+E204+E206+E207+E215+E214+E202+E203+E201</f>
        <v>0</v>
      </c>
      <c r="F200" s="487">
        <f>+F204+F206+F207+F215+F214+F202+F203+F201</f>
        <v>0</v>
      </c>
      <c r="G200" s="487">
        <f>+G204+G206+G207+G215+G214+G202+G203+G201</f>
        <v>0</v>
      </c>
      <c r="H200" s="487">
        <f>+H204+H206+H207+H215+H214+H202+H203+H201</f>
        <v>18000000</v>
      </c>
      <c r="I200" s="487">
        <f t="shared" ref="I200:N200" si="16">+I204+I206+I207+I215+I214+I202+I203+I201</f>
        <v>0</v>
      </c>
      <c r="J200" s="487">
        <f t="shared" si="16"/>
        <v>0</v>
      </c>
      <c r="K200" s="487">
        <f t="shared" si="16"/>
        <v>0</v>
      </c>
      <c r="L200" s="487">
        <f t="shared" si="16"/>
        <v>18000000</v>
      </c>
      <c r="M200" s="487">
        <f t="shared" si="16"/>
        <v>0</v>
      </c>
      <c r="N200" s="487">
        <f t="shared" si="16"/>
        <v>0</v>
      </c>
      <c r="O200" s="487">
        <f t="shared" si="12"/>
        <v>18000000</v>
      </c>
      <c r="P200" s="100">
        <f t="shared" si="9"/>
        <v>18000000</v>
      </c>
      <c r="R200" s="71"/>
      <c r="S200" s="71"/>
      <c r="T200" s="71"/>
      <c r="U200" s="71"/>
    </row>
    <row r="201" spans="1:65" ht="28.15" hidden="1" customHeight="1">
      <c r="A201" s="1442" t="s">
        <v>1307</v>
      </c>
      <c r="B201" s="1442"/>
      <c r="C201" s="564" t="s">
        <v>1380</v>
      </c>
      <c r="D201" s="197" t="s">
        <v>1381</v>
      </c>
      <c r="E201" s="173"/>
      <c r="F201" s="173"/>
      <c r="G201" s="173"/>
      <c r="H201" s="490">
        <f>+I201+L201</f>
        <v>0</v>
      </c>
      <c r="I201" s="173"/>
      <c r="J201" s="173"/>
      <c r="K201" s="173"/>
      <c r="L201" s="488"/>
      <c r="M201" s="490">
        <f>+L201</f>
        <v>0</v>
      </c>
      <c r="N201" s="490">
        <f>+M201</f>
        <v>0</v>
      </c>
      <c r="O201" s="488">
        <f t="shared" si="12"/>
        <v>0</v>
      </c>
      <c r="P201" s="100">
        <f t="shared" si="9"/>
        <v>0</v>
      </c>
      <c r="Q201" s="2"/>
      <c r="R201" s="7"/>
      <c r="S201" s="7"/>
      <c r="T201" s="7"/>
      <c r="U201" s="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</row>
    <row r="202" spans="1:65" ht="36.6" hidden="1" customHeight="1">
      <c r="A202" s="1416" t="s">
        <v>1308</v>
      </c>
      <c r="B202" s="1416"/>
      <c r="C202" s="569" t="s">
        <v>1395</v>
      </c>
      <c r="D202" s="367" t="s">
        <v>1394</v>
      </c>
      <c r="E202" s="488"/>
      <c r="F202" s="488">
        <f>+'видатки_затв '!D176</f>
        <v>0</v>
      </c>
      <c r="G202" s="488">
        <f>+'видатки_затв '!E176</f>
        <v>0</v>
      </c>
      <c r="H202" s="364">
        <f>+I202+L202</f>
        <v>0</v>
      </c>
      <c r="I202" s="488">
        <f>+'видатки_затв '!G176</f>
        <v>0</v>
      </c>
      <c r="J202" s="488">
        <f>+'видатки_затв '!H176</f>
        <v>0</v>
      </c>
      <c r="K202" s="488">
        <f>+'видатки_затв '!I176</f>
        <v>0</v>
      </c>
      <c r="L202" s="488">
        <f>+'видатки_затв '!J176</f>
        <v>0</v>
      </c>
      <c r="M202" s="488">
        <f>+'видатки_затв '!K176</f>
        <v>0</v>
      </c>
      <c r="N202" s="488">
        <f>+'видатки_затв '!L176</f>
        <v>0</v>
      </c>
      <c r="O202" s="488">
        <f t="shared" si="12"/>
        <v>0</v>
      </c>
      <c r="P202" s="100">
        <f t="shared" si="9"/>
        <v>0</v>
      </c>
      <c r="Q202" s="2"/>
      <c r="R202" s="132"/>
      <c r="S202" s="132"/>
      <c r="T202" s="132"/>
      <c r="U202" s="13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</row>
    <row r="203" spans="1:65" ht="24" hidden="1" customHeight="1">
      <c r="A203" s="1416" t="s">
        <v>424</v>
      </c>
      <c r="B203" s="1416"/>
      <c r="C203" s="569" t="s">
        <v>1508</v>
      </c>
      <c r="D203" s="454" t="s">
        <v>532</v>
      </c>
      <c r="E203" s="488"/>
      <c r="F203" s="689"/>
      <c r="G203" s="689"/>
      <c r="H203" s="364">
        <f>+I203+L203</f>
        <v>0</v>
      </c>
      <c r="I203" s="364"/>
      <c r="J203" s="364"/>
      <c r="K203" s="364"/>
      <c r="L203" s="488"/>
      <c r="M203" s="456">
        <f>+L203</f>
        <v>0</v>
      </c>
      <c r="N203" s="456">
        <f>+M203</f>
        <v>0</v>
      </c>
      <c r="O203" s="488">
        <f t="shared" si="12"/>
        <v>0</v>
      </c>
      <c r="P203" s="100">
        <f t="shared" si="9"/>
        <v>0</v>
      </c>
      <c r="Q203" s="2"/>
      <c r="R203" s="132"/>
      <c r="S203" s="132"/>
      <c r="T203" s="132"/>
      <c r="U203" s="13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</row>
    <row r="204" spans="1:65" ht="46.9" hidden="1" customHeight="1">
      <c r="A204" s="1442"/>
      <c r="B204" s="1442"/>
      <c r="C204" s="567" t="s">
        <v>1212</v>
      </c>
      <c r="D204" s="170" t="s">
        <v>1214</v>
      </c>
      <c r="E204" s="169">
        <f>+'видатки_затв '!C266</f>
        <v>0</v>
      </c>
      <c r="F204" s="169">
        <f>+'видатки_затв '!D266</f>
        <v>0</v>
      </c>
      <c r="G204" s="169">
        <f>+'видатки_затв '!E266</f>
        <v>0</v>
      </c>
      <c r="H204" s="169">
        <f>+I204+L204</f>
        <v>0</v>
      </c>
      <c r="I204" s="169">
        <f>+'видатки_затв '!G266</f>
        <v>0</v>
      </c>
      <c r="J204" s="169">
        <f>+'видатки_затв '!H266</f>
        <v>0</v>
      </c>
      <c r="K204" s="169">
        <f>+'видатки_затв '!I266</f>
        <v>0</v>
      </c>
      <c r="L204" s="195"/>
      <c r="M204" s="169">
        <f>+'видатки_затв '!K266</f>
        <v>0</v>
      </c>
      <c r="N204" s="195">
        <f>+'видатки_затв '!L266</f>
        <v>0</v>
      </c>
      <c r="O204" s="169">
        <f t="shared" si="12"/>
        <v>0</v>
      </c>
      <c r="P204" s="100">
        <f t="shared" si="9"/>
        <v>0</v>
      </c>
      <c r="R204" s="71"/>
      <c r="S204" s="71"/>
      <c r="T204" s="71"/>
      <c r="U204" s="71"/>
    </row>
    <row r="205" spans="1:65" ht="44.45" hidden="1" customHeight="1">
      <c r="A205" s="1442"/>
      <c r="B205" s="1442"/>
      <c r="C205" s="570"/>
      <c r="D205" s="171" t="s">
        <v>507</v>
      </c>
      <c r="E205" s="173"/>
      <c r="F205" s="173"/>
      <c r="G205" s="173"/>
      <c r="H205" s="173">
        <f>+I205+L205</f>
        <v>0</v>
      </c>
      <c r="I205" s="173"/>
      <c r="J205" s="173"/>
      <c r="K205" s="173"/>
      <c r="L205" s="194"/>
      <c r="M205" s="173"/>
      <c r="N205" s="194"/>
      <c r="O205" s="173">
        <f t="shared" si="12"/>
        <v>0</v>
      </c>
      <c r="P205" s="100">
        <f t="shared" si="9"/>
        <v>0</v>
      </c>
      <c r="Q205" s="24"/>
      <c r="R205" s="44"/>
      <c r="S205" s="44"/>
      <c r="T205" s="44"/>
      <c r="U205" s="44"/>
      <c r="V205" s="24"/>
    </row>
    <row r="206" spans="1:65" ht="35.450000000000003" hidden="1" customHeight="1">
      <c r="A206" s="1442"/>
      <c r="B206" s="1442"/>
      <c r="C206" s="567" t="s">
        <v>1211</v>
      </c>
      <c r="D206" s="170" t="s">
        <v>1250</v>
      </c>
      <c r="E206" s="169"/>
      <c r="F206" s="169"/>
      <c r="G206" s="169"/>
      <c r="H206" s="169"/>
      <c r="I206" s="169"/>
      <c r="J206" s="169"/>
      <c r="K206" s="169">
        <f>+'видатки_затв '!I271</f>
        <v>0</v>
      </c>
      <c r="L206" s="195"/>
      <c r="M206" s="169"/>
      <c r="N206" s="195"/>
      <c r="O206" s="169">
        <f t="shared" si="12"/>
        <v>0</v>
      </c>
      <c r="P206" s="100">
        <f t="shared" si="9"/>
        <v>0</v>
      </c>
      <c r="R206" s="71"/>
      <c r="S206" s="71"/>
      <c r="T206" s="71"/>
      <c r="U206" s="71"/>
    </row>
    <row r="207" spans="1:65" ht="63" customHeight="1">
      <c r="A207" s="1445" t="s">
        <v>32</v>
      </c>
      <c r="B207" s="1446"/>
      <c r="C207" s="569" t="s">
        <v>1507</v>
      </c>
      <c r="D207" s="202" t="s">
        <v>675</v>
      </c>
      <c r="E207" s="488"/>
      <c r="F207" s="488"/>
      <c r="G207" s="488"/>
      <c r="H207" s="488">
        <f t="shared" ref="H207:H217" si="17">+I207+L207</f>
        <v>18000000</v>
      </c>
      <c r="I207" s="488"/>
      <c r="J207" s="488"/>
      <c r="K207" s="488"/>
      <c r="L207" s="488">
        <v>18000000</v>
      </c>
      <c r="M207" s="488"/>
      <c r="N207" s="488"/>
      <c r="O207" s="488">
        <f t="shared" si="12"/>
        <v>18000000</v>
      </c>
      <c r="P207" s="100">
        <f t="shared" si="9"/>
        <v>18000000</v>
      </c>
      <c r="R207" s="71"/>
      <c r="S207" s="71"/>
      <c r="T207" s="71"/>
      <c r="U207" s="71"/>
    </row>
    <row r="208" spans="1:65" ht="27" hidden="1" customHeight="1">
      <c r="A208" s="1420"/>
      <c r="B208" s="1421"/>
      <c r="C208" s="569"/>
      <c r="D208" s="202" t="s">
        <v>747</v>
      </c>
      <c r="E208" s="488"/>
      <c r="F208" s="488"/>
      <c r="G208" s="488"/>
      <c r="H208" s="488">
        <f t="shared" si="17"/>
        <v>0</v>
      </c>
      <c r="I208" s="488"/>
      <c r="J208" s="488"/>
      <c r="K208" s="488"/>
      <c r="L208" s="488"/>
      <c r="M208" s="488"/>
      <c r="N208" s="488"/>
      <c r="O208" s="488">
        <f t="shared" si="12"/>
        <v>0</v>
      </c>
      <c r="P208" s="100"/>
      <c r="R208" s="71"/>
      <c r="S208" s="71"/>
      <c r="T208" s="71"/>
      <c r="U208" s="71"/>
    </row>
    <row r="209" spans="1:21" ht="99" hidden="1" customHeight="1">
      <c r="A209" s="637"/>
      <c r="B209" s="638"/>
      <c r="C209" s="569"/>
      <c r="D209" s="202" t="s">
        <v>672</v>
      </c>
      <c r="E209" s="488"/>
      <c r="F209" s="488"/>
      <c r="G209" s="488"/>
      <c r="H209" s="488">
        <f t="shared" si="17"/>
        <v>0</v>
      </c>
      <c r="I209" s="488"/>
      <c r="J209" s="488"/>
      <c r="K209" s="488"/>
      <c r="L209" s="488"/>
      <c r="M209" s="488"/>
      <c r="N209" s="488"/>
      <c r="O209" s="488">
        <f t="shared" si="12"/>
        <v>0</v>
      </c>
      <c r="P209" s="100">
        <f t="shared" si="9"/>
        <v>0</v>
      </c>
      <c r="R209" s="71"/>
      <c r="S209" s="71"/>
      <c r="T209" s="71"/>
      <c r="U209" s="71"/>
    </row>
    <row r="210" spans="1:21" ht="47.45" hidden="1" customHeight="1">
      <c r="A210" s="1445"/>
      <c r="B210" s="1446"/>
      <c r="C210" s="569"/>
      <c r="D210" s="202" t="s">
        <v>673</v>
      </c>
      <c r="E210" s="488"/>
      <c r="F210" s="488"/>
      <c r="G210" s="488"/>
      <c r="H210" s="488">
        <f t="shared" si="17"/>
        <v>0</v>
      </c>
      <c r="I210" s="488"/>
      <c r="J210" s="488"/>
      <c r="K210" s="488"/>
      <c r="L210" s="488"/>
      <c r="M210" s="488"/>
      <c r="N210" s="488"/>
      <c r="O210" s="488">
        <f t="shared" si="12"/>
        <v>0</v>
      </c>
      <c r="P210" s="100">
        <f t="shared" si="9"/>
        <v>0</v>
      </c>
      <c r="R210" s="71"/>
      <c r="S210" s="71"/>
      <c r="T210" s="71"/>
      <c r="U210" s="71"/>
    </row>
    <row r="211" spans="1:21" ht="23.45" hidden="1" customHeight="1">
      <c r="A211" s="1442"/>
      <c r="B211" s="1442"/>
      <c r="C211" s="567"/>
      <c r="D211" s="364" t="s">
        <v>52</v>
      </c>
      <c r="E211" s="363"/>
      <c r="F211" s="363"/>
      <c r="G211" s="363"/>
      <c r="H211" s="363"/>
      <c r="I211" s="363"/>
      <c r="J211" s="363"/>
      <c r="K211" s="363"/>
      <c r="L211" s="363"/>
      <c r="M211" s="363"/>
      <c r="N211" s="363"/>
      <c r="O211" s="363"/>
      <c r="P211" s="100"/>
      <c r="R211" s="71"/>
      <c r="S211" s="71"/>
      <c r="T211" s="71"/>
      <c r="U211" s="71"/>
    </row>
    <row r="212" spans="1:21" ht="52.15" hidden="1" customHeight="1">
      <c r="A212" s="1442"/>
      <c r="B212" s="1442"/>
      <c r="C212" s="567"/>
      <c r="D212" s="217" t="s">
        <v>1061</v>
      </c>
      <c r="E212" s="169"/>
      <c r="F212" s="169"/>
      <c r="G212" s="169"/>
      <c r="H212" s="197">
        <f t="shared" si="17"/>
        <v>0</v>
      </c>
      <c r="I212" s="197"/>
      <c r="J212" s="197"/>
      <c r="K212" s="197"/>
      <c r="L212" s="197"/>
      <c r="M212" s="197"/>
      <c r="N212" s="197"/>
      <c r="O212" s="197">
        <f t="shared" ref="O212:O257" si="18">+E212+H212</f>
        <v>0</v>
      </c>
      <c r="P212" s="100">
        <f t="shared" si="9"/>
        <v>0</v>
      </c>
      <c r="R212" s="71"/>
      <c r="S212" s="71"/>
      <c r="T212" s="71"/>
      <c r="U212" s="71"/>
    </row>
    <row r="213" spans="1:21" ht="64.900000000000006" hidden="1" customHeight="1">
      <c r="A213" s="1442"/>
      <c r="B213" s="1442"/>
      <c r="C213" s="567"/>
      <c r="D213" s="217" t="s">
        <v>58</v>
      </c>
      <c r="E213" s="169"/>
      <c r="F213" s="169"/>
      <c r="G213" s="169"/>
      <c r="H213" s="197">
        <f t="shared" si="17"/>
        <v>0</v>
      </c>
      <c r="I213" s="197"/>
      <c r="J213" s="197"/>
      <c r="K213" s="197"/>
      <c r="L213" s="197"/>
      <c r="M213" s="197"/>
      <c r="N213" s="197"/>
      <c r="O213" s="197">
        <f t="shared" si="18"/>
        <v>0</v>
      </c>
      <c r="P213" s="100">
        <f t="shared" si="9"/>
        <v>0</v>
      </c>
      <c r="R213" s="71"/>
      <c r="S213" s="71"/>
      <c r="T213" s="71"/>
      <c r="U213" s="71"/>
    </row>
    <row r="214" spans="1:21" ht="34.9" hidden="1" customHeight="1">
      <c r="A214" s="1442"/>
      <c r="B214" s="1442"/>
      <c r="C214" s="550" t="s">
        <v>1512</v>
      </c>
      <c r="D214" s="213" t="s">
        <v>268</v>
      </c>
      <c r="E214" s="180"/>
      <c r="F214" s="180"/>
      <c r="G214" s="180"/>
      <c r="H214" s="180">
        <f t="shared" si="17"/>
        <v>0</v>
      </c>
      <c r="I214" s="180"/>
      <c r="J214" s="180"/>
      <c r="K214" s="180"/>
      <c r="L214" s="193"/>
      <c r="M214" s="180"/>
      <c r="N214" s="193"/>
      <c r="O214" s="180">
        <f t="shared" si="18"/>
        <v>0</v>
      </c>
      <c r="P214" s="100">
        <f t="shared" si="9"/>
        <v>0</v>
      </c>
      <c r="R214" s="71"/>
      <c r="S214" s="71"/>
      <c r="T214" s="71"/>
      <c r="U214" s="71"/>
    </row>
    <row r="215" spans="1:21" ht="27" hidden="1" customHeight="1">
      <c r="A215" s="1442"/>
      <c r="B215" s="1442"/>
      <c r="C215" s="550" t="s">
        <v>88</v>
      </c>
      <c r="D215" s="214" t="s">
        <v>663</v>
      </c>
      <c r="E215" s="173">
        <f>+'видатки_затв '!C277</f>
        <v>0</v>
      </c>
      <c r="F215" s="173">
        <f>+'видатки_затв '!D277</f>
        <v>0</v>
      </c>
      <c r="G215" s="173">
        <f>+'видатки_затв '!E277</f>
        <v>0</v>
      </c>
      <c r="H215" s="173">
        <f t="shared" si="17"/>
        <v>0</v>
      </c>
      <c r="I215" s="173"/>
      <c r="J215" s="173"/>
      <c r="K215" s="173"/>
      <c r="L215" s="194"/>
      <c r="M215" s="173"/>
      <c r="N215" s="194"/>
      <c r="O215" s="173">
        <f t="shared" si="18"/>
        <v>0</v>
      </c>
      <c r="P215" s="100">
        <f t="shared" si="9"/>
        <v>0</v>
      </c>
      <c r="R215" s="71"/>
      <c r="S215" s="71"/>
      <c r="T215" s="71"/>
      <c r="U215" s="71"/>
    </row>
    <row r="216" spans="1:21" ht="40.9" hidden="1" customHeight="1">
      <c r="A216" s="1442"/>
      <c r="B216" s="1442"/>
      <c r="C216" s="591"/>
      <c r="D216" s="585" t="str">
        <f>+'видатки_затв '!B273</f>
        <v>сплату відсотків за надані фінансово-банківськими установами позики населенню на енергоощадні заходи</v>
      </c>
      <c r="E216" s="173"/>
      <c r="F216" s="173"/>
      <c r="G216" s="173"/>
      <c r="H216" s="173">
        <f t="shared" si="17"/>
        <v>0</v>
      </c>
      <c r="I216" s="173"/>
      <c r="J216" s="173"/>
      <c r="K216" s="173"/>
      <c r="L216" s="194"/>
      <c r="M216" s="173"/>
      <c r="N216" s="194"/>
      <c r="O216" s="173">
        <f t="shared" si="18"/>
        <v>0</v>
      </c>
      <c r="P216" s="100">
        <f t="shared" ref="P216:P264" si="19">+O216</f>
        <v>0</v>
      </c>
      <c r="R216" s="71"/>
      <c r="S216" s="71"/>
      <c r="T216" s="71"/>
      <c r="U216" s="71"/>
    </row>
    <row r="217" spans="1:21" ht="72" hidden="1" customHeight="1">
      <c r="A217" s="1442"/>
      <c r="B217" s="1442"/>
      <c r="C217" s="591"/>
      <c r="D217" s="585" t="s">
        <v>818</v>
      </c>
      <c r="E217" s="173"/>
      <c r="F217" s="173"/>
      <c r="G217" s="173"/>
      <c r="H217" s="173">
        <f t="shared" si="17"/>
        <v>0</v>
      </c>
      <c r="I217" s="173"/>
      <c r="J217" s="173"/>
      <c r="K217" s="173"/>
      <c r="L217" s="194"/>
      <c r="M217" s="173"/>
      <c r="N217" s="194"/>
      <c r="O217" s="173">
        <f t="shared" si="18"/>
        <v>0</v>
      </c>
      <c r="P217" s="100">
        <f t="shared" si="19"/>
        <v>0</v>
      </c>
      <c r="R217" s="71"/>
      <c r="S217" s="71"/>
      <c r="T217" s="71"/>
      <c r="U217" s="71"/>
    </row>
    <row r="218" spans="1:21" ht="45.6" hidden="1" customHeight="1">
      <c r="A218" s="359" t="s">
        <v>964</v>
      </c>
      <c r="B218" s="359"/>
      <c r="C218" s="359"/>
      <c r="D218" s="360" t="s">
        <v>159</v>
      </c>
      <c r="E218" s="524">
        <f>+E219+E220</f>
        <v>0</v>
      </c>
      <c r="F218" s="524">
        <f t="shared" ref="F218:M218" si="20">+F219+F220</f>
        <v>0</v>
      </c>
      <c r="G218" s="524">
        <f t="shared" si="20"/>
        <v>0</v>
      </c>
      <c r="H218" s="524">
        <f t="shared" si="20"/>
        <v>0</v>
      </c>
      <c r="I218" s="524">
        <f t="shared" si="20"/>
        <v>0</v>
      </c>
      <c r="J218" s="524">
        <f t="shared" si="20"/>
        <v>0</v>
      </c>
      <c r="K218" s="524">
        <f t="shared" si="20"/>
        <v>0</v>
      </c>
      <c r="L218" s="524">
        <f t="shared" si="20"/>
        <v>0</v>
      </c>
      <c r="M218" s="524">
        <f t="shared" si="20"/>
        <v>0</v>
      </c>
      <c r="N218" s="524">
        <f>+N219+N220</f>
        <v>0</v>
      </c>
      <c r="O218" s="524">
        <f t="shared" si="18"/>
        <v>0</v>
      </c>
      <c r="P218" s="162">
        <f t="shared" si="19"/>
        <v>0</v>
      </c>
      <c r="R218" s="71"/>
      <c r="S218" s="71"/>
      <c r="T218" s="71"/>
      <c r="U218" s="71"/>
    </row>
    <row r="219" spans="1:21" ht="43.9" hidden="1" customHeight="1">
      <c r="A219" s="1442"/>
      <c r="B219" s="1442"/>
      <c r="C219" s="550" t="s">
        <v>160</v>
      </c>
      <c r="D219" s="452" t="s">
        <v>1248</v>
      </c>
      <c r="E219" s="491"/>
      <c r="F219" s="491"/>
      <c r="G219" s="491"/>
      <c r="H219" s="491">
        <f t="shared" ref="H219:H229" si="21">+I219+L219</f>
        <v>0</v>
      </c>
      <c r="I219" s="491"/>
      <c r="J219" s="491"/>
      <c r="K219" s="491"/>
      <c r="L219" s="491"/>
      <c r="M219" s="491"/>
      <c r="N219" s="491"/>
      <c r="O219" s="491">
        <f t="shared" si="18"/>
        <v>0</v>
      </c>
      <c r="P219" s="162">
        <f t="shared" si="19"/>
        <v>0</v>
      </c>
      <c r="R219" s="71"/>
      <c r="S219" s="71"/>
      <c r="T219" s="71"/>
      <c r="U219" s="71"/>
    </row>
    <row r="220" spans="1:21" ht="43.9" hidden="1" customHeight="1">
      <c r="A220" s="1442"/>
      <c r="B220" s="1442"/>
      <c r="C220" s="550" t="s">
        <v>161</v>
      </c>
      <c r="D220" s="452" t="s">
        <v>994</v>
      </c>
      <c r="E220" s="491"/>
      <c r="F220" s="491"/>
      <c r="G220" s="491"/>
      <c r="H220" s="489">
        <f t="shared" si="21"/>
        <v>0</v>
      </c>
      <c r="I220" s="489"/>
      <c r="J220" s="489"/>
      <c r="K220" s="489"/>
      <c r="L220" s="489">
        <f>99500-99500</f>
        <v>0</v>
      </c>
      <c r="M220" s="489"/>
      <c r="N220" s="489"/>
      <c r="O220" s="489">
        <f t="shared" si="18"/>
        <v>0</v>
      </c>
      <c r="P220" s="162">
        <f t="shared" si="19"/>
        <v>0</v>
      </c>
      <c r="R220" s="71"/>
      <c r="S220" s="71"/>
      <c r="T220" s="71"/>
      <c r="U220" s="71"/>
    </row>
    <row r="221" spans="1:21" ht="28.15" customHeight="1">
      <c r="A221" s="359" t="s">
        <v>965</v>
      </c>
      <c r="B221" s="359"/>
      <c r="C221" s="359" t="s">
        <v>837</v>
      </c>
      <c r="D221" s="360" t="s">
        <v>1179</v>
      </c>
      <c r="E221" s="487">
        <f>+E223+E226+E227+E231+E239+E243+E244+E245+E249+E250+E252+E253+E257+E258+E259+E261+E260+E263+E264+E268+E269+E270+E271+E272+E273+E275+E276+E277+E278+E279+E280+E281+E282+E283+E328+E329+E331+E332+E333+E334+E335+E340+E345+E346+E347+E348+E350+E351+E352+E357+E359+E360+E362+E363+E364+E365+E366+E367+E368+E369+E370+E233+E247+E232+E354+E355+E356+E246+E240+E256+E254+E255</f>
        <v>3859030000</v>
      </c>
      <c r="F221" s="487">
        <f t="shared" ref="F221:N221" si="22">+F223+F226+F227+F231+F239+F243+F244+F245+F249+F250+F252+F253+F257+F258+F259+F261+F260+F263+F264+F268+F269+F270+F271+F272+F273+F275+F276+F277+F278+F279+F280+F281+F282+F283+F328+F329+F331+F332+F333+F334+F335+F340+F345+F346+F347+F348+F350+F351+F352+F357+F359+F360+F362+F363+F364+F365+F366+F367+F368+F369+F370+F233+F247+F232+F354+F355+F356+F246+F240+F256+F254+F255+F247</f>
        <v>0</v>
      </c>
      <c r="G221" s="487">
        <f t="shared" si="22"/>
        <v>0</v>
      </c>
      <c r="H221" s="487">
        <f t="shared" si="22"/>
        <v>67497500</v>
      </c>
      <c r="I221" s="487">
        <f t="shared" si="22"/>
        <v>16799200</v>
      </c>
      <c r="J221" s="487">
        <f t="shared" si="22"/>
        <v>0</v>
      </c>
      <c r="K221" s="487">
        <f t="shared" si="22"/>
        <v>0</v>
      </c>
      <c r="L221" s="487">
        <f t="shared" si="22"/>
        <v>50698300</v>
      </c>
      <c r="M221" s="487">
        <f t="shared" si="22"/>
        <v>15000000</v>
      </c>
      <c r="N221" s="487">
        <f t="shared" si="22"/>
        <v>8000000</v>
      </c>
      <c r="O221" s="487">
        <f t="shared" si="18"/>
        <v>3926527500</v>
      </c>
      <c r="P221" s="162">
        <f t="shared" si="19"/>
        <v>3926527500</v>
      </c>
      <c r="R221" s="71"/>
      <c r="S221" s="71"/>
      <c r="T221" s="71"/>
      <c r="U221" s="71"/>
    </row>
    <row r="222" spans="1:21" ht="44.45" hidden="1" customHeight="1">
      <c r="A222" s="1415"/>
      <c r="B222" s="1415"/>
      <c r="C222" s="570"/>
      <c r="D222" s="539" t="s">
        <v>46</v>
      </c>
      <c r="E222" s="487"/>
      <c r="F222" s="487"/>
      <c r="G222" s="487"/>
      <c r="H222" s="592"/>
      <c r="I222" s="525"/>
      <c r="J222" s="525"/>
      <c r="K222" s="525"/>
      <c r="L222" s="540"/>
      <c r="M222" s="540"/>
      <c r="N222" s="540">
        <f>+M222</f>
        <v>0</v>
      </c>
      <c r="O222" s="592">
        <f t="shared" si="18"/>
        <v>0</v>
      </c>
      <c r="P222" s="162"/>
      <c r="R222" s="71"/>
      <c r="S222" s="71"/>
      <c r="T222" s="71"/>
      <c r="U222" s="71"/>
    </row>
    <row r="223" spans="1:21" ht="18" hidden="1" customHeight="1">
      <c r="A223" s="1415"/>
      <c r="B223" s="1415"/>
      <c r="C223" s="570" t="s">
        <v>1623</v>
      </c>
      <c r="D223" s="171" t="s">
        <v>1075</v>
      </c>
      <c r="E223" s="173"/>
      <c r="F223" s="173"/>
      <c r="G223" s="173"/>
      <c r="H223" s="173">
        <f t="shared" si="21"/>
        <v>0</v>
      </c>
      <c r="I223" s="173"/>
      <c r="J223" s="173"/>
      <c r="K223" s="173"/>
      <c r="L223" s="173"/>
      <c r="M223" s="173"/>
      <c r="N223" s="173"/>
      <c r="O223" s="173">
        <f t="shared" si="18"/>
        <v>0</v>
      </c>
      <c r="P223" s="100">
        <f t="shared" si="19"/>
        <v>0</v>
      </c>
      <c r="R223" s="71"/>
      <c r="S223" s="71"/>
      <c r="T223" s="71"/>
      <c r="U223" s="71"/>
    </row>
    <row r="224" spans="1:21" ht="18" hidden="1" customHeight="1">
      <c r="A224" s="1415"/>
      <c r="B224" s="1415"/>
      <c r="C224" s="570"/>
      <c r="D224" s="171" t="s">
        <v>422</v>
      </c>
      <c r="E224" s="173"/>
      <c r="F224" s="173"/>
      <c r="G224" s="174"/>
      <c r="H224" s="173">
        <f t="shared" si="21"/>
        <v>0</v>
      </c>
      <c r="I224" s="173"/>
      <c r="J224" s="173"/>
      <c r="K224" s="173"/>
      <c r="L224" s="194"/>
      <c r="M224" s="173"/>
      <c r="N224" s="194"/>
      <c r="O224" s="173">
        <f t="shared" si="18"/>
        <v>0</v>
      </c>
      <c r="P224" s="100">
        <f t="shared" si="19"/>
        <v>0</v>
      </c>
      <c r="R224" s="71"/>
      <c r="S224" s="71"/>
      <c r="T224" s="71"/>
      <c r="U224" s="71"/>
    </row>
    <row r="225" spans="1:22" ht="18" hidden="1" customHeight="1">
      <c r="A225" s="1415"/>
      <c r="B225" s="1415"/>
      <c r="C225" s="570"/>
      <c r="D225" s="171" t="s">
        <v>423</v>
      </c>
      <c r="E225" s="173"/>
      <c r="F225" s="173"/>
      <c r="G225" s="174"/>
      <c r="H225" s="173">
        <f t="shared" si="21"/>
        <v>0</v>
      </c>
      <c r="I225" s="173"/>
      <c r="J225" s="173"/>
      <c r="K225" s="173"/>
      <c r="L225" s="194"/>
      <c r="M225" s="173"/>
      <c r="N225" s="194"/>
      <c r="O225" s="173">
        <f t="shared" si="18"/>
        <v>0</v>
      </c>
      <c r="P225" s="100">
        <f t="shared" si="19"/>
        <v>0</v>
      </c>
      <c r="R225" s="71"/>
      <c r="S225" s="71"/>
      <c r="T225" s="71"/>
      <c r="U225" s="71"/>
    </row>
    <row r="226" spans="1:22" ht="31.9" hidden="1" customHeight="1">
      <c r="A226" s="1415"/>
      <c r="B226" s="1415"/>
      <c r="C226" s="550" t="s">
        <v>706</v>
      </c>
      <c r="D226" s="197" t="s">
        <v>1037</v>
      </c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>
        <f t="shared" si="18"/>
        <v>0</v>
      </c>
      <c r="P226" s="100">
        <f t="shared" si="19"/>
        <v>0</v>
      </c>
      <c r="R226" s="71"/>
      <c r="S226" s="71"/>
      <c r="T226" s="71"/>
      <c r="U226" s="71"/>
    </row>
    <row r="227" spans="1:22" ht="34.9" hidden="1" customHeight="1">
      <c r="A227" s="1415"/>
      <c r="B227" s="1415"/>
      <c r="C227" s="570" t="s">
        <v>1140</v>
      </c>
      <c r="D227" s="197" t="s">
        <v>317</v>
      </c>
      <c r="E227" s="173"/>
      <c r="F227" s="173"/>
      <c r="G227" s="173"/>
      <c r="H227" s="173">
        <f t="shared" si="21"/>
        <v>0</v>
      </c>
      <c r="I227" s="173"/>
      <c r="J227" s="173"/>
      <c r="K227" s="173"/>
      <c r="L227" s="194"/>
      <c r="M227" s="173"/>
      <c r="N227" s="194"/>
      <c r="O227" s="173">
        <f t="shared" si="18"/>
        <v>0</v>
      </c>
      <c r="P227" s="100">
        <f t="shared" si="19"/>
        <v>0</v>
      </c>
      <c r="Q227" s="24"/>
      <c r="R227" s="44"/>
      <c r="S227" s="44"/>
      <c r="T227" s="44"/>
      <c r="U227" s="44"/>
      <c r="V227" s="24"/>
    </row>
    <row r="228" spans="1:22" ht="60.6" hidden="1" customHeight="1">
      <c r="A228" s="1415"/>
      <c r="B228" s="1415"/>
      <c r="C228" s="570"/>
      <c r="D228" s="171" t="s">
        <v>1586</v>
      </c>
      <c r="E228" s="173"/>
      <c r="F228" s="173"/>
      <c r="G228" s="173"/>
      <c r="H228" s="173">
        <f t="shared" si="21"/>
        <v>0</v>
      </c>
      <c r="I228" s="173"/>
      <c r="J228" s="173"/>
      <c r="K228" s="173"/>
      <c r="L228" s="194"/>
      <c r="M228" s="173"/>
      <c r="N228" s="194"/>
      <c r="O228" s="173">
        <f t="shared" si="18"/>
        <v>0</v>
      </c>
      <c r="P228" s="100">
        <f t="shared" si="19"/>
        <v>0</v>
      </c>
      <c r="Q228" s="24"/>
      <c r="R228" s="44"/>
      <c r="S228" s="44"/>
      <c r="T228" s="44"/>
      <c r="U228" s="44"/>
      <c r="V228" s="24"/>
    </row>
    <row r="229" spans="1:22" ht="34.9" hidden="1" customHeight="1">
      <c r="A229" s="1415"/>
      <c r="B229" s="1415"/>
      <c r="C229" s="570"/>
      <c r="D229" s="171" t="s">
        <v>143</v>
      </c>
      <c r="E229" s="173"/>
      <c r="F229" s="173"/>
      <c r="G229" s="173"/>
      <c r="H229" s="173">
        <f t="shared" si="21"/>
        <v>0</v>
      </c>
      <c r="I229" s="173"/>
      <c r="J229" s="173"/>
      <c r="K229" s="173"/>
      <c r="L229" s="194"/>
      <c r="M229" s="173"/>
      <c r="N229" s="194"/>
      <c r="O229" s="173">
        <f t="shared" si="18"/>
        <v>0</v>
      </c>
      <c r="P229" s="100">
        <f t="shared" si="19"/>
        <v>0</v>
      </c>
      <c r="Q229" s="24"/>
      <c r="R229" s="44"/>
      <c r="S229" s="44"/>
      <c r="T229" s="44"/>
      <c r="U229" s="44"/>
      <c r="V229" s="24"/>
    </row>
    <row r="230" spans="1:22" ht="49.9" hidden="1" customHeight="1">
      <c r="A230" s="1415"/>
      <c r="B230" s="1415"/>
      <c r="C230" s="570"/>
      <c r="D230" s="171" t="s">
        <v>87</v>
      </c>
      <c r="E230" s="173"/>
      <c r="F230" s="173"/>
      <c r="G230" s="173"/>
      <c r="H230" s="173"/>
      <c r="I230" s="173"/>
      <c r="J230" s="173"/>
      <c r="K230" s="173"/>
      <c r="L230" s="194"/>
      <c r="M230" s="173"/>
      <c r="N230" s="194"/>
      <c r="O230" s="173">
        <f t="shared" si="18"/>
        <v>0</v>
      </c>
      <c r="P230" s="100">
        <f t="shared" si="19"/>
        <v>0</v>
      </c>
      <c r="Q230" s="24"/>
      <c r="R230" s="44"/>
      <c r="S230" s="44"/>
      <c r="T230" s="44"/>
      <c r="U230" s="44"/>
      <c r="V230" s="24"/>
    </row>
    <row r="231" spans="1:22" ht="84" hidden="1" customHeight="1">
      <c r="A231" s="1415"/>
      <c r="B231" s="1415"/>
      <c r="C231" s="570" t="s">
        <v>501</v>
      </c>
      <c r="D231" s="593" t="s">
        <v>592</v>
      </c>
      <c r="E231" s="173"/>
      <c r="F231" s="173"/>
      <c r="G231" s="173"/>
      <c r="H231" s="173">
        <f t="shared" ref="H231:H250" si="23">+I231+L231</f>
        <v>0</v>
      </c>
      <c r="I231" s="173"/>
      <c r="J231" s="173"/>
      <c r="K231" s="173"/>
      <c r="L231" s="194"/>
      <c r="M231" s="173"/>
      <c r="N231" s="194"/>
      <c r="O231" s="173">
        <f t="shared" si="18"/>
        <v>0</v>
      </c>
      <c r="P231" s="100">
        <f t="shared" si="19"/>
        <v>0</v>
      </c>
      <c r="R231" s="71"/>
      <c r="S231" s="71"/>
      <c r="T231" s="71"/>
      <c r="U231" s="71"/>
    </row>
    <row r="232" spans="1:22" ht="25.15" hidden="1" customHeight="1">
      <c r="A232" s="1418" t="s">
        <v>930</v>
      </c>
      <c r="B232" s="1419"/>
      <c r="C232" s="569" t="s">
        <v>1508</v>
      </c>
      <c r="D232" s="217" t="s">
        <v>532</v>
      </c>
      <c r="E232" s="488"/>
      <c r="F232" s="488"/>
      <c r="G232" s="488"/>
      <c r="H232" s="488">
        <f>+I232+L232</f>
        <v>0</v>
      </c>
      <c r="I232" s="488"/>
      <c r="J232" s="488"/>
      <c r="K232" s="488"/>
      <c r="L232" s="488"/>
      <c r="M232" s="488">
        <f>+L232</f>
        <v>0</v>
      </c>
      <c r="N232" s="488"/>
      <c r="O232" s="488">
        <f t="shared" si="18"/>
        <v>0</v>
      </c>
      <c r="P232" s="162">
        <f t="shared" si="19"/>
        <v>0</v>
      </c>
      <c r="R232" s="71"/>
      <c r="S232" s="71"/>
      <c r="T232" s="71"/>
      <c r="U232" s="71"/>
    </row>
    <row r="233" spans="1:22" ht="60" hidden="1" customHeight="1">
      <c r="A233" s="1418" t="s">
        <v>926</v>
      </c>
      <c r="B233" s="1419"/>
      <c r="C233" s="569" t="s">
        <v>1507</v>
      </c>
      <c r="D233" s="217" t="s">
        <v>675</v>
      </c>
      <c r="E233" s="636">
        <f>+'видатки_затв '!C263</f>
        <v>0</v>
      </c>
      <c r="F233" s="636">
        <f>+'видатки_затв '!D263</f>
        <v>0</v>
      </c>
      <c r="G233" s="636">
        <f>+'видатки_затв '!E263</f>
        <v>0</v>
      </c>
      <c r="H233" s="488">
        <f t="shared" si="23"/>
        <v>0</v>
      </c>
      <c r="I233" s="488"/>
      <c r="J233" s="488">
        <f>+'видатки_затв '!H263</f>
        <v>0</v>
      </c>
      <c r="K233" s="488">
        <f>+'видатки_затв '!I263</f>
        <v>0</v>
      </c>
      <c r="L233" s="488"/>
      <c r="M233" s="636"/>
      <c r="N233" s="636"/>
      <c r="O233" s="488">
        <f t="shared" si="18"/>
        <v>0</v>
      </c>
      <c r="P233" s="162">
        <f t="shared" si="19"/>
        <v>0</v>
      </c>
      <c r="R233" s="71"/>
      <c r="S233" s="71"/>
      <c r="T233" s="71"/>
      <c r="U233" s="71"/>
    </row>
    <row r="234" spans="1:22" ht="21" hidden="1" customHeight="1">
      <c r="A234" s="1417"/>
      <c r="B234" s="1417"/>
      <c r="C234" s="569"/>
      <c r="D234" s="454" t="s">
        <v>150</v>
      </c>
      <c r="E234" s="645"/>
      <c r="F234" s="645"/>
      <c r="G234" s="645"/>
      <c r="H234" s="456">
        <f t="shared" si="23"/>
        <v>0</v>
      </c>
      <c r="I234" s="456"/>
      <c r="J234" s="456"/>
      <c r="K234" s="456"/>
      <c r="L234" s="456"/>
      <c r="M234" s="456"/>
      <c r="N234" s="456"/>
      <c r="O234" s="456">
        <f t="shared" si="18"/>
        <v>0</v>
      </c>
      <c r="P234" s="162"/>
      <c r="R234" s="71"/>
      <c r="S234" s="71"/>
      <c r="T234" s="71"/>
      <c r="U234" s="71"/>
    </row>
    <row r="235" spans="1:22" ht="93" hidden="1" customHeight="1">
      <c r="A235" s="1417"/>
      <c r="B235" s="1417"/>
      <c r="C235" s="569"/>
      <c r="D235" s="454" t="s">
        <v>147</v>
      </c>
      <c r="E235" s="645"/>
      <c r="F235" s="645"/>
      <c r="G235" s="645"/>
      <c r="H235" s="456">
        <f t="shared" si="23"/>
        <v>0</v>
      </c>
      <c r="I235" s="456">
        <f>+'видатки_затв '!G265</f>
        <v>0</v>
      </c>
      <c r="J235" s="456">
        <f>+'видатки_затв '!H265</f>
        <v>0</v>
      </c>
      <c r="K235" s="456">
        <f>+'видатки_затв '!I265</f>
        <v>0</v>
      </c>
      <c r="L235" s="456">
        <f>+'видатки_затв '!J265</f>
        <v>0</v>
      </c>
      <c r="M235" s="456"/>
      <c r="N235" s="456"/>
      <c r="O235" s="456">
        <f t="shared" si="18"/>
        <v>0</v>
      </c>
      <c r="P235" s="162">
        <f t="shared" si="19"/>
        <v>0</v>
      </c>
      <c r="R235" s="71"/>
      <c r="S235" s="71"/>
      <c r="T235" s="71"/>
      <c r="U235" s="71"/>
    </row>
    <row r="236" spans="1:22" ht="47.45" hidden="1" customHeight="1">
      <c r="A236" s="1417"/>
      <c r="B236" s="1417"/>
      <c r="C236" s="569"/>
      <c r="D236" s="217" t="s">
        <v>148</v>
      </c>
      <c r="E236" s="645"/>
      <c r="F236" s="645"/>
      <c r="G236" s="645"/>
      <c r="H236" s="456">
        <f t="shared" si="23"/>
        <v>0</v>
      </c>
      <c r="I236" s="456">
        <f>+'видатки_затв '!G266</f>
        <v>0</v>
      </c>
      <c r="J236" s="456">
        <f>+'видатки_затв '!H266</f>
        <v>0</v>
      </c>
      <c r="K236" s="456">
        <f>+'видатки_затв '!I266</f>
        <v>0</v>
      </c>
      <c r="L236" s="456">
        <f>+'видатки_затв '!J266</f>
        <v>0</v>
      </c>
      <c r="M236" s="456"/>
      <c r="N236" s="456"/>
      <c r="O236" s="456">
        <f t="shared" si="18"/>
        <v>0</v>
      </c>
      <c r="P236" s="162">
        <f t="shared" si="19"/>
        <v>0</v>
      </c>
      <c r="R236" s="71"/>
      <c r="S236" s="71"/>
      <c r="T236" s="71"/>
      <c r="U236" s="71"/>
    </row>
    <row r="237" spans="1:22" ht="67.150000000000006" hidden="1" customHeight="1">
      <c r="A237" s="1415"/>
      <c r="B237" s="1415"/>
      <c r="C237" s="569"/>
      <c r="D237" s="202"/>
      <c r="E237" s="594"/>
      <c r="F237" s="594"/>
      <c r="G237" s="594"/>
      <c r="H237" s="521">
        <f t="shared" si="23"/>
        <v>0</v>
      </c>
      <c r="I237" s="521"/>
      <c r="J237" s="521"/>
      <c r="K237" s="521"/>
      <c r="L237" s="521"/>
      <c r="M237" s="521"/>
      <c r="N237" s="521"/>
      <c r="O237" s="521">
        <f t="shared" si="18"/>
        <v>0</v>
      </c>
      <c r="P237" s="162">
        <f t="shared" si="19"/>
        <v>0</v>
      </c>
      <c r="R237" s="71"/>
      <c r="S237" s="71"/>
      <c r="T237" s="71"/>
      <c r="U237" s="71"/>
    </row>
    <row r="238" spans="1:22" ht="67.150000000000006" hidden="1" customHeight="1">
      <c r="A238" s="1415"/>
      <c r="B238" s="1415"/>
      <c r="C238" s="569"/>
      <c r="D238" s="202"/>
      <c r="E238" s="594"/>
      <c r="F238" s="594"/>
      <c r="G238" s="594"/>
      <c r="H238" s="521">
        <f t="shared" si="23"/>
        <v>0</v>
      </c>
      <c r="I238" s="521"/>
      <c r="J238" s="521"/>
      <c r="K238" s="521"/>
      <c r="L238" s="521"/>
      <c r="M238" s="521"/>
      <c r="N238" s="521"/>
      <c r="O238" s="521">
        <f t="shared" si="18"/>
        <v>0</v>
      </c>
      <c r="P238" s="162">
        <f t="shared" si="19"/>
        <v>0</v>
      </c>
      <c r="R238" s="71"/>
      <c r="S238" s="71"/>
      <c r="T238" s="71"/>
      <c r="U238" s="71"/>
    </row>
    <row r="239" spans="1:22" ht="34.9" customHeight="1">
      <c r="A239" s="1415"/>
      <c r="B239" s="1415"/>
      <c r="C239" s="550" t="s">
        <v>1508</v>
      </c>
      <c r="D239" s="213" t="s">
        <v>532</v>
      </c>
      <c r="E239" s="180"/>
      <c r="F239" s="180"/>
      <c r="G239" s="180"/>
      <c r="H239" s="180">
        <f t="shared" si="23"/>
        <v>15147800</v>
      </c>
      <c r="I239" s="180"/>
      <c r="J239" s="180"/>
      <c r="K239" s="180"/>
      <c r="L239" s="180">
        <f>11147800+4000000</f>
        <v>15147800</v>
      </c>
      <c r="M239" s="180">
        <f>+L239</f>
        <v>15147800</v>
      </c>
      <c r="N239" s="180">
        <f>10900000-2900000</f>
        <v>8000000</v>
      </c>
      <c r="O239" s="180">
        <f t="shared" si="18"/>
        <v>15147800</v>
      </c>
      <c r="P239" s="162">
        <f t="shared" si="19"/>
        <v>15147800</v>
      </c>
      <c r="R239" s="71"/>
      <c r="S239" s="71"/>
      <c r="T239" s="71"/>
      <c r="U239" s="71"/>
    </row>
    <row r="240" spans="1:22" ht="32.450000000000003" hidden="1" customHeight="1">
      <c r="A240" s="1418" t="s">
        <v>927</v>
      </c>
      <c r="B240" s="1419"/>
      <c r="C240" s="569" t="s">
        <v>88</v>
      </c>
      <c r="D240" s="367" t="s">
        <v>229</v>
      </c>
      <c r="E240" s="488">
        <f>5000000-5000000</f>
        <v>0</v>
      </c>
      <c r="F240" s="488"/>
      <c r="G240" s="488"/>
      <c r="H240" s="488">
        <f>+I240+L240</f>
        <v>0</v>
      </c>
      <c r="I240" s="488"/>
      <c r="J240" s="488"/>
      <c r="K240" s="488"/>
      <c r="L240" s="488"/>
      <c r="M240" s="488">
        <f>+L240</f>
        <v>0</v>
      </c>
      <c r="N240" s="488">
        <f>+M240</f>
        <v>0</v>
      </c>
      <c r="O240" s="488">
        <f>+E240+H240</f>
        <v>0</v>
      </c>
      <c r="P240" s="162">
        <f t="shared" si="19"/>
        <v>0</v>
      </c>
      <c r="R240" s="71"/>
      <c r="S240" s="71"/>
      <c r="T240" s="71"/>
      <c r="U240" s="71"/>
    </row>
    <row r="241" spans="1:65" ht="19.899999999999999" hidden="1" customHeight="1">
      <c r="A241" s="695"/>
      <c r="B241" s="696"/>
      <c r="C241" s="569"/>
      <c r="D241" s="367" t="s">
        <v>529</v>
      </c>
      <c r="E241" s="488"/>
      <c r="F241" s="488"/>
      <c r="G241" s="488"/>
      <c r="H241" s="488">
        <f>+I241+L241</f>
        <v>0</v>
      </c>
      <c r="I241" s="488"/>
      <c r="J241" s="488"/>
      <c r="K241" s="488"/>
      <c r="L241" s="488"/>
      <c r="M241" s="488"/>
      <c r="N241" s="488"/>
      <c r="O241" s="488"/>
      <c r="P241" s="162"/>
      <c r="R241" s="71"/>
      <c r="S241" s="71"/>
      <c r="T241" s="71"/>
      <c r="U241" s="71"/>
    </row>
    <row r="242" spans="1:65" ht="47.45" hidden="1" customHeight="1">
      <c r="A242" s="695"/>
      <c r="B242" s="696"/>
      <c r="C242" s="569"/>
      <c r="D242" s="367" t="s">
        <v>1085</v>
      </c>
      <c r="E242" s="488"/>
      <c r="F242" s="488"/>
      <c r="G242" s="488"/>
      <c r="H242" s="488">
        <f>+I242+L242</f>
        <v>0</v>
      </c>
      <c r="I242" s="488"/>
      <c r="J242" s="488"/>
      <c r="K242" s="488"/>
      <c r="L242" s="488"/>
      <c r="M242" s="488">
        <f>+L242</f>
        <v>0</v>
      </c>
      <c r="N242" s="488">
        <f>+M242</f>
        <v>0</v>
      </c>
      <c r="O242" s="488">
        <f t="shared" si="18"/>
        <v>0</v>
      </c>
      <c r="P242" s="162">
        <f t="shared" si="19"/>
        <v>0</v>
      </c>
      <c r="R242" s="71"/>
      <c r="S242" s="71"/>
      <c r="T242" s="71"/>
      <c r="U242" s="71"/>
    </row>
    <row r="243" spans="1:65" ht="30" hidden="1">
      <c r="A243" s="1418" t="s">
        <v>1383</v>
      </c>
      <c r="B243" s="1419"/>
      <c r="C243" s="569" t="s">
        <v>1512</v>
      </c>
      <c r="D243" s="217" t="s">
        <v>268</v>
      </c>
      <c r="E243" s="488"/>
      <c r="F243" s="488"/>
      <c r="G243" s="488"/>
      <c r="H243" s="488">
        <f t="shared" si="23"/>
        <v>0</v>
      </c>
      <c r="I243" s="488"/>
      <c r="J243" s="488"/>
      <c r="K243" s="488"/>
      <c r="L243" s="488"/>
      <c r="M243" s="488"/>
      <c r="N243" s="488"/>
      <c r="O243" s="488">
        <f t="shared" si="18"/>
        <v>0</v>
      </c>
      <c r="P243" s="162">
        <f t="shared" si="19"/>
        <v>0</v>
      </c>
      <c r="R243" s="71"/>
      <c r="S243" s="71"/>
      <c r="T243" s="71"/>
      <c r="U243" s="71"/>
    </row>
    <row r="244" spans="1:65" ht="19.899999999999999" hidden="1" customHeight="1">
      <c r="A244" s="1415"/>
      <c r="B244" s="1415"/>
      <c r="C244" s="570" t="s">
        <v>1034</v>
      </c>
      <c r="D244" s="595" t="str">
        <f>+'видатки_затв '!B280</f>
        <v xml:space="preserve">Внески органів влади Автономної Республіки Крим та органів місцевого самоврядування у статутні фонди суб"єктів підприємницької діяльності </v>
      </c>
      <c r="E244" s="173"/>
      <c r="F244" s="173"/>
      <c r="G244" s="173"/>
      <c r="H244" s="173">
        <f t="shared" si="23"/>
        <v>0</v>
      </c>
      <c r="I244" s="173"/>
      <c r="J244" s="173"/>
      <c r="K244" s="173"/>
      <c r="L244" s="194">
        <f>3000-3000</f>
        <v>0</v>
      </c>
      <c r="M244" s="173">
        <f>+L244</f>
        <v>0</v>
      </c>
      <c r="N244" s="194">
        <f>3000-3000</f>
        <v>0</v>
      </c>
      <c r="O244" s="173">
        <f t="shared" si="18"/>
        <v>0</v>
      </c>
      <c r="P244" s="100">
        <f t="shared" si="19"/>
        <v>0</v>
      </c>
      <c r="R244" s="71"/>
      <c r="S244" s="71"/>
      <c r="T244" s="71"/>
      <c r="U244" s="71"/>
    </row>
    <row r="245" spans="1:65" ht="30.6" hidden="1" customHeight="1" outlineLevel="1">
      <c r="A245" s="1415"/>
      <c r="B245" s="1415"/>
      <c r="C245" s="564" t="s">
        <v>224</v>
      </c>
      <c r="D245" s="596" t="s">
        <v>653</v>
      </c>
      <c r="E245" s="197"/>
      <c r="F245" s="197"/>
      <c r="G245" s="197"/>
      <c r="H245" s="197">
        <f t="shared" si="23"/>
        <v>0</v>
      </c>
      <c r="I245" s="197"/>
      <c r="J245" s="197"/>
      <c r="K245" s="197"/>
      <c r="L245" s="197"/>
      <c r="M245" s="197"/>
      <c r="N245" s="197"/>
      <c r="O245" s="197">
        <f t="shared" si="18"/>
        <v>0</v>
      </c>
      <c r="P245" s="225">
        <f t="shared" si="19"/>
        <v>0</v>
      </c>
      <c r="Q245" s="54"/>
      <c r="R245" s="123"/>
      <c r="S245" s="123"/>
      <c r="T245" s="123"/>
      <c r="U245" s="123"/>
      <c r="V245" s="5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</row>
    <row r="246" spans="1:65" ht="30.6" hidden="1" customHeight="1" outlineLevel="1">
      <c r="A246" s="1415"/>
      <c r="B246" s="1415"/>
      <c r="C246" s="564" t="s">
        <v>225</v>
      </c>
      <c r="D246" s="448" t="s">
        <v>226</v>
      </c>
      <c r="E246" s="490"/>
      <c r="F246" s="490"/>
      <c r="G246" s="490"/>
      <c r="H246" s="490">
        <f t="shared" si="23"/>
        <v>0</v>
      </c>
      <c r="I246" s="490"/>
      <c r="J246" s="490"/>
      <c r="K246" s="490"/>
      <c r="L246" s="490">
        <f>300000-300000</f>
        <v>0</v>
      </c>
      <c r="M246" s="490"/>
      <c r="N246" s="490"/>
      <c r="O246" s="490">
        <f t="shared" si="18"/>
        <v>0</v>
      </c>
      <c r="P246" s="225">
        <f t="shared" si="19"/>
        <v>0</v>
      </c>
      <c r="Q246" s="54"/>
      <c r="R246" s="71"/>
      <c r="S246" s="71"/>
      <c r="T246" s="71"/>
      <c r="U246" s="71"/>
      <c r="V246" s="5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</row>
    <row r="247" spans="1:65" ht="30.6" customHeight="1" outlineLevel="1">
      <c r="A247" s="1418" t="s">
        <v>557</v>
      </c>
      <c r="B247" s="1419"/>
      <c r="C247" s="569" t="s">
        <v>719</v>
      </c>
      <c r="D247" s="217" t="s">
        <v>526</v>
      </c>
      <c r="E247" s="364">
        <f>15000000-2500000-1000000-3000000</f>
        <v>8500000</v>
      </c>
      <c r="F247" s="364"/>
      <c r="G247" s="364"/>
      <c r="H247" s="364">
        <f>+I247+L247</f>
        <v>0</v>
      </c>
      <c r="I247" s="364"/>
      <c r="J247" s="364"/>
      <c r="K247" s="364"/>
      <c r="L247" s="364"/>
      <c r="M247" s="364"/>
      <c r="N247" s="364">
        <f>13000000+1000000-14000000</f>
        <v>0</v>
      </c>
      <c r="O247" s="364">
        <f t="shared" si="18"/>
        <v>8500000</v>
      </c>
      <c r="P247" s="446">
        <f t="shared" si="19"/>
        <v>8500000</v>
      </c>
      <c r="Q247" s="54"/>
      <c r="R247" s="71"/>
      <c r="S247" s="71"/>
      <c r="T247" s="71"/>
      <c r="U247" s="71"/>
      <c r="V247" s="5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</row>
    <row r="248" spans="1:65" ht="22.9" hidden="1" customHeight="1">
      <c r="A248" s="1415"/>
      <c r="B248" s="1415"/>
      <c r="C248" s="570"/>
      <c r="D248" s="171" t="s">
        <v>899</v>
      </c>
      <c r="E248" s="173"/>
      <c r="F248" s="173"/>
      <c r="G248" s="173"/>
      <c r="H248" s="173">
        <f t="shared" si="23"/>
        <v>0</v>
      </c>
      <c r="I248" s="173"/>
      <c r="J248" s="173"/>
      <c r="K248" s="173"/>
      <c r="L248" s="194"/>
      <c r="M248" s="173"/>
      <c r="N248" s="194"/>
      <c r="O248" s="173">
        <f t="shared" si="18"/>
        <v>0</v>
      </c>
      <c r="P248" s="100">
        <f t="shared" si="19"/>
        <v>0</v>
      </c>
      <c r="Q248" s="24"/>
      <c r="R248" s="44"/>
      <c r="S248" s="44"/>
      <c r="T248" s="44"/>
      <c r="U248" s="44"/>
      <c r="V248" s="24"/>
    </row>
    <row r="249" spans="1:65" ht="53.45" hidden="1" customHeight="1">
      <c r="A249" s="1415"/>
      <c r="B249" s="1415"/>
      <c r="C249" s="569" t="s">
        <v>893</v>
      </c>
      <c r="D249" s="364" t="s">
        <v>641</v>
      </c>
      <c r="E249" s="488"/>
      <c r="F249" s="488"/>
      <c r="G249" s="488"/>
      <c r="H249" s="488">
        <f t="shared" si="23"/>
        <v>0</v>
      </c>
      <c r="I249" s="488"/>
      <c r="J249" s="488"/>
      <c r="K249" s="488"/>
      <c r="L249" s="488"/>
      <c r="M249" s="488"/>
      <c r="N249" s="488"/>
      <c r="O249" s="488">
        <f t="shared" si="18"/>
        <v>0</v>
      </c>
      <c r="P249" s="162">
        <f t="shared" si="19"/>
        <v>0</v>
      </c>
      <c r="Q249" s="2"/>
      <c r="R249" s="7"/>
      <c r="S249" s="7"/>
      <c r="T249" s="7"/>
      <c r="U249" s="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</row>
    <row r="250" spans="1:65" ht="24.75" hidden="1" customHeight="1">
      <c r="A250" s="1415"/>
      <c r="B250" s="1415"/>
      <c r="C250" s="550" t="s">
        <v>1287</v>
      </c>
      <c r="D250" s="197" t="s">
        <v>967</v>
      </c>
      <c r="E250" s="180"/>
      <c r="F250" s="180"/>
      <c r="G250" s="180"/>
      <c r="H250" s="180">
        <f t="shared" si="23"/>
        <v>0</v>
      </c>
      <c r="I250" s="180"/>
      <c r="J250" s="180"/>
      <c r="K250" s="180"/>
      <c r="L250" s="193"/>
      <c r="M250" s="180"/>
      <c r="N250" s="193"/>
      <c r="O250" s="180">
        <f t="shared" si="18"/>
        <v>0</v>
      </c>
      <c r="P250" s="100">
        <f t="shared" si="19"/>
        <v>0</v>
      </c>
      <c r="Q250" s="2"/>
      <c r="R250" s="124"/>
      <c r="S250" s="124"/>
      <c r="T250" s="124"/>
      <c r="U250" s="124"/>
      <c r="V250" s="2"/>
      <c r="W250" s="2"/>
      <c r="X250" s="2"/>
      <c r="Y250" s="2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</row>
    <row r="251" spans="1:65" ht="37.15" hidden="1" customHeight="1">
      <c r="A251" s="1415"/>
      <c r="B251" s="1415"/>
      <c r="C251" s="570"/>
      <c r="D251" s="171" t="s">
        <v>636</v>
      </c>
      <c r="E251" s="173"/>
      <c r="F251" s="173"/>
      <c r="G251" s="173"/>
      <c r="H251" s="173"/>
      <c r="I251" s="173"/>
      <c r="J251" s="173"/>
      <c r="K251" s="173"/>
      <c r="L251" s="194"/>
      <c r="M251" s="173"/>
      <c r="N251" s="194"/>
      <c r="O251" s="173">
        <f t="shared" si="18"/>
        <v>0</v>
      </c>
      <c r="P251" s="100">
        <f t="shared" si="19"/>
        <v>0</v>
      </c>
      <c r="Q251" s="2"/>
      <c r="R251" s="124"/>
      <c r="S251" s="124"/>
      <c r="T251" s="124"/>
      <c r="U251" s="124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</row>
    <row r="252" spans="1:65" ht="30" customHeight="1">
      <c r="A252" s="1417"/>
      <c r="B252" s="1417"/>
      <c r="C252" s="569" t="s">
        <v>894</v>
      </c>
      <c r="D252" s="382" t="s">
        <v>1241</v>
      </c>
      <c r="E252" s="645"/>
      <c r="F252" s="645"/>
      <c r="G252" s="645"/>
      <c r="H252" s="456">
        <f>+I252+L252</f>
        <v>-147800</v>
      </c>
      <c r="I252" s="456">
        <f>+'видатки_затв '!G325</f>
        <v>0</v>
      </c>
      <c r="J252" s="456">
        <f>+'видатки_затв '!H325</f>
        <v>0</v>
      </c>
      <c r="K252" s="456">
        <f>+'видатки_затв '!I325</f>
        <v>0</v>
      </c>
      <c r="L252" s="456">
        <f>+'видатки_затв '!J325</f>
        <v>-147800</v>
      </c>
      <c r="M252" s="456">
        <f>+'видатки_затв '!K325</f>
        <v>-147800</v>
      </c>
      <c r="N252" s="456">
        <f>+'видатки_затв '!L325</f>
        <v>0</v>
      </c>
      <c r="O252" s="456">
        <f t="shared" si="18"/>
        <v>-147800</v>
      </c>
      <c r="P252" s="162">
        <f t="shared" si="19"/>
        <v>-147800</v>
      </c>
      <c r="Q252" s="54"/>
      <c r="R252" s="71"/>
      <c r="S252" s="71"/>
      <c r="T252" s="71"/>
      <c r="U252" s="71"/>
      <c r="V252" s="5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</row>
    <row r="253" spans="1:65" ht="95.45" hidden="1" customHeight="1">
      <c r="A253" s="1415"/>
      <c r="B253" s="1415"/>
      <c r="C253" s="569" t="s">
        <v>1012</v>
      </c>
      <c r="D253" s="364" t="s">
        <v>1011</v>
      </c>
      <c r="E253" s="363"/>
      <c r="F253" s="363"/>
      <c r="G253" s="363"/>
      <c r="H253" s="363">
        <f>+I253+L253</f>
        <v>0</v>
      </c>
      <c r="I253" s="363"/>
      <c r="J253" s="363"/>
      <c r="K253" s="363"/>
      <c r="L253" s="365"/>
      <c r="M253" s="363"/>
      <c r="N253" s="365"/>
      <c r="O253" s="363">
        <f t="shared" si="18"/>
        <v>0</v>
      </c>
      <c r="P253" s="100">
        <f t="shared" si="19"/>
        <v>0</v>
      </c>
      <c r="R253" s="71"/>
      <c r="S253" s="71"/>
      <c r="T253" s="71"/>
      <c r="U253" s="71"/>
    </row>
    <row r="254" spans="1:65" ht="60" hidden="1" customHeight="1">
      <c r="A254" s="1415"/>
      <c r="B254" s="1415"/>
      <c r="C254" s="569" t="s">
        <v>183</v>
      </c>
      <c r="D254" s="501" t="s">
        <v>493</v>
      </c>
      <c r="E254" s="488">
        <f>+'видатки_затв '!C343</f>
        <v>0</v>
      </c>
      <c r="F254" s="488">
        <f>+'видатки_затв '!D343</f>
        <v>0</v>
      </c>
      <c r="G254" s="488">
        <f>+'видатки_затв '!E343</f>
        <v>0</v>
      </c>
      <c r="H254" s="363"/>
      <c r="I254" s="488">
        <f>+'видатки_затв '!G343</f>
        <v>0</v>
      </c>
      <c r="J254" s="488">
        <f>+'видатки_затв '!H343</f>
        <v>0</v>
      </c>
      <c r="K254" s="488">
        <f>+'видатки_затв '!I343</f>
        <v>0</v>
      </c>
      <c r="L254" s="488">
        <f>+'видатки_затв '!J343</f>
        <v>0</v>
      </c>
      <c r="M254" s="488">
        <f>+'видатки_затв '!K343</f>
        <v>0</v>
      </c>
      <c r="N254" s="488">
        <f>+'видатки_затв '!L343</f>
        <v>0</v>
      </c>
      <c r="O254" s="488">
        <f>+E254+H254</f>
        <v>0</v>
      </c>
      <c r="P254" s="162">
        <f t="shared" si="19"/>
        <v>0</v>
      </c>
      <c r="R254" s="71"/>
      <c r="S254" s="71"/>
      <c r="T254" s="71"/>
      <c r="U254" s="71"/>
    </row>
    <row r="255" spans="1:65" ht="75" hidden="1" customHeight="1">
      <c r="A255" s="1415"/>
      <c r="B255" s="1415"/>
      <c r="C255" s="569" t="s">
        <v>184</v>
      </c>
      <c r="D255" s="501" t="s">
        <v>625</v>
      </c>
      <c r="E255" s="488">
        <f>+'видатки_затв '!C344</f>
        <v>0</v>
      </c>
      <c r="F255" s="488">
        <f>+'видатки_затв '!D344</f>
        <v>0</v>
      </c>
      <c r="G255" s="488">
        <f>+'видатки_затв '!E344</f>
        <v>0</v>
      </c>
      <c r="H255" s="363"/>
      <c r="I255" s="488">
        <f>+'видатки_затв '!G344</f>
        <v>0</v>
      </c>
      <c r="J255" s="488">
        <f>+'видатки_затв '!H344</f>
        <v>0</v>
      </c>
      <c r="K255" s="488">
        <f>+'видатки_затв '!I344</f>
        <v>0</v>
      </c>
      <c r="L255" s="488">
        <f>+'видатки_затв '!J344</f>
        <v>0</v>
      </c>
      <c r="M255" s="488">
        <f>+'видатки_затв '!K344</f>
        <v>0</v>
      </c>
      <c r="N255" s="488">
        <f>+'видатки_затв '!L344</f>
        <v>0</v>
      </c>
      <c r="O255" s="488">
        <f>+E255+H255</f>
        <v>0</v>
      </c>
      <c r="P255" s="162">
        <f t="shared" si="19"/>
        <v>0</v>
      </c>
      <c r="R255" s="71"/>
      <c r="S255" s="71"/>
      <c r="T255" s="71"/>
      <c r="U255" s="71"/>
    </row>
    <row r="256" spans="1:65" ht="64.150000000000006" hidden="1" customHeight="1">
      <c r="A256" s="1415"/>
      <c r="B256" s="1415"/>
      <c r="C256" s="569" t="s">
        <v>185</v>
      </c>
      <c r="D256" s="501" t="s">
        <v>492</v>
      </c>
      <c r="E256" s="488">
        <f>+'видатки_затв '!C345</f>
        <v>0</v>
      </c>
      <c r="F256" s="488">
        <f>+'видатки_затв '!D345</f>
        <v>0</v>
      </c>
      <c r="G256" s="488">
        <f>+'видатки_затв '!E345</f>
        <v>0</v>
      </c>
      <c r="H256" s="488">
        <f t="shared" ref="H256:H263" si="24">+I256+L256</f>
        <v>0</v>
      </c>
      <c r="I256" s="488">
        <f>+'видатки_затв '!G345</f>
        <v>0</v>
      </c>
      <c r="J256" s="488">
        <f>+'видатки_затв '!H345</f>
        <v>0</v>
      </c>
      <c r="K256" s="488">
        <f>+'видатки_затв '!I345</f>
        <v>0</v>
      </c>
      <c r="L256" s="488">
        <f>+'видатки_затв '!J345</f>
        <v>0</v>
      </c>
      <c r="M256" s="488">
        <f>+'видатки_затв '!K345</f>
        <v>0</v>
      </c>
      <c r="N256" s="488">
        <f>+'видатки_затв '!L345</f>
        <v>0</v>
      </c>
      <c r="O256" s="488">
        <f>+E256+H256</f>
        <v>0</v>
      </c>
      <c r="P256" s="162">
        <f t="shared" si="19"/>
        <v>0</v>
      </c>
      <c r="R256" s="71"/>
      <c r="S256" s="71"/>
      <c r="T256" s="71"/>
      <c r="U256" s="71"/>
    </row>
    <row r="257" spans="1:43" ht="160.15" hidden="1" customHeight="1">
      <c r="A257" s="1415"/>
      <c r="B257" s="1415"/>
      <c r="C257" s="569" t="s">
        <v>164</v>
      </c>
      <c r="D257" s="362" t="s">
        <v>704</v>
      </c>
      <c r="E257" s="488">
        <f>+'видатки_затв '!C339</f>
        <v>0</v>
      </c>
      <c r="F257" s="488"/>
      <c r="G257" s="488"/>
      <c r="H257" s="488">
        <f t="shared" si="24"/>
        <v>0</v>
      </c>
      <c r="I257" s="488"/>
      <c r="J257" s="488"/>
      <c r="K257" s="488"/>
      <c r="L257" s="488"/>
      <c r="M257" s="488"/>
      <c r="N257" s="488"/>
      <c r="O257" s="488">
        <f t="shared" si="18"/>
        <v>0</v>
      </c>
      <c r="P257" s="162">
        <f t="shared" si="19"/>
        <v>0</v>
      </c>
      <c r="R257" s="71"/>
      <c r="S257" s="71"/>
      <c r="T257" s="71"/>
      <c r="U257" s="71"/>
    </row>
    <row r="258" spans="1:43" ht="50.45" customHeight="1">
      <c r="A258" s="1418" t="s">
        <v>556</v>
      </c>
      <c r="B258" s="1419"/>
      <c r="C258" s="569" t="s">
        <v>1591</v>
      </c>
      <c r="D258" s="364" t="s">
        <v>1240</v>
      </c>
      <c r="E258" s="488">
        <f>+'видатки_затв '!C337</f>
        <v>62278100</v>
      </c>
      <c r="F258" s="488"/>
      <c r="G258" s="488"/>
      <c r="H258" s="488">
        <f t="shared" si="24"/>
        <v>0</v>
      </c>
      <c r="I258" s="488"/>
      <c r="J258" s="488"/>
      <c r="K258" s="488"/>
      <c r="L258" s="488"/>
      <c r="M258" s="488"/>
      <c r="N258" s="488"/>
      <c r="O258" s="488">
        <f t="shared" ref="O258:O293" si="25">+E258+H258</f>
        <v>62278100</v>
      </c>
      <c r="P258" s="162">
        <f t="shared" si="19"/>
        <v>62278100</v>
      </c>
      <c r="Q258" s="24"/>
      <c r="R258" s="44"/>
      <c r="S258" s="44"/>
      <c r="T258" s="44"/>
      <c r="U258" s="44"/>
      <c r="V258" s="24"/>
    </row>
    <row r="259" spans="1:43" ht="79.900000000000006" hidden="1" customHeight="1">
      <c r="A259" s="1415"/>
      <c r="B259" s="1415"/>
      <c r="C259" s="569" t="s">
        <v>165</v>
      </c>
      <c r="D259" s="362" t="s">
        <v>380</v>
      </c>
      <c r="E259" s="488">
        <f>+'видатки_затв '!C340</f>
        <v>0</v>
      </c>
      <c r="F259" s="488"/>
      <c r="G259" s="488"/>
      <c r="H259" s="488">
        <f t="shared" si="24"/>
        <v>0</v>
      </c>
      <c r="I259" s="488"/>
      <c r="J259" s="488"/>
      <c r="K259" s="488"/>
      <c r="L259" s="488"/>
      <c r="M259" s="488"/>
      <c r="N259" s="488"/>
      <c r="O259" s="488">
        <f>+E259+H259</f>
        <v>0</v>
      </c>
      <c r="P259" s="162">
        <f t="shared" si="19"/>
        <v>0</v>
      </c>
      <c r="Q259" s="24"/>
      <c r="R259" s="44"/>
      <c r="S259" s="44"/>
      <c r="T259" s="44"/>
      <c r="U259" s="44"/>
      <c r="V259" s="24"/>
    </row>
    <row r="260" spans="1:43" ht="24" hidden="1" customHeight="1">
      <c r="A260" s="1418" t="s">
        <v>929</v>
      </c>
      <c r="B260" s="1419"/>
      <c r="C260" s="569" t="s">
        <v>1514</v>
      </c>
      <c r="D260" s="367" t="s">
        <v>974</v>
      </c>
      <c r="E260" s="456">
        <f>+'видатки_затв '!C342</f>
        <v>0</v>
      </c>
      <c r="F260" s="456">
        <f>+'видатки_затв '!D342</f>
        <v>0</v>
      </c>
      <c r="G260" s="456">
        <f>+'видатки_затв '!E342</f>
        <v>0</v>
      </c>
      <c r="H260" s="645">
        <f t="shared" si="24"/>
        <v>0</v>
      </c>
      <c r="I260" s="456">
        <f>+'видатки_затв '!G342</f>
        <v>0</v>
      </c>
      <c r="J260" s="456">
        <f>+'видатки_затв '!H342</f>
        <v>0</v>
      </c>
      <c r="K260" s="456">
        <f>+'видатки_затв '!I342</f>
        <v>0</v>
      </c>
      <c r="L260" s="456">
        <f>+'видатки_затв '!J342</f>
        <v>0</v>
      </c>
      <c r="M260" s="456">
        <f>+'видатки_затв '!K342</f>
        <v>0</v>
      </c>
      <c r="N260" s="456">
        <f>+'видатки_затв '!L342</f>
        <v>0</v>
      </c>
      <c r="O260" s="456">
        <f t="shared" si="25"/>
        <v>0</v>
      </c>
      <c r="P260" s="162">
        <f t="shared" si="19"/>
        <v>0</v>
      </c>
      <c r="Q260" s="2"/>
      <c r="R260" s="7"/>
      <c r="S260" s="7"/>
      <c r="T260" s="7"/>
      <c r="U260" s="7"/>
      <c r="V260" s="2"/>
      <c r="W260" s="2"/>
      <c r="X260" s="2"/>
      <c r="Y260" s="2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</row>
    <row r="261" spans="1:43" ht="86.45" hidden="1" customHeight="1">
      <c r="A261" s="1415"/>
      <c r="B261" s="1415"/>
      <c r="C261" s="576" t="s">
        <v>166</v>
      </c>
      <c r="D261" s="362" t="s">
        <v>861</v>
      </c>
      <c r="E261" s="488">
        <f>+'видатки_затв '!C341</f>
        <v>0</v>
      </c>
      <c r="F261" s="492"/>
      <c r="G261" s="492"/>
      <c r="H261" s="493">
        <f t="shared" si="24"/>
        <v>0</v>
      </c>
      <c r="I261" s="492"/>
      <c r="J261" s="492"/>
      <c r="K261" s="492"/>
      <c r="L261" s="492"/>
      <c r="M261" s="492"/>
      <c r="N261" s="492"/>
      <c r="O261" s="456">
        <f>+E261+H261</f>
        <v>0</v>
      </c>
      <c r="P261" s="162">
        <f t="shared" si="19"/>
        <v>0</v>
      </c>
      <c r="Q261" s="2"/>
      <c r="R261" s="132"/>
      <c r="S261" s="132"/>
      <c r="T261" s="132"/>
      <c r="U261" s="132"/>
      <c r="V261" s="2"/>
      <c r="W261" s="2"/>
      <c r="X261" s="2"/>
      <c r="Y261" s="2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</row>
    <row r="262" spans="1:43" ht="57.6" hidden="1" customHeight="1">
      <c r="A262" s="1415"/>
      <c r="B262" s="1415"/>
      <c r="C262" s="570"/>
      <c r="D262" s="171" t="str">
        <f>+'видатки_затв '!B345</f>
        <v>Додаткова дотація з державного бюджету на покращення надання соціальних послуг найуразливішим верствам населення</v>
      </c>
      <c r="E262" s="173"/>
      <c r="F262" s="173"/>
      <c r="G262" s="173"/>
      <c r="H262" s="169">
        <f t="shared" si="24"/>
        <v>0</v>
      </c>
      <c r="I262" s="173"/>
      <c r="J262" s="173"/>
      <c r="K262" s="173"/>
      <c r="L262" s="194"/>
      <c r="M262" s="173"/>
      <c r="N262" s="194"/>
      <c r="O262" s="173">
        <f t="shared" si="25"/>
        <v>0</v>
      </c>
      <c r="P262" s="100">
        <f t="shared" si="19"/>
        <v>0</v>
      </c>
      <c r="Q262" s="2"/>
      <c r="R262" s="132"/>
      <c r="S262" s="132"/>
      <c r="T262" s="132"/>
      <c r="U262" s="132"/>
      <c r="V262" s="2"/>
      <c r="W262" s="2"/>
      <c r="X262" s="2"/>
      <c r="Y262" s="2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</row>
    <row r="263" spans="1:43" ht="63.6" hidden="1" customHeight="1">
      <c r="A263" s="1415"/>
      <c r="B263" s="1415"/>
      <c r="C263" s="570" t="s">
        <v>722</v>
      </c>
      <c r="D263" s="597" t="s">
        <v>1396</v>
      </c>
      <c r="E263" s="173"/>
      <c r="F263" s="173"/>
      <c r="G263" s="173"/>
      <c r="H263" s="169">
        <f t="shared" si="24"/>
        <v>0</v>
      </c>
      <c r="I263" s="173"/>
      <c r="J263" s="173"/>
      <c r="K263" s="173"/>
      <c r="L263" s="194"/>
      <c r="M263" s="173"/>
      <c r="N263" s="194"/>
      <c r="O263" s="173">
        <f t="shared" si="25"/>
        <v>0</v>
      </c>
      <c r="P263" s="100">
        <f t="shared" si="19"/>
        <v>0</v>
      </c>
      <c r="Q263" s="2"/>
      <c r="R263" s="132"/>
      <c r="S263" s="132"/>
      <c r="T263" s="132"/>
      <c r="U263" s="132"/>
      <c r="V263" s="2"/>
      <c r="W263" s="2"/>
      <c r="X263" s="2"/>
      <c r="Y263" s="2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</row>
    <row r="264" spans="1:43" ht="70.150000000000006" hidden="1" customHeight="1">
      <c r="A264" s="1415"/>
      <c r="B264" s="1415"/>
      <c r="C264" s="569" t="s">
        <v>589</v>
      </c>
      <c r="D264" s="217" t="s">
        <v>384</v>
      </c>
      <c r="E264" s="488"/>
      <c r="F264" s="488"/>
      <c r="G264" s="488"/>
      <c r="H264" s="488">
        <f>+'видатки_затв '!F350</f>
        <v>0</v>
      </c>
      <c r="I264" s="488"/>
      <c r="J264" s="488"/>
      <c r="K264" s="488"/>
      <c r="L264" s="488"/>
      <c r="M264" s="488"/>
      <c r="N264" s="488"/>
      <c r="O264" s="488">
        <f t="shared" si="25"/>
        <v>0</v>
      </c>
      <c r="P264" s="162">
        <f t="shared" si="19"/>
        <v>0</v>
      </c>
      <c r="Q264" s="24"/>
      <c r="R264" s="44"/>
      <c r="S264" s="44"/>
      <c r="T264" s="44"/>
      <c r="U264" s="44"/>
      <c r="V264" s="24"/>
    </row>
    <row r="265" spans="1:43" ht="17.25" hidden="1" customHeight="1">
      <c r="A265" s="1415"/>
      <c r="B265" s="1415"/>
      <c r="C265" s="550"/>
      <c r="D265" s="202" t="s">
        <v>52</v>
      </c>
      <c r="E265" s="490"/>
      <c r="F265" s="490"/>
      <c r="G265" s="490"/>
      <c r="H265" s="490">
        <f>+I265+L265</f>
        <v>0</v>
      </c>
      <c r="I265" s="490"/>
      <c r="J265" s="490"/>
      <c r="K265" s="490"/>
      <c r="L265" s="490"/>
      <c r="M265" s="490"/>
      <c r="N265" s="490"/>
      <c r="O265" s="490">
        <f t="shared" si="25"/>
        <v>0</v>
      </c>
      <c r="P265" s="162"/>
      <c r="Q265" s="24"/>
      <c r="R265" s="44"/>
      <c r="S265" s="44"/>
      <c r="T265" s="44"/>
      <c r="U265" s="44"/>
      <c r="V265" s="24"/>
    </row>
    <row r="266" spans="1:43" ht="32.450000000000003" hidden="1" customHeight="1">
      <c r="A266" s="1415"/>
      <c r="B266" s="1415"/>
      <c r="C266" s="569"/>
      <c r="D266" s="217" t="s">
        <v>691</v>
      </c>
      <c r="E266" s="456"/>
      <c r="F266" s="456"/>
      <c r="G266" s="456"/>
      <c r="H266" s="456">
        <f>+I266+L266</f>
        <v>0</v>
      </c>
      <c r="I266" s="456"/>
      <c r="J266" s="456"/>
      <c r="K266" s="456"/>
      <c r="L266" s="456"/>
      <c r="M266" s="456"/>
      <c r="N266" s="456"/>
      <c r="O266" s="456">
        <f t="shared" si="25"/>
        <v>0</v>
      </c>
      <c r="P266" s="162">
        <f t="shared" ref="P266:P283" si="26">+O266</f>
        <v>0</v>
      </c>
      <c r="Q266" s="24"/>
      <c r="R266" s="44"/>
      <c r="S266" s="44"/>
      <c r="T266" s="44"/>
      <c r="U266" s="44"/>
      <c r="V266" s="24"/>
    </row>
    <row r="267" spans="1:43" ht="49.15" hidden="1" customHeight="1">
      <c r="A267" s="1415"/>
      <c r="B267" s="1415"/>
      <c r="C267" s="569"/>
      <c r="D267" s="364" t="s">
        <v>178</v>
      </c>
      <c r="E267" s="456"/>
      <c r="F267" s="456"/>
      <c r="G267" s="456"/>
      <c r="H267" s="456">
        <f>+I267+L267</f>
        <v>0</v>
      </c>
      <c r="I267" s="456"/>
      <c r="J267" s="456"/>
      <c r="K267" s="456"/>
      <c r="L267" s="456"/>
      <c r="M267" s="456"/>
      <c r="N267" s="456"/>
      <c r="O267" s="456">
        <f t="shared" si="25"/>
        <v>0</v>
      </c>
      <c r="P267" s="162">
        <f t="shared" si="26"/>
        <v>0</v>
      </c>
      <c r="Q267" s="24"/>
      <c r="R267" s="44"/>
      <c r="S267" s="44"/>
      <c r="T267" s="44"/>
      <c r="U267" s="44"/>
      <c r="V267" s="24"/>
    </row>
    <row r="268" spans="1:43" ht="96" customHeight="1">
      <c r="A268" s="1418" t="s">
        <v>436</v>
      </c>
      <c r="B268" s="1419"/>
      <c r="C268" s="569">
        <v>250326</v>
      </c>
      <c r="D268" s="210" t="s">
        <v>41</v>
      </c>
      <c r="E268" s="488">
        <f>+'видатки_затв '!C351</f>
        <v>3278419700</v>
      </c>
      <c r="F268" s="488">
        <f>+'видатки_затв '!D351</f>
        <v>0</v>
      </c>
      <c r="G268" s="488">
        <f>+'видатки_затв '!E351</f>
        <v>0</v>
      </c>
      <c r="H268" s="488">
        <f>+I268+L268</f>
        <v>0</v>
      </c>
      <c r="I268" s="488"/>
      <c r="J268" s="488"/>
      <c r="K268" s="488"/>
      <c r="L268" s="488"/>
      <c r="M268" s="488"/>
      <c r="N268" s="488"/>
      <c r="O268" s="488">
        <f t="shared" si="25"/>
        <v>3278419700</v>
      </c>
      <c r="P268" s="162">
        <f t="shared" si="26"/>
        <v>3278419700</v>
      </c>
      <c r="R268" s="71"/>
      <c r="S268" s="71"/>
      <c r="T268" s="71"/>
      <c r="U268" s="71"/>
    </row>
    <row r="269" spans="1:43" ht="139.15" customHeight="1">
      <c r="A269" s="1418" t="s">
        <v>1309</v>
      </c>
      <c r="B269" s="1419"/>
      <c r="C269" s="569" t="s">
        <v>1208</v>
      </c>
      <c r="D269" s="210" t="s">
        <v>655</v>
      </c>
      <c r="E269" s="488">
        <f>+'видатки_затв '!C352</f>
        <v>411977400</v>
      </c>
      <c r="F269" s="488">
        <f>+'видатки_затв '!D352</f>
        <v>0</v>
      </c>
      <c r="G269" s="488">
        <f>+'видатки_затв '!E352</f>
        <v>0</v>
      </c>
      <c r="H269" s="488">
        <f>+I269+M269</f>
        <v>0</v>
      </c>
      <c r="I269" s="488">
        <f>+'видатки_затв '!G352</f>
        <v>0</v>
      </c>
      <c r="J269" s="488">
        <f>+'видатки_затв '!H352</f>
        <v>0</v>
      </c>
      <c r="K269" s="488">
        <f>+'видатки_затв '!I352</f>
        <v>0</v>
      </c>
      <c r="L269" s="488">
        <f>+'видатки_затв '!J352</f>
        <v>0</v>
      </c>
      <c r="M269" s="488">
        <f>+'видатки_затв '!K352</f>
        <v>0</v>
      </c>
      <c r="N269" s="488">
        <f>+'видатки_затв '!L352</f>
        <v>0</v>
      </c>
      <c r="O269" s="488">
        <f t="shared" si="25"/>
        <v>411977400</v>
      </c>
      <c r="P269" s="162">
        <f t="shared" si="26"/>
        <v>411977400</v>
      </c>
      <c r="R269" s="71"/>
      <c r="S269" s="71"/>
      <c r="T269" s="71"/>
      <c r="U269" s="71"/>
    </row>
    <row r="270" spans="1:43" ht="307.14999999999998" customHeight="1">
      <c r="A270" s="1418" t="s">
        <v>1310</v>
      </c>
      <c r="B270" s="1419"/>
      <c r="C270" s="569" t="s">
        <v>1209</v>
      </c>
      <c r="D270" s="211" t="s">
        <v>45</v>
      </c>
      <c r="E270" s="488">
        <f>+'видатки_затв '!C353</f>
        <v>67591500</v>
      </c>
      <c r="F270" s="488">
        <f>+'видатки_затв '!D353</f>
        <v>0</v>
      </c>
      <c r="G270" s="488">
        <f>+'видатки_затв '!E353</f>
        <v>0</v>
      </c>
      <c r="H270" s="488">
        <f t="shared" ref="H270:H310" si="27">+I270+L270</f>
        <v>0</v>
      </c>
      <c r="I270" s="488">
        <f>+'видатки_затв '!G353</f>
        <v>0</v>
      </c>
      <c r="J270" s="488">
        <f>+'видатки_затв '!H353</f>
        <v>0</v>
      </c>
      <c r="K270" s="488">
        <f>+'видатки_затв '!I353</f>
        <v>0</v>
      </c>
      <c r="L270" s="488">
        <f>+'видатки_затв '!J353</f>
        <v>0</v>
      </c>
      <c r="M270" s="488">
        <f>+'видатки_затв '!K353</f>
        <v>0</v>
      </c>
      <c r="N270" s="488">
        <f>+'видатки_затв '!L353</f>
        <v>0</v>
      </c>
      <c r="O270" s="488">
        <f t="shared" si="25"/>
        <v>67591500</v>
      </c>
      <c r="P270" s="162">
        <f t="shared" si="26"/>
        <v>67591500</v>
      </c>
      <c r="R270" s="71"/>
      <c r="S270" s="71"/>
      <c r="T270" s="71"/>
      <c r="U270" s="71"/>
    </row>
    <row r="271" spans="1:43" ht="90" customHeight="1">
      <c r="A271" s="1418" t="s">
        <v>1311</v>
      </c>
      <c r="B271" s="1419"/>
      <c r="C271" s="569" t="s">
        <v>1210</v>
      </c>
      <c r="D271" s="210" t="s">
        <v>1169</v>
      </c>
      <c r="E271" s="488">
        <f>+'видатки_затв '!C354</f>
        <v>23232400</v>
      </c>
      <c r="F271" s="488">
        <f>+'видатки_затв '!D354</f>
        <v>0</v>
      </c>
      <c r="G271" s="488">
        <f>+'видатки_затв '!E354</f>
        <v>0</v>
      </c>
      <c r="H271" s="488">
        <f t="shared" si="27"/>
        <v>0</v>
      </c>
      <c r="I271" s="488">
        <f>+'видатки_затв '!G354</f>
        <v>0</v>
      </c>
      <c r="J271" s="488">
        <f>+'видатки_затв '!H354</f>
        <v>0</v>
      </c>
      <c r="K271" s="488">
        <f>+'видатки_затв '!I354</f>
        <v>0</v>
      </c>
      <c r="L271" s="488">
        <f>+'видатки_затв '!J354</f>
        <v>0</v>
      </c>
      <c r="M271" s="488">
        <f>+'видатки_затв '!K354</f>
        <v>0</v>
      </c>
      <c r="N271" s="488">
        <f>+'видатки_затв '!L354</f>
        <v>0</v>
      </c>
      <c r="O271" s="488">
        <f t="shared" si="25"/>
        <v>23232400</v>
      </c>
      <c r="P271" s="162">
        <f t="shared" si="26"/>
        <v>23232400</v>
      </c>
      <c r="R271" s="71"/>
      <c r="S271" s="71"/>
      <c r="T271" s="71"/>
      <c r="U271" s="71"/>
    </row>
    <row r="272" spans="1:43" ht="177" hidden="1" customHeight="1">
      <c r="A272" s="1415"/>
      <c r="B272" s="1415"/>
      <c r="C272" s="569" t="s">
        <v>1159</v>
      </c>
      <c r="D272" s="216" t="s">
        <v>968</v>
      </c>
      <c r="E272" s="488"/>
      <c r="F272" s="488"/>
      <c r="G272" s="488"/>
      <c r="H272" s="488">
        <f t="shared" si="27"/>
        <v>0</v>
      </c>
      <c r="I272" s="488">
        <f>+'видатки_затв '!G355</f>
        <v>0</v>
      </c>
      <c r="J272" s="488">
        <f>+'видатки_затв '!H355</f>
        <v>0</v>
      </c>
      <c r="K272" s="488">
        <f>+'видатки_затв '!I355</f>
        <v>0</v>
      </c>
      <c r="L272" s="488">
        <f>+'видатки_затв '!J355</f>
        <v>0</v>
      </c>
      <c r="M272" s="488">
        <f>+'видатки_затв '!K355</f>
        <v>0</v>
      </c>
      <c r="N272" s="488">
        <f>+'видатки_затв '!L355</f>
        <v>0</v>
      </c>
      <c r="O272" s="488">
        <f t="shared" si="25"/>
        <v>0</v>
      </c>
      <c r="P272" s="162">
        <f t="shared" si="26"/>
        <v>0</v>
      </c>
      <c r="R272" s="71"/>
      <c r="S272" s="71"/>
      <c r="T272" s="71"/>
      <c r="U272" s="71"/>
    </row>
    <row r="273" spans="1:21" ht="156.6" hidden="1" customHeight="1">
      <c r="A273" s="1415"/>
      <c r="B273" s="1415"/>
      <c r="C273" s="550" t="s">
        <v>51</v>
      </c>
      <c r="D273" s="553" t="s">
        <v>307</v>
      </c>
      <c r="E273" s="180"/>
      <c r="F273" s="180"/>
      <c r="G273" s="180"/>
      <c r="H273" s="180">
        <f t="shared" si="27"/>
        <v>0</v>
      </c>
      <c r="I273" s="180"/>
      <c r="J273" s="180"/>
      <c r="K273" s="180"/>
      <c r="L273" s="180"/>
      <c r="M273" s="180"/>
      <c r="N273" s="180"/>
      <c r="O273" s="180">
        <f t="shared" si="25"/>
        <v>0</v>
      </c>
      <c r="P273" s="100">
        <f t="shared" si="26"/>
        <v>0</v>
      </c>
      <c r="R273" s="71"/>
      <c r="S273" s="71"/>
      <c r="T273" s="71"/>
      <c r="U273" s="71"/>
    </row>
    <row r="274" spans="1:21" ht="145.5" hidden="1" customHeight="1">
      <c r="A274" s="1415"/>
      <c r="B274" s="1415"/>
      <c r="C274" s="569" t="s">
        <v>392</v>
      </c>
      <c r="D274" s="362" t="s">
        <v>737</v>
      </c>
      <c r="E274" s="363">
        <f>+'видатки_затв '!C419</f>
        <v>0</v>
      </c>
      <c r="F274" s="363">
        <f>+'видатки_затв '!D419</f>
        <v>0</v>
      </c>
      <c r="G274" s="363">
        <f>+'видатки_затв '!E419</f>
        <v>0</v>
      </c>
      <c r="H274" s="363">
        <f t="shared" si="27"/>
        <v>0</v>
      </c>
      <c r="I274" s="363">
        <f>+'видатки_затв '!G419</f>
        <v>0</v>
      </c>
      <c r="J274" s="363">
        <f>+'видатки_затв '!H419</f>
        <v>0</v>
      </c>
      <c r="K274" s="363">
        <f>+'видатки_затв '!I419</f>
        <v>0</v>
      </c>
      <c r="L274" s="363">
        <f>+'видатки_затв '!J419</f>
        <v>0</v>
      </c>
      <c r="M274" s="363">
        <f>+'видатки_затв '!K419</f>
        <v>0</v>
      </c>
      <c r="N274" s="363">
        <f>+'видатки_затв '!L419</f>
        <v>0</v>
      </c>
      <c r="O274" s="363">
        <f t="shared" si="25"/>
        <v>0</v>
      </c>
      <c r="P274" s="100">
        <f t="shared" si="26"/>
        <v>0</v>
      </c>
      <c r="R274" s="71"/>
      <c r="S274" s="71"/>
      <c r="T274" s="71"/>
      <c r="U274" s="71"/>
    </row>
    <row r="275" spans="1:21" ht="55.9" hidden="1" customHeight="1">
      <c r="A275" s="1415"/>
      <c r="B275" s="1415"/>
      <c r="C275" s="550" t="s">
        <v>167</v>
      </c>
      <c r="D275" s="520" t="s">
        <v>705</v>
      </c>
      <c r="E275" s="489">
        <f>+'видатки_затв '!C428</f>
        <v>0</v>
      </c>
      <c r="F275" s="489"/>
      <c r="G275" s="489"/>
      <c r="H275" s="489">
        <f>+I275+L275</f>
        <v>0</v>
      </c>
      <c r="I275" s="489"/>
      <c r="J275" s="489"/>
      <c r="K275" s="489"/>
      <c r="L275" s="489"/>
      <c r="M275" s="489"/>
      <c r="N275" s="489"/>
      <c r="O275" s="489">
        <f>+E275+H275</f>
        <v>0</v>
      </c>
      <c r="P275" s="100">
        <f t="shared" si="26"/>
        <v>0</v>
      </c>
      <c r="R275" s="71"/>
      <c r="S275" s="71"/>
      <c r="T275" s="71"/>
      <c r="U275" s="71"/>
    </row>
    <row r="276" spans="1:21" ht="85.15" customHeight="1">
      <c r="A276" s="1440" t="s">
        <v>1312</v>
      </c>
      <c r="B276" s="1441"/>
      <c r="C276" s="550" t="s">
        <v>168</v>
      </c>
      <c r="D276" s="520" t="s">
        <v>1019</v>
      </c>
      <c r="E276" s="489">
        <f>+'видатки_затв '!C430</f>
        <v>0</v>
      </c>
      <c r="F276" s="489"/>
      <c r="G276" s="489"/>
      <c r="H276" s="489">
        <f>+I276+L276</f>
        <v>52497500</v>
      </c>
      <c r="I276" s="489">
        <f>+'видатки_затв '!G430</f>
        <v>16799200</v>
      </c>
      <c r="J276" s="489">
        <f>+'видатки_затв '!H430</f>
        <v>0</v>
      </c>
      <c r="K276" s="489">
        <f>+'видатки_затв '!I430</f>
        <v>0</v>
      </c>
      <c r="L276" s="489">
        <f>+'видатки_затв '!J430</f>
        <v>35698300</v>
      </c>
      <c r="M276" s="489">
        <f>+'видатки_затв '!K430</f>
        <v>0</v>
      </c>
      <c r="N276" s="489">
        <f>+'видатки_затв '!L430</f>
        <v>0</v>
      </c>
      <c r="O276" s="489">
        <f>+E276+H276</f>
        <v>52497500</v>
      </c>
      <c r="P276" s="100">
        <f>+O276</f>
        <v>52497500</v>
      </c>
      <c r="R276" s="71"/>
      <c r="S276" s="71"/>
      <c r="T276" s="71"/>
      <c r="U276" s="71"/>
    </row>
    <row r="277" spans="1:21" ht="75" hidden="1">
      <c r="A277" s="1415"/>
      <c r="B277" s="1415"/>
      <c r="C277" s="550" t="s">
        <v>341</v>
      </c>
      <c r="D277" s="553" t="s">
        <v>624</v>
      </c>
      <c r="E277" s="180"/>
      <c r="F277" s="180"/>
      <c r="G277" s="180"/>
      <c r="H277" s="180">
        <f t="shared" si="27"/>
        <v>0</v>
      </c>
      <c r="I277" s="180"/>
      <c r="J277" s="180"/>
      <c r="K277" s="180"/>
      <c r="L277" s="193"/>
      <c r="M277" s="180"/>
      <c r="N277" s="193"/>
      <c r="O277" s="180">
        <f t="shared" si="25"/>
        <v>0</v>
      </c>
      <c r="P277" s="100">
        <f t="shared" si="26"/>
        <v>0</v>
      </c>
      <c r="R277" s="71"/>
      <c r="S277" s="71"/>
      <c r="T277" s="71"/>
      <c r="U277" s="71"/>
    </row>
    <row r="278" spans="1:21" ht="106.15" hidden="1" customHeight="1">
      <c r="A278" s="1415"/>
      <c r="B278" s="1415"/>
      <c r="C278" s="550" t="s">
        <v>644</v>
      </c>
      <c r="D278" s="211" t="s">
        <v>681</v>
      </c>
      <c r="E278" s="489"/>
      <c r="F278" s="489"/>
      <c r="G278" s="489"/>
      <c r="H278" s="489">
        <f t="shared" si="27"/>
        <v>0</v>
      </c>
      <c r="I278" s="489">
        <f>+'видатки_затв '!G432</f>
        <v>0</v>
      </c>
      <c r="J278" s="489">
        <f>+'видатки_затв '!H432</f>
        <v>0</v>
      </c>
      <c r="K278" s="489">
        <f>+'видатки_затв '!I432</f>
        <v>0</v>
      </c>
      <c r="L278" s="489">
        <f>+'видатки_затв '!J432</f>
        <v>0</v>
      </c>
      <c r="M278" s="489">
        <f>+'видатки_затв '!K432</f>
        <v>0</v>
      </c>
      <c r="N278" s="489">
        <f>+'видатки_затв '!L432</f>
        <v>0</v>
      </c>
      <c r="O278" s="489">
        <f t="shared" si="25"/>
        <v>0</v>
      </c>
      <c r="P278" s="100">
        <f t="shared" si="26"/>
        <v>0</v>
      </c>
      <c r="R278" s="71"/>
      <c r="S278" s="71"/>
      <c r="T278" s="71"/>
      <c r="U278" s="71"/>
    </row>
    <row r="279" spans="1:21" ht="53.45" hidden="1" customHeight="1">
      <c r="A279" s="1415"/>
      <c r="B279" s="1415"/>
      <c r="C279" s="550" t="s">
        <v>520</v>
      </c>
      <c r="D279" s="208" t="s">
        <v>1596</v>
      </c>
      <c r="E279" s="489">
        <f>+'видатки_затв '!C433</f>
        <v>0</v>
      </c>
      <c r="F279" s="489"/>
      <c r="G279" s="489"/>
      <c r="H279" s="489">
        <f t="shared" si="27"/>
        <v>0</v>
      </c>
      <c r="I279" s="489"/>
      <c r="J279" s="489"/>
      <c r="K279" s="489"/>
      <c r="L279" s="489"/>
      <c r="M279" s="489"/>
      <c r="N279" s="489"/>
      <c r="O279" s="489">
        <f t="shared" si="25"/>
        <v>0</v>
      </c>
      <c r="P279" s="100">
        <f t="shared" si="26"/>
        <v>0</v>
      </c>
      <c r="R279" s="71"/>
      <c r="S279" s="71"/>
      <c r="T279" s="71"/>
      <c r="U279" s="71"/>
    </row>
    <row r="280" spans="1:21" ht="75" hidden="1">
      <c r="A280" s="1415"/>
      <c r="B280" s="1415"/>
      <c r="C280" s="550" t="s">
        <v>1155</v>
      </c>
      <c r="D280" s="498" t="s">
        <v>1001</v>
      </c>
      <c r="E280" s="180"/>
      <c r="F280" s="180"/>
      <c r="G280" s="180"/>
      <c r="H280" s="180">
        <f t="shared" si="27"/>
        <v>0</v>
      </c>
      <c r="I280" s="180"/>
      <c r="J280" s="180"/>
      <c r="K280" s="180"/>
      <c r="L280" s="180"/>
      <c r="M280" s="180"/>
      <c r="N280" s="180"/>
      <c r="O280" s="180">
        <f t="shared" si="25"/>
        <v>0</v>
      </c>
      <c r="P280" s="100">
        <f t="shared" si="26"/>
        <v>0</v>
      </c>
      <c r="R280" s="71"/>
      <c r="S280" s="71"/>
      <c r="T280" s="71"/>
      <c r="U280" s="71"/>
    </row>
    <row r="281" spans="1:21" ht="150.6" hidden="1" customHeight="1">
      <c r="A281" s="1415"/>
      <c r="B281" s="1415"/>
      <c r="C281" s="569" t="s">
        <v>1158</v>
      </c>
      <c r="D281" s="217" t="s">
        <v>135</v>
      </c>
      <c r="E281" s="488"/>
      <c r="F281" s="488"/>
      <c r="G281" s="488"/>
      <c r="H281" s="488">
        <f t="shared" si="27"/>
        <v>0</v>
      </c>
      <c r="I281" s="488"/>
      <c r="J281" s="488"/>
      <c r="K281" s="488"/>
      <c r="L281" s="488"/>
      <c r="M281" s="488"/>
      <c r="N281" s="488"/>
      <c r="O281" s="488">
        <f t="shared" si="25"/>
        <v>0</v>
      </c>
      <c r="P281" s="162">
        <f t="shared" si="26"/>
        <v>0</v>
      </c>
      <c r="R281" s="71"/>
      <c r="S281" s="71"/>
      <c r="T281" s="71"/>
      <c r="U281" s="71"/>
    </row>
    <row r="282" spans="1:21" ht="92.45" hidden="1" customHeight="1">
      <c r="A282" s="1415"/>
      <c r="B282" s="1415"/>
      <c r="C282" s="550" t="s">
        <v>1154</v>
      </c>
      <c r="D282" s="498" t="s">
        <v>263</v>
      </c>
      <c r="E282" s="180"/>
      <c r="F282" s="180"/>
      <c r="G282" s="180"/>
      <c r="H282" s="180">
        <f t="shared" si="27"/>
        <v>0</v>
      </c>
      <c r="I282" s="180"/>
      <c r="J282" s="180"/>
      <c r="K282" s="180"/>
      <c r="L282" s="193"/>
      <c r="M282" s="180"/>
      <c r="N282" s="193"/>
      <c r="O282" s="180">
        <f t="shared" si="25"/>
        <v>0</v>
      </c>
      <c r="P282" s="100">
        <f t="shared" si="26"/>
        <v>0</v>
      </c>
      <c r="R282" s="71"/>
      <c r="S282" s="71"/>
      <c r="T282" s="71"/>
      <c r="U282" s="71"/>
    </row>
    <row r="283" spans="1:21" ht="25.9" customHeight="1">
      <c r="A283" s="1418" t="s">
        <v>1083</v>
      </c>
      <c r="B283" s="1419"/>
      <c r="C283" s="569" t="s">
        <v>1247</v>
      </c>
      <c r="D283" s="217" t="s">
        <v>1246</v>
      </c>
      <c r="E283" s="488">
        <v>6000000</v>
      </c>
      <c r="F283" s="488"/>
      <c r="G283" s="488"/>
      <c r="H283" s="488">
        <f t="shared" si="27"/>
        <v>0</v>
      </c>
      <c r="I283" s="488"/>
      <c r="J283" s="488"/>
      <c r="K283" s="488"/>
      <c r="L283" s="488"/>
      <c r="M283" s="488"/>
      <c r="N283" s="488"/>
      <c r="O283" s="488">
        <f t="shared" si="25"/>
        <v>6000000</v>
      </c>
      <c r="P283" s="162">
        <f t="shared" si="26"/>
        <v>6000000</v>
      </c>
      <c r="R283" s="71"/>
      <c r="S283" s="71"/>
      <c r="T283" s="71"/>
      <c r="U283" s="71"/>
    </row>
    <row r="284" spans="1:21" ht="25.9" customHeight="1">
      <c r="A284" s="1415"/>
      <c r="B284" s="1415"/>
      <c r="C284" s="569"/>
      <c r="D284" s="217" t="s">
        <v>150</v>
      </c>
      <c r="E284" s="488"/>
      <c r="F284" s="488"/>
      <c r="G284" s="488"/>
      <c r="H284" s="488">
        <f t="shared" si="27"/>
        <v>0</v>
      </c>
      <c r="I284" s="488"/>
      <c r="J284" s="488"/>
      <c r="K284" s="488"/>
      <c r="L284" s="488"/>
      <c r="M284" s="488"/>
      <c r="N284" s="488"/>
      <c r="O284" s="488">
        <f t="shared" si="25"/>
        <v>0</v>
      </c>
      <c r="P284" s="162">
        <v>1</v>
      </c>
      <c r="R284" s="71"/>
      <c r="S284" s="71"/>
      <c r="T284" s="71"/>
      <c r="U284" s="71"/>
    </row>
    <row r="285" spans="1:21" ht="73.900000000000006" customHeight="1">
      <c r="A285" s="1415"/>
      <c r="B285" s="1415"/>
      <c r="C285" s="569"/>
      <c r="D285" s="454" t="s">
        <v>201</v>
      </c>
      <c r="E285" s="494">
        <v>6000000</v>
      </c>
      <c r="F285" s="494"/>
      <c r="G285" s="494"/>
      <c r="H285" s="488">
        <f t="shared" si="27"/>
        <v>0</v>
      </c>
      <c r="I285" s="494"/>
      <c r="J285" s="494"/>
      <c r="K285" s="494"/>
      <c r="L285" s="494">
        <f>2767751-2767751</f>
        <v>0</v>
      </c>
      <c r="M285" s="494"/>
      <c r="N285" s="494"/>
      <c r="O285" s="488">
        <f t="shared" si="25"/>
        <v>6000000</v>
      </c>
      <c r="P285" s="162">
        <f t="shared" ref="P285:P322" si="28">+O285</f>
        <v>6000000</v>
      </c>
      <c r="R285" s="71"/>
      <c r="S285" s="71"/>
      <c r="T285" s="71"/>
      <c r="U285" s="71"/>
    </row>
    <row r="286" spans="1:21" ht="30.6" hidden="1" customHeight="1">
      <c r="A286" s="1415"/>
      <c r="B286" s="1415"/>
      <c r="C286" s="569"/>
      <c r="D286" s="202" t="s">
        <v>528</v>
      </c>
      <c r="E286" s="494"/>
      <c r="F286" s="494"/>
      <c r="G286" s="494"/>
      <c r="H286" s="488">
        <f t="shared" si="27"/>
        <v>0</v>
      </c>
      <c r="I286" s="495">
        <f>519224-519224</f>
        <v>0</v>
      </c>
      <c r="J286" s="495"/>
      <c r="K286" s="495"/>
      <c r="L286" s="495"/>
      <c r="M286" s="495"/>
      <c r="N286" s="495"/>
      <c r="O286" s="488">
        <f t="shared" si="25"/>
        <v>0</v>
      </c>
      <c r="P286" s="162">
        <f t="shared" si="28"/>
        <v>0</v>
      </c>
      <c r="R286" s="71"/>
      <c r="S286" s="71"/>
      <c r="T286" s="71"/>
      <c r="U286" s="71"/>
    </row>
    <row r="287" spans="1:21" ht="30.6" hidden="1" customHeight="1">
      <c r="A287" s="1415"/>
      <c r="B287" s="1415"/>
      <c r="C287" s="569"/>
      <c r="D287" s="202" t="s">
        <v>1022</v>
      </c>
      <c r="E287" s="494"/>
      <c r="F287" s="494"/>
      <c r="G287" s="494"/>
      <c r="H287" s="488">
        <f t="shared" si="27"/>
        <v>0</v>
      </c>
      <c r="I287" s="495"/>
      <c r="J287" s="495"/>
      <c r="K287" s="495"/>
      <c r="L287" s="495"/>
      <c r="M287" s="494"/>
      <c r="N287" s="495"/>
      <c r="O287" s="488">
        <f t="shared" si="25"/>
        <v>0</v>
      </c>
      <c r="P287" s="162">
        <f t="shared" si="28"/>
        <v>0</v>
      </c>
      <c r="R287" s="71"/>
      <c r="S287" s="71"/>
      <c r="T287" s="71"/>
      <c r="U287" s="71"/>
    </row>
    <row r="288" spans="1:21" ht="30.6" hidden="1" customHeight="1">
      <c r="A288" s="1415"/>
      <c r="B288" s="1415"/>
      <c r="C288" s="569"/>
      <c r="D288" s="202" t="s">
        <v>318</v>
      </c>
      <c r="E288" s="494"/>
      <c r="F288" s="494"/>
      <c r="G288" s="494"/>
      <c r="H288" s="488">
        <f t="shared" si="27"/>
        <v>0</v>
      </c>
      <c r="I288" s="495"/>
      <c r="J288" s="495"/>
      <c r="K288" s="495"/>
      <c r="L288" s="495"/>
      <c r="M288" s="494"/>
      <c r="N288" s="495"/>
      <c r="O288" s="488">
        <f t="shared" si="25"/>
        <v>0</v>
      </c>
      <c r="P288" s="162">
        <f t="shared" si="28"/>
        <v>0</v>
      </c>
      <c r="R288" s="71"/>
      <c r="S288" s="71"/>
      <c r="T288" s="71"/>
      <c r="U288" s="71"/>
    </row>
    <row r="289" spans="1:21" ht="64.150000000000006" hidden="1" customHeight="1">
      <c r="A289" s="1415"/>
      <c r="B289" s="1415"/>
      <c r="C289" s="569"/>
      <c r="D289" s="202" t="s">
        <v>319</v>
      </c>
      <c r="E289" s="494"/>
      <c r="F289" s="494"/>
      <c r="G289" s="494"/>
      <c r="H289" s="488">
        <f t="shared" si="27"/>
        <v>0</v>
      </c>
      <c r="I289" s="495"/>
      <c r="J289" s="495"/>
      <c r="K289" s="495"/>
      <c r="L289" s="495"/>
      <c r="M289" s="494"/>
      <c r="N289" s="495"/>
      <c r="O289" s="488">
        <f t="shared" si="25"/>
        <v>0</v>
      </c>
      <c r="P289" s="162">
        <f t="shared" si="28"/>
        <v>0</v>
      </c>
      <c r="R289" s="71"/>
      <c r="S289" s="71"/>
      <c r="T289" s="71"/>
      <c r="U289" s="71"/>
    </row>
    <row r="290" spans="1:21" ht="30.6" hidden="1" customHeight="1">
      <c r="A290" s="1415"/>
      <c r="B290" s="1415"/>
      <c r="C290" s="569"/>
      <c r="D290" s="202" t="s">
        <v>320</v>
      </c>
      <c r="E290" s="432"/>
      <c r="F290" s="432"/>
      <c r="G290" s="432"/>
      <c r="H290" s="363">
        <f t="shared" si="27"/>
        <v>0</v>
      </c>
      <c r="I290" s="449"/>
      <c r="J290" s="449"/>
      <c r="K290" s="449"/>
      <c r="L290" s="449"/>
      <c r="M290" s="432"/>
      <c r="N290" s="449"/>
      <c r="O290" s="363">
        <f t="shared" si="25"/>
        <v>0</v>
      </c>
      <c r="P290" s="162">
        <f t="shared" si="28"/>
        <v>0</v>
      </c>
      <c r="R290" s="71"/>
      <c r="S290" s="71"/>
      <c r="T290" s="71"/>
      <c r="U290" s="71"/>
    </row>
    <row r="291" spans="1:21" ht="46.9" hidden="1" customHeight="1">
      <c r="A291" s="1415"/>
      <c r="B291" s="1415"/>
      <c r="C291" s="569"/>
      <c r="D291" s="386" t="s">
        <v>201</v>
      </c>
      <c r="E291" s="432"/>
      <c r="F291" s="432"/>
      <c r="G291" s="432"/>
      <c r="H291" s="363">
        <f t="shared" si="27"/>
        <v>0</v>
      </c>
      <c r="I291" s="449"/>
      <c r="J291" s="449"/>
      <c r="K291" s="449"/>
      <c r="L291" s="449"/>
      <c r="M291" s="432">
        <f>+L291</f>
        <v>0</v>
      </c>
      <c r="N291" s="449">
        <f>+M291</f>
        <v>0</v>
      </c>
      <c r="O291" s="363">
        <f t="shared" si="25"/>
        <v>0</v>
      </c>
      <c r="P291" s="162">
        <f t="shared" si="28"/>
        <v>0</v>
      </c>
      <c r="R291" s="71"/>
      <c r="S291" s="71"/>
      <c r="T291" s="71"/>
      <c r="U291" s="71"/>
    </row>
    <row r="292" spans="1:21" ht="54.6" hidden="1" customHeight="1">
      <c r="A292" s="1415"/>
      <c r="B292" s="1415"/>
      <c r="C292" s="569"/>
      <c r="D292" s="386" t="s">
        <v>401</v>
      </c>
      <c r="E292" s="432"/>
      <c r="F292" s="432"/>
      <c r="G292" s="432"/>
      <c r="H292" s="363">
        <f t="shared" si="27"/>
        <v>0</v>
      </c>
      <c r="I292" s="449"/>
      <c r="J292" s="449"/>
      <c r="K292" s="449"/>
      <c r="L292" s="449"/>
      <c r="M292" s="432"/>
      <c r="N292" s="449"/>
      <c r="O292" s="363">
        <f t="shared" si="25"/>
        <v>0</v>
      </c>
      <c r="P292" s="162">
        <f t="shared" si="28"/>
        <v>0</v>
      </c>
      <c r="R292" s="71"/>
      <c r="S292" s="71"/>
      <c r="T292" s="71"/>
      <c r="U292" s="71"/>
    </row>
    <row r="293" spans="1:21" ht="37.15" hidden="1" customHeight="1">
      <c r="A293" s="1415"/>
      <c r="B293" s="1415"/>
      <c r="C293" s="569"/>
      <c r="D293" s="386" t="s">
        <v>321</v>
      </c>
      <c r="E293" s="494"/>
      <c r="F293" s="494"/>
      <c r="G293" s="494"/>
      <c r="H293" s="488">
        <f t="shared" si="27"/>
        <v>0</v>
      </c>
      <c r="I293" s="495"/>
      <c r="J293" s="495"/>
      <c r="K293" s="495"/>
      <c r="L293" s="495"/>
      <c r="M293" s="494"/>
      <c r="N293" s="495"/>
      <c r="O293" s="488">
        <f t="shared" si="25"/>
        <v>0</v>
      </c>
      <c r="P293" s="162">
        <f t="shared" si="28"/>
        <v>0</v>
      </c>
      <c r="R293" s="71"/>
      <c r="S293" s="71"/>
      <c r="T293" s="71"/>
      <c r="U293" s="71"/>
    </row>
    <row r="294" spans="1:21" ht="45" hidden="1" customHeight="1">
      <c r="A294" s="1415"/>
      <c r="B294" s="1415"/>
      <c r="C294" s="569"/>
      <c r="D294" s="554" t="s">
        <v>1129</v>
      </c>
      <c r="E294" s="432"/>
      <c r="F294" s="432"/>
      <c r="G294" s="432"/>
      <c r="H294" s="488">
        <f t="shared" si="27"/>
        <v>0</v>
      </c>
      <c r="I294" s="495"/>
      <c r="J294" s="495"/>
      <c r="K294" s="495"/>
      <c r="L294" s="495"/>
      <c r="M294" s="494">
        <f>+L294</f>
        <v>0</v>
      </c>
      <c r="N294" s="495">
        <f>+M294</f>
        <v>0</v>
      </c>
      <c r="O294" s="363">
        <f t="shared" ref="O294:O327" si="29">+E294+H294</f>
        <v>0</v>
      </c>
      <c r="P294" s="162">
        <f t="shared" si="28"/>
        <v>0</v>
      </c>
      <c r="R294" s="71"/>
      <c r="S294" s="71"/>
      <c r="T294" s="71"/>
      <c r="U294" s="71"/>
    </row>
    <row r="295" spans="1:21" ht="62.45" hidden="1" customHeight="1">
      <c r="A295" s="1415"/>
      <c r="B295" s="1415"/>
      <c r="C295" s="569"/>
      <c r="D295" s="454" t="s">
        <v>208</v>
      </c>
      <c r="E295" s="494"/>
      <c r="F295" s="494"/>
      <c r="G295" s="494"/>
      <c r="H295" s="488">
        <f t="shared" si="27"/>
        <v>0</v>
      </c>
      <c r="I295" s="495"/>
      <c r="J295" s="495"/>
      <c r="K295" s="495"/>
      <c r="L295" s="495"/>
      <c r="M295" s="494"/>
      <c r="N295" s="495"/>
      <c r="O295" s="488">
        <f t="shared" si="29"/>
        <v>0</v>
      </c>
      <c r="P295" s="162">
        <f t="shared" si="28"/>
        <v>0</v>
      </c>
      <c r="R295" s="71"/>
      <c r="S295" s="71"/>
      <c r="T295" s="71"/>
      <c r="U295" s="71"/>
    </row>
    <row r="296" spans="1:21" ht="41.45" hidden="1" customHeight="1">
      <c r="A296" s="1415"/>
      <c r="B296" s="1415"/>
      <c r="C296" s="569"/>
      <c r="D296" s="202" t="s">
        <v>345</v>
      </c>
      <c r="E296" s="494"/>
      <c r="F296" s="494"/>
      <c r="G296" s="494"/>
      <c r="H296" s="488">
        <f t="shared" si="27"/>
        <v>0</v>
      </c>
      <c r="I296" s="495"/>
      <c r="J296" s="495"/>
      <c r="K296" s="495"/>
      <c r="L296" s="495"/>
      <c r="M296" s="494">
        <f>+L296</f>
        <v>0</v>
      </c>
      <c r="N296" s="495">
        <f>+M296</f>
        <v>0</v>
      </c>
      <c r="O296" s="488">
        <f t="shared" si="29"/>
        <v>0</v>
      </c>
      <c r="P296" s="162">
        <f t="shared" si="28"/>
        <v>0</v>
      </c>
      <c r="R296" s="71"/>
      <c r="S296" s="71"/>
      <c r="T296" s="71"/>
      <c r="U296" s="71"/>
    </row>
    <row r="297" spans="1:21" ht="41.45" hidden="1" customHeight="1">
      <c r="A297" s="1415"/>
      <c r="B297" s="1415"/>
      <c r="C297" s="569"/>
      <c r="D297" s="202" t="s">
        <v>1133</v>
      </c>
      <c r="E297" s="494"/>
      <c r="F297" s="494"/>
      <c r="G297" s="494"/>
      <c r="H297" s="488">
        <f t="shared" si="27"/>
        <v>0</v>
      </c>
      <c r="I297" s="495"/>
      <c r="J297" s="495"/>
      <c r="K297" s="495"/>
      <c r="L297" s="495"/>
      <c r="M297" s="494"/>
      <c r="N297" s="495"/>
      <c r="O297" s="488">
        <f t="shared" si="29"/>
        <v>0</v>
      </c>
      <c r="P297" s="162">
        <f t="shared" si="28"/>
        <v>0</v>
      </c>
      <c r="R297" s="71"/>
      <c r="S297" s="71"/>
      <c r="T297" s="71"/>
      <c r="U297" s="71"/>
    </row>
    <row r="298" spans="1:21" ht="25.15" hidden="1" customHeight="1">
      <c r="A298" s="1415"/>
      <c r="B298" s="1415"/>
      <c r="C298" s="569"/>
      <c r="D298" s="529" t="s">
        <v>1132</v>
      </c>
      <c r="E298" s="494"/>
      <c r="F298" s="494"/>
      <c r="G298" s="494"/>
      <c r="H298" s="488">
        <f t="shared" si="27"/>
        <v>0</v>
      </c>
      <c r="I298" s="495"/>
      <c r="J298" s="495"/>
      <c r="K298" s="495"/>
      <c r="L298" s="495"/>
      <c r="M298" s="494"/>
      <c r="N298" s="495"/>
      <c r="O298" s="488">
        <f t="shared" si="29"/>
        <v>0</v>
      </c>
      <c r="P298" s="162">
        <f t="shared" si="28"/>
        <v>0</v>
      </c>
      <c r="R298" s="71"/>
      <c r="S298" s="71"/>
      <c r="T298" s="71"/>
      <c r="U298" s="71"/>
    </row>
    <row r="299" spans="1:21" ht="39.6" hidden="1" customHeight="1">
      <c r="A299" s="1415"/>
      <c r="B299" s="1415"/>
      <c r="C299" s="569"/>
      <c r="D299" s="386" t="s">
        <v>817</v>
      </c>
      <c r="E299" s="494"/>
      <c r="F299" s="494"/>
      <c r="G299" s="494"/>
      <c r="H299" s="488">
        <f t="shared" si="27"/>
        <v>0</v>
      </c>
      <c r="I299" s="495"/>
      <c r="J299" s="495"/>
      <c r="K299" s="495"/>
      <c r="L299" s="495"/>
      <c r="M299" s="494">
        <f>+L299</f>
        <v>0</v>
      </c>
      <c r="N299" s="495">
        <f>+M299</f>
        <v>0</v>
      </c>
      <c r="O299" s="488">
        <f t="shared" si="29"/>
        <v>0</v>
      </c>
      <c r="P299" s="162">
        <f t="shared" si="28"/>
        <v>0</v>
      </c>
      <c r="R299" s="71"/>
      <c r="S299" s="71"/>
      <c r="T299" s="71"/>
      <c r="U299" s="71"/>
    </row>
    <row r="300" spans="1:21" ht="45" hidden="1" customHeight="1">
      <c r="A300" s="1415"/>
      <c r="B300" s="1415"/>
      <c r="C300" s="569"/>
      <c r="D300" s="386" t="s">
        <v>132</v>
      </c>
      <c r="E300" s="494"/>
      <c r="F300" s="494"/>
      <c r="G300" s="494"/>
      <c r="H300" s="488">
        <f t="shared" si="27"/>
        <v>0</v>
      </c>
      <c r="I300" s="495"/>
      <c r="J300" s="495"/>
      <c r="K300" s="495"/>
      <c r="L300" s="495"/>
      <c r="M300" s="494">
        <f>+L300</f>
        <v>0</v>
      </c>
      <c r="N300" s="495">
        <f>+M300</f>
        <v>0</v>
      </c>
      <c r="O300" s="488">
        <f t="shared" si="29"/>
        <v>0</v>
      </c>
      <c r="P300" s="162">
        <f t="shared" si="28"/>
        <v>0</v>
      </c>
      <c r="R300" s="71"/>
      <c r="S300" s="71"/>
      <c r="T300" s="71"/>
      <c r="U300" s="71"/>
    </row>
    <row r="301" spans="1:21" ht="30.6" hidden="1" customHeight="1">
      <c r="A301" s="1415"/>
      <c r="B301" s="1415"/>
      <c r="C301" s="569"/>
      <c r="D301" s="386" t="s">
        <v>444</v>
      </c>
      <c r="E301" s="494"/>
      <c r="F301" s="458"/>
      <c r="G301" s="458"/>
      <c r="H301" s="488">
        <f t="shared" si="27"/>
        <v>0</v>
      </c>
      <c r="I301" s="495"/>
      <c r="J301" s="495"/>
      <c r="K301" s="495"/>
      <c r="L301" s="495"/>
      <c r="M301" s="494"/>
      <c r="N301" s="495"/>
      <c r="O301" s="488">
        <f t="shared" si="29"/>
        <v>0</v>
      </c>
      <c r="P301" s="162">
        <f t="shared" si="28"/>
        <v>0</v>
      </c>
      <c r="R301" s="71"/>
      <c r="S301" s="71"/>
      <c r="T301" s="71"/>
      <c r="U301" s="71"/>
    </row>
    <row r="302" spans="1:21" ht="54" hidden="1" customHeight="1">
      <c r="A302" s="1415"/>
      <c r="B302" s="1415"/>
      <c r="C302" s="569"/>
      <c r="D302" s="386" t="s">
        <v>346</v>
      </c>
      <c r="E302" s="494"/>
      <c r="F302" s="494"/>
      <c r="G302" s="494"/>
      <c r="H302" s="488">
        <f t="shared" si="27"/>
        <v>0</v>
      </c>
      <c r="I302" s="495"/>
      <c r="J302" s="495"/>
      <c r="K302" s="495"/>
      <c r="L302" s="495"/>
      <c r="M302" s="494"/>
      <c r="N302" s="495">
        <f>+M302</f>
        <v>0</v>
      </c>
      <c r="O302" s="488">
        <f t="shared" si="29"/>
        <v>0</v>
      </c>
      <c r="P302" s="162">
        <f t="shared" si="28"/>
        <v>0</v>
      </c>
      <c r="R302" s="71"/>
      <c r="S302" s="71"/>
      <c r="T302" s="71"/>
      <c r="U302" s="71"/>
    </row>
    <row r="303" spans="1:21" ht="35.450000000000003" hidden="1" customHeight="1">
      <c r="A303" s="1415"/>
      <c r="B303" s="1415"/>
      <c r="C303" s="569"/>
      <c r="D303" s="202" t="s">
        <v>1131</v>
      </c>
      <c r="E303" s="494"/>
      <c r="F303" s="494"/>
      <c r="G303" s="494"/>
      <c r="H303" s="488">
        <f t="shared" si="27"/>
        <v>0</v>
      </c>
      <c r="I303" s="495"/>
      <c r="J303" s="495"/>
      <c r="K303" s="495"/>
      <c r="L303" s="495"/>
      <c r="M303" s="494"/>
      <c r="N303" s="495"/>
      <c r="O303" s="488">
        <f t="shared" si="29"/>
        <v>0</v>
      </c>
      <c r="P303" s="162">
        <f t="shared" si="28"/>
        <v>0</v>
      </c>
      <c r="R303" s="71"/>
      <c r="S303" s="71"/>
      <c r="T303" s="71"/>
      <c r="U303" s="71"/>
    </row>
    <row r="304" spans="1:21" ht="63.6" hidden="1" customHeight="1">
      <c r="A304" s="1415"/>
      <c r="B304" s="1415"/>
      <c r="C304" s="569"/>
      <c r="D304" s="386" t="s">
        <v>937</v>
      </c>
      <c r="E304" s="494"/>
      <c r="F304" s="494"/>
      <c r="G304" s="494"/>
      <c r="H304" s="488">
        <f t="shared" si="27"/>
        <v>0</v>
      </c>
      <c r="I304" s="495"/>
      <c r="J304" s="495"/>
      <c r="K304" s="495"/>
      <c r="L304" s="495"/>
      <c r="M304" s="494">
        <f>+L304</f>
        <v>0</v>
      </c>
      <c r="N304" s="495">
        <f>+M304</f>
        <v>0</v>
      </c>
      <c r="O304" s="488">
        <f t="shared" si="29"/>
        <v>0</v>
      </c>
      <c r="P304" s="162">
        <f t="shared" si="28"/>
        <v>0</v>
      </c>
      <c r="R304" s="71"/>
      <c r="S304" s="71"/>
      <c r="T304" s="71"/>
      <c r="U304" s="71"/>
    </row>
    <row r="305" spans="1:21" ht="30.6" hidden="1" customHeight="1">
      <c r="A305" s="1415"/>
      <c r="B305" s="1415"/>
      <c r="C305" s="569"/>
      <c r="D305" s="386" t="s">
        <v>938</v>
      </c>
      <c r="E305" s="494"/>
      <c r="F305" s="494"/>
      <c r="G305" s="494"/>
      <c r="H305" s="488">
        <f t="shared" si="27"/>
        <v>0</v>
      </c>
      <c r="I305" s="495"/>
      <c r="J305" s="495"/>
      <c r="K305" s="495"/>
      <c r="L305" s="495"/>
      <c r="M305" s="494">
        <f>+L305</f>
        <v>0</v>
      </c>
      <c r="N305" s="495">
        <f>+M305</f>
        <v>0</v>
      </c>
      <c r="O305" s="488">
        <f t="shared" si="29"/>
        <v>0</v>
      </c>
      <c r="P305" s="162">
        <f t="shared" si="28"/>
        <v>0</v>
      </c>
      <c r="R305" s="71"/>
      <c r="S305" s="71"/>
      <c r="T305" s="71"/>
      <c r="U305" s="71"/>
    </row>
    <row r="306" spans="1:21" ht="51" hidden="1" customHeight="1">
      <c r="A306" s="1415"/>
      <c r="B306" s="1415"/>
      <c r="C306" s="569"/>
      <c r="D306" s="386" t="s">
        <v>623</v>
      </c>
      <c r="E306" s="494"/>
      <c r="F306" s="494"/>
      <c r="G306" s="494"/>
      <c r="H306" s="488">
        <f t="shared" si="27"/>
        <v>0</v>
      </c>
      <c r="I306" s="495"/>
      <c r="J306" s="495"/>
      <c r="K306" s="495"/>
      <c r="L306" s="495"/>
      <c r="M306" s="494"/>
      <c r="N306" s="495">
        <f>+M306</f>
        <v>0</v>
      </c>
      <c r="O306" s="488">
        <f t="shared" si="29"/>
        <v>0</v>
      </c>
      <c r="P306" s="162">
        <f t="shared" si="28"/>
        <v>0</v>
      </c>
      <c r="R306" s="71"/>
      <c r="S306" s="71"/>
      <c r="T306" s="71"/>
      <c r="U306" s="71"/>
    </row>
    <row r="307" spans="1:21" ht="60.6" hidden="1" customHeight="1">
      <c r="A307" s="1415"/>
      <c r="B307" s="1415"/>
      <c r="C307" s="569"/>
      <c r="D307" s="386" t="s">
        <v>324</v>
      </c>
      <c r="E307" s="494"/>
      <c r="F307" s="494"/>
      <c r="G307" s="494"/>
      <c r="H307" s="488">
        <f t="shared" si="27"/>
        <v>0</v>
      </c>
      <c r="I307" s="495"/>
      <c r="J307" s="495"/>
      <c r="K307" s="495"/>
      <c r="L307" s="495"/>
      <c r="M307" s="494"/>
      <c r="N307" s="495"/>
      <c r="O307" s="488">
        <f t="shared" si="29"/>
        <v>0</v>
      </c>
      <c r="P307" s="162">
        <f t="shared" si="28"/>
        <v>0</v>
      </c>
      <c r="R307" s="71"/>
      <c r="S307" s="71"/>
      <c r="T307" s="71"/>
      <c r="U307" s="71"/>
    </row>
    <row r="308" spans="1:21" ht="32.450000000000003" hidden="1" customHeight="1">
      <c r="A308" s="1415"/>
      <c r="B308" s="1415"/>
      <c r="C308" s="569"/>
      <c r="D308" s="433" t="s">
        <v>1023</v>
      </c>
      <c r="E308" s="434"/>
      <c r="F308" s="434"/>
      <c r="G308" s="434"/>
      <c r="H308" s="488">
        <f t="shared" si="27"/>
        <v>0</v>
      </c>
      <c r="I308" s="435"/>
      <c r="J308" s="435"/>
      <c r="K308" s="435"/>
      <c r="L308" s="435"/>
      <c r="M308" s="434"/>
      <c r="N308" s="435"/>
      <c r="O308" s="388">
        <f t="shared" si="29"/>
        <v>0</v>
      </c>
      <c r="P308" s="100">
        <f t="shared" si="28"/>
        <v>0</v>
      </c>
      <c r="R308" s="71"/>
      <c r="S308" s="71"/>
      <c r="T308" s="71"/>
      <c r="U308" s="71"/>
    </row>
    <row r="309" spans="1:21" ht="60" hidden="1" customHeight="1">
      <c r="A309" s="1415"/>
      <c r="B309" s="1415"/>
      <c r="C309" s="569"/>
      <c r="D309" s="454" t="s">
        <v>173</v>
      </c>
      <c r="E309" s="434"/>
      <c r="F309" s="434"/>
      <c r="G309" s="434"/>
      <c r="H309" s="488">
        <f t="shared" si="27"/>
        <v>0</v>
      </c>
      <c r="I309" s="435"/>
      <c r="J309" s="435"/>
      <c r="K309" s="435"/>
      <c r="L309" s="449"/>
      <c r="M309" s="432">
        <f>+L309</f>
        <v>0</v>
      </c>
      <c r="N309" s="449">
        <f>+M309</f>
        <v>0</v>
      </c>
      <c r="O309" s="363">
        <f t="shared" si="29"/>
        <v>0</v>
      </c>
      <c r="P309" s="100">
        <f t="shared" si="28"/>
        <v>0</v>
      </c>
      <c r="R309" s="71"/>
      <c r="S309" s="71"/>
      <c r="T309" s="71"/>
      <c r="U309" s="71"/>
    </row>
    <row r="310" spans="1:21" ht="76.150000000000006" hidden="1" customHeight="1">
      <c r="A310" s="1415"/>
      <c r="B310" s="1415"/>
      <c r="C310" s="569"/>
      <c r="D310" s="437"/>
      <c r="E310" s="363"/>
      <c r="F310" s="363"/>
      <c r="G310" s="363"/>
      <c r="H310" s="488">
        <f t="shared" si="27"/>
        <v>0</v>
      </c>
      <c r="I310" s="363"/>
      <c r="J310" s="363"/>
      <c r="K310" s="363"/>
      <c r="L310" s="365"/>
      <c r="M310" s="363"/>
      <c r="N310" s="365"/>
      <c r="O310" s="363">
        <f t="shared" si="29"/>
        <v>0</v>
      </c>
      <c r="P310" s="100">
        <f t="shared" si="28"/>
        <v>0</v>
      </c>
      <c r="R310" s="71"/>
      <c r="S310" s="71"/>
      <c r="T310" s="71"/>
      <c r="U310" s="71"/>
    </row>
    <row r="311" spans="1:21" ht="60.6" hidden="1" customHeight="1">
      <c r="A311" s="1415"/>
      <c r="B311" s="1415"/>
      <c r="C311" s="569"/>
      <c r="D311" s="386"/>
      <c r="E311" s="363"/>
      <c r="F311" s="363"/>
      <c r="G311" s="363"/>
      <c r="H311" s="363">
        <f t="shared" ref="H311:H335" si="30">+I311+L311</f>
        <v>0</v>
      </c>
      <c r="I311" s="363"/>
      <c r="J311" s="363"/>
      <c r="K311" s="363"/>
      <c r="L311" s="365"/>
      <c r="M311" s="363"/>
      <c r="N311" s="365"/>
      <c r="O311" s="363">
        <f t="shared" si="29"/>
        <v>0</v>
      </c>
      <c r="P311" s="100">
        <f t="shared" si="28"/>
        <v>0</v>
      </c>
      <c r="R311" s="71"/>
      <c r="S311" s="71"/>
      <c r="T311" s="71"/>
      <c r="U311" s="71"/>
    </row>
    <row r="312" spans="1:21" ht="35.450000000000003" hidden="1" customHeight="1">
      <c r="A312" s="1415"/>
      <c r="B312" s="1415"/>
      <c r="C312" s="569"/>
      <c r="D312" s="202" t="s">
        <v>175</v>
      </c>
      <c r="E312" s="488"/>
      <c r="F312" s="488"/>
      <c r="G312" s="488"/>
      <c r="H312" s="488">
        <f t="shared" si="30"/>
        <v>0</v>
      </c>
      <c r="I312" s="488"/>
      <c r="J312" s="488"/>
      <c r="K312" s="488"/>
      <c r="L312" s="488"/>
      <c r="M312" s="488"/>
      <c r="N312" s="488"/>
      <c r="O312" s="488">
        <f t="shared" si="29"/>
        <v>0</v>
      </c>
      <c r="P312" s="100">
        <f t="shared" si="28"/>
        <v>0</v>
      </c>
      <c r="R312" s="71"/>
      <c r="S312" s="71"/>
      <c r="T312" s="71"/>
      <c r="U312" s="71"/>
    </row>
    <row r="313" spans="1:21" ht="48.75" hidden="1" customHeight="1">
      <c r="A313" s="1415"/>
      <c r="B313" s="1415"/>
      <c r="C313" s="569"/>
      <c r="D313" s="370" t="s">
        <v>816</v>
      </c>
      <c r="E313" s="488"/>
      <c r="F313" s="488"/>
      <c r="G313" s="488"/>
      <c r="H313" s="488">
        <f t="shared" si="30"/>
        <v>0</v>
      </c>
      <c r="I313" s="488"/>
      <c r="J313" s="488"/>
      <c r="K313" s="488"/>
      <c r="L313" s="488"/>
      <c r="M313" s="488"/>
      <c r="N313" s="488"/>
      <c r="O313" s="488">
        <f t="shared" si="29"/>
        <v>0</v>
      </c>
      <c r="P313" s="162">
        <f t="shared" si="28"/>
        <v>0</v>
      </c>
      <c r="R313" s="71"/>
      <c r="S313" s="71"/>
      <c r="T313" s="71"/>
      <c r="U313" s="71"/>
    </row>
    <row r="314" spans="1:21" ht="65.45" hidden="1" customHeight="1">
      <c r="A314" s="1415"/>
      <c r="B314" s="1415"/>
      <c r="C314" s="569"/>
      <c r="D314" s="386"/>
      <c r="E314" s="363"/>
      <c r="F314" s="363"/>
      <c r="G314" s="363"/>
      <c r="H314" s="363">
        <f t="shared" si="30"/>
        <v>0</v>
      </c>
      <c r="I314" s="363"/>
      <c r="J314" s="363"/>
      <c r="K314" s="363"/>
      <c r="L314" s="363"/>
      <c r="M314" s="363"/>
      <c r="N314" s="363"/>
      <c r="O314" s="363">
        <f t="shared" si="29"/>
        <v>0</v>
      </c>
      <c r="P314" s="100">
        <f t="shared" si="28"/>
        <v>0</v>
      </c>
      <c r="R314" s="71"/>
      <c r="S314" s="71"/>
      <c r="T314" s="71"/>
      <c r="U314" s="71"/>
    </row>
    <row r="315" spans="1:21" ht="84.6" hidden="1" customHeight="1">
      <c r="A315" s="1415"/>
      <c r="B315" s="1415"/>
      <c r="C315" s="569"/>
      <c r="D315" s="217" t="s">
        <v>134</v>
      </c>
      <c r="E315" s="432"/>
      <c r="F315" s="363"/>
      <c r="G315" s="363"/>
      <c r="H315" s="363">
        <f t="shared" si="30"/>
        <v>0</v>
      </c>
      <c r="I315" s="363"/>
      <c r="J315" s="363"/>
      <c r="K315" s="363"/>
      <c r="L315" s="363"/>
      <c r="M315" s="363"/>
      <c r="N315" s="363"/>
      <c r="O315" s="363">
        <f t="shared" si="29"/>
        <v>0</v>
      </c>
      <c r="P315" s="100">
        <f t="shared" si="28"/>
        <v>0</v>
      </c>
      <c r="R315" s="71"/>
      <c r="S315" s="71"/>
      <c r="T315" s="71"/>
      <c r="U315" s="71"/>
    </row>
    <row r="316" spans="1:21" ht="103.15" hidden="1" customHeight="1">
      <c r="A316" s="1415"/>
      <c r="B316" s="1415"/>
      <c r="C316" s="569"/>
      <c r="D316" s="497" t="s">
        <v>326</v>
      </c>
      <c r="E316" s="363">
        <f>1050000-1050000</f>
        <v>0</v>
      </c>
      <c r="F316" s="363"/>
      <c r="G316" s="363"/>
      <c r="H316" s="363">
        <f t="shared" si="30"/>
        <v>0</v>
      </c>
      <c r="I316" s="363"/>
      <c r="J316" s="363"/>
      <c r="K316" s="363"/>
      <c r="L316" s="363"/>
      <c r="M316" s="363"/>
      <c r="N316" s="363"/>
      <c r="O316" s="363">
        <f t="shared" si="29"/>
        <v>0</v>
      </c>
      <c r="P316" s="100">
        <f t="shared" si="28"/>
        <v>0</v>
      </c>
      <c r="R316" s="71"/>
      <c r="S316" s="71"/>
      <c r="T316" s="71"/>
      <c r="U316" s="71"/>
    </row>
    <row r="317" spans="1:21" ht="106.9" hidden="1" customHeight="1">
      <c r="A317" s="1415"/>
      <c r="B317" s="1415"/>
      <c r="C317" s="569"/>
      <c r="D317" s="454" t="s">
        <v>666</v>
      </c>
      <c r="E317" s="432"/>
      <c r="F317" s="363"/>
      <c r="G317" s="363"/>
      <c r="H317" s="363">
        <f t="shared" si="30"/>
        <v>0</v>
      </c>
      <c r="I317" s="363"/>
      <c r="J317" s="363"/>
      <c r="K317" s="363"/>
      <c r="L317" s="365"/>
      <c r="M317" s="363"/>
      <c r="N317" s="365"/>
      <c r="O317" s="363">
        <f t="shared" si="29"/>
        <v>0</v>
      </c>
      <c r="P317" s="100">
        <f t="shared" si="28"/>
        <v>0</v>
      </c>
      <c r="R317" s="71"/>
      <c r="S317" s="71"/>
      <c r="T317" s="71"/>
      <c r="U317" s="71"/>
    </row>
    <row r="318" spans="1:21" ht="44.25" hidden="1" customHeight="1">
      <c r="A318" s="1415"/>
      <c r="B318" s="1415"/>
      <c r="C318" s="569"/>
      <c r="D318" s="367" t="s">
        <v>676</v>
      </c>
      <c r="E318" s="488">
        <f>937400-937400</f>
        <v>0</v>
      </c>
      <c r="F318" s="488"/>
      <c r="G318" s="488"/>
      <c r="H318" s="488">
        <f t="shared" si="30"/>
        <v>0</v>
      </c>
      <c r="I318" s="488"/>
      <c r="J318" s="488"/>
      <c r="K318" s="488"/>
      <c r="L318" s="488"/>
      <c r="M318" s="488"/>
      <c r="N318" s="488"/>
      <c r="O318" s="488">
        <f t="shared" si="29"/>
        <v>0</v>
      </c>
      <c r="P318" s="162">
        <f t="shared" si="28"/>
        <v>0</v>
      </c>
      <c r="R318" s="71"/>
      <c r="S318" s="71"/>
      <c r="T318" s="71"/>
      <c r="U318" s="71"/>
    </row>
    <row r="319" spans="1:21" ht="65.45" hidden="1" customHeight="1">
      <c r="A319" s="1415"/>
      <c r="B319" s="1415"/>
      <c r="C319" s="569"/>
      <c r="D319" s="497" t="s">
        <v>1124</v>
      </c>
      <c r="E319" s="488"/>
      <c r="F319" s="488"/>
      <c r="G319" s="488"/>
      <c r="H319" s="488"/>
      <c r="I319" s="488"/>
      <c r="J319" s="488"/>
      <c r="K319" s="488"/>
      <c r="L319" s="488"/>
      <c r="M319" s="488"/>
      <c r="N319" s="488"/>
      <c r="O319" s="488">
        <f t="shared" si="29"/>
        <v>0</v>
      </c>
      <c r="P319" s="162">
        <f t="shared" si="28"/>
        <v>0</v>
      </c>
      <c r="R319" s="71"/>
      <c r="S319" s="71"/>
      <c r="T319" s="71"/>
      <c r="U319" s="71"/>
    </row>
    <row r="320" spans="1:21" ht="21.75" hidden="1" customHeight="1">
      <c r="A320" s="1415"/>
      <c r="B320" s="1415"/>
      <c r="C320" s="569"/>
      <c r="D320" s="217" t="s">
        <v>677</v>
      </c>
      <c r="E320" s="488"/>
      <c r="F320" s="488"/>
      <c r="G320" s="488"/>
      <c r="H320" s="488">
        <f t="shared" si="30"/>
        <v>0</v>
      </c>
      <c r="I320" s="488"/>
      <c r="J320" s="488"/>
      <c r="K320" s="488"/>
      <c r="L320" s="488"/>
      <c r="M320" s="488"/>
      <c r="N320" s="488"/>
      <c r="O320" s="488">
        <f t="shared" si="29"/>
        <v>0</v>
      </c>
      <c r="P320" s="162">
        <f t="shared" si="28"/>
        <v>0</v>
      </c>
      <c r="R320" s="71"/>
      <c r="S320" s="71"/>
      <c r="T320" s="71"/>
      <c r="U320" s="71"/>
    </row>
    <row r="321" spans="1:65" ht="48" hidden="1" customHeight="1">
      <c r="A321" s="1415"/>
      <c r="B321" s="1415"/>
      <c r="C321" s="569"/>
      <c r="D321" s="217" t="s">
        <v>1412</v>
      </c>
      <c r="E321" s="488">
        <f>2369200-2369200</f>
        <v>0</v>
      </c>
      <c r="F321" s="488"/>
      <c r="G321" s="488"/>
      <c r="H321" s="488">
        <f t="shared" si="30"/>
        <v>0</v>
      </c>
      <c r="I321" s="488"/>
      <c r="J321" s="488"/>
      <c r="K321" s="488"/>
      <c r="L321" s="488"/>
      <c r="M321" s="488"/>
      <c r="N321" s="488"/>
      <c r="O321" s="488">
        <f t="shared" si="29"/>
        <v>0</v>
      </c>
      <c r="P321" s="162">
        <f t="shared" si="28"/>
        <v>0</v>
      </c>
      <c r="R321" s="71"/>
      <c r="S321" s="71"/>
      <c r="T321" s="71"/>
      <c r="U321" s="71"/>
    </row>
    <row r="322" spans="1:65" ht="49.5" hidden="1" customHeight="1">
      <c r="A322" s="1415"/>
      <c r="B322" s="1415"/>
      <c r="C322" s="569"/>
      <c r="D322" s="208" t="s">
        <v>1013</v>
      </c>
      <c r="E322" s="488">
        <f>891200-891200</f>
        <v>0</v>
      </c>
      <c r="F322" s="488"/>
      <c r="G322" s="488"/>
      <c r="H322" s="488">
        <f t="shared" si="30"/>
        <v>0</v>
      </c>
      <c r="I322" s="488"/>
      <c r="J322" s="488"/>
      <c r="K322" s="488"/>
      <c r="L322" s="488"/>
      <c r="M322" s="488"/>
      <c r="N322" s="488"/>
      <c r="O322" s="488">
        <f t="shared" si="29"/>
        <v>0</v>
      </c>
      <c r="P322" s="162">
        <f t="shared" si="28"/>
        <v>0</v>
      </c>
      <c r="R322" s="71"/>
      <c r="S322" s="71"/>
      <c r="T322" s="71"/>
      <c r="U322" s="71"/>
    </row>
    <row r="323" spans="1:65" ht="63" hidden="1" customHeight="1">
      <c r="A323" s="1415"/>
      <c r="B323" s="1415"/>
      <c r="C323" s="569"/>
      <c r="D323" s="555" t="s">
        <v>977</v>
      </c>
      <c r="E323" s="388"/>
      <c r="F323" s="388"/>
      <c r="G323" s="388"/>
      <c r="H323" s="388"/>
      <c r="I323" s="388"/>
      <c r="J323" s="388"/>
      <c r="K323" s="388"/>
      <c r="L323" s="598"/>
      <c r="M323" s="388"/>
      <c r="N323" s="598"/>
      <c r="O323" s="388">
        <f t="shared" si="29"/>
        <v>0</v>
      </c>
      <c r="P323" s="100"/>
      <c r="R323" s="71"/>
      <c r="S323" s="71"/>
      <c r="T323" s="71"/>
      <c r="U323" s="71"/>
    </row>
    <row r="324" spans="1:65" ht="72.599999999999994" hidden="1" customHeight="1">
      <c r="A324" s="1415"/>
      <c r="B324" s="1415"/>
      <c r="C324" s="569"/>
      <c r="D324" s="366" t="s">
        <v>1413</v>
      </c>
      <c r="E324" s="488">
        <f>709600-709600</f>
        <v>0</v>
      </c>
      <c r="F324" s="488"/>
      <c r="G324" s="488"/>
      <c r="H324" s="488">
        <f t="shared" si="30"/>
        <v>0</v>
      </c>
      <c r="I324" s="488"/>
      <c r="J324" s="488"/>
      <c r="K324" s="488"/>
      <c r="L324" s="488"/>
      <c r="M324" s="488"/>
      <c r="N324" s="488"/>
      <c r="O324" s="488">
        <f t="shared" si="29"/>
        <v>0</v>
      </c>
      <c r="P324" s="162">
        <f t="shared" ref="P324:P349" si="31">+O324</f>
        <v>0</v>
      </c>
      <c r="R324" s="71"/>
      <c r="S324" s="71"/>
      <c r="T324" s="71"/>
      <c r="U324" s="71"/>
    </row>
    <row r="325" spans="1:65" ht="53.45" hidden="1" customHeight="1">
      <c r="A325" s="1415"/>
      <c r="B325" s="1415"/>
      <c r="C325" s="569"/>
      <c r="D325" s="386" t="s">
        <v>386</v>
      </c>
      <c r="E325" s="488"/>
      <c r="F325" s="488"/>
      <c r="G325" s="488"/>
      <c r="H325" s="488">
        <f t="shared" si="30"/>
        <v>0</v>
      </c>
      <c r="I325" s="488"/>
      <c r="J325" s="488"/>
      <c r="K325" s="488"/>
      <c r="L325" s="488"/>
      <c r="M325" s="488"/>
      <c r="N325" s="488"/>
      <c r="O325" s="488">
        <f t="shared" si="29"/>
        <v>0</v>
      </c>
      <c r="P325" s="162">
        <f t="shared" si="31"/>
        <v>0</v>
      </c>
      <c r="R325" s="71"/>
      <c r="S325" s="71"/>
      <c r="T325" s="71"/>
      <c r="U325" s="71"/>
    </row>
    <row r="326" spans="1:65" ht="115.15" hidden="1" customHeight="1">
      <c r="A326" s="1415"/>
      <c r="B326" s="1415"/>
      <c r="C326" s="569"/>
      <c r="D326" s="386" t="s">
        <v>664</v>
      </c>
      <c r="E326" s="488">
        <f>1000000-1000000</f>
        <v>0</v>
      </c>
      <c r="F326" s="488"/>
      <c r="G326" s="488"/>
      <c r="H326" s="488">
        <f t="shared" si="30"/>
        <v>0</v>
      </c>
      <c r="I326" s="488"/>
      <c r="J326" s="488"/>
      <c r="K326" s="488"/>
      <c r="L326" s="488"/>
      <c r="M326" s="488"/>
      <c r="N326" s="488"/>
      <c r="O326" s="488">
        <f t="shared" si="29"/>
        <v>0</v>
      </c>
      <c r="P326" s="162">
        <f t="shared" si="31"/>
        <v>0</v>
      </c>
      <c r="R326" s="71"/>
      <c r="S326" s="71"/>
      <c r="T326" s="71"/>
      <c r="U326" s="71"/>
    </row>
    <row r="327" spans="1:65" ht="90.6" hidden="1" customHeight="1">
      <c r="A327" s="1415"/>
      <c r="B327" s="1415"/>
      <c r="C327" s="550"/>
      <c r="D327" s="386" t="s">
        <v>235</v>
      </c>
      <c r="E327" s="489">
        <f>50000-50000</f>
        <v>0</v>
      </c>
      <c r="F327" s="489"/>
      <c r="G327" s="489"/>
      <c r="H327" s="489">
        <f t="shared" si="30"/>
        <v>0</v>
      </c>
      <c r="I327" s="489"/>
      <c r="J327" s="489"/>
      <c r="K327" s="489"/>
      <c r="L327" s="489"/>
      <c r="M327" s="489"/>
      <c r="N327" s="489"/>
      <c r="O327" s="489">
        <f t="shared" si="29"/>
        <v>0</v>
      </c>
      <c r="P327" s="162">
        <f t="shared" si="31"/>
        <v>0</v>
      </c>
      <c r="R327" s="71"/>
      <c r="S327" s="71"/>
      <c r="T327" s="71"/>
      <c r="U327" s="71"/>
    </row>
    <row r="328" spans="1:65" ht="75" hidden="1">
      <c r="A328" s="1415"/>
      <c r="B328" s="1415"/>
      <c r="C328" s="550" t="s">
        <v>864</v>
      </c>
      <c r="D328" s="216" t="s">
        <v>494</v>
      </c>
      <c r="E328" s="180"/>
      <c r="F328" s="180"/>
      <c r="G328" s="180"/>
      <c r="H328" s="180">
        <f t="shared" si="30"/>
        <v>0</v>
      </c>
      <c r="I328" s="180"/>
      <c r="J328" s="180"/>
      <c r="K328" s="180"/>
      <c r="L328" s="193"/>
      <c r="M328" s="180"/>
      <c r="N328" s="193"/>
      <c r="O328" s="180">
        <f t="shared" ref="O328:O341" si="32">+E328+H328</f>
        <v>0</v>
      </c>
      <c r="P328" s="100">
        <f t="shared" si="31"/>
        <v>0</v>
      </c>
      <c r="R328" s="71"/>
      <c r="S328" s="71"/>
      <c r="T328" s="71"/>
      <c r="U328" s="71"/>
    </row>
    <row r="329" spans="1:65" ht="105" hidden="1">
      <c r="A329" s="1415"/>
      <c r="B329" s="1415"/>
      <c r="C329" s="550" t="s">
        <v>1157</v>
      </c>
      <c r="D329" s="212" t="s">
        <v>48</v>
      </c>
      <c r="E329" s="180"/>
      <c r="F329" s="180"/>
      <c r="G329" s="180"/>
      <c r="H329" s="180">
        <f t="shared" si="30"/>
        <v>0</v>
      </c>
      <c r="I329" s="180"/>
      <c r="J329" s="180"/>
      <c r="K329" s="180"/>
      <c r="L329" s="180"/>
      <c r="M329" s="180"/>
      <c r="N329" s="180"/>
      <c r="O329" s="180">
        <f t="shared" si="32"/>
        <v>0</v>
      </c>
      <c r="P329" s="100">
        <f t="shared" si="31"/>
        <v>0</v>
      </c>
      <c r="R329" s="71"/>
      <c r="S329" s="71"/>
      <c r="T329" s="71"/>
      <c r="U329" s="71"/>
    </row>
    <row r="330" spans="1:65" ht="42" hidden="1" customHeight="1">
      <c r="A330" s="1415"/>
      <c r="B330" s="1415"/>
      <c r="C330" s="550"/>
      <c r="D330" s="520"/>
      <c r="E330" s="180"/>
      <c r="F330" s="180"/>
      <c r="G330" s="180"/>
      <c r="H330" s="180">
        <f t="shared" si="30"/>
        <v>0</v>
      </c>
      <c r="I330" s="180"/>
      <c r="J330" s="180"/>
      <c r="K330" s="180"/>
      <c r="L330" s="193"/>
      <c r="M330" s="180"/>
      <c r="N330" s="193"/>
      <c r="O330" s="180">
        <f t="shared" si="32"/>
        <v>0</v>
      </c>
      <c r="P330" s="100">
        <f t="shared" si="31"/>
        <v>0</v>
      </c>
      <c r="R330" s="71"/>
      <c r="S330" s="71"/>
      <c r="T330" s="71"/>
      <c r="U330" s="71"/>
    </row>
    <row r="331" spans="1:65" ht="94.5" hidden="1" customHeight="1">
      <c r="A331" s="1415"/>
      <c r="B331" s="1415"/>
      <c r="C331" s="550" t="s">
        <v>1154</v>
      </c>
      <c r="D331" s="599" t="s">
        <v>263</v>
      </c>
      <c r="E331" s="180"/>
      <c r="F331" s="180"/>
      <c r="G331" s="180"/>
      <c r="H331" s="180">
        <f t="shared" si="30"/>
        <v>0</v>
      </c>
      <c r="I331" s="180"/>
      <c r="J331" s="180"/>
      <c r="K331" s="180"/>
      <c r="L331" s="193"/>
      <c r="M331" s="180"/>
      <c r="N331" s="193"/>
      <c r="O331" s="180">
        <f t="shared" si="32"/>
        <v>0</v>
      </c>
      <c r="P331" s="100">
        <f t="shared" si="31"/>
        <v>0</v>
      </c>
      <c r="Q331" s="2"/>
      <c r="R331" s="7"/>
      <c r="S331" s="7"/>
      <c r="T331" s="7"/>
      <c r="U331" s="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</row>
    <row r="332" spans="1:65" ht="79.900000000000006" hidden="1" customHeight="1" outlineLevel="1">
      <c r="A332" s="1415"/>
      <c r="B332" s="1415"/>
      <c r="C332" s="550" t="s">
        <v>1155</v>
      </c>
      <c r="D332" s="222" t="s">
        <v>1001</v>
      </c>
      <c r="E332" s="180"/>
      <c r="F332" s="180"/>
      <c r="G332" s="180"/>
      <c r="H332" s="180">
        <f t="shared" si="30"/>
        <v>0</v>
      </c>
      <c r="I332" s="180"/>
      <c r="J332" s="180"/>
      <c r="K332" s="180"/>
      <c r="L332" s="180"/>
      <c r="M332" s="180"/>
      <c r="N332" s="180"/>
      <c r="O332" s="180">
        <f t="shared" si="32"/>
        <v>0</v>
      </c>
      <c r="P332" s="100">
        <f t="shared" si="31"/>
        <v>0</v>
      </c>
      <c r="Q332" s="2"/>
      <c r="R332" s="124"/>
      <c r="S332" s="124"/>
      <c r="T332" s="124"/>
      <c r="U332" s="124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</row>
    <row r="333" spans="1:65" ht="45.6" hidden="1" customHeight="1" outlineLevel="1">
      <c r="A333" s="1415"/>
      <c r="B333" s="1415"/>
      <c r="C333" s="567" t="s">
        <v>1156</v>
      </c>
      <c r="D333" s="600" t="s">
        <v>576</v>
      </c>
      <c r="E333" s="583"/>
      <c r="F333" s="583"/>
      <c r="G333" s="583"/>
      <c r="H333" s="169">
        <f t="shared" si="30"/>
        <v>0</v>
      </c>
      <c r="I333" s="583"/>
      <c r="J333" s="583"/>
      <c r="K333" s="583"/>
      <c r="L333" s="601">
        <f>+'видатки_затв '!J408</f>
        <v>0</v>
      </c>
      <c r="M333" s="602"/>
      <c r="N333" s="601">
        <f>+'видатки_затв '!L408</f>
        <v>0</v>
      </c>
      <c r="O333" s="583">
        <f t="shared" si="32"/>
        <v>0</v>
      </c>
      <c r="P333" s="100">
        <f t="shared" si="31"/>
        <v>0</v>
      </c>
      <c r="Q333" s="2"/>
      <c r="R333" s="124"/>
      <c r="S333" s="124"/>
      <c r="T333" s="124"/>
      <c r="U333" s="124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</row>
    <row r="334" spans="1:65" ht="43.9" hidden="1" customHeight="1" outlineLevel="1">
      <c r="A334" s="1415"/>
      <c r="B334" s="1415"/>
      <c r="C334" s="550" t="s">
        <v>874</v>
      </c>
      <c r="D334" s="208" t="s">
        <v>656</v>
      </c>
      <c r="E334" s="489"/>
      <c r="F334" s="489"/>
      <c r="G334" s="489"/>
      <c r="H334" s="489">
        <f t="shared" si="30"/>
        <v>0</v>
      </c>
      <c r="I334" s="489"/>
      <c r="J334" s="489"/>
      <c r="K334" s="489"/>
      <c r="L334" s="489"/>
      <c r="M334" s="489">
        <f>+L334</f>
        <v>0</v>
      </c>
      <c r="N334" s="489"/>
      <c r="O334" s="489">
        <f t="shared" si="32"/>
        <v>0</v>
      </c>
      <c r="P334" s="162">
        <f t="shared" si="31"/>
        <v>0</v>
      </c>
      <c r="Q334" s="2"/>
      <c r="R334" s="124"/>
      <c r="S334" s="124"/>
      <c r="T334" s="124"/>
      <c r="U334" s="124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</row>
    <row r="335" spans="1:65" ht="17.45" hidden="1" customHeight="1" outlineLevel="1">
      <c r="A335" s="1415"/>
      <c r="B335" s="1415"/>
      <c r="C335" s="564" t="s">
        <v>1247</v>
      </c>
      <c r="D335" s="170" t="s">
        <v>867</v>
      </c>
      <c r="E335" s="169"/>
      <c r="F335" s="169"/>
      <c r="G335" s="169"/>
      <c r="H335" s="169">
        <f t="shared" si="30"/>
        <v>0</v>
      </c>
      <c r="I335" s="169"/>
      <c r="J335" s="169"/>
      <c r="K335" s="169"/>
      <c r="L335" s="195"/>
      <c r="M335" s="169"/>
      <c r="N335" s="195"/>
      <c r="O335" s="169">
        <f t="shared" si="32"/>
        <v>0</v>
      </c>
      <c r="P335" s="100">
        <f t="shared" si="31"/>
        <v>0</v>
      </c>
      <c r="Q335" s="54"/>
      <c r="R335" s="125"/>
      <c r="S335" s="125"/>
      <c r="T335" s="125"/>
      <c r="U335" s="125"/>
      <c r="V335" s="54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1:65" ht="18.600000000000001" hidden="1" customHeight="1" outlineLevel="1">
      <c r="A336" s="1415"/>
      <c r="B336" s="1415"/>
      <c r="C336" s="603"/>
      <c r="D336" s="171" t="s">
        <v>1002</v>
      </c>
      <c r="E336" s="169"/>
      <c r="F336" s="169"/>
      <c r="G336" s="169"/>
      <c r="H336" s="169"/>
      <c r="I336" s="169"/>
      <c r="J336" s="169"/>
      <c r="K336" s="169"/>
      <c r="L336" s="195"/>
      <c r="M336" s="169"/>
      <c r="N336" s="195"/>
      <c r="O336" s="169">
        <f t="shared" si="32"/>
        <v>0</v>
      </c>
      <c r="P336" s="100">
        <f t="shared" si="31"/>
        <v>0</v>
      </c>
      <c r="Q336" s="54"/>
      <c r="R336" s="71"/>
      <c r="S336" s="71"/>
      <c r="T336" s="71"/>
      <c r="U336" s="71"/>
      <c r="V336" s="54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</row>
    <row r="337" spans="1:65" ht="18" hidden="1" customHeight="1" outlineLevel="1">
      <c r="A337" s="1415"/>
      <c r="B337" s="1415"/>
      <c r="C337" s="603"/>
      <c r="D337" s="171" t="s">
        <v>449</v>
      </c>
      <c r="E337" s="169"/>
      <c r="F337" s="169"/>
      <c r="G337" s="169"/>
      <c r="H337" s="169">
        <f>+I337+L337</f>
        <v>0</v>
      </c>
      <c r="I337" s="169"/>
      <c r="J337" s="169"/>
      <c r="K337" s="169"/>
      <c r="L337" s="195"/>
      <c r="M337" s="169"/>
      <c r="N337" s="195"/>
      <c r="O337" s="169">
        <f t="shared" si="32"/>
        <v>0</v>
      </c>
      <c r="P337" s="100">
        <f t="shared" si="31"/>
        <v>0</v>
      </c>
      <c r="Q337" s="54"/>
      <c r="R337" s="71"/>
      <c r="S337" s="71"/>
      <c r="T337" s="71"/>
      <c r="U337" s="71"/>
      <c r="V337" s="54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</row>
    <row r="338" spans="1:65" ht="46.9" hidden="1" customHeight="1" outlineLevel="1">
      <c r="A338" s="1415"/>
      <c r="B338" s="1415"/>
      <c r="C338" s="604"/>
      <c r="D338" s="605" t="s">
        <v>157</v>
      </c>
      <c r="E338" s="169"/>
      <c r="F338" s="169"/>
      <c r="G338" s="169"/>
      <c r="H338" s="169">
        <f>+I338+L338</f>
        <v>0</v>
      </c>
      <c r="I338" s="169"/>
      <c r="J338" s="169"/>
      <c r="K338" s="169"/>
      <c r="L338" s="195"/>
      <c r="M338" s="169"/>
      <c r="N338" s="195"/>
      <c r="O338" s="169">
        <f t="shared" si="32"/>
        <v>0</v>
      </c>
      <c r="P338" s="100">
        <f t="shared" si="31"/>
        <v>0</v>
      </c>
      <c r="Q338" s="54"/>
      <c r="R338" s="71"/>
      <c r="S338" s="71"/>
      <c r="T338" s="71"/>
      <c r="U338" s="71"/>
      <c r="V338" s="54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</row>
    <row r="339" spans="1:65" ht="74.45" hidden="1" customHeight="1" outlineLevel="1">
      <c r="A339" s="1415"/>
      <c r="B339" s="1415"/>
      <c r="C339" s="604"/>
      <c r="D339" s="605" t="s">
        <v>743</v>
      </c>
      <c r="E339" s="169"/>
      <c r="F339" s="169"/>
      <c r="G339" s="169"/>
      <c r="H339" s="169">
        <f>+I339+L339</f>
        <v>0</v>
      </c>
      <c r="I339" s="169"/>
      <c r="J339" s="169"/>
      <c r="K339" s="169"/>
      <c r="L339" s="195"/>
      <c r="M339" s="169"/>
      <c r="N339" s="195"/>
      <c r="O339" s="169">
        <f t="shared" si="32"/>
        <v>0</v>
      </c>
      <c r="P339" s="100">
        <f t="shared" si="31"/>
        <v>0</v>
      </c>
      <c r="Q339" s="54"/>
      <c r="R339" s="71"/>
      <c r="S339" s="71"/>
      <c r="T339" s="71"/>
      <c r="U339" s="71"/>
      <c r="V339" s="54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</row>
    <row r="340" spans="1:65" ht="57" hidden="1" customHeight="1" outlineLevel="1">
      <c r="A340" s="1415"/>
      <c r="B340" s="1415"/>
      <c r="C340" s="570" t="s">
        <v>403</v>
      </c>
      <c r="D340" s="171" t="s">
        <v>221</v>
      </c>
      <c r="E340" s="173"/>
      <c r="F340" s="173"/>
      <c r="G340" s="173"/>
      <c r="H340" s="173"/>
      <c r="I340" s="173"/>
      <c r="J340" s="173"/>
      <c r="K340" s="173"/>
      <c r="L340" s="194"/>
      <c r="M340" s="173"/>
      <c r="N340" s="194"/>
      <c r="O340" s="173">
        <f t="shared" si="32"/>
        <v>0</v>
      </c>
      <c r="P340" s="100">
        <f t="shared" si="31"/>
        <v>0</v>
      </c>
      <c r="Q340" s="24"/>
      <c r="R340" s="44"/>
      <c r="S340" s="44"/>
      <c r="T340" s="44"/>
      <c r="U340" s="44"/>
      <c r="V340" s="24"/>
    </row>
    <row r="341" spans="1:65" ht="72" hidden="1" customHeight="1" outlineLevel="1">
      <c r="A341" s="1415"/>
      <c r="B341" s="1415"/>
      <c r="C341" s="551"/>
      <c r="D341" s="606"/>
      <c r="E341" s="180">
        <f>+'видатки_затв '!C355</f>
        <v>0</v>
      </c>
      <c r="F341" s="180">
        <f>+'видатки_затв '!D355</f>
        <v>0</v>
      </c>
      <c r="G341" s="180">
        <f>+'видатки_затв '!E355</f>
        <v>0</v>
      </c>
      <c r="H341" s="180"/>
      <c r="I341" s="180"/>
      <c r="J341" s="180"/>
      <c r="K341" s="180"/>
      <c r="L341" s="193"/>
      <c r="M341" s="180"/>
      <c r="N341" s="193"/>
      <c r="O341" s="180">
        <f t="shared" si="32"/>
        <v>0</v>
      </c>
      <c r="P341" s="100">
        <f t="shared" si="31"/>
        <v>0</v>
      </c>
      <c r="Q341" s="2"/>
      <c r="R341" s="7"/>
      <c r="S341" s="7"/>
      <c r="T341" s="7"/>
      <c r="U341" s="7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</row>
    <row r="342" spans="1:65" ht="17.25" hidden="1" customHeight="1" outlineLevel="1">
      <c r="A342" s="1415"/>
      <c r="B342" s="1415"/>
      <c r="C342" s="551"/>
      <c r="D342" s="606"/>
      <c r="E342" s="180"/>
      <c r="F342" s="180"/>
      <c r="G342" s="180"/>
      <c r="H342" s="180"/>
      <c r="I342" s="180"/>
      <c r="J342" s="180"/>
      <c r="K342" s="180"/>
      <c r="L342" s="193"/>
      <c r="M342" s="180"/>
      <c r="N342" s="193"/>
      <c r="O342" s="180"/>
      <c r="P342" s="100">
        <f t="shared" si="31"/>
        <v>0</v>
      </c>
      <c r="Q342" s="2"/>
      <c r="R342" s="7"/>
      <c r="S342" s="7"/>
      <c r="T342" s="7"/>
      <c r="U342" s="7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</row>
    <row r="343" spans="1:65" ht="42" hidden="1" customHeight="1" outlineLevel="1">
      <c r="A343" s="1415"/>
      <c r="B343" s="1415"/>
      <c r="C343" s="551"/>
      <c r="D343" s="606"/>
      <c r="E343" s="180"/>
      <c r="F343" s="180"/>
      <c r="G343" s="180"/>
      <c r="H343" s="180"/>
      <c r="I343" s="180"/>
      <c r="J343" s="180"/>
      <c r="K343" s="180"/>
      <c r="L343" s="193"/>
      <c r="M343" s="180"/>
      <c r="N343" s="193"/>
      <c r="O343" s="180">
        <f t="shared" ref="O343:O380" si="33">+E343+H343</f>
        <v>0</v>
      </c>
      <c r="P343" s="100">
        <f t="shared" si="31"/>
        <v>0</v>
      </c>
      <c r="Q343" s="2"/>
      <c r="R343" s="7"/>
      <c r="S343" s="7"/>
      <c r="T343" s="7"/>
      <c r="U343" s="7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</row>
    <row r="344" spans="1:65" ht="51" hidden="1" customHeight="1" outlineLevel="1">
      <c r="A344" s="1415"/>
      <c r="B344" s="1415"/>
      <c r="C344" s="551"/>
      <c r="D344" s="170"/>
      <c r="E344" s="180"/>
      <c r="F344" s="180"/>
      <c r="G344" s="180"/>
      <c r="H344" s="180"/>
      <c r="I344" s="180"/>
      <c r="J344" s="180"/>
      <c r="K344" s="180"/>
      <c r="L344" s="193"/>
      <c r="M344" s="180"/>
      <c r="N344" s="193"/>
      <c r="O344" s="180">
        <f t="shared" si="33"/>
        <v>0</v>
      </c>
      <c r="P344" s="100">
        <f t="shared" si="31"/>
        <v>0</v>
      </c>
      <c r="Q344" s="2"/>
      <c r="R344" s="7"/>
      <c r="S344" s="7"/>
      <c r="T344" s="7"/>
      <c r="U344" s="7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</row>
    <row r="345" spans="1:65" ht="53.25" hidden="1" customHeight="1" outlineLevel="1">
      <c r="A345" s="1415"/>
      <c r="B345" s="1415"/>
      <c r="C345" s="551">
        <v>250358</v>
      </c>
      <c r="D345" s="172" t="s">
        <v>1244</v>
      </c>
      <c r="E345" s="180"/>
      <c r="F345" s="180"/>
      <c r="G345" s="180"/>
      <c r="H345" s="180">
        <f t="shared" ref="H345:H370" si="34">+I345+L345</f>
        <v>0</v>
      </c>
      <c r="I345" s="180"/>
      <c r="J345" s="180"/>
      <c r="K345" s="180"/>
      <c r="L345" s="193"/>
      <c r="M345" s="180"/>
      <c r="N345" s="193"/>
      <c r="O345" s="180">
        <f t="shared" si="33"/>
        <v>0</v>
      </c>
      <c r="P345" s="100">
        <f t="shared" si="31"/>
        <v>0</v>
      </c>
      <c r="Q345" s="54"/>
      <c r="R345" s="125"/>
      <c r="S345" s="125"/>
      <c r="T345" s="125"/>
      <c r="U345" s="125"/>
      <c r="V345" s="54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</row>
    <row r="346" spans="1:65" ht="57" hidden="1" customHeight="1" outlineLevel="1">
      <c r="A346" s="1415"/>
      <c r="B346" s="1415"/>
      <c r="C346" s="570" t="s">
        <v>50</v>
      </c>
      <c r="D346" s="171" t="str">
        <f>+'видатки_затв '!B416</f>
        <v>Субвенція з державного бюджету місцевим бюджетам на заходи щодо погашення заборгованості громадян за житлово-комунальні послуги та енергоносії в рахунок часткової компенсації втрат від знецінення грошових заощаджень</v>
      </c>
      <c r="E346" s="173"/>
      <c r="F346" s="173"/>
      <c r="G346" s="173"/>
      <c r="H346" s="173">
        <f t="shared" si="34"/>
        <v>0</v>
      </c>
      <c r="I346" s="173">
        <f>+'видатки_затв '!G421</f>
        <v>0</v>
      </c>
      <c r="J346" s="173"/>
      <c r="K346" s="173"/>
      <c r="L346" s="194"/>
      <c r="M346" s="173"/>
      <c r="N346" s="194"/>
      <c r="O346" s="173">
        <f t="shared" si="33"/>
        <v>0</v>
      </c>
      <c r="P346" s="100">
        <f t="shared" si="31"/>
        <v>0</v>
      </c>
      <c r="Q346" s="54"/>
      <c r="R346" s="71"/>
      <c r="S346" s="71"/>
      <c r="T346" s="71"/>
      <c r="U346" s="71"/>
      <c r="V346" s="54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</row>
    <row r="347" spans="1:65" ht="48" hidden="1" customHeight="1" outlineLevel="1">
      <c r="A347" s="1415"/>
      <c r="B347" s="1415"/>
      <c r="C347" s="564" t="s">
        <v>51</v>
      </c>
      <c r="D347" s="171" t="e">
        <f>+'видатки_затв '!B417</f>
        <v>#REF!</v>
      </c>
      <c r="E347" s="173"/>
      <c r="F347" s="173"/>
      <c r="G347" s="173"/>
      <c r="H347" s="173">
        <f t="shared" si="34"/>
        <v>0</v>
      </c>
      <c r="I347" s="173"/>
      <c r="J347" s="173"/>
      <c r="K347" s="173"/>
      <c r="L347" s="194">
        <f>+'видатки_затв '!J424</f>
        <v>0</v>
      </c>
      <c r="M347" s="173"/>
      <c r="N347" s="194">
        <f>+'видатки_затв '!L424</f>
        <v>0</v>
      </c>
      <c r="O347" s="173">
        <f t="shared" si="33"/>
        <v>0</v>
      </c>
      <c r="P347" s="100">
        <f t="shared" si="31"/>
        <v>0</v>
      </c>
      <c r="Q347" s="54"/>
      <c r="R347" s="71"/>
      <c r="S347" s="71"/>
      <c r="T347" s="71"/>
      <c r="U347" s="71"/>
      <c r="V347" s="54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</row>
    <row r="348" spans="1:65" ht="92.45" hidden="1" customHeight="1" outlineLevel="1">
      <c r="A348" s="1415"/>
      <c r="B348" s="1415"/>
      <c r="C348" s="570" t="s">
        <v>697</v>
      </c>
      <c r="D348" s="171" t="str">
        <f>+'видатки_затв '!B418</f>
        <v>Субвенція з державного бюджету місцевим бюджетам на виконання інвестиційних проектів, спрямованих на соціально-економічний розвиток регіонів, заходів з попередження аварій і запобігання техногенним катастрофам у житлово-комунальному господарстві та на інших аварійних об'єктах комунальної власності, в тому числі ремонт і реконструкцію теплових мереж та котелень</v>
      </c>
      <c r="E348" s="173"/>
      <c r="F348" s="173"/>
      <c r="G348" s="173"/>
      <c r="H348" s="173">
        <f t="shared" si="34"/>
        <v>0</v>
      </c>
      <c r="I348" s="173"/>
      <c r="J348" s="173"/>
      <c r="K348" s="173"/>
      <c r="L348" s="194"/>
      <c r="M348" s="173"/>
      <c r="N348" s="194"/>
      <c r="O348" s="173">
        <f t="shared" si="33"/>
        <v>0</v>
      </c>
      <c r="P348" s="100">
        <f t="shared" si="31"/>
        <v>0</v>
      </c>
      <c r="Q348" s="54"/>
      <c r="R348" s="71"/>
      <c r="S348" s="71"/>
      <c r="T348" s="71"/>
      <c r="U348" s="71"/>
      <c r="V348" s="54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</row>
    <row r="349" spans="1:65" ht="139.5" hidden="1" customHeight="1" outlineLevel="1">
      <c r="A349" s="1415"/>
      <c r="B349" s="1415"/>
      <c r="C349" s="551"/>
      <c r="D349" s="170"/>
      <c r="E349" s="180"/>
      <c r="F349" s="180"/>
      <c r="G349" s="180"/>
      <c r="H349" s="180">
        <f t="shared" si="34"/>
        <v>0</v>
      </c>
      <c r="I349" s="180"/>
      <c r="J349" s="180"/>
      <c r="K349" s="180"/>
      <c r="L349" s="193"/>
      <c r="M349" s="180"/>
      <c r="N349" s="193"/>
      <c r="O349" s="180">
        <f t="shared" si="33"/>
        <v>0</v>
      </c>
      <c r="P349" s="100">
        <f t="shared" si="31"/>
        <v>0</v>
      </c>
      <c r="Q349" s="54"/>
      <c r="R349" s="71"/>
      <c r="S349" s="71"/>
      <c r="T349" s="71"/>
      <c r="U349" s="71"/>
      <c r="V349" s="54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</row>
    <row r="350" spans="1:65" ht="46.15" hidden="1" customHeight="1" outlineLevel="1">
      <c r="A350" s="1415"/>
      <c r="B350" s="1415"/>
      <c r="C350" s="570" t="s">
        <v>1127</v>
      </c>
      <c r="D350" s="605" t="s">
        <v>819</v>
      </c>
      <c r="E350" s="173"/>
      <c r="F350" s="173"/>
      <c r="G350" s="173"/>
      <c r="H350" s="173">
        <f t="shared" si="34"/>
        <v>0</v>
      </c>
      <c r="I350" s="173"/>
      <c r="J350" s="173"/>
      <c r="K350" s="173"/>
      <c r="L350" s="194"/>
      <c r="M350" s="173"/>
      <c r="N350" s="194"/>
      <c r="O350" s="173">
        <f t="shared" si="33"/>
        <v>0</v>
      </c>
      <c r="P350" s="100">
        <f t="shared" ref="P350:P431" si="35">+O350</f>
        <v>0</v>
      </c>
      <c r="Q350" s="54"/>
      <c r="R350" s="71"/>
      <c r="S350" s="71"/>
      <c r="T350" s="71"/>
      <c r="U350" s="71"/>
      <c r="V350" s="54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</row>
    <row r="351" spans="1:65" ht="103.5" hidden="1" customHeight="1" outlineLevel="1">
      <c r="A351" s="1415"/>
      <c r="B351" s="1415"/>
      <c r="C351" s="550" t="s">
        <v>1157</v>
      </c>
      <c r="D351" s="181" t="s">
        <v>48</v>
      </c>
      <c r="E351" s="180"/>
      <c r="F351" s="180"/>
      <c r="G351" s="180"/>
      <c r="H351" s="180">
        <f t="shared" si="34"/>
        <v>0</v>
      </c>
      <c r="I351" s="180"/>
      <c r="J351" s="180"/>
      <c r="K351" s="180"/>
      <c r="L351" s="193"/>
      <c r="M351" s="180"/>
      <c r="N351" s="193"/>
      <c r="O351" s="180">
        <f t="shared" si="33"/>
        <v>0</v>
      </c>
      <c r="P351" s="100">
        <f t="shared" si="35"/>
        <v>0</v>
      </c>
      <c r="Q351" s="54"/>
      <c r="R351" s="71"/>
      <c r="S351" s="71"/>
      <c r="T351" s="71"/>
      <c r="U351" s="71"/>
      <c r="V351" s="54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</row>
    <row r="352" spans="1:65" ht="73.150000000000006" hidden="1" customHeight="1" outlineLevel="1">
      <c r="A352" s="1415"/>
      <c r="B352" s="1415"/>
      <c r="C352" s="570" t="s">
        <v>340</v>
      </c>
      <c r="D352" s="607" t="s">
        <v>60</v>
      </c>
      <c r="E352" s="173"/>
      <c r="F352" s="173"/>
      <c r="G352" s="173"/>
      <c r="H352" s="173">
        <f t="shared" si="34"/>
        <v>0</v>
      </c>
      <c r="I352" s="173"/>
      <c r="J352" s="173"/>
      <c r="K352" s="173"/>
      <c r="L352" s="194"/>
      <c r="M352" s="173"/>
      <c r="N352" s="194"/>
      <c r="O352" s="173">
        <f t="shared" si="33"/>
        <v>0</v>
      </c>
      <c r="P352" s="100">
        <f t="shared" si="35"/>
        <v>0</v>
      </c>
      <c r="Q352" s="54"/>
      <c r="R352" s="71"/>
      <c r="S352" s="71"/>
      <c r="T352" s="71"/>
      <c r="U352" s="71"/>
      <c r="V352" s="54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</row>
    <row r="353" spans="1:65" ht="69" hidden="1" customHeight="1" outlineLevel="1">
      <c r="A353" s="1415"/>
      <c r="B353" s="1415"/>
      <c r="C353" s="570"/>
      <c r="D353" s="605" t="s">
        <v>588</v>
      </c>
      <c r="E353" s="173">
        <f>+'видатки_затв '!C458</f>
        <v>0</v>
      </c>
      <c r="F353" s="173">
        <f>+'видатки_затв '!D458</f>
        <v>0</v>
      </c>
      <c r="G353" s="173">
        <f>+'видатки_затв '!E458</f>
        <v>0</v>
      </c>
      <c r="H353" s="173">
        <f t="shared" si="34"/>
        <v>0</v>
      </c>
      <c r="I353" s="173">
        <f>+'видатки_затв '!G458</f>
        <v>0</v>
      </c>
      <c r="J353" s="173">
        <f>+'видатки_затв '!H458</f>
        <v>0</v>
      </c>
      <c r="K353" s="173">
        <f>+'видатки_затв '!I458</f>
        <v>0</v>
      </c>
      <c r="L353" s="194">
        <f>+'видатки_затв '!J458</f>
        <v>0</v>
      </c>
      <c r="M353" s="173"/>
      <c r="N353" s="194">
        <f>+'видатки_затв '!L458</f>
        <v>0</v>
      </c>
      <c r="O353" s="173">
        <f t="shared" si="33"/>
        <v>0</v>
      </c>
      <c r="P353" s="100">
        <f t="shared" si="35"/>
        <v>0</v>
      </c>
      <c r="Q353" s="54"/>
      <c r="R353" s="71"/>
      <c r="S353" s="71"/>
      <c r="T353" s="71"/>
      <c r="U353" s="71"/>
      <c r="V353" s="54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</row>
    <row r="354" spans="1:65" ht="123.6" hidden="1" customHeight="1" outlineLevel="1">
      <c r="A354" s="1415"/>
      <c r="B354" s="1415"/>
      <c r="C354" s="564" t="s">
        <v>697</v>
      </c>
      <c r="D354" s="498" t="s">
        <v>551</v>
      </c>
      <c r="E354" s="521">
        <f>+'видатки_затв '!C440</f>
        <v>0</v>
      </c>
      <c r="F354" s="521"/>
      <c r="G354" s="521"/>
      <c r="H354" s="521"/>
      <c r="I354" s="521"/>
      <c r="J354" s="521"/>
      <c r="K354" s="521"/>
      <c r="L354" s="521"/>
      <c r="M354" s="521"/>
      <c r="N354" s="521"/>
      <c r="O354" s="521">
        <f t="shared" si="33"/>
        <v>0</v>
      </c>
      <c r="P354" s="500">
        <f t="shared" si="35"/>
        <v>0</v>
      </c>
      <c r="Q354" s="54"/>
      <c r="R354" s="71"/>
      <c r="S354" s="71"/>
      <c r="T354" s="71"/>
      <c r="U354" s="71"/>
      <c r="V354" s="54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</row>
    <row r="355" spans="1:65" ht="117.6" hidden="1" customHeight="1" outlineLevel="1">
      <c r="A355" s="1415"/>
      <c r="B355" s="1415"/>
      <c r="C355" s="570"/>
      <c r="D355" s="498" t="s">
        <v>551</v>
      </c>
      <c r="E355" s="177">
        <f>+'видатки_затв '!C441</f>
        <v>0</v>
      </c>
      <c r="F355" s="177"/>
      <c r="G355" s="177"/>
      <c r="H355" s="177"/>
      <c r="I355" s="177"/>
      <c r="J355" s="177"/>
      <c r="K355" s="177"/>
      <c r="L355" s="499"/>
      <c r="M355" s="177"/>
      <c r="N355" s="499"/>
      <c r="O355" s="177">
        <f t="shared" si="33"/>
        <v>0</v>
      </c>
      <c r="P355" s="500">
        <f t="shared" si="35"/>
        <v>0</v>
      </c>
      <c r="Q355" s="54"/>
      <c r="R355" s="71"/>
      <c r="S355" s="71"/>
      <c r="T355" s="71"/>
      <c r="U355" s="71"/>
      <c r="V355" s="54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</row>
    <row r="356" spans="1:65" ht="68.45" hidden="1" customHeight="1" outlineLevel="1">
      <c r="A356" s="1415"/>
      <c r="B356" s="1415"/>
      <c r="C356" s="570"/>
      <c r="D356" s="498" t="s">
        <v>395</v>
      </c>
      <c r="E356" s="177">
        <f>+'видатки_затв '!C442</f>
        <v>0</v>
      </c>
      <c r="F356" s="177">
        <f>+'видатки_затв '!D459</f>
        <v>0</v>
      </c>
      <c r="G356" s="177">
        <f>+'видатки_затв '!E459</f>
        <v>0</v>
      </c>
      <c r="H356" s="177">
        <f t="shared" si="34"/>
        <v>0</v>
      </c>
      <c r="I356" s="177">
        <f>+'видатки_затв '!G459</f>
        <v>0</v>
      </c>
      <c r="J356" s="177">
        <f>+'видатки_затв '!H459</f>
        <v>0</v>
      </c>
      <c r="K356" s="177">
        <f>+'видатки_затв '!I459</f>
        <v>0</v>
      </c>
      <c r="L356" s="499"/>
      <c r="M356" s="177"/>
      <c r="N356" s="499"/>
      <c r="O356" s="177">
        <f t="shared" si="33"/>
        <v>0</v>
      </c>
      <c r="P356" s="500">
        <f t="shared" si="35"/>
        <v>0</v>
      </c>
      <c r="Q356" s="54"/>
      <c r="R356" s="71"/>
      <c r="S356" s="71"/>
      <c r="T356" s="71"/>
      <c r="U356" s="71"/>
      <c r="V356" s="54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</row>
    <row r="357" spans="1:65" ht="66.599999999999994" hidden="1" customHeight="1" outlineLevel="1">
      <c r="A357" s="1415"/>
      <c r="B357" s="1415"/>
      <c r="C357" s="564" t="s">
        <v>697</v>
      </c>
      <c r="D357" s="608" t="s">
        <v>961</v>
      </c>
      <c r="E357" s="173"/>
      <c r="F357" s="173"/>
      <c r="G357" s="173"/>
      <c r="H357" s="173">
        <f t="shared" si="34"/>
        <v>0</v>
      </c>
      <c r="I357" s="173"/>
      <c r="J357" s="173"/>
      <c r="K357" s="173"/>
      <c r="L357" s="194"/>
      <c r="M357" s="173"/>
      <c r="N357" s="194"/>
      <c r="O357" s="173">
        <f t="shared" si="33"/>
        <v>0</v>
      </c>
      <c r="P357" s="100">
        <f t="shared" si="35"/>
        <v>0</v>
      </c>
      <c r="Q357" s="54"/>
      <c r="R357" s="71"/>
      <c r="S357" s="71"/>
      <c r="T357" s="71"/>
      <c r="U357" s="71"/>
      <c r="V357" s="54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</row>
    <row r="358" spans="1:65" ht="42.6" hidden="1" customHeight="1" outlineLevel="1">
      <c r="A358" s="1415"/>
      <c r="B358" s="1415"/>
      <c r="C358" s="570"/>
      <c r="D358" s="597" t="s">
        <v>162</v>
      </c>
      <c r="E358" s="173"/>
      <c r="F358" s="173"/>
      <c r="G358" s="173"/>
      <c r="H358" s="173">
        <f t="shared" si="34"/>
        <v>0</v>
      </c>
      <c r="I358" s="173"/>
      <c r="J358" s="173"/>
      <c r="K358" s="173"/>
      <c r="L358" s="194"/>
      <c r="M358" s="173"/>
      <c r="N358" s="194"/>
      <c r="O358" s="173">
        <f t="shared" si="33"/>
        <v>0</v>
      </c>
      <c r="P358" s="100">
        <f t="shared" si="35"/>
        <v>0</v>
      </c>
      <c r="Q358" s="54"/>
      <c r="R358" s="71"/>
      <c r="S358" s="71"/>
      <c r="T358" s="71"/>
      <c r="U358" s="71"/>
      <c r="V358" s="54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</row>
    <row r="359" spans="1:65" ht="43.15" hidden="1" customHeight="1" outlineLevel="1">
      <c r="A359" s="1415"/>
      <c r="B359" s="1415"/>
      <c r="C359" s="551" t="s">
        <v>341</v>
      </c>
      <c r="D359" s="179" t="s">
        <v>624</v>
      </c>
      <c r="E359" s="180"/>
      <c r="F359" s="180"/>
      <c r="G359" s="180"/>
      <c r="H359" s="180">
        <f t="shared" si="34"/>
        <v>0</v>
      </c>
      <c r="I359" s="180"/>
      <c r="J359" s="180"/>
      <c r="K359" s="180"/>
      <c r="L359" s="193"/>
      <c r="M359" s="180"/>
      <c r="N359" s="193"/>
      <c r="O359" s="180">
        <f t="shared" si="33"/>
        <v>0</v>
      </c>
      <c r="P359" s="100">
        <f t="shared" si="35"/>
        <v>0</v>
      </c>
      <c r="Q359" s="54"/>
      <c r="R359" s="71"/>
      <c r="S359" s="71"/>
      <c r="T359" s="71"/>
      <c r="U359" s="71"/>
      <c r="V359" s="54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1:65" ht="45" hidden="1" customHeight="1" outlineLevel="1">
      <c r="A360" s="1415"/>
      <c r="B360" s="1415"/>
      <c r="C360" s="550" t="s">
        <v>1158</v>
      </c>
      <c r="D360" s="609" t="s">
        <v>1010</v>
      </c>
      <c r="E360" s="180"/>
      <c r="F360" s="180"/>
      <c r="G360" s="180"/>
      <c r="H360" s="180">
        <f t="shared" si="34"/>
        <v>0</v>
      </c>
      <c r="I360" s="180"/>
      <c r="J360" s="180"/>
      <c r="K360" s="180"/>
      <c r="L360" s="193"/>
      <c r="M360" s="180"/>
      <c r="N360" s="193"/>
      <c r="O360" s="180">
        <f t="shared" si="33"/>
        <v>0</v>
      </c>
      <c r="P360" s="100">
        <f t="shared" si="35"/>
        <v>0</v>
      </c>
      <c r="Q360" s="54"/>
      <c r="R360" s="71"/>
      <c r="S360" s="71"/>
      <c r="T360" s="71"/>
      <c r="U360" s="71"/>
      <c r="V360" s="54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1:65" ht="36" hidden="1" customHeight="1" outlineLevel="1">
      <c r="A361" s="1415"/>
      <c r="B361" s="1415"/>
      <c r="C361" s="570"/>
      <c r="D361" s="600" t="s">
        <v>207</v>
      </c>
      <c r="E361" s="173"/>
      <c r="F361" s="173"/>
      <c r="G361" s="173"/>
      <c r="H361" s="173">
        <f t="shared" si="34"/>
        <v>0</v>
      </c>
      <c r="I361" s="173"/>
      <c r="J361" s="173"/>
      <c r="K361" s="173"/>
      <c r="L361" s="194"/>
      <c r="M361" s="173"/>
      <c r="N361" s="194"/>
      <c r="O361" s="173">
        <f t="shared" si="33"/>
        <v>0</v>
      </c>
      <c r="P361" s="100">
        <f t="shared" si="35"/>
        <v>0</v>
      </c>
      <c r="Q361" s="54"/>
      <c r="R361" s="71"/>
      <c r="S361" s="71"/>
      <c r="T361" s="71"/>
      <c r="U361" s="71"/>
      <c r="V361" s="54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1:65" ht="34.15" hidden="1" customHeight="1" outlineLevel="1">
      <c r="A362" s="1415"/>
      <c r="B362" s="1415"/>
      <c r="C362" s="570" t="s">
        <v>885</v>
      </c>
      <c r="D362" s="610" t="s">
        <v>1239</v>
      </c>
      <c r="E362" s="173">
        <f>+'видатки_затв '!C475</f>
        <v>0</v>
      </c>
      <c r="F362" s="173">
        <f>+'видатки_затв '!D475</f>
        <v>0</v>
      </c>
      <c r="G362" s="173">
        <f>+'видатки_затв '!E475</f>
        <v>0</v>
      </c>
      <c r="H362" s="173">
        <f t="shared" si="34"/>
        <v>0</v>
      </c>
      <c r="I362" s="173">
        <f>+'видатки_затв '!G475</f>
        <v>0</v>
      </c>
      <c r="J362" s="173">
        <f>+'видатки_затв '!H475</f>
        <v>0</v>
      </c>
      <c r="K362" s="173">
        <f>+'видатки_затв '!I475</f>
        <v>0</v>
      </c>
      <c r="L362" s="194">
        <f>+'видатки_затв '!J475</f>
        <v>0</v>
      </c>
      <c r="M362" s="173"/>
      <c r="N362" s="194">
        <f>+'видатки_затв '!L475</f>
        <v>0</v>
      </c>
      <c r="O362" s="173">
        <f t="shared" si="33"/>
        <v>0</v>
      </c>
      <c r="P362" s="100">
        <f t="shared" si="35"/>
        <v>0</v>
      </c>
      <c r="Q362" s="54"/>
      <c r="R362" s="71"/>
      <c r="S362" s="71"/>
      <c r="T362" s="71"/>
      <c r="U362" s="71"/>
      <c r="V362" s="54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1:65" ht="69" hidden="1" customHeight="1" outlineLevel="1">
      <c r="A363" s="1415"/>
      <c r="B363" s="1415"/>
      <c r="C363" s="550" t="s">
        <v>206</v>
      </c>
      <c r="D363" s="386" t="str">
        <f>+'видатки_затв '!B456</f>
        <v>Субвенція з державного бюджету на проведення виборів депутатів Верховної Ради Автономної Республіки Крим, місцевих рад та сільських, селищних, міських голів</v>
      </c>
      <c r="E363" s="180"/>
      <c r="F363" s="180">
        <f>+'видатки_затв '!D461</f>
        <v>0</v>
      </c>
      <c r="G363" s="180">
        <f>+'видатки_затв '!E461</f>
        <v>0</v>
      </c>
      <c r="H363" s="180">
        <f t="shared" si="34"/>
        <v>0</v>
      </c>
      <c r="I363" s="180"/>
      <c r="J363" s="180"/>
      <c r="K363" s="180"/>
      <c r="L363" s="180"/>
      <c r="M363" s="180"/>
      <c r="N363" s="180"/>
      <c r="O363" s="180">
        <f t="shared" si="33"/>
        <v>0</v>
      </c>
      <c r="P363" s="100">
        <f t="shared" si="35"/>
        <v>0</v>
      </c>
      <c r="Q363" s="54"/>
      <c r="R363" s="71"/>
      <c r="S363" s="71"/>
      <c r="T363" s="71"/>
      <c r="U363" s="71"/>
      <c r="V363" s="54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1:65" ht="78.599999999999994" customHeight="1" outlineLevel="1">
      <c r="A364" s="1415"/>
      <c r="B364" s="1415"/>
      <c r="C364" s="569" t="s">
        <v>1213</v>
      </c>
      <c r="D364" s="370" t="str">
        <f>+'видатки_затв '!B457</f>
        <v xml:space="preserve">Субвенція з державного бюджету місцевим бюджетам на фінансування Програм-переможців Всеукраїнського конкурсу проектів та програм розвитку місцевого самоврядування </v>
      </c>
      <c r="E364" s="488">
        <f>+'видатки_затв '!C457</f>
        <v>1030900</v>
      </c>
      <c r="F364" s="488">
        <f>+'видатки_затв '!D457</f>
        <v>0</v>
      </c>
      <c r="G364" s="488">
        <f>+'видатки_затв '!E457</f>
        <v>0</v>
      </c>
      <c r="H364" s="488">
        <f t="shared" si="34"/>
        <v>0</v>
      </c>
      <c r="I364" s="488">
        <f>+'видатки_затв '!G463</f>
        <v>0</v>
      </c>
      <c r="J364" s="488">
        <f>+'видатки_затв '!H463</f>
        <v>0</v>
      </c>
      <c r="K364" s="488">
        <f>+'видатки_затв '!I463</f>
        <v>0</v>
      </c>
      <c r="L364" s="488">
        <f>+'видатки_затв '!J463</f>
        <v>0</v>
      </c>
      <c r="M364" s="488"/>
      <c r="N364" s="488">
        <f>+'видатки_затв '!L463</f>
        <v>0</v>
      </c>
      <c r="O364" s="488">
        <f t="shared" si="33"/>
        <v>1030900</v>
      </c>
      <c r="P364" s="162">
        <f t="shared" si="35"/>
        <v>1030900</v>
      </c>
      <c r="Q364" s="54"/>
      <c r="R364" s="71"/>
      <c r="S364" s="71"/>
      <c r="T364" s="71"/>
      <c r="U364" s="71"/>
      <c r="V364" s="54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1:65" ht="156.6" hidden="1" customHeight="1" outlineLevel="1">
      <c r="A365" s="1415"/>
      <c r="B365" s="1415"/>
      <c r="C365" s="578">
        <v>250383</v>
      </c>
      <c r="D365" s="556" t="s">
        <v>312</v>
      </c>
      <c r="E365" s="489">
        <f>+'видатки_затв '!C467</f>
        <v>0</v>
      </c>
      <c r="F365" s="489">
        <f>+'видатки_затв '!D467</f>
        <v>0</v>
      </c>
      <c r="G365" s="489">
        <f>+'видатки_затв '!E467</f>
        <v>0</v>
      </c>
      <c r="H365" s="489">
        <f t="shared" si="34"/>
        <v>0</v>
      </c>
      <c r="I365" s="489">
        <f>+'видатки_затв '!G461</f>
        <v>0</v>
      </c>
      <c r="J365" s="489">
        <f>+'видатки_затв '!H467</f>
        <v>0</v>
      </c>
      <c r="K365" s="489">
        <f>+'видатки_затв '!I467</f>
        <v>0</v>
      </c>
      <c r="L365" s="489">
        <f>+'видатки_затв '!J467</f>
        <v>0</v>
      </c>
      <c r="M365" s="489">
        <f>+'видатки_затв '!K467</f>
        <v>0</v>
      </c>
      <c r="N365" s="489">
        <f>+'видатки_затв '!L467</f>
        <v>0</v>
      </c>
      <c r="O365" s="489">
        <f t="shared" si="33"/>
        <v>0</v>
      </c>
      <c r="P365" s="100">
        <f t="shared" si="35"/>
        <v>0</v>
      </c>
      <c r="Q365" s="54"/>
      <c r="R365" s="71"/>
      <c r="S365" s="71"/>
      <c r="T365" s="71"/>
      <c r="U365" s="71"/>
      <c r="V365" s="54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1:65" ht="76.150000000000006" hidden="1" customHeight="1" outlineLevel="1">
      <c r="A366" s="1415"/>
      <c r="B366" s="1415"/>
      <c r="C366" s="550" t="s">
        <v>206</v>
      </c>
      <c r="D366" s="534" t="s">
        <v>237</v>
      </c>
      <c r="E366" s="489">
        <f>+'видатки_затв '!C462</f>
        <v>0</v>
      </c>
      <c r="F366" s="489">
        <f>+'видатки_затв '!D462</f>
        <v>0</v>
      </c>
      <c r="G366" s="489">
        <f>+'видатки_затв '!E462</f>
        <v>0</v>
      </c>
      <c r="H366" s="489">
        <f t="shared" si="34"/>
        <v>0</v>
      </c>
      <c r="I366" s="489">
        <f>+'видатки_затв '!G462</f>
        <v>0</v>
      </c>
      <c r="J366" s="489">
        <f>+'видатки_затв '!H462</f>
        <v>0</v>
      </c>
      <c r="K366" s="489">
        <f>+'видатки_затв '!I462</f>
        <v>0</v>
      </c>
      <c r="L366" s="489">
        <f>+'видатки_затв '!J462</f>
        <v>0</v>
      </c>
      <c r="M366" s="489">
        <f>+'видатки_затв '!K462</f>
        <v>0</v>
      </c>
      <c r="N366" s="489">
        <f>+'видатки_затв '!L462</f>
        <v>0</v>
      </c>
      <c r="O366" s="489">
        <f t="shared" si="33"/>
        <v>0</v>
      </c>
      <c r="P366" s="162">
        <f t="shared" si="35"/>
        <v>0</v>
      </c>
      <c r="Q366" s="54"/>
      <c r="R366" s="71"/>
      <c r="S366" s="71"/>
      <c r="T366" s="71"/>
      <c r="U366" s="71"/>
      <c r="V366" s="54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1:65" ht="108" hidden="1" customHeight="1" outlineLevel="1">
      <c r="A367" s="1415"/>
      <c r="B367" s="1415"/>
      <c r="C367" s="578">
        <v>250396</v>
      </c>
      <c r="D367" s="212" t="s">
        <v>48</v>
      </c>
      <c r="E367" s="180">
        <f>+'видатки_затв '!C464</f>
        <v>0</v>
      </c>
      <c r="F367" s="180">
        <f>+'видатки_затв '!D464</f>
        <v>0</v>
      </c>
      <c r="G367" s="180">
        <f>+'видатки_затв '!E464</f>
        <v>0</v>
      </c>
      <c r="H367" s="180">
        <f t="shared" si="34"/>
        <v>0</v>
      </c>
      <c r="I367" s="180">
        <f>+'видатки_затв '!G464</f>
        <v>0</v>
      </c>
      <c r="J367" s="180">
        <f>+'видатки_затв '!H464</f>
        <v>0</v>
      </c>
      <c r="K367" s="180">
        <f>+'видатки_затв '!I464</f>
        <v>0</v>
      </c>
      <c r="L367" s="180">
        <f>+'видатки_затв '!J468</f>
        <v>0</v>
      </c>
      <c r="M367" s="180"/>
      <c r="N367" s="180">
        <f>+'видатки_затв '!L468</f>
        <v>0</v>
      </c>
      <c r="O367" s="180">
        <f t="shared" si="33"/>
        <v>0</v>
      </c>
      <c r="P367" s="100">
        <f t="shared" si="35"/>
        <v>0</v>
      </c>
      <c r="Q367" s="54"/>
      <c r="R367" s="71"/>
      <c r="S367" s="71"/>
      <c r="T367" s="71"/>
      <c r="U367" s="71"/>
      <c r="V367" s="54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1:65" ht="156" hidden="1" customHeight="1" outlineLevel="1">
      <c r="A368" s="1415"/>
      <c r="B368" s="1415"/>
      <c r="C368" s="572">
        <v>250339</v>
      </c>
      <c r="D368" s="611" t="s">
        <v>307</v>
      </c>
      <c r="E368" s="180"/>
      <c r="F368" s="180"/>
      <c r="G368" s="180"/>
      <c r="H368" s="180">
        <f t="shared" si="34"/>
        <v>0</v>
      </c>
      <c r="I368" s="180"/>
      <c r="J368" s="180"/>
      <c r="K368" s="180"/>
      <c r="L368" s="193">
        <f>+'видатки_затв '!J459</f>
        <v>0</v>
      </c>
      <c r="M368" s="180"/>
      <c r="N368" s="193">
        <f>+'видатки_затв '!L459</f>
        <v>0</v>
      </c>
      <c r="O368" s="180">
        <f t="shared" si="33"/>
        <v>0</v>
      </c>
      <c r="P368" s="100">
        <f t="shared" si="35"/>
        <v>0</v>
      </c>
      <c r="Q368" s="54"/>
      <c r="R368" s="71"/>
      <c r="S368" s="71"/>
      <c r="T368" s="71"/>
      <c r="U368" s="71"/>
      <c r="V368" s="54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1:65" ht="45.6" hidden="1" customHeight="1" outlineLevel="1">
      <c r="A369" s="1415"/>
      <c r="B369" s="1415"/>
      <c r="C369" s="612">
        <v>250377</v>
      </c>
      <c r="D369" s="609" t="str">
        <f>+'видатки_затв '!B438</f>
        <v>Субвенція з державного бюджету місцевим бюджетам для здійснення заходів, спрямованих на подолання дитячої бездоглядності і безпритульності</v>
      </c>
      <c r="E369" s="173"/>
      <c r="F369" s="173"/>
      <c r="G369" s="173"/>
      <c r="H369" s="173">
        <f t="shared" si="34"/>
        <v>0</v>
      </c>
      <c r="I369" s="173"/>
      <c r="J369" s="173"/>
      <c r="K369" s="173"/>
      <c r="L369" s="194"/>
      <c r="M369" s="173"/>
      <c r="N369" s="194"/>
      <c r="O369" s="173">
        <f t="shared" si="33"/>
        <v>0</v>
      </c>
      <c r="P369" s="100">
        <f t="shared" si="35"/>
        <v>0</v>
      </c>
      <c r="Q369" s="54"/>
      <c r="R369" s="71"/>
      <c r="S369" s="71"/>
      <c r="T369" s="71"/>
      <c r="U369" s="71"/>
      <c r="V369" s="54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1:65" ht="75.75" hidden="1" customHeight="1" outlineLevel="1">
      <c r="A370" s="1415"/>
      <c r="B370" s="1415"/>
      <c r="C370" s="572">
        <v>250381</v>
      </c>
      <c r="D370" s="182" t="s">
        <v>494</v>
      </c>
      <c r="E370" s="180"/>
      <c r="F370" s="180"/>
      <c r="G370" s="180"/>
      <c r="H370" s="180">
        <f t="shared" si="34"/>
        <v>0</v>
      </c>
      <c r="I370" s="180"/>
      <c r="J370" s="180"/>
      <c r="K370" s="180"/>
      <c r="L370" s="193"/>
      <c r="M370" s="180"/>
      <c r="N370" s="193"/>
      <c r="O370" s="180">
        <f t="shared" si="33"/>
        <v>0</v>
      </c>
      <c r="P370" s="100">
        <f t="shared" si="35"/>
        <v>0</v>
      </c>
      <c r="Q370" s="54"/>
      <c r="R370" s="71"/>
      <c r="S370" s="71"/>
      <c r="T370" s="71"/>
      <c r="U370" s="71"/>
      <c r="V370" s="54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1:65" ht="24" hidden="1" customHeight="1" outlineLevel="1">
      <c r="A371" s="1415"/>
      <c r="B371" s="1415"/>
      <c r="C371" s="603"/>
      <c r="D371" s="171" t="s">
        <v>443</v>
      </c>
      <c r="E371" s="173"/>
      <c r="F371" s="173"/>
      <c r="G371" s="173"/>
      <c r="H371" s="173"/>
      <c r="I371" s="173"/>
      <c r="J371" s="173"/>
      <c r="K371" s="173"/>
      <c r="L371" s="194"/>
      <c r="M371" s="173"/>
      <c r="N371" s="194"/>
      <c r="O371" s="173">
        <f t="shared" si="33"/>
        <v>0</v>
      </c>
      <c r="P371" s="100">
        <f t="shared" si="35"/>
        <v>0</v>
      </c>
      <c r="Q371" s="54"/>
      <c r="R371" s="71"/>
      <c r="S371" s="71"/>
      <c r="T371" s="71"/>
      <c r="U371" s="71"/>
      <c r="V371" s="54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1:65" ht="22.15" hidden="1" customHeight="1" outlineLevel="1">
      <c r="A372" s="1415"/>
      <c r="B372" s="1415"/>
      <c r="C372" s="603"/>
      <c r="D372" s="171" t="s">
        <v>1062</v>
      </c>
      <c r="E372" s="173"/>
      <c r="F372" s="173"/>
      <c r="G372" s="173"/>
      <c r="H372" s="173">
        <f>+I372+L372</f>
        <v>0</v>
      </c>
      <c r="I372" s="173"/>
      <c r="J372" s="173"/>
      <c r="K372" s="173"/>
      <c r="L372" s="194"/>
      <c r="M372" s="173"/>
      <c r="N372" s="194"/>
      <c r="O372" s="173">
        <f t="shared" si="33"/>
        <v>0</v>
      </c>
      <c r="P372" s="100">
        <f t="shared" si="35"/>
        <v>0</v>
      </c>
      <c r="Q372" s="54"/>
      <c r="R372" s="71"/>
      <c r="S372" s="71"/>
      <c r="T372" s="71"/>
      <c r="U372" s="71"/>
      <c r="V372" s="54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1:65" ht="20.45" hidden="1" customHeight="1" outlineLevel="1">
      <c r="A373" s="1415"/>
      <c r="B373" s="1415"/>
      <c r="C373" s="603"/>
      <c r="D373" s="171" t="s">
        <v>1063</v>
      </c>
      <c r="E373" s="173"/>
      <c r="F373" s="173"/>
      <c r="G373" s="173"/>
      <c r="H373" s="173">
        <f>+I373+L373</f>
        <v>0</v>
      </c>
      <c r="I373" s="173"/>
      <c r="J373" s="173"/>
      <c r="K373" s="173"/>
      <c r="L373" s="194"/>
      <c r="M373" s="173"/>
      <c r="N373" s="194"/>
      <c r="O373" s="173">
        <f t="shared" si="33"/>
        <v>0</v>
      </c>
      <c r="P373" s="100">
        <f t="shared" si="35"/>
        <v>0</v>
      </c>
      <c r="Q373" s="54"/>
      <c r="R373" s="71"/>
      <c r="S373" s="71"/>
      <c r="T373" s="71"/>
      <c r="U373" s="71"/>
      <c r="V373" s="54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1:65" ht="55.15" hidden="1" customHeight="1" outlineLevel="1">
      <c r="A374" s="1415"/>
      <c r="B374" s="1415"/>
      <c r="C374" s="613"/>
      <c r="D374" s="170" t="s">
        <v>512</v>
      </c>
      <c r="E374" s="169"/>
      <c r="F374" s="169"/>
      <c r="G374" s="169"/>
      <c r="H374" s="169"/>
      <c r="I374" s="169"/>
      <c r="J374" s="169"/>
      <c r="K374" s="169"/>
      <c r="L374" s="195"/>
      <c r="M374" s="169"/>
      <c r="N374" s="195"/>
      <c r="O374" s="169">
        <f t="shared" si="33"/>
        <v>0</v>
      </c>
      <c r="P374" s="100">
        <f t="shared" si="35"/>
        <v>0</v>
      </c>
      <c r="Q374" s="54"/>
      <c r="R374" s="71"/>
      <c r="S374" s="71"/>
      <c r="T374" s="71"/>
      <c r="U374" s="71"/>
      <c r="V374" s="54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1:65" ht="60" hidden="1" customHeight="1" outlineLevel="1">
      <c r="A375" s="1415"/>
      <c r="B375" s="1415"/>
      <c r="C375" s="613"/>
      <c r="D375" s="170" t="s">
        <v>443</v>
      </c>
      <c r="E375" s="169"/>
      <c r="F375" s="169"/>
      <c r="G375" s="169"/>
      <c r="H375" s="169"/>
      <c r="I375" s="169"/>
      <c r="J375" s="169"/>
      <c r="K375" s="169"/>
      <c r="L375" s="195"/>
      <c r="M375" s="169"/>
      <c r="N375" s="195"/>
      <c r="O375" s="169">
        <f t="shared" si="33"/>
        <v>0</v>
      </c>
      <c r="P375" s="100">
        <f t="shared" si="35"/>
        <v>0</v>
      </c>
      <c r="Q375" s="54"/>
      <c r="R375" s="71"/>
      <c r="S375" s="71"/>
      <c r="T375" s="71"/>
      <c r="U375" s="71"/>
      <c r="V375" s="54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1:65" ht="43.15" hidden="1" customHeight="1" outlineLevel="1">
      <c r="A376" s="1415"/>
      <c r="B376" s="1415"/>
      <c r="C376" s="603"/>
      <c r="D376" s="171" t="s">
        <v>1062</v>
      </c>
      <c r="E376" s="173"/>
      <c r="F376" s="173"/>
      <c r="G376" s="173"/>
      <c r="H376" s="173">
        <f>+I376+L376</f>
        <v>0</v>
      </c>
      <c r="I376" s="173"/>
      <c r="J376" s="173"/>
      <c r="K376" s="173"/>
      <c r="L376" s="194">
        <f>9405.6+260-9665.6</f>
        <v>0</v>
      </c>
      <c r="M376" s="173">
        <f>9405.6+260-9665.6</f>
        <v>0</v>
      </c>
      <c r="N376" s="194">
        <f>9405.6+260-9665.6</f>
        <v>0</v>
      </c>
      <c r="O376" s="173">
        <f t="shared" si="33"/>
        <v>0</v>
      </c>
      <c r="P376" s="100">
        <f t="shared" si="35"/>
        <v>0</v>
      </c>
      <c r="Q376" s="54"/>
      <c r="R376" s="71"/>
      <c r="S376" s="71"/>
      <c r="T376" s="71"/>
      <c r="U376" s="71"/>
      <c r="V376" s="54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1:65" ht="61.15" hidden="1" customHeight="1" outlineLevel="1">
      <c r="A377" s="1415"/>
      <c r="B377" s="1415"/>
      <c r="C377" s="613"/>
      <c r="D377" s="170" t="s">
        <v>1063</v>
      </c>
      <c r="E377" s="169"/>
      <c r="F377" s="169"/>
      <c r="G377" s="169"/>
      <c r="H377" s="169">
        <f>+I377+L377</f>
        <v>0</v>
      </c>
      <c r="I377" s="169"/>
      <c r="J377" s="169"/>
      <c r="K377" s="169"/>
      <c r="L377" s="195"/>
      <c r="M377" s="169"/>
      <c r="N377" s="195"/>
      <c r="O377" s="169">
        <f t="shared" si="33"/>
        <v>0</v>
      </c>
      <c r="P377" s="100">
        <f t="shared" si="35"/>
        <v>0</v>
      </c>
      <c r="Q377" s="54"/>
      <c r="R377" s="71"/>
      <c r="S377" s="71"/>
      <c r="T377" s="71"/>
      <c r="U377" s="71"/>
      <c r="V377" s="54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1:65" ht="64.150000000000006" customHeight="1" outlineLevel="1">
      <c r="A378" s="359" t="s">
        <v>1170</v>
      </c>
      <c r="B378" s="359"/>
      <c r="C378" s="359" t="s">
        <v>1502</v>
      </c>
      <c r="D378" s="360" t="s">
        <v>489</v>
      </c>
      <c r="E378" s="487">
        <f>SUM(E379:E397)-E389-E392</f>
        <v>2898000</v>
      </c>
      <c r="F378" s="487">
        <f t="shared" ref="F378:N378" si="36">SUM(F379:F397)-F389-F392</f>
        <v>0</v>
      </c>
      <c r="G378" s="487">
        <f t="shared" si="36"/>
        <v>0</v>
      </c>
      <c r="H378" s="487">
        <f t="shared" si="36"/>
        <v>800000</v>
      </c>
      <c r="I378" s="487">
        <f t="shared" si="36"/>
        <v>0</v>
      </c>
      <c r="J378" s="487">
        <f t="shared" si="36"/>
        <v>0</v>
      </c>
      <c r="K378" s="487">
        <f t="shared" si="36"/>
        <v>0</v>
      </c>
      <c r="L378" s="487">
        <f t="shared" si="36"/>
        <v>800000</v>
      </c>
      <c r="M378" s="487">
        <f t="shared" si="36"/>
        <v>800000</v>
      </c>
      <c r="N378" s="487">
        <f t="shared" si="36"/>
        <v>800000</v>
      </c>
      <c r="O378" s="487">
        <f t="shared" si="33"/>
        <v>3698000</v>
      </c>
      <c r="P378" s="162">
        <f t="shared" si="35"/>
        <v>3698000</v>
      </c>
      <c r="Q378" s="54"/>
      <c r="R378" s="71"/>
      <c r="S378" s="71"/>
      <c r="T378" s="71"/>
      <c r="U378" s="71"/>
      <c r="V378" s="54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1:65" ht="33.6" hidden="1" customHeight="1" outlineLevel="1">
      <c r="A379" s="1416" t="s">
        <v>1357</v>
      </c>
      <c r="B379" s="1416"/>
      <c r="C379" s="569" t="s">
        <v>539</v>
      </c>
      <c r="D379" s="364" t="s">
        <v>1137</v>
      </c>
      <c r="E379" s="488"/>
      <c r="F379" s="487"/>
      <c r="G379" s="487"/>
      <c r="H379" s="456">
        <f t="shared" ref="H379:H391" si="37">+I379+L379</f>
        <v>0</v>
      </c>
      <c r="I379" s="488"/>
      <c r="J379" s="488"/>
      <c r="K379" s="488"/>
      <c r="L379" s="488"/>
      <c r="M379" s="488"/>
      <c r="N379" s="488"/>
      <c r="O379" s="456">
        <f t="shared" si="33"/>
        <v>0</v>
      </c>
      <c r="P379" s="100">
        <f t="shared" si="35"/>
        <v>0</v>
      </c>
      <c r="Q379" s="54"/>
      <c r="R379" s="71"/>
      <c r="S379" s="71"/>
      <c r="T379" s="71"/>
      <c r="U379" s="71"/>
      <c r="V379" s="54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  <row r="380" spans="1:65" ht="27" hidden="1" customHeight="1" outlineLevel="1">
      <c r="A380" s="1416" t="s">
        <v>1358</v>
      </c>
      <c r="B380" s="1416"/>
      <c r="C380" s="569" t="s">
        <v>77</v>
      </c>
      <c r="D380" s="364" t="s">
        <v>328</v>
      </c>
      <c r="E380" s="456"/>
      <c r="F380" s="456"/>
      <c r="G380" s="456"/>
      <c r="H380" s="456">
        <f t="shared" si="37"/>
        <v>0</v>
      </c>
      <c r="I380" s="456"/>
      <c r="J380" s="456"/>
      <c r="K380" s="456"/>
      <c r="L380" s="456"/>
      <c r="M380" s="456"/>
      <c r="N380" s="456"/>
      <c r="O380" s="456">
        <f t="shared" si="33"/>
        <v>0</v>
      </c>
      <c r="P380" s="100">
        <f t="shared" si="35"/>
        <v>0</v>
      </c>
      <c r="Q380" s="54"/>
      <c r="R380" s="71"/>
      <c r="S380" s="71"/>
      <c r="T380" s="71"/>
      <c r="U380" s="71"/>
      <c r="V380" s="54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</row>
    <row r="381" spans="1:65" ht="45.6" hidden="1" customHeight="1" outlineLevel="1">
      <c r="A381" s="1416" t="s">
        <v>1359</v>
      </c>
      <c r="B381" s="1416"/>
      <c r="C381" s="569">
        <v>110103</v>
      </c>
      <c r="D381" s="364" t="s">
        <v>810</v>
      </c>
      <c r="E381" s="456"/>
      <c r="F381" s="456"/>
      <c r="G381" s="456"/>
      <c r="H381" s="456">
        <f t="shared" si="37"/>
        <v>0</v>
      </c>
      <c r="I381" s="456"/>
      <c r="J381" s="456"/>
      <c r="K381" s="456"/>
      <c r="L381" s="456"/>
      <c r="M381" s="456"/>
      <c r="N381" s="456"/>
      <c r="O381" s="456">
        <f t="shared" ref="O381:O392" si="38">+E381+H381</f>
        <v>0</v>
      </c>
      <c r="P381" s="100">
        <f t="shared" si="35"/>
        <v>0</v>
      </c>
      <c r="Q381" s="54"/>
      <c r="R381" s="71"/>
      <c r="S381" s="71"/>
      <c r="T381" s="71"/>
      <c r="U381" s="71"/>
      <c r="V381" s="54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</row>
    <row r="382" spans="1:65" ht="51.6" hidden="1" customHeight="1" outlineLevel="1">
      <c r="A382" s="1416" t="s">
        <v>152</v>
      </c>
      <c r="B382" s="1416"/>
      <c r="C382" s="569" t="s">
        <v>887</v>
      </c>
      <c r="D382" s="364" t="s">
        <v>1629</v>
      </c>
      <c r="E382" s="456"/>
      <c r="F382" s="456">
        <f>+'видатки_затв '!D191</f>
        <v>0</v>
      </c>
      <c r="G382" s="456">
        <f>+'видатки_затв '!E191</f>
        <v>0</v>
      </c>
      <c r="H382" s="456">
        <f t="shared" si="37"/>
        <v>0</v>
      </c>
      <c r="I382" s="456">
        <f>+'видатки_затв '!G191</f>
        <v>0</v>
      </c>
      <c r="J382" s="456">
        <f>+'видатки_затв '!H191</f>
        <v>0</v>
      </c>
      <c r="K382" s="456">
        <f>+'видатки_затв '!I191</f>
        <v>0</v>
      </c>
      <c r="L382" s="456">
        <f>+'видатки_затв '!J191</f>
        <v>0</v>
      </c>
      <c r="M382" s="456">
        <f>+'видатки_затв '!K191</f>
        <v>0</v>
      </c>
      <c r="N382" s="456">
        <f>+'видатки_затв '!L191</f>
        <v>0</v>
      </c>
      <c r="O382" s="456">
        <f t="shared" si="38"/>
        <v>0</v>
      </c>
      <c r="P382" s="100">
        <f t="shared" si="35"/>
        <v>0</v>
      </c>
      <c r="Q382" s="54"/>
      <c r="R382" s="71"/>
      <c r="S382" s="71"/>
      <c r="T382" s="71"/>
      <c r="U382" s="71"/>
      <c r="V382" s="54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</row>
    <row r="383" spans="1:65" ht="21" hidden="1" customHeight="1" outlineLevel="1">
      <c r="A383" s="1416" t="s">
        <v>1360</v>
      </c>
      <c r="B383" s="1416"/>
      <c r="C383" s="569">
        <v>110201</v>
      </c>
      <c r="D383" s="364" t="s">
        <v>389</v>
      </c>
      <c r="E383" s="456"/>
      <c r="F383" s="456"/>
      <c r="G383" s="456"/>
      <c r="H383" s="456">
        <f t="shared" si="37"/>
        <v>0</v>
      </c>
      <c r="I383" s="456"/>
      <c r="J383" s="456"/>
      <c r="K383" s="456"/>
      <c r="L383" s="456"/>
      <c r="M383" s="456">
        <f>+L383</f>
        <v>0</v>
      </c>
      <c r="N383" s="456"/>
      <c r="O383" s="456">
        <f t="shared" si="38"/>
        <v>0</v>
      </c>
      <c r="P383" s="100">
        <f t="shared" si="35"/>
        <v>0</v>
      </c>
      <c r="Q383" s="54"/>
      <c r="R383" s="71"/>
      <c r="S383" s="71"/>
      <c r="T383" s="71"/>
      <c r="U383" s="71"/>
      <c r="V383" s="54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</row>
    <row r="384" spans="1:65" ht="18.600000000000001" hidden="1" customHeight="1" outlineLevel="1">
      <c r="A384" s="1416" t="s">
        <v>1361</v>
      </c>
      <c r="B384" s="1416"/>
      <c r="C384" s="569">
        <v>110202</v>
      </c>
      <c r="D384" s="364" t="s">
        <v>329</v>
      </c>
      <c r="E384" s="456"/>
      <c r="F384" s="456"/>
      <c r="G384" s="456"/>
      <c r="H384" s="456">
        <f t="shared" si="37"/>
        <v>0</v>
      </c>
      <c r="I384" s="456"/>
      <c r="J384" s="456"/>
      <c r="K384" s="456"/>
      <c r="L384" s="456"/>
      <c r="M384" s="456"/>
      <c r="N384" s="456"/>
      <c r="O384" s="456">
        <f t="shared" si="38"/>
        <v>0</v>
      </c>
      <c r="P384" s="100">
        <f t="shared" si="35"/>
        <v>0</v>
      </c>
      <c r="Q384" s="54"/>
      <c r="R384" s="71"/>
      <c r="S384" s="71"/>
      <c r="T384" s="71"/>
      <c r="U384" s="71"/>
      <c r="V384" s="54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</row>
    <row r="385" spans="1:65" ht="18.600000000000001" hidden="1" customHeight="1" outlineLevel="1">
      <c r="A385" s="1416" t="s">
        <v>1362</v>
      </c>
      <c r="B385" s="1416"/>
      <c r="C385" s="569">
        <v>110203</v>
      </c>
      <c r="D385" s="364" t="s">
        <v>330</v>
      </c>
      <c r="E385" s="488"/>
      <c r="F385" s="488"/>
      <c r="G385" s="488"/>
      <c r="H385" s="488">
        <f t="shared" si="37"/>
        <v>0</v>
      </c>
      <c r="I385" s="488"/>
      <c r="J385" s="488"/>
      <c r="K385" s="488"/>
      <c r="L385" s="488"/>
      <c r="M385" s="488"/>
      <c r="N385" s="488"/>
      <c r="O385" s="488">
        <f t="shared" si="38"/>
        <v>0</v>
      </c>
      <c r="P385" s="162">
        <f t="shared" si="35"/>
        <v>0</v>
      </c>
      <c r="Q385" s="54"/>
      <c r="R385" s="71"/>
      <c r="S385" s="71"/>
      <c r="T385" s="71"/>
      <c r="U385" s="71"/>
      <c r="V385" s="54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</row>
    <row r="386" spans="1:65" ht="21" hidden="1" customHeight="1" outlineLevel="1">
      <c r="A386" s="1416" t="s">
        <v>1363</v>
      </c>
      <c r="B386" s="1416"/>
      <c r="C386" s="569">
        <v>110300</v>
      </c>
      <c r="D386" s="364" t="s">
        <v>331</v>
      </c>
      <c r="E386" s="488"/>
      <c r="F386" s="488"/>
      <c r="G386" s="488"/>
      <c r="H386" s="488">
        <f t="shared" si="37"/>
        <v>0</v>
      </c>
      <c r="I386" s="488"/>
      <c r="J386" s="488"/>
      <c r="K386" s="488"/>
      <c r="L386" s="488"/>
      <c r="M386" s="488"/>
      <c r="N386" s="488"/>
      <c r="O386" s="488">
        <f t="shared" si="38"/>
        <v>0</v>
      </c>
      <c r="P386" s="162">
        <f t="shared" si="35"/>
        <v>0</v>
      </c>
      <c r="Q386" s="54"/>
      <c r="R386" s="71"/>
      <c r="S386" s="71"/>
      <c r="T386" s="71"/>
      <c r="U386" s="71"/>
      <c r="V386" s="54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</row>
    <row r="387" spans="1:65" ht="32.450000000000003" customHeight="1" outlineLevel="1">
      <c r="A387" s="1416" t="s">
        <v>1400</v>
      </c>
      <c r="B387" s="1416"/>
      <c r="C387" s="569" t="s">
        <v>1058</v>
      </c>
      <c r="D387" s="364" t="s">
        <v>1201</v>
      </c>
      <c r="E387" s="488">
        <f>100000+100000</f>
        <v>200000</v>
      </c>
      <c r="F387" s="488"/>
      <c r="G387" s="488"/>
      <c r="H387" s="488">
        <f t="shared" si="37"/>
        <v>0</v>
      </c>
      <c r="I387" s="488"/>
      <c r="J387" s="488"/>
      <c r="K387" s="488"/>
      <c r="L387" s="488"/>
      <c r="M387" s="488"/>
      <c r="N387" s="488"/>
      <c r="O387" s="488">
        <f t="shared" si="38"/>
        <v>200000</v>
      </c>
      <c r="P387" s="162">
        <f t="shared" si="35"/>
        <v>200000</v>
      </c>
      <c r="Q387" s="54"/>
      <c r="R387" s="71"/>
      <c r="S387" s="71"/>
      <c r="T387" s="71"/>
      <c r="U387" s="71"/>
      <c r="V387" s="54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</row>
    <row r="388" spans="1:65" ht="18.600000000000001" hidden="1" customHeight="1" outlineLevel="1">
      <c r="A388" s="1416"/>
      <c r="B388" s="1416"/>
      <c r="C388" s="569"/>
      <c r="D388" s="364" t="s">
        <v>529</v>
      </c>
      <c r="E388" s="488"/>
      <c r="F388" s="488"/>
      <c r="G388" s="488"/>
      <c r="H388" s="488"/>
      <c r="I388" s="488"/>
      <c r="J388" s="488"/>
      <c r="K388" s="488"/>
      <c r="L388" s="488"/>
      <c r="M388" s="488"/>
      <c r="N388" s="488"/>
      <c r="O388" s="488"/>
      <c r="P388" s="162"/>
      <c r="Q388" s="54"/>
      <c r="R388" s="71"/>
      <c r="S388" s="71"/>
      <c r="T388" s="71"/>
      <c r="U388" s="71"/>
      <c r="V388" s="54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</row>
    <row r="389" spans="1:65" ht="53.45" hidden="1" customHeight="1" outlineLevel="1">
      <c r="A389" s="1416"/>
      <c r="B389" s="1416"/>
      <c r="C389" s="569"/>
      <c r="D389" s="364" t="s">
        <v>429</v>
      </c>
      <c r="E389" s="488"/>
      <c r="F389" s="488"/>
      <c r="G389" s="488"/>
      <c r="H389" s="488"/>
      <c r="I389" s="488"/>
      <c r="J389" s="488"/>
      <c r="K389" s="488"/>
      <c r="L389" s="488"/>
      <c r="M389" s="488"/>
      <c r="N389" s="488"/>
      <c r="O389" s="456">
        <f t="shared" si="38"/>
        <v>0</v>
      </c>
      <c r="P389" s="100">
        <f t="shared" si="35"/>
        <v>0</v>
      </c>
      <c r="Q389" s="54"/>
      <c r="R389" s="71"/>
      <c r="S389" s="71"/>
      <c r="T389" s="71"/>
      <c r="U389" s="71"/>
      <c r="V389" s="54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</row>
    <row r="390" spans="1:65" ht="29.45" hidden="1" customHeight="1" outlineLevel="1">
      <c r="A390" s="1416"/>
      <c r="B390" s="1416"/>
      <c r="C390" s="550" t="s">
        <v>1508</v>
      </c>
      <c r="D390" s="557" t="s">
        <v>532</v>
      </c>
      <c r="E390" s="490">
        <f>700000-700000</f>
        <v>0</v>
      </c>
      <c r="F390" s="490"/>
      <c r="G390" s="490"/>
      <c r="H390" s="490">
        <f t="shared" si="37"/>
        <v>0</v>
      </c>
      <c r="I390" s="490"/>
      <c r="J390" s="490"/>
      <c r="K390" s="490"/>
      <c r="L390" s="490">
        <f>1585400-1585400</f>
        <v>0</v>
      </c>
      <c r="M390" s="490">
        <f>+L390</f>
        <v>0</v>
      </c>
      <c r="N390" s="490">
        <f>1585400-1585400</f>
        <v>0</v>
      </c>
      <c r="O390" s="490">
        <f t="shared" si="38"/>
        <v>0</v>
      </c>
      <c r="P390" s="100">
        <f t="shared" si="35"/>
        <v>0</v>
      </c>
      <c r="Q390" s="54"/>
      <c r="R390" s="71"/>
      <c r="S390" s="71"/>
      <c r="T390" s="71"/>
      <c r="U390" s="71"/>
      <c r="V390" s="54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</row>
    <row r="391" spans="1:65" ht="39.6" customHeight="1" outlineLevel="1">
      <c r="A391" s="1416" t="s">
        <v>1364</v>
      </c>
      <c r="B391" s="1416"/>
      <c r="C391" s="569" t="s">
        <v>1243</v>
      </c>
      <c r="D391" s="209" t="s">
        <v>935</v>
      </c>
      <c r="E391" s="488">
        <f>1950000+98000</f>
        <v>2048000</v>
      </c>
      <c r="F391" s="488"/>
      <c r="G391" s="488"/>
      <c r="H391" s="488">
        <f t="shared" si="37"/>
        <v>800000</v>
      </c>
      <c r="I391" s="488"/>
      <c r="J391" s="488"/>
      <c r="K391" s="488"/>
      <c r="L391" s="488">
        <v>800000</v>
      </c>
      <c r="M391" s="488">
        <f>+L391</f>
        <v>800000</v>
      </c>
      <c r="N391" s="488">
        <f>+M391</f>
        <v>800000</v>
      </c>
      <c r="O391" s="488">
        <f t="shared" si="38"/>
        <v>2848000</v>
      </c>
      <c r="P391" s="162">
        <f t="shared" si="35"/>
        <v>2848000</v>
      </c>
      <c r="Q391" s="54"/>
      <c r="R391" s="71"/>
      <c r="S391" s="71"/>
      <c r="T391" s="71"/>
      <c r="U391" s="71"/>
      <c r="V391" s="54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</row>
    <row r="392" spans="1:65" ht="57" customHeight="1" outlineLevel="1">
      <c r="A392" s="1416"/>
      <c r="B392" s="1416"/>
      <c r="C392" s="569"/>
      <c r="D392" s="209" t="s">
        <v>1219</v>
      </c>
      <c r="E392" s="488">
        <v>298000</v>
      </c>
      <c r="F392" s="488"/>
      <c r="G392" s="488"/>
      <c r="H392" s="488"/>
      <c r="I392" s="488"/>
      <c r="J392" s="488"/>
      <c r="K392" s="488"/>
      <c r="L392" s="488"/>
      <c r="M392" s="488"/>
      <c r="N392" s="488"/>
      <c r="O392" s="488">
        <f t="shared" si="38"/>
        <v>298000</v>
      </c>
      <c r="P392" s="162">
        <f t="shared" si="35"/>
        <v>298000</v>
      </c>
      <c r="Q392" s="54"/>
      <c r="R392" s="71"/>
      <c r="S392" s="71"/>
      <c r="T392" s="71"/>
      <c r="U392" s="71"/>
      <c r="V392" s="54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</row>
    <row r="393" spans="1:65" ht="35.450000000000003" hidden="1" customHeight="1" outlineLevel="1">
      <c r="A393" s="1416"/>
      <c r="B393" s="1416"/>
      <c r="C393" s="567"/>
      <c r="D393" s="170" t="s">
        <v>518</v>
      </c>
      <c r="E393" s="169"/>
      <c r="F393" s="169"/>
      <c r="G393" s="169"/>
      <c r="H393" s="169"/>
      <c r="I393" s="169"/>
      <c r="J393" s="169"/>
      <c r="K393" s="169"/>
      <c r="L393" s="195"/>
      <c r="M393" s="169"/>
      <c r="N393" s="195"/>
      <c r="O393" s="169"/>
      <c r="P393" s="100">
        <f t="shared" si="35"/>
        <v>0</v>
      </c>
      <c r="Q393" s="54"/>
      <c r="R393" s="71"/>
      <c r="S393" s="71"/>
      <c r="T393" s="71"/>
      <c r="U393" s="71"/>
      <c r="V393" s="54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</row>
    <row r="394" spans="1:65" ht="56.45" customHeight="1" outlineLevel="1">
      <c r="A394" s="1416" t="s">
        <v>1365</v>
      </c>
      <c r="B394" s="1416"/>
      <c r="C394" s="569" t="s">
        <v>500</v>
      </c>
      <c r="D394" s="364" t="s">
        <v>1067</v>
      </c>
      <c r="E394" s="488">
        <v>650000</v>
      </c>
      <c r="F394" s="488"/>
      <c r="G394" s="488"/>
      <c r="H394" s="488">
        <f>+I394+L394</f>
        <v>0</v>
      </c>
      <c r="I394" s="488"/>
      <c r="J394" s="488"/>
      <c r="K394" s="488"/>
      <c r="L394" s="488"/>
      <c r="M394" s="488">
        <f>+L394</f>
        <v>0</v>
      </c>
      <c r="N394" s="488">
        <f>550000-550000</f>
        <v>0</v>
      </c>
      <c r="O394" s="488">
        <f t="shared" ref="O394:O435" si="39">+E394+H394</f>
        <v>650000</v>
      </c>
      <c r="P394" s="162">
        <f t="shared" si="35"/>
        <v>650000</v>
      </c>
      <c r="Q394" s="54"/>
      <c r="R394" s="71"/>
      <c r="S394" s="71"/>
      <c r="T394" s="71"/>
      <c r="U394" s="71"/>
      <c r="V394" s="54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</row>
    <row r="395" spans="1:65" ht="34.9" hidden="1" customHeight="1" outlineLevel="1">
      <c r="A395" s="1416"/>
      <c r="B395" s="1416"/>
      <c r="C395" s="550" t="s">
        <v>1512</v>
      </c>
      <c r="D395" s="213" t="s">
        <v>49</v>
      </c>
      <c r="E395" s="180"/>
      <c r="F395" s="180"/>
      <c r="G395" s="180"/>
      <c r="H395" s="180">
        <f>+I395+L395</f>
        <v>0</v>
      </c>
      <c r="I395" s="180"/>
      <c r="J395" s="180"/>
      <c r="K395" s="180"/>
      <c r="L395" s="193"/>
      <c r="M395" s="180"/>
      <c r="N395" s="193"/>
      <c r="O395" s="180">
        <f t="shared" si="39"/>
        <v>0</v>
      </c>
      <c r="P395" s="100">
        <f t="shared" si="35"/>
        <v>0</v>
      </c>
      <c r="Q395" s="54"/>
      <c r="R395" s="71"/>
      <c r="S395" s="71"/>
      <c r="T395" s="71"/>
      <c r="U395" s="71"/>
      <c r="V395" s="54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</row>
    <row r="396" spans="1:65" ht="34.9" hidden="1" customHeight="1" outlineLevel="1">
      <c r="A396" s="1416"/>
      <c r="B396" s="1416"/>
      <c r="C396" s="550" t="s">
        <v>67</v>
      </c>
      <c r="D396" s="213" t="s">
        <v>1249</v>
      </c>
      <c r="E396" s="489"/>
      <c r="F396" s="489"/>
      <c r="G396" s="489"/>
      <c r="H396" s="489">
        <f>+I396+L396</f>
        <v>0</v>
      </c>
      <c r="I396" s="489"/>
      <c r="J396" s="489"/>
      <c r="K396" s="489"/>
      <c r="L396" s="489"/>
      <c r="M396" s="489"/>
      <c r="N396" s="489"/>
      <c r="O396" s="489">
        <f t="shared" si="39"/>
        <v>0</v>
      </c>
      <c r="P396" s="162">
        <f t="shared" si="35"/>
        <v>0</v>
      </c>
      <c r="Q396" s="54"/>
      <c r="R396" s="71"/>
      <c r="S396" s="71"/>
      <c r="T396" s="71"/>
      <c r="U396" s="71"/>
      <c r="V396" s="54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</row>
    <row r="397" spans="1:65" ht="51.6" hidden="1" customHeight="1" outlineLevel="1">
      <c r="A397" s="1416"/>
      <c r="B397" s="1416"/>
      <c r="C397" s="567" t="s">
        <v>893</v>
      </c>
      <c r="D397" s="445" t="s">
        <v>1135</v>
      </c>
      <c r="E397" s="170"/>
      <c r="F397" s="170"/>
      <c r="G397" s="170"/>
      <c r="H397" s="170"/>
      <c r="I397" s="170"/>
      <c r="J397" s="170"/>
      <c r="K397" s="170"/>
      <c r="L397" s="584"/>
      <c r="M397" s="170"/>
      <c r="N397" s="584"/>
      <c r="O397" s="170">
        <f t="shared" si="39"/>
        <v>0</v>
      </c>
      <c r="P397" s="162">
        <f t="shared" si="35"/>
        <v>0</v>
      </c>
      <c r="Q397" s="54"/>
      <c r="R397" s="71"/>
      <c r="S397" s="71"/>
      <c r="T397" s="71"/>
      <c r="U397" s="71"/>
      <c r="V397" s="54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</row>
    <row r="398" spans="1:65" ht="35.450000000000003" customHeight="1" collapsed="1">
      <c r="A398" s="359" t="s">
        <v>1171</v>
      </c>
      <c r="B398" s="359"/>
      <c r="C398" s="359" t="s">
        <v>1300</v>
      </c>
      <c r="D398" s="360" t="s">
        <v>1168</v>
      </c>
      <c r="E398" s="487">
        <f>SUM(E399:E435)-E405-E408-E409-E410-E411-E415-E417-E418-E419-E421-E429-E407-E426</f>
        <v>158152000</v>
      </c>
      <c r="F398" s="487">
        <f t="shared" ref="F398:M398" si="40">SUM(F399:F435)-F405-F408-F409-F410-F411-F415-F417-F418-F419-F421-F429-F407-F426</f>
        <v>27305000</v>
      </c>
      <c r="G398" s="487">
        <f t="shared" si="40"/>
        <v>2945100</v>
      </c>
      <c r="H398" s="487">
        <f t="shared" si="40"/>
        <v>5190600</v>
      </c>
      <c r="I398" s="487">
        <f t="shared" si="40"/>
        <v>3353400</v>
      </c>
      <c r="J398" s="487">
        <f t="shared" si="40"/>
        <v>236100</v>
      </c>
      <c r="K398" s="487">
        <f t="shared" si="40"/>
        <v>23000</v>
      </c>
      <c r="L398" s="487">
        <f t="shared" si="40"/>
        <v>1837200</v>
      </c>
      <c r="M398" s="487">
        <f t="shared" si="40"/>
        <v>1005000</v>
      </c>
      <c r="N398" s="487">
        <f>SUM(N399:N435)-N405-N408-N409-N410-N411-N415-N417-N418-N419-N421-N429-N407-N426</f>
        <v>1005000</v>
      </c>
      <c r="O398" s="487">
        <f t="shared" si="39"/>
        <v>163342600</v>
      </c>
      <c r="P398" s="162">
        <f t="shared" si="35"/>
        <v>163342600</v>
      </c>
      <c r="R398" s="71">
        <f>SUM(E399:E431)</f>
        <v>158152000</v>
      </c>
      <c r="S398" s="71"/>
      <c r="T398" s="71"/>
      <c r="U398" s="71"/>
    </row>
    <row r="399" spans="1:65" ht="15.6" hidden="1" customHeight="1">
      <c r="A399" s="1415"/>
      <c r="B399" s="1415"/>
      <c r="C399" s="570"/>
      <c r="D399" s="171"/>
      <c r="E399" s="173"/>
      <c r="F399" s="173"/>
      <c r="G399" s="173"/>
      <c r="H399" s="173">
        <f t="shared" ref="H399:H443" si="41">+I399+L399</f>
        <v>0</v>
      </c>
      <c r="I399" s="173"/>
      <c r="J399" s="173"/>
      <c r="K399" s="173"/>
      <c r="L399" s="194"/>
      <c r="M399" s="173"/>
      <c r="N399" s="194"/>
      <c r="O399" s="173">
        <f t="shared" si="39"/>
        <v>0</v>
      </c>
      <c r="P399" s="100">
        <f t="shared" si="35"/>
        <v>0</v>
      </c>
      <c r="Q399" s="2"/>
      <c r="R399" s="7"/>
      <c r="S399" s="7"/>
      <c r="T399" s="7"/>
      <c r="U399" s="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</row>
    <row r="400" spans="1:65" ht="36.6" customHeight="1">
      <c r="A400" s="1420" t="s">
        <v>1401</v>
      </c>
      <c r="B400" s="1421"/>
      <c r="C400" s="569" t="s">
        <v>1603</v>
      </c>
      <c r="D400" s="364" t="s">
        <v>480</v>
      </c>
      <c r="E400" s="488">
        <v>717900</v>
      </c>
      <c r="F400" s="488">
        <v>454700</v>
      </c>
      <c r="G400" s="488">
        <v>77600</v>
      </c>
      <c r="H400" s="488">
        <f>+I400+L400</f>
        <v>40500</v>
      </c>
      <c r="I400" s="488">
        <v>18100</v>
      </c>
      <c r="J400" s="488"/>
      <c r="K400" s="488"/>
      <c r="L400" s="488">
        <v>22400</v>
      </c>
      <c r="M400" s="488">
        <v>15000</v>
      </c>
      <c r="N400" s="488">
        <v>15000</v>
      </c>
      <c r="O400" s="488">
        <f>+E400+H400</f>
        <v>758400</v>
      </c>
      <c r="P400" s="162">
        <f t="shared" si="35"/>
        <v>758400</v>
      </c>
      <c r="Q400" s="2"/>
      <c r="R400" s="132"/>
      <c r="S400" s="132"/>
      <c r="T400" s="132"/>
      <c r="U400" s="13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</row>
    <row r="401" spans="1:21" ht="33.75" customHeight="1">
      <c r="A401" s="1420" t="s">
        <v>1357</v>
      </c>
      <c r="B401" s="1421"/>
      <c r="C401" s="569" t="s">
        <v>539</v>
      </c>
      <c r="D401" s="364" t="s">
        <v>1137</v>
      </c>
      <c r="E401" s="488">
        <v>62005800</v>
      </c>
      <c r="F401" s="488"/>
      <c r="G401" s="488"/>
      <c r="H401" s="488">
        <f t="shared" si="41"/>
        <v>1528100</v>
      </c>
      <c r="I401" s="488">
        <v>1389400</v>
      </c>
      <c r="J401" s="488"/>
      <c r="K401" s="488"/>
      <c r="L401" s="488">
        <v>138700</v>
      </c>
      <c r="M401" s="488"/>
      <c r="N401" s="488"/>
      <c r="O401" s="488">
        <f t="shared" si="39"/>
        <v>63533900</v>
      </c>
      <c r="P401" s="162">
        <f t="shared" si="35"/>
        <v>63533900</v>
      </c>
      <c r="R401" s="71"/>
      <c r="S401" s="71"/>
      <c r="T401" s="71"/>
      <c r="U401" s="71"/>
    </row>
    <row r="402" spans="1:21" ht="119.25" hidden="1" customHeight="1">
      <c r="A402" s="1415"/>
      <c r="B402" s="1415"/>
      <c r="C402" s="569" t="s">
        <v>1028</v>
      </c>
      <c r="D402" s="364" t="s">
        <v>1027</v>
      </c>
      <c r="E402" s="363"/>
      <c r="F402" s="363"/>
      <c r="G402" s="363"/>
      <c r="H402" s="363">
        <f t="shared" si="41"/>
        <v>0</v>
      </c>
      <c r="I402" s="363"/>
      <c r="J402" s="363"/>
      <c r="K402" s="363"/>
      <c r="L402" s="365"/>
      <c r="M402" s="363"/>
      <c r="N402" s="365"/>
      <c r="O402" s="363">
        <f t="shared" si="39"/>
        <v>0</v>
      </c>
      <c r="P402" s="100">
        <f t="shared" si="35"/>
        <v>0</v>
      </c>
      <c r="R402" s="71"/>
      <c r="S402" s="71"/>
      <c r="T402" s="71"/>
      <c r="U402" s="71"/>
    </row>
    <row r="403" spans="1:21" ht="21" hidden="1" customHeight="1">
      <c r="A403" s="1415"/>
      <c r="B403" s="1415"/>
      <c r="C403" s="567" t="s">
        <v>538</v>
      </c>
      <c r="D403" s="593" t="s">
        <v>1049</v>
      </c>
      <c r="E403" s="169"/>
      <c r="F403" s="169"/>
      <c r="G403" s="169"/>
      <c r="H403" s="169">
        <f t="shared" si="41"/>
        <v>0</v>
      </c>
      <c r="I403" s="169"/>
      <c r="J403" s="169"/>
      <c r="K403" s="169"/>
      <c r="L403" s="195"/>
      <c r="M403" s="169"/>
      <c r="N403" s="195"/>
      <c r="O403" s="169">
        <f t="shared" si="39"/>
        <v>0</v>
      </c>
      <c r="P403" s="100">
        <f t="shared" si="35"/>
        <v>0</v>
      </c>
      <c r="R403" s="71"/>
      <c r="S403" s="71"/>
      <c r="T403" s="71"/>
      <c r="U403" s="71"/>
    </row>
    <row r="404" spans="1:21" ht="28.9" customHeight="1">
      <c r="A404" s="1420" t="s">
        <v>1358</v>
      </c>
      <c r="B404" s="1421"/>
      <c r="C404" s="569">
        <v>110102</v>
      </c>
      <c r="D404" s="364" t="s">
        <v>328</v>
      </c>
      <c r="E404" s="456">
        <v>12232400</v>
      </c>
      <c r="F404" s="456"/>
      <c r="G404" s="456"/>
      <c r="H404" s="490">
        <f t="shared" si="41"/>
        <v>0</v>
      </c>
      <c r="I404" s="488"/>
      <c r="J404" s="488"/>
      <c r="K404" s="488"/>
      <c r="L404" s="488"/>
      <c r="M404" s="488"/>
      <c r="N404" s="488"/>
      <c r="O404" s="488">
        <f t="shared" si="39"/>
        <v>12232400</v>
      </c>
      <c r="P404" s="162">
        <f t="shared" si="35"/>
        <v>12232400</v>
      </c>
      <c r="R404" s="71"/>
      <c r="S404" s="71"/>
      <c r="T404" s="71"/>
      <c r="U404" s="71"/>
    </row>
    <row r="405" spans="1:21" ht="34.15" hidden="1" customHeight="1">
      <c r="A405" s="1415"/>
      <c r="B405" s="1415"/>
      <c r="C405" s="567"/>
      <c r="D405" s="614" t="s">
        <v>969</v>
      </c>
      <c r="E405" s="456"/>
      <c r="F405" s="456"/>
      <c r="G405" s="456"/>
      <c r="H405" s="169"/>
      <c r="I405" s="169"/>
      <c r="J405" s="169"/>
      <c r="K405" s="169"/>
      <c r="L405" s="195"/>
      <c r="M405" s="169"/>
      <c r="N405" s="195"/>
      <c r="O405" s="169">
        <f t="shared" si="39"/>
        <v>0</v>
      </c>
      <c r="P405" s="100">
        <f t="shared" si="35"/>
        <v>0</v>
      </c>
      <c r="R405" s="71"/>
      <c r="S405" s="71"/>
      <c r="T405" s="71"/>
      <c r="U405" s="71"/>
    </row>
    <row r="406" spans="1:21" ht="45" customHeight="1">
      <c r="A406" s="1420" t="s">
        <v>1359</v>
      </c>
      <c r="B406" s="1421"/>
      <c r="C406" s="569">
        <v>110103</v>
      </c>
      <c r="D406" s="364" t="s">
        <v>810</v>
      </c>
      <c r="E406" s="456">
        <v>32846400</v>
      </c>
      <c r="F406" s="456">
        <f>+'видатки_затв '!D213</f>
        <v>0</v>
      </c>
      <c r="G406" s="456">
        <f>+'видатки_затв '!E213</f>
        <v>0</v>
      </c>
      <c r="H406" s="490">
        <f t="shared" si="41"/>
        <v>0</v>
      </c>
      <c r="I406" s="488"/>
      <c r="J406" s="488"/>
      <c r="K406" s="488"/>
      <c r="L406" s="488"/>
      <c r="M406" s="488">
        <f>+L406</f>
        <v>0</v>
      </c>
      <c r="N406" s="488">
        <f>+M406</f>
        <v>0</v>
      </c>
      <c r="O406" s="488">
        <f t="shared" si="39"/>
        <v>32846400</v>
      </c>
      <c r="P406" s="162">
        <f t="shared" si="35"/>
        <v>32846400</v>
      </c>
      <c r="R406" s="71"/>
      <c r="S406" s="71"/>
      <c r="T406" s="71"/>
      <c r="U406" s="71"/>
    </row>
    <row r="407" spans="1:21" ht="45" hidden="1" customHeight="1">
      <c r="A407" s="1415"/>
      <c r="B407" s="1415"/>
      <c r="C407" s="567"/>
      <c r="D407" s="364" t="s">
        <v>144</v>
      </c>
      <c r="E407" s="456"/>
      <c r="F407" s="456"/>
      <c r="G407" s="456"/>
      <c r="H407" s="197"/>
      <c r="I407" s="363"/>
      <c r="J407" s="363"/>
      <c r="K407" s="363"/>
      <c r="L407" s="363"/>
      <c r="M407" s="363"/>
      <c r="N407" s="363"/>
      <c r="O407" s="197">
        <f t="shared" si="39"/>
        <v>0</v>
      </c>
      <c r="P407" s="100"/>
      <c r="R407" s="71"/>
      <c r="S407" s="71"/>
      <c r="T407" s="71"/>
      <c r="U407" s="71"/>
    </row>
    <row r="408" spans="1:21" ht="50.45" hidden="1" customHeight="1">
      <c r="A408" s="1415"/>
      <c r="B408" s="1415"/>
      <c r="C408" s="567"/>
      <c r="D408" s="614" t="s">
        <v>179</v>
      </c>
      <c r="E408" s="456"/>
      <c r="F408" s="456"/>
      <c r="G408" s="456"/>
      <c r="H408" s="169"/>
      <c r="I408" s="169"/>
      <c r="J408" s="169"/>
      <c r="K408" s="169"/>
      <c r="L408" s="195"/>
      <c r="M408" s="169"/>
      <c r="N408" s="195"/>
      <c r="O408" s="169">
        <f t="shared" si="39"/>
        <v>0</v>
      </c>
      <c r="P408" s="100">
        <f t="shared" si="35"/>
        <v>0</v>
      </c>
      <c r="R408" s="71"/>
      <c r="S408" s="71"/>
      <c r="T408" s="71"/>
      <c r="U408" s="71"/>
    </row>
    <row r="409" spans="1:21" ht="31.15" hidden="1" customHeight="1">
      <c r="A409" s="1415"/>
      <c r="B409" s="1415"/>
      <c r="C409" s="567"/>
      <c r="D409" s="170" t="s">
        <v>878</v>
      </c>
      <c r="E409" s="488"/>
      <c r="F409" s="488"/>
      <c r="G409" s="488"/>
      <c r="H409" s="169">
        <f t="shared" si="41"/>
        <v>0</v>
      </c>
      <c r="I409" s="169"/>
      <c r="J409" s="169"/>
      <c r="K409" s="169"/>
      <c r="L409" s="195"/>
      <c r="M409" s="169"/>
      <c r="N409" s="195"/>
      <c r="O409" s="169">
        <f t="shared" si="39"/>
        <v>0</v>
      </c>
      <c r="P409" s="100">
        <f t="shared" si="35"/>
        <v>0</v>
      </c>
      <c r="R409" s="71"/>
      <c r="S409" s="71"/>
      <c r="T409" s="71"/>
      <c r="U409" s="71"/>
    </row>
    <row r="410" spans="1:21" ht="31.15" hidden="1" customHeight="1">
      <c r="A410" s="1415"/>
      <c r="B410" s="1415"/>
      <c r="C410" s="567"/>
      <c r="D410" s="170" t="s">
        <v>180</v>
      </c>
      <c r="E410" s="488"/>
      <c r="F410" s="488"/>
      <c r="G410" s="488"/>
      <c r="H410" s="169">
        <f t="shared" si="41"/>
        <v>0</v>
      </c>
      <c r="I410" s="169"/>
      <c r="J410" s="169"/>
      <c r="K410" s="169"/>
      <c r="L410" s="195"/>
      <c r="M410" s="169"/>
      <c r="N410" s="195"/>
      <c r="O410" s="169">
        <f t="shared" si="39"/>
        <v>0</v>
      </c>
      <c r="P410" s="100">
        <f t="shared" si="35"/>
        <v>0</v>
      </c>
      <c r="R410" s="71"/>
      <c r="S410" s="71"/>
      <c r="T410" s="71"/>
      <c r="U410" s="71"/>
    </row>
    <row r="411" spans="1:21" ht="34.15" hidden="1" customHeight="1">
      <c r="A411" s="1415"/>
      <c r="B411" s="1415"/>
      <c r="C411" s="567"/>
      <c r="D411" s="614" t="s">
        <v>720</v>
      </c>
      <c r="E411" s="488"/>
      <c r="F411" s="488"/>
      <c r="G411" s="488"/>
      <c r="H411" s="169"/>
      <c r="I411" s="169"/>
      <c r="J411" s="169"/>
      <c r="K411" s="169"/>
      <c r="L411" s="195"/>
      <c r="M411" s="169"/>
      <c r="N411" s="195"/>
      <c r="O411" s="488">
        <f t="shared" si="39"/>
        <v>0</v>
      </c>
      <c r="P411" s="100">
        <f t="shared" si="35"/>
        <v>0</v>
      </c>
      <c r="R411" s="71"/>
      <c r="S411" s="71"/>
      <c r="T411" s="71"/>
      <c r="U411" s="71"/>
    </row>
    <row r="412" spans="1:21" ht="50.45" customHeight="1">
      <c r="A412" s="1447" t="s">
        <v>152</v>
      </c>
      <c r="B412" s="1447"/>
      <c r="C412" s="569" t="s">
        <v>887</v>
      </c>
      <c r="D412" s="197" t="s">
        <v>1629</v>
      </c>
      <c r="E412" s="490">
        <v>500000</v>
      </c>
      <c r="F412" s="169"/>
      <c r="G412" s="169"/>
      <c r="H412" s="490">
        <f t="shared" si="41"/>
        <v>0</v>
      </c>
      <c r="I412" s="169"/>
      <c r="J412" s="169"/>
      <c r="K412" s="169"/>
      <c r="L412" s="195"/>
      <c r="M412" s="169"/>
      <c r="N412" s="195"/>
      <c r="O412" s="488">
        <f t="shared" si="39"/>
        <v>500000</v>
      </c>
      <c r="P412" s="162">
        <f t="shared" si="35"/>
        <v>500000</v>
      </c>
      <c r="R412" s="71"/>
      <c r="S412" s="71"/>
      <c r="T412" s="71"/>
      <c r="U412" s="71"/>
    </row>
    <row r="413" spans="1:21" ht="30" hidden="1">
      <c r="A413" s="1415"/>
      <c r="B413" s="1415"/>
      <c r="C413" s="569" t="s">
        <v>339</v>
      </c>
      <c r="D413" s="364" t="s">
        <v>338</v>
      </c>
      <c r="E413" s="488"/>
      <c r="F413" s="488"/>
      <c r="G413" s="488"/>
      <c r="H413" s="490">
        <f t="shared" si="41"/>
        <v>0</v>
      </c>
      <c r="I413" s="488"/>
      <c r="J413" s="488"/>
      <c r="K413" s="488"/>
      <c r="L413" s="488"/>
      <c r="M413" s="488"/>
      <c r="N413" s="488"/>
      <c r="O413" s="488">
        <f t="shared" si="39"/>
        <v>0</v>
      </c>
      <c r="P413" s="162">
        <f t="shared" si="35"/>
        <v>0</v>
      </c>
      <c r="R413" s="71"/>
      <c r="S413" s="71"/>
      <c r="T413" s="71"/>
      <c r="U413" s="71"/>
    </row>
    <row r="414" spans="1:21" ht="26.45" customHeight="1">
      <c r="A414" s="1447" t="s">
        <v>1360</v>
      </c>
      <c r="B414" s="1447"/>
      <c r="C414" s="569">
        <v>110201</v>
      </c>
      <c r="D414" s="364" t="s">
        <v>389</v>
      </c>
      <c r="E414" s="488">
        <v>11714100</v>
      </c>
      <c r="F414" s="488">
        <v>7758700</v>
      </c>
      <c r="G414" s="488">
        <v>393800</v>
      </c>
      <c r="H414" s="490">
        <f t="shared" si="41"/>
        <v>918000</v>
      </c>
      <c r="I414" s="488">
        <v>18000</v>
      </c>
      <c r="J414" s="488"/>
      <c r="K414" s="488">
        <v>3000</v>
      </c>
      <c r="L414" s="488">
        <v>900000</v>
      </c>
      <c r="M414" s="488">
        <v>900000</v>
      </c>
      <c r="N414" s="488">
        <v>900000</v>
      </c>
      <c r="O414" s="488">
        <f t="shared" si="39"/>
        <v>12632100</v>
      </c>
      <c r="P414" s="162">
        <f t="shared" si="35"/>
        <v>12632100</v>
      </c>
      <c r="R414" s="71"/>
      <c r="S414" s="71"/>
      <c r="T414" s="71"/>
      <c r="U414" s="71"/>
    </row>
    <row r="415" spans="1:21" ht="41.45" hidden="1" customHeight="1">
      <c r="A415" s="1415"/>
      <c r="B415" s="1415"/>
      <c r="C415" s="591"/>
      <c r="D415" s="177" t="s">
        <v>54</v>
      </c>
      <c r="E415" s="173"/>
      <c r="F415" s="173"/>
      <c r="G415" s="173"/>
      <c r="H415" s="173">
        <f t="shared" si="41"/>
        <v>0</v>
      </c>
      <c r="I415" s="173"/>
      <c r="J415" s="173"/>
      <c r="K415" s="173"/>
      <c r="L415" s="194"/>
      <c r="M415" s="173"/>
      <c r="N415" s="194"/>
      <c r="O415" s="173">
        <f t="shared" si="39"/>
        <v>0</v>
      </c>
      <c r="P415" s="100">
        <f t="shared" si="35"/>
        <v>0</v>
      </c>
      <c r="R415" s="71"/>
      <c r="S415" s="71"/>
      <c r="T415" s="71"/>
      <c r="U415" s="71"/>
    </row>
    <row r="416" spans="1:21" ht="27" customHeight="1">
      <c r="A416" s="1447" t="s">
        <v>1361</v>
      </c>
      <c r="B416" s="1447"/>
      <c r="C416" s="569">
        <v>110202</v>
      </c>
      <c r="D416" s="364" t="s">
        <v>329</v>
      </c>
      <c r="E416" s="488">
        <v>31796100</v>
      </c>
      <c r="F416" s="488">
        <v>15892400</v>
      </c>
      <c r="G416" s="488">
        <v>2266600</v>
      </c>
      <c r="H416" s="490">
        <f t="shared" si="41"/>
        <v>2134000</v>
      </c>
      <c r="I416" s="488">
        <v>1467000</v>
      </c>
      <c r="J416" s="488"/>
      <c r="K416" s="488">
        <v>20000</v>
      </c>
      <c r="L416" s="488">
        <v>667000</v>
      </c>
      <c r="M416" s="488"/>
      <c r="N416" s="488"/>
      <c r="O416" s="488">
        <f t="shared" si="39"/>
        <v>33930100</v>
      </c>
      <c r="P416" s="162">
        <f t="shared" si="35"/>
        <v>33930100</v>
      </c>
      <c r="R416" s="71"/>
      <c r="S416" s="71"/>
      <c r="T416" s="71"/>
      <c r="U416" s="71"/>
    </row>
    <row r="417" spans="1:65" ht="18" hidden="1" customHeight="1">
      <c r="A417" s="1415"/>
      <c r="B417" s="1415"/>
      <c r="C417" s="567"/>
      <c r="D417" s="170" t="s">
        <v>1237</v>
      </c>
      <c r="E417" s="169"/>
      <c r="F417" s="169"/>
      <c r="G417" s="169"/>
      <c r="H417" s="169">
        <f t="shared" si="41"/>
        <v>0</v>
      </c>
      <c r="I417" s="169"/>
      <c r="J417" s="169"/>
      <c r="K417" s="169"/>
      <c r="L417" s="195"/>
      <c r="M417" s="169"/>
      <c r="N417" s="195"/>
      <c r="O417" s="169">
        <f t="shared" si="39"/>
        <v>0</v>
      </c>
      <c r="P417" s="100">
        <f t="shared" si="35"/>
        <v>0</v>
      </c>
      <c r="R417" s="71"/>
      <c r="S417" s="71"/>
      <c r="T417" s="71"/>
      <c r="U417" s="71"/>
    </row>
    <row r="418" spans="1:65" ht="35.450000000000003" hidden="1" customHeight="1">
      <c r="A418" s="1415"/>
      <c r="B418" s="1415"/>
      <c r="C418" s="567"/>
      <c r="D418" s="170" t="s">
        <v>628</v>
      </c>
      <c r="E418" s="169"/>
      <c r="F418" s="169"/>
      <c r="G418" s="169"/>
      <c r="H418" s="169">
        <f t="shared" si="41"/>
        <v>0</v>
      </c>
      <c r="I418" s="169"/>
      <c r="J418" s="169"/>
      <c r="K418" s="169"/>
      <c r="L418" s="195"/>
      <c r="M418" s="169"/>
      <c r="N418" s="195"/>
      <c r="O418" s="169">
        <f t="shared" si="39"/>
        <v>0</v>
      </c>
      <c r="P418" s="100">
        <f t="shared" si="35"/>
        <v>0</v>
      </c>
      <c r="R418" s="71"/>
      <c r="S418" s="71"/>
      <c r="T418" s="71"/>
      <c r="U418" s="71"/>
    </row>
    <row r="419" spans="1:65" ht="46.9" hidden="1" customHeight="1">
      <c r="A419" s="1415"/>
      <c r="B419" s="1415"/>
      <c r="C419" s="567"/>
      <c r="D419" s="170" t="s">
        <v>1059</v>
      </c>
      <c r="E419" s="169"/>
      <c r="F419" s="169"/>
      <c r="G419" s="169"/>
      <c r="H419" s="169"/>
      <c r="I419" s="169"/>
      <c r="J419" s="169"/>
      <c r="K419" s="169"/>
      <c r="L419" s="195"/>
      <c r="M419" s="169"/>
      <c r="N419" s="195"/>
      <c r="O419" s="169">
        <f t="shared" si="39"/>
        <v>0</v>
      </c>
      <c r="P419" s="100">
        <f t="shared" si="35"/>
        <v>0</v>
      </c>
      <c r="R419" s="71"/>
      <c r="S419" s="71"/>
      <c r="T419" s="71"/>
      <c r="U419" s="71"/>
    </row>
    <row r="420" spans="1:65" ht="31.15" customHeight="1">
      <c r="A420" s="1447" t="s">
        <v>1362</v>
      </c>
      <c r="B420" s="1447"/>
      <c r="C420" s="569">
        <v>110203</v>
      </c>
      <c r="D420" s="364" t="s">
        <v>330</v>
      </c>
      <c r="E420" s="488">
        <v>3324700</v>
      </c>
      <c r="F420" s="488">
        <v>1518500</v>
      </c>
      <c r="G420" s="488">
        <v>129200</v>
      </c>
      <c r="H420" s="523">
        <f t="shared" si="41"/>
        <v>380000</v>
      </c>
      <c r="I420" s="488">
        <v>372000</v>
      </c>
      <c r="J420" s="488">
        <v>200000</v>
      </c>
      <c r="K420" s="488"/>
      <c r="L420" s="488">
        <v>8000</v>
      </c>
      <c r="M420" s="488"/>
      <c r="N420" s="488"/>
      <c r="O420" s="488">
        <f t="shared" si="39"/>
        <v>3704700</v>
      </c>
      <c r="P420" s="162">
        <f t="shared" si="35"/>
        <v>3704700</v>
      </c>
      <c r="R420" s="71"/>
      <c r="S420" s="71"/>
      <c r="T420" s="71"/>
      <c r="U420" s="71"/>
    </row>
    <row r="421" spans="1:65" ht="35.450000000000003" hidden="1" customHeight="1">
      <c r="A421" s="1415"/>
      <c r="B421" s="1415"/>
      <c r="C421" s="567"/>
      <c r="D421" s="170" t="s">
        <v>628</v>
      </c>
      <c r="E421" s="169"/>
      <c r="F421" s="169"/>
      <c r="G421" s="169"/>
      <c r="H421" s="169">
        <f t="shared" si="41"/>
        <v>0</v>
      </c>
      <c r="I421" s="169"/>
      <c r="J421" s="169"/>
      <c r="K421" s="169"/>
      <c r="L421" s="195"/>
      <c r="M421" s="169"/>
      <c r="N421" s="195"/>
      <c r="O421" s="169">
        <f t="shared" si="39"/>
        <v>0</v>
      </c>
      <c r="P421" s="100">
        <f t="shared" si="35"/>
        <v>0</v>
      </c>
      <c r="R421" s="71"/>
      <c r="S421" s="71"/>
      <c r="T421" s="71"/>
      <c r="U421" s="71"/>
    </row>
    <row r="422" spans="1:65" ht="46.9" hidden="1" customHeight="1">
      <c r="A422" s="1415"/>
      <c r="B422" s="1415"/>
      <c r="C422" s="570">
        <v>110204</v>
      </c>
      <c r="D422" s="171" t="s">
        <v>638</v>
      </c>
      <c r="E422" s="173">
        <f>81.8-81.8</f>
        <v>0</v>
      </c>
      <c r="F422" s="173">
        <f>81.8-81.8</f>
        <v>0</v>
      </c>
      <c r="G422" s="173">
        <f>5+0.5-5.5</f>
        <v>0</v>
      </c>
      <c r="H422" s="173">
        <f t="shared" si="41"/>
        <v>0</v>
      </c>
      <c r="I422" s="173">
        <f>10.2-10.2</f>
        <v>0</v>
      </c>
      <c r="J422" s="173"/>
      <c r="K422" s="173"/>
      <c r="L422" s="194"/>
      <c r="M422" s="173"/>
      <c r="N422" s="194"/>
      <c r="O422" s="173">
        <f t="shared" si="39"/>
        <v>0</v>
      </c>
      <c r="P422" s="100">
        <f t="shared" si="35"/>
        <v>0</v>
      </c>
      <c r="Q422" s="2"/>
      <c r="R422" s="7"/>
      <c r="S422" s="7"/>
      <c r="T422" s="7"/>
      <c r="U422" s="7"/>
      <c r="V422" s="2"/>
      <c r="W422" s="2"/>
      <c r="X422" s="2"/>
      <c r="Y422" s="2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</row>
    <row r="423" spans="1:65" ht="120.75" hidden="1" customHeight="1">
      <c r="A423" s="1415"/>
      <c r="B423" s="1415"/>
      <c r="C423" s="569" t="s">
        <v>1030</v>
      </c>
      <c r="D423" s="364" t="s">
        <v>1027</v>
      </c>
      <c r="E423" s="363"/>
      <c r="F423" s="363"/>
      <c r="G423" s="363"/>
      <c r="H423" s="363">
        <f t="shared" si="41"/>
        <v>0</v>
      </c>
      <c r="I423" s="363"/>
      <c r="J423" s="363"/>
      <c r="K423" s="363"/>
      <c r="L423" s="365"/>
      <c r="M423" s="363"/>
      <c r="N423" s="365"/>
      <c r="O423" s="363">
        <f t="shared" si="39"/>
        <v>0</v>
      </c>
      <c r="P423" s="100">
        <f t="shared" si="35"/>
        <v>0</v>
      </c>
      <c r="Q423" s="2"/>
      <c r="R423" s="7"/>
      <c r="S423" s="7"/>
      <c r="T423" s="7"/>
      <c r="U423" s="7"/>
      <c r="V423" s="2"/>
      <c r="W423" s="2"/>
      <c r="X423" s="2"/>
      <c r="Y423" s="2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</row>
    <row r="424" spans="1:65" ht="27" customHeight="1">
      <c r="A424" s="1447" t="s">
        <v>1363</v>
      </c>
      <c r="B424" s="1447"/>
      <c r="C424" s="569">
        <v>110300</v>
      </c>
      <c r="D424" s="364" t="s">
        <v>331</v>
      </c>
      <c r="E424" s="488">
        <f>463600-231800</f>
        <v>231800</v>
      </c>
      <c r="F424" s="488"/>
      <c r="G424" s="488"/>
      <c r="H424" s="522">
        <f t="shared" si="41"/>
        <v>0</v>
      </c>
      <c r="I424" s="488"/>
      <c r="J424" s="488"/>
      <c r="K424" s="488"/>
      <c r="L424" s="488"/>
      <c r="M424" s="488"/>
      <c r="N424" s="488"/>
      <c r="O424" s="488">
        <f t="shared" si="39"/>
        <v>231800</v>
      </c>
      <c r="P424" s="162">
        <f t="shared" si="35"/>
        <v>231800</v>
      </c>
      <c r="Q424" s="2"/>
      <c r="R424" s="124"/>
      <c r="S424" s="124"/>
      <c r="T424" s="124"/>
      <c r="U424" s="124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</row>
    <row r="425" spans="1:65" ht="34.9" customHeight="1">
      <c r="A425" s="1420" t="s">
        <v>1402</v>
      </c>
      <c r="B425" s="1421"/>
      <c r="C425" s="569">
        <v>110502</v>
      </c>
      <c r="D425" s="364" t="s">
        <v>1201</v>
      </c>
      <c r="E425" s="488">
        <v>2782800</v>
      </c>
      <c r="F425" s="488">
        <v>1680700</v>
      </c>
      <c r="G425" s="488">
        <v>77900</v>
      </c>
      <c r="H425" s="488">
        <f t="shared" ref="H425:H435" si="42">+I425+L425</f>
        <v>190000</v>
      </c>
      <c r="I425" s="488">
        <v>88900</v>
      </c>
      <c r="J425" s="488">
        <v>36100</v>
      </c>
      <c r="K425" s="488"/>
      <c r="L425" s="488">
        <v>101100</v>
      </c>
      <c r="M425" s="488">
        <v>90000</v>
      </c>
      <c r="N425" s="488">
        <v>90000</v>
      </c>
      <c r="O425" s="488">
        <f t="shared" si="39"/>
        <v>2972800</v>
      </c>
      <c r="P425" s="162">
        <f t="shared" si="35"/>
        <v>2972800</v>
      </c>
      <c r="R425" s="71"/>
      <c r="S425" s="71"/>
      <c r="T425" s="71"/>
      <c r="U425" s="71"/>
    </row>
    <row r="426" spans="1:65" ht="34.9" hidden="1" customHeight="1">
      <c r="A426" s="1415"/>
      <c r="B426" s="1415"/>
      <c r="C426" s="569"/>
      <c r="D426" s="364" t="s">
        <v>344</v>
      </c>
      <c r="E426" s="363"/>
      <c r="F426" s="363"/>
      <c r="G426" s="363"/>
      <c r="H426" s="363">
        <f t="shared" si="42"/>
        <v>0</v>
      </c>
      <c r="I426" s="363"/>
      <c r="J426" s="363"/>
      <c r="K426" s="363"/>
      <c r="L426" s="363"/>
      <c r="M426" s="363"/>
      <c r="N426" s="363"/>
      <c r="O426" s="363">
        <f t="shared" si="39"/>
        <v>0</v>
      </c>
      <c r="P426" s="100"/>
      <c r="R426" s="71"/>
      <c r="S426" s="71"/>
      <c r="T426" s="71"/>
      <c r="U426" s="71"/>
    </row>
    <row r="427" spans="1:65" ht="39" hidden="1" customHeight="1">
      <c r="A427" s="1415"/>
      <c r="B427" s="1415"/>
      <c r="C427" s="571"/>
      <c r="D427" s="217"/>
      <c r="E427" s="368"/>
      <c r="F427" s="368"/>
      <c r="G427" s="368"/>
      <c r="H427" s="368">
        <f t="shared" si="42"/>
        <v>0</v>
      </c>
      <c r="I427" s="368"/>
      <c r="J427" s="368"/>
      <c r="K427" s="368"/>
      <c r="L427" s="371"/>
      <c r="M427" s="368"/>
      <c r="N427" s="371"/>
      <c r="O427" s="364">
        <f t="shared" si="39"/>
        <v>0</v>
      </c>
      <c r="P427" s="162">
        <f t="shared" si="35"/>
        <v>0</v>
      </c>
      <c r="R427" s="71"/>
      <c r="S427" s="71"/>
      <c r="T427" s="71"/>
      <c r="U427" s="71"/>
    </row>
    <row r="428" spans="1:65" ht="22.9" hidden="1" customHeight="1">
      <c r="A428" s="1415"/>
      <c r="B428" s="1415"/>
      <c r="C428" s="571"/>
      <c r="D428" s="217" t="s">
        <v>747</v>
      </c>
      <c r="E428" s="493"/>
      <c r="F428" s="493"/>
      <c r="G428" s="493"/>
      <c r="H428" s="493">
        <f t="shared" si="42"/>
        <v>0</v>
      </c>
      <c r="I428" s="493"/>
      <c r="J428" s="493"/>
      <c r="K428" s="493"/>
      <c r="L428" s="493"/>
      <c r="M428" s="493"/>
      <c r="N428" s="493"/>
      <c r="O428" s="456">
        <f t="shared" si="39"/>
        <v>0</v>
      </c>
      <c r="P428" s="100"/>
      <c r="R428" s="71"/>
      <c r="S428" s="71"/>
      <c r="T428" s="71"/>
      <c r="U428" s="71"/>
    </row>
    <row r="429" spans="1:65" ht="61.15" hidden="1" customHeight="1">
      <c r="A429" s="1415"/>
      <c r="B429" s="1415"/>
      <c r="C429" s="571"/>
      <c r="D429" s="370" t="s">
        <v>1634</v>
      </c>
      <c r="E429" s="493"/>
      <c r="F429" s="493"/>
      <c r="G429" s="493"/>
      <c r="H429" s="493">
        <f t="shared" si="42"/>
        <v>0</v>
      </c>
      <c r="I429" s="493"/>
      <c r="J429" s="493"/>
      <c r="K429" s="493"/>
      <c r="L429" s="493"/>
      <c r="M429" s="493"/>
      <c r="N429" s="493"/>
      <c r="O429" s="456">
        <f t="shared" si="39"/>
        <v>0</v>
      </c>
      <c r="P429" s="100">
        <f t="shared" si="35"/>
        <v>0</v>
      </c>
      <c r="R429" s="71"/>
      <c r="S429" s="71"/>
      <c r="T429" s="71"/>
      <c r="U429" s="71"/>
    </row>
    <row r="430" spans="1:65" ht="24.6" hidden="1" customHeight="1">
      <c r="A430" s="1415"/>
      <c r="B430" s="1415"/>
      <c r="C430" s="550" t="s">
        <v>1508</v>
      </c>
      <c r="D430" s="197" t="s">
        <v>1500</v>
      </c>
      <c r="E430" s="180"/>
      <c r="F430" s="180"/>
      <c r="G430" s="180"/>
      <c r="H430" s="180">
        <f t="shared" si="42"/>
        <v>0</v>
      </c>
      <c r="I430" s="180"/>
      <c r="J430" s="180"/>
      <c r="K430" s="180"/>
      <c r="L430" s="180">
        <f>1975000-1975000</f>
        <v>0</v>
      </c>
      <c r="M430" s="180">
        <f>L430</f>
        <v>0</v>
      </c>
      <c r="N430" s="180">
        <f>1975000-1975000</f>
        <v>0</v>
      </c>
      <c r="O430" s="180">
        <f t="shared" si="39"/>
        <v>0</v>
      </c>
      <c r="P430" s="100">
        <f t="shared" si="35"/>
        <v>0</v>
      </c>
      <c r="R430" s="71"/>
      <c r="S430" s="71"/>
      <c r="T430" s="71"/>
      <c r="U430" s="71"/>
    </row>
    <row r="431" spans="1:65" ht="38.450000000000003" hidden="1" customHeight="1">
      <c r="A431" s="1415"/>
      <c r="B431" s="1415"/>
      <c r="C431" s="550" t="s">
        <v>1243</v>
      </c>
      <c r="D431" s="197" t="s">
        <v>230</v>
      </c>
      <c r="E431" s="523"/>
      <c r="F431" s="523"/>
      <c r="G431" s="523"/>
      <c r="H431" s="490">
        <f t="shared" si="42"/>
        <v>0</v>
      </c>
      <c r="I431" s="490"/>
      <c r="J431" s="490"/>
      <c r="K431" s="490"/>
      <c r="L431" s="490"/>
      <c r="M431" s="490">
        <f>+L431</f>
        <v>0</v>
      </c>
      <c r="N431" s="490"/>
      <c r="O431" s="490">
        <f t="shared" si="39"/>
        <v>0</v>
      </c>
      <c r="P431" s="100">
        <f t="shared" si="35"/>
        <v>0</v>
      </c>
      <c r="Q431" s="2"/>
      <c r="R431" s="7"/>
      <c r="S431" s="7"/>
      <c r="T431" s="7"/>
      <c r="U431" s="7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</row>
    <row r="432" spans="1:65" ht="29.45" hidden="1" customHeight="1">
      <c r="A432" s="1415"/>
      <c r="B432" s="1415"/>
      <c r="C432" s="550" t="s">
        <v>1512</v>
      </c>
      <c r="D432" s="213" t="s">
        <v>1235</v>
      </c>
      <c r="E432" s="180"/>
      <c r="F432" s="180"/>
      <c r="G432" s="180"/>
      <c r="H432" s="180">
        <f t="shared" si="42"/>
        <v>0</v>
      </c>
      <c r="I432" s="180"/>
      <c r="J432" s="180"/>
      <c r="K432" s="180"/>
      <c r="L432" s="193"/>
      <c r="M432" s="180"/>
      <c r="N432" s="193"/>
      <c r="O432" s="180">
        <f t="shared" si="39"/>
        <v>0</v>
      </c>
      <c r="P432" s="100">
        <f t="shared" ref="P432:P514" si="43">+O432</f>
        <v>0</v>
      </c>
      <c r="Q432" s="2"/>
      <c r="R432" s="132"/>
      <c r="S432" s="132"/>
      <c r="T432" s="132"/>
      <c r="U432" s="13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</row>
    <row r="433" spans="1:65" ht="52.15" hidden="1" customHeight="1">
      <c r="A433" s="1415"/>
      <c r="B433" s="1415"/>
      <c r="C433" s="550" t="s">
        <v>893</v>
      </c>
      <c r="D433" s="445" t="s">
        <v>1135</v>
      </c>
      <c r="E433" s="180"/>
      <c r="F433" s="180"/>
      <c r="G433" s="180"/>
      <c r="H433" s="180"/>
      <c r="I433" s="180"/>
      <c r="J433" s="180"/>
      <c r="K433" s="180"/>
      <c r="L433" s="193"/>
      <c r="M433" s="180"/>
      <c r="N433" s="193"/>
      <c r="O433" s="180">
        <f t="shared" si="39"/>
        <v>0</v>
      </c>
      <c r="P433" s="162">
        <f t="shared" si="43"/>
        <v>0</v>
      </c>
      <c r="Q433" s="2"/>
      <c r="R433" s="132"/>
      <c r="S433" s="132"/>
      <c r="T433" s="132"/>
      <c r="U433" s="13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</row>
    <row r="434" spans="1:65" ht="28.9" hidden="1" customHeight="1">
      <c r="A434" s="1415"/>
      <c r="B434" s="1415"/>
      <c r="C434" s="550" t="s">
        <v>1287</v>
      </c>
      <c r="D434" s="197" t="s">
        <v>866</v>
      </c>
      <c r="E434" s="489"/>
      <c r="F434" s="489"/>
      <c r="G434" s="489"/>
      <c r="H434" s="489"/>
      <c r="I434" s="489"/>
      <c r="J434" s="489"/>
      <c r="K434" s="489"/>
      <c r="L434" s="489"/>
      <c r="M434" s="489"/>
      <c r="N434" s="489"/>
      <c r="O434" s="489">
        <f t="shared" si="39"/>
        <v>0</v>
      </c>
      <c r="P434" s="162">
        <f t="shared" si="43"/>
        <v>0</v>
      </c>
      <c r="Q434" s="2"/>
      <c r="R434" s="132"/>
      <c r="S434" s="132"/>
      <c r="T434" s="132"/>
      <c r="U434" s="13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</row>
    <row r="435" spans="1:65" ht="45" hidden="1">
      <c r="A435" s="1415"/>
      <c r="B435" s="1415"/>
      <c r="C435" s="550" t="s">
        <v>1204</v>
      </c>
      <c r="D435" s="213" t="s">
        <v>1138</v>
      </c>
      <c r="E435" s="180"/>
      <c r="F435" s="180"/>
      <c r="G435" s="180"/>
      <c r="H435" s="180">
        <f t="shared" si="42"/>
        <v>0</v>
      </c>
      <c r="I435" s="180"/>
      <c r="J435" s="180"/>
      <c r="K435" s="180"/>
      <c r="L435" s="193"/>
      <c r="M435" s="180"/>
      <c r="N435" s="193"/>
      <c r="O435" s="180">
        <f t="shared" si="39"/>
        <v>0</v>
      </c>
      <c r="P435" s="100">
        <f t="shared" si="43"/>
        <v>0</v>
      </c>
      <c r="Q435" s="2"/>
      <c r="R435" s="132"/>
      <c r="S435" s="132"/>
      <c r="T435" s="132"/>
      <c r="U435" s="13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</row>
    <row r="436" spans="1:65" ht="28.5" hidden="1">
      <c r="A436" s="359" t="s">
        <v>1170</v>
      </c>
      <c r="B436" s="359"/>
      <c r="C436" s="359"/>
      <c r="D436" s="360" t="s">
        <v>646</v>
      </c>
      <c r="E436" s="524">
        <f t="shared" ref="E436:O436" si="44">+E437</f>
        <v>0</v>
      </c>
      <c r="F436" s="524">
        <f t="shared" si="44"/>
        <v>0</v>
      </c>
      <c r="G436" s="524">
        <f t="shared" si="44"/>
        <v>0</v>
      </c>
      <c r="H436" s="524">
        <f t="shared" si="44"/>
        <v>0</v>
      </c>
      <c r="I436" s="524">
        <f t="shared" si="44"/>
        <v>0</v>
      </c>
      <c r="J436" s="524">
        <f t="shared" si="44"/>
        <v>0</v>
      </c>
      <c r="K436" s="524">
        <f t="shared" si="44"/>
        <v>0</v>
      </c>
      <c r="L436" s="524">
        <f t="shared" si="44"/>
        <v>0</v>
      </c>
      <c r="M436" s="524">
        <f t="shared" si="44"/>
        <v>0</v>
      </c>
      <c r="N436" s="524">
        <f t="shared" si="44"/>
        <v>0</v>
      </c>
      <c r="O436" s="524">
        <f t="shared" si="44"/>
        <v>0</v>
      </c>
      <c r="P436" s="162">
        <f t="shared" si="43"/>
        <v>0</v>
      </c>
      <c r="Q436" s="2"/>
      <c r="R436" s="132"/>
      <c r="S436" s="132"/>
      <c r="T436" s="132"/>
      <c r="U436" s="13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</row>
    <row r="437" spans="1:65" ht="45.6" hidden="1" customHeight="1">
      <c r="A437" s="1415"/>
      <c r="B437" s="1415"/>
      <c r="C437" s="550" t="s">
        <v>1512</v>
      </c>
      <c r="D437" s="213" t="s">
        <v>267</v>
      </c>
      <c r="E437" s="489">
        <f>777000-777000</f>
        <v>0</v>
      </c>
      <c r="F437" s="489"/>
      <c r="G437" s="489"/>
      <c r="H437" s="488">
        <f t="shared" si="41"/>
        <v>0</v>
      </c>
      <c r="I437" s="489"/>
      <c r="J437" s="489"/>
      <c r="K437" s="489"/>
      <c r="L437" s="489"/>
      <c r="M437" s="489"/>
      <c r="N437" s="489"/>
      <c r="O437" s="488">
        <f t="shared" ref="O437:O452" si="45">+E437+H437</f>
        <v>0</v>
      </c>
      <c r="P437" s="162">
        <f t="shared" si="43"/>
        <v>0</v>
      </c>
      <c r="Q437" s="2"/>
      <c r="R437" s="132"/>
      <c r="S437" s="132"/>
      <c r="T437" s="132"/>
      <c r="U437" s="13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</row>
    <row r="438" spans="1:65" ht="31.9" customHeight="1">
      <c r="A438" s="359" t="s">
        <v>1172</v>
      </c>
      <c r="B438" s="359"/>
      <c r="C438" s="359" t="s">
        <v>1296</v>
      </c>
      <c r="D438" s="360" t="s">
        <v>74</v>
      </c>
      <c r="E438" s="487">
        <f>+E439+E440+E443+E442+E441</f>
        <v>17137300</v>
      </c>
      <c r="F438" s="487">
        <f t="shared" ref="F438:N438" si="46">+F439+F440+F443+F442+F441</f>
        <v>764800</v>
      </c>
      <c r="G438" s="487">
        <f t="shared" si="46"/>
        <v>175200</v>
      </c>
      <c r="H438" s="487">
        <f t="shared" si="46"/>
        <v>350000</v>
      </c>
      <c r="I438" s="487">
        <f t="shared" si="46"/>
        <v>0</v>
      </c>
      <c r="J438" s="487">
        <f t="shared" si="46"/>
        <v>0</v>
      </c>
      <c r="K438" s="487">
        <f t="shared" si="46"/>
        <v>0</v>
      </c>
      <c r="L438" s="487">
        <f t="shared" si="46"/>
        <v>350000</v>
      </c>
      <c r="M438" s="487">
        <f t="shared" si="46"/>
        <v>350000</v>
      </c>
      <c r="N438" s="487">
        <f t="shared" si="46"/>
        <v>350000</v>
      </c>
      <c r="O438" s="487">
        <f t="shared" si="45"/>
        <v>17487300</v>
      </c>
      <c r="P438" s="162">
        <f t="shared" si="43"/>
        <v>17487300</v>
      </c>
      <c r="R438" s="71"/>
      <c r="S438" s="71"/>
      <c r="T438" s="71"/>
      <c r="U438" s="71"/>
    </row>
    <row r="439" spans="1:65" ht="50.45" customHeight="1">
      <c r="A439" s="1418" t="s">
        <v>437</v>
      </c>
      <c r="B439" s="1419"/>
      <c r="C439" s="569" t="s">
        <v>707</v>
      </c>
      <c r="D439" s="217" t="s">
        <v>1397</v>
      </c>
      <c r="E439" s="488">
        <v>1818700</v>
      </c>
      <c r="F439" s="488">
        <v>764800</v>
      </c>
      <c r="G439" s="488">
        <v>175200</v>
      </c>
      <c r="H439" s="488">
        <f t="shared" si="41"/>
        <v>350000</v>
      </c>
      <c r="I439" s="488"/>
      <c r="J439" s="488"/>
      <c r="K439" s="488"/>
      <c r="L439" s="488">
        <v>350000</v>
      </c>
      <c r="M439" s="488">
        <v>350000</v>
      </c>
      <c r="N439" s="488">
        <v>350000</v>
      </c>
      <c r="O439" s="488">
        <f t="shared" si="45"/>
        <v>2168700</v>
      </c>
      <c r="P439" s="162">
        <f t="shared" si="43"/>
        <v>2168700</v>
      </c>
      <c r="R439" s="71"/>
      <c r="S439" s="71"/>
      <c r="T439" s="71"/>
      <c r="U439" s="71"/>
    </row>
    <row r="440" spans="1:65" ht="34.15" customHeight="1">
      <c r="A440" s="1418" t="s">
        <v>438</v>
      </c>
      <c r="B440" s="1419"/>
      <c r="C440" s="569" t="s">
        <v>498</v>
      </c>
      <c r="D440" s="364" t="s">
        <v>648</v>
      </c>
      <c r="E440" s="488">
        <v>238000</v>
      </c>
      <c r="F440" s="488"/>
      <c r="G440" s="488"/>
      <c r="H440" s="488">
        <f t="shared" si="41"/>
        <v>0</v>
      </c>
      <c r="I440" s="488"/>
      <c r="J440" s="488"/>
      <c r="K440" s="488"/>
      <c r="L440" s="488"/>
      <c r="M440" s="488"/>
      <c r="N440" s="488"/>
      <c r="O440" s="488">
        <f t="shared" si="45"/>
        <v>238000</v>
      </c>
      <c r="P440" s="162">
        <f t="shared" si="43"/>
        <v>238000</v>
      </c>
      <c r="R440" s="71"/>
      <c r="S440" s="71"/>
      <c r="T440" s="71"/>
      <c r="U440" s="71"/>
    </row>
    <row r="441" spans="1:65" ht="25.9" hidden="1" customHeight="1">
      <c r="A441" s="1440" t="s">
        <v>554</v>
      </c>
      <c r="B441" s="1441"/>
      <c r="C441" s="569" t="s">
        <v>1508</v>
      </c>
      <c r="D441" s="197" t="s">
        <v>1393</v>
      </c>
      <c r="E441" s="173"/>
      <c r="F441" s="173"/>
      <c r="G441" s="173"/>
      <c r="H441" s="488">
        <f t="shared" si="41"/>
        <v>0</v>
      </c>
      <c r="I441" s="445"/>
      <c r="J441" s="445"/>
      <c r="K441" s="445"/>
      <c r="L441" s="490">
        <f>5000000-5000000</f>
        <v>0</v>
      </c>
      <c r="M441" s="490">
        <f>+L441</f>
        <v>0</v>
      </c>
      <c r="N441" s="490">
        <f>+M441</f>
        <v>0</v>
      </c>
      <c r="O441" s="490">
        <f t="shared" si="45"/>
        <v>0</v>
      </c>
      <c r="P441" s="100">
        <f t="shared" si="43"/>
        <v>0</v>
      </c>
      <c r="Q441" s="24"/>
      <c r="R441" s="44"/>
      <c r="S441" s="44"/>
      <c r="T441" s="44"/>
      <c r="U441" s="44"/>
      <c r="V441" s="24"/>
    </row>
    <row r="442" spans="1:65" ht="147" customHeight="1">
      <c r="A442" s="1418" t="s">
        <v>442</v>
      </c>
      <c r="B442" s="1419"/>
      <c r="C442" s="569" t="s">
        <v>1158</v>
      </c>
      <c r="D442" s="217" t="s">
        <v>545</v>
      </c>
      <c r="E442" s="456">
        <f>+'видатки_затв '!C436</f>
        <v>15080600</v>
      </c>
      <c r="F442" s="689"/>
      <c r="G442" s="689"/>
      <c r="H442" s="689"/>
      <c r="I442" s="689"/>
      <c r="J442" s="689"/>
      <c r="K442" s="689"/>
      <c r="L442" s="691"/>
      <c r="M442" s="689"/>
      <c r="N442" s="691"/>
      <c r="O442" s="364">
        <f t="shared" si="45"/>
        <v>15080600</v>
      </c>
      <c r="P442" s="100">
        <f t="shared" si="43"/>
        <v>15080600</v>
      </c>
      <c r="Q442" s="24"/>
      <c r="R442" s="44"/>
      <c r="S442" s="44"/>
      <c r="T442" s="44"/>
      <c r="U442" s="44"/>
      <c r="V442" s="24"/>
    </row>
    <row r="443" spans="1:65" ht="67.900000000000006" hidden="1" customHeight="1">
      <c r="A443" s="1415"/>
      <c r="B443" s="1415"/>
      <c r="C443" s="575" t="s">
        <v>1031</v>
      </c>
      <c r="D443" s="171" t="s">
        <v>1027</v>
      </c>
      <c r="E443" s="173"/>
      <c r="F443" s="173"/>
      <c r="G443" s="173"/>
      <c r="H443" s="173">
        <f t="shared" si="41"/>
        <v>0</v>
      </c>
      <c r="I443" s="173"/>
      <c r="J443" s="173"/>
      <c r="K443" s="173"/>
      <c r="L443" s="194"/>
      <c r="M443" s="173"/>
      <c r="N443" s="194"/>
      <c r="O443" s="173">
        <f t="shared" si="45"/>
        <v>0</v>
      </c>
      <c r="P443" s="100">
        <f t="shared" si="43"/>
        <v>0</v>
      </c>
      <c r="Q443" s="24"/>
      <c r="R443" s="44"/>
      <c r="S443" s="44"/>
      <c r="T443" s="44"/>
      <c r="U443" s="44"/>
      <c r="V443" s="24"/>
    </row>
    <row r="444" spans="1:65" ht="22.9" hidden="1" customHeight="1">
      <c r="A444" s="359" t="s">
        <v>1172</v>
      </c>
      <c r="B444" s="359"/>
      <c r="C444" s="359" t="s">
        <v>1174</v>
      </c>
      <c r="D444" s="360" t="s">
        <v>1480</v>
      </c>
      <c r="E444" s="487">
        <f>+E445+E446+E447+E448+E450+E452+E454+E455+E459+E457+E458</f>
        <v>0</v>
      </c>
      <c r="F444" s="487">
        <f t="shared" ref="F444:M444" si="47">+F445+F446+F447+F448+F450+F452+F454+F455+F459+F457+F458</f>
        <v>0</v>
      </c>
      <c r="G444" s="487">
        <f t="shared" si="47"/>
        <v>0</v>
      </c>
      <c r="H444" s="487">
        <f t="shared" si="47"/>
        <v>0</v>
      </c>
      <c r="I444" s="487">
        <f t="shared" si="47"/>
        <v>0</v>
      </c>
      <c r="J444" s="487">
        <f t="shared" si="47"/>
        <v>0</v>
      </c>
      <c r="K444" s="487">
        <f t="shared" si="47"/>
        <v>0</v>
      </c>
      <c r="L444" s="487">
        <f t="shared" si="47"/>
        <v>0</v>
      </c>
      <c r="M444" s="487">
        <f t="shared" si="47"/>
        <v>0</v>
      </c>
      <c r="N444" s="487">
        <f>+N445+N446+N447+N448+N450+N452+N454+N455+N459+N457+N458</f>
        <v>0</v>
      </c>
      <c r="O444" s="487">
        <f t="shared" si="45"/>
        <v>0</v>
      </c>
      <c r="P444" s="162">
        <f t="shared" si="43"/>
        <v>0</v>
      </c>
      <c r="R444" s="71">
        <f>SUM(E445:E483)</f>
        <v>73788600</v>
      </c>
      <c r="S444" s="71"/>
      <c r="T444" s="71"/>
      <c r="U444" s="71"/>
    </row>
    <row r="445" spans="1:65" ht="15.6" hidden="1" customHeight="1">
      <c r="A445" s="1415"/>
      <c r="B445" s="1415"/>
      <c r="C445" s="570"/>
      <c r="D445" s="171"/>
      <c r="E445" s="173"/>
      <c r="F445" s="173"/>
      <c r="G445" s="173"/>
      <c r="H445" s="173">
        <f t="shared" ref="H445:H486" si="48">+I445+L445</f>
        <v>0</v>
      </c>
      <c r="I445" s="173"/>
      <c r="J445" s="173"/>
      <c r="K445" s="173"/>
      <c r="L445" s="194"/>
      <c r="M445" s="173"/>
      <c r="N445" s="194"/>
      <c r="O445" s="173">
        <f t="shared" si="45"/>
        <v>0</v>
      </c>
      <c r="P445" s="100">
        <f t="shared" si="43"/>
        <v>0</v>
      </c>
      <c r="Q445" s="2"/>
      <c r="R445" s="7"/>
      <c r="S445" s="7"/>
      <c r="T445" s="7"/>
      <c r="U445" s="7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</row>
    <row r="446" spans="1:65" ht="45" hidden="1">
      <c r="A446" s="1415"/>
      <c r="B446" s="1415"/>
      <c r="C446" s="564" t="s">
        <v>707</v>
      </c>
      <c r="D446" s="213" t="s">
        <v>1397</v>
      </c>
      <c r="E446" s="488"/>
      <c r="F446" s="488"/>
      <c r="G446" s="488"/>
      <c r="H446" s="173">
        <f t="shared" si="48"/>
        <v>0</v>
      </c>
      <c r="I446" s="173"/>
      <c r="J446" s="173"/>
      <c r="K446" s="173"/>
      <c r="L446" s="194"/>
      <c r="M446" s="173"/>
      <c r="N446" s="194"/>
      <c r="O446" s="488">
        <f t="shared" si="45"/>
        <v>0</v>
      </c>
      <c r="P446" s="100">
        <f t="shared" si="43"/>
        <v>0</v>
      </c>
      <c r="Q446" s="2"/>
      <c r="R446" s="124"/>
      <c r="S446" s="124"/>
      <c r="T446" s="124"/>
      <c r="U446" s="124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</row>
    <row r="447" spans="1:65" ht="39.75" hidden="1" customHeight="1">
      <c r="A447" s="1415"/>
      <c r="B447" s="1415"/>
      <c r="C447" s="569" t="s">
        <v>536</v>
      </c>
      <c r="D447" s="364" t="s">
        <v>308</v>
      </c>
      <c r="E447" s="488"/>
      <c r="F447" s="488"/>
      <c r="G447" s="488"/>
      <c r="H447" s="488">
        <f t="shared" si="48"/>
        <v>0</v>
      </c>
      <c r="I447" s="488"/>
      <c r="J447" s="488"/>
      <c r="K447" s="488"/>
      <c r="L447" s="488"/>
      <c r="M447" s="488"/>
      <c r="N447" s="488"/>
      <c r="O447" s="488">
        <f t="shared" si="45"/>
        <v>0</v>
      </c>
      <c r="P447" s="162">
        <f t="shared" si="43"/>
        <v>0</v>
      </c>
      <c r="R447" s="71"/>
      <c r="S447" s="71"/>
      <c r="T447" s="71"/>
      <c r="U447" s="71"/>
    </row>
    <row r="448" spans="1:65" ht="33" hidden="1" customHeight="1">
      <c r="A448" s="1415"/>
      <c r="B448" s="1415"/>
      <c r="C448" s="569" t="s">
        <v>537</v>
      </c>
      <c r="D448" s="364" t="s">
        <v>309</v>
      </c>
      <c r="E448" s="488"/>
      <c r="F448" s="488"/>
      <c r="G448" s="488"/>
      <c r="H448" s="488">
        <f t="shared" si="48"/>
        <v>0</v>
      </c>
      <c r="I448" s="488"/>
      <c r="J448" s="488"/>
      <c r="K448" s="488"/>
      <c r="L448" s="488"/>
      <c r="M448" s="488"/>
      <c r="N448" s="488"/>
      <c r="O448" s="488">
        <f t="shared" si="45"/>
        <v>0</v>
      </c>
      <c r="P448" s="162">
        <f t="shared" si="43"/>
        <v>0</v>
      </c>
      <c r="R448" s="71"/>
      <c r="S448" s="71"/>
      <c r="T448" s="71"/>
      <c r="U448" s="71"/>
    </row>
    <row r="449" spans="1:65" ht="61.15" hidden="1" customHeight="1">
      <c r="A449" s="1415"/>
      <c r="B449" s="1415"/>
      <c r="C449" s="567"/>
      <c r="D449" s="170" t="s">
        <v>764</v>
      </c>
      <c r="E449" s="169"/>
      <c r="F449" s="169"/>
      <c r="G449" s="169"/>
      <c r="H449" s="169"/>
      <c r="I449" s="169"/>
      <c r="J449" s="169"/>
      <c r="K449" s="169"/>
      <c r="L449" s="195"/>
      <c r="M449" s="169"/>
      <c r="N449" s="195"/>
      <c r="O449" s="169">
        <f t="shared" si="45"/>
        <v>0</v>
      </c>
      <c r="P449" s="100">
        <f t="shared" si="43"/>
        <v>0</v>
      </c>
      <c r="R449" s="71"/>
      <c r="S449" s="71"/>
      <c r="T449" s="71"/>
      <c r="U449" s="71"/>
    </row>
    <row r="450" spans="1:65" ht="40.15" hidden="1" customHeight="1">
      <c r="A450" s="1415"/>
      <c r="B450" s="1415"/>
      <c r="C450" s="569" t="s">
        <v>538</v>
      </c>
      <c r="D450" s="364" t="s">
        <v>313</v>
      </c>
      <c r="E450" s="488"/>
      <c r="F450" s="488"/>
      <c r="G450" s="488"/>
      <c r="H450" s="488">
        <f t="shared" si="48"/>
        <v>0</v>
      </c>
      <c r="I450" s="488"/>
      <c r="J450" s="488"/>
      <c r="K450" s="488"/>
      <c r="L450" s="488"/>
      <c r="M450" s="488"/>
      <c r="N450" s="488"/>
      <c r="O450" s="488">
        <f t="shared" si="45"/>
        <v>0</v>
      </c>
      <c r="P450" s="162">
        <f t="shared" si="43"/>
        <v>0</v>
      </c>
      <c r="R450" s="71"/>
      <c r="S450" s="71"/>
      <c r="T450" s="71"/>
      <c r="U450" s="71"/>
    </row>
    <row r="451" spans="1:65" ht="64.900000000000006" hidden="1" customHeight="1">
      <c r="A451" s="1415"/>
      <c r="B451" s="1415"/>
      <c r="C451" s="570"/>
      <c r="D451" s="170" t="s">
        <v>1057</v>
      </c>
      <c r="E451" s="173"/>
      <c r="F451" s="173"/>
      <c r="G451" s="173"/>
      <c r="H451" s="173">
        <f t="shared" si="48"/>
        <v>0</v>
      </c>
      <c r="I451" s="173"/>
      <c r="J451" s="173"/>
      <c r="K451" s="173"/>
      <c r="L451" s="194"/>
      <c r="M451" s="173"/>
      <c r="N451" s="194"/>
      <c r="O451" s="173">
        <f t="shared" si="45"/>
        <v>0</v>
      </c>
      <c r="P451" s="100">
        <f t="shared" si="43"/>
        <v>0</v>
      </c>
      <c r="Q451" s="2"/>
      <c r="R451" s="7"/>
      <c r="S451" s="7"/>
      <c r="T451" s="7"/>
      <c r="U451" s="7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</row>
    <row r="452" spans="1:65" ht="18.600000000000001" hidden="1" customHeight="1">
      <c r="A452" s="1415"/>
      <c r="B452" s="1415"/>
      <c r="C452" s="570" t="s">
        <v>538</v>
      </c>
      <c r="D452" s="171" t="s">
        <v>897</v>
      </c>
      <c r="E452" s="173"/>
      <c r="F452" s="173"/>
      <c r="G452" s="173"/>
      <c r="H452" s="173"/>
      <c r="I452" s="173"/>
      <c r="J452" s="173"/>
      <c r="K452" s="173"/>
      <c r="L452" s="194"/>
      <c r="M452" s="173"/>
      <c r="N452" s="194"/>
      <c r="O452" s="173">
        <f t="shared" si="45"/>
        <v>0</v>
      </c>
      <c r="P452" s="100">
        <f t="shared" si="43"/>
        <v>0</v>
      </c>
      <c r="Q452" s="2"/>
      <c r="R452" s="124"/>
      <c r="S452" s="124"/>
      <c r="T452" s="124"/>
      <c r="U452" s="124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</row>
    <row r="453" spans="1:65" ht="18.600000000000001" hidden="1" customHeight="1">
      <c r="A453" s="1415"/>
      <c r="B453" s="1415"/>
      <c r="C453" s="570"/>
      <c r="D453" s="171"/>
      <c r="E453" s="173"/>
      <c r="F453" s="173"/>
      <c r="G453" s="173"/>
      <c r="H453" s="173"/>
      <c r="I453" s="173"/>
      <c r="J453" s="173"/>
      <c r="K453" s="173"/>
      <c r="L453" s="194"/>
      <c r="M453" s="173"/>
      <c r="N453" s="194"/>
      <c r="O453" s="173"/>
      <c r="P453" s="100">
        <f t="shared" si="43"/>
        <v>0</v>
      </c>
      <c r="Q453" s="2"/>
      <c r="R453" s="132"/>
      <c r="S453" s="132"/>
      <c r="T453" s="132"/>
      <c r="U453" s="13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</row>
    <row r="454" spans="1:65" ht="35.450000000000003" hidden="1" customHeight="1">
      <c r="A454" s="1415"/>
      <c r="B454" s="1415"/>
      <c r="C454" s="569" t="s">
        <v>333</v>
      </c>
      <c r="D454" s="364" t="s">
        <v>1236</v>
      </c>
      <c r="E454" s="488"/>
      <c r="F454" s="488"/>
      <c r="G454" s="488"/>
      <c r="H454" s="488">
        <f t="shared" si="48"/>
        <v>0</v>
      </c>
      <c r="I454" s="488"/>
      <c r="J454" s="488"/>
      <c r="K454" s="488"/>
      <c r="L454" s="488"/>
      <c r="M454" s="488"/>
      <c r="N454" s="488"/>
      <c r="O454" s="488">
        <f t="shared" ref="O454:O501" si="49">+E454+H454</f>
        <v>0</v>
      </c>
      <c r="P454" s="162">
        <f t="shared" si="43"/>
        <v>0</v>
      </c>
      <c r="R454" s="71"/>
      <c r="S454" s="71"/>
      <c r="T454" s="71"/>
      <c r="U454" s="71"/>
    </row>
    <row r="455" spans="1:65" ht="99.6" hidden="1" customHeight="1">
      <c r="A455" s="1415"/>
      <c r="B455" s="1415"/>
      <c r="C455" s="569" t="s">
        <v>900</v>
      </c>
      <c r="D455" s="367" t="s">
        <v>760</v>
      </c>
      <c r="E455" s="488"/>
      <c r="F455" s="488"/>
      <c r="G455" s="488"/>
      <c r="H455" s="488">
        <f t="shared" si="48"/>
        <v>0</v>
      </c>
      <c r="I455" s="488"/>
      <c r="J455" s="488"/>
      <c r="K455" s="488"/>
      <c r="L455" s="488"/>
      <c r="M455" s="488"/>
      <c r="N455" s="488"/>
      <c r="O455" s="488">
        <f t="shared" si="49"/>
        <v>0</v>
      </c>
      <c r="P455" s="162">
        <f t="shared" si="43"/>
        <v>0</v>
      </c>
      <c r="R455" s="71"/>
      <c r="S455" s="71"/>
      <c r="T455" s="71"/>
      <c r="U455" s="71"/>
    </row>
    <row r="456" spans="1:65" ht="69" hidden="1" customHeight="1">
      <c r="A456" s="1415"/>
      <c r="B456" s="1415"/>
      <c r="C456" s="569"/>
      <c r="D456" s="364" t="s">
        <v>692</v>
      </c>
      <c r="E456" s="363"/>
      <c r="F456" s="363"/>
      <c r="G456" s="363"/>
      <c r="H456" s="363">
        <f t="shared" si="48"/>
        <v>0</v>
      </c>
      <c r="I456" s="363"/>
      <c r="J456" s="363"/>
      <c r="K456" s="363"/>
      <c r="L456" s="365"/>
      <c r="M456" s="363"/>
      <c r="N456" s="365"/>
      <c r="O456" s="363">
        <f t="shared" si="49"/>
        <v>0</v>
      </c>
      <c r="P456" s="100">
        <f t="shared" si="43"/>
        <v>0</v>
      </c>
      <c r="R456" s="71"/>
      <c r="S456" s="71"/>
      <c r="T456" s="71"/>
      <c r="U456" s="71"/>
    </row>
    <row r="457" spans="1:65" ht="39.6" hidden="1" customHeight="1">
      <c r="A457" s="1415"/>
      <c r="B457" s="1415"/>
      <c r="C457" s="569" t="s">
        <v>1508</v>
      </c>
      <c r="D457" s="364" t="s">
        <v>532</v>
      </c>
      <c r="E457" s="363"/>
      <c r="F457" s="363"/>
      <c r="G457" s="363"/>
      <c r="H457" s="363">
        <f>+I457+L457</f>
        <v>0</v>
      </c>
      <c r="I457" s="363"/>
      <c r="J457" s="363"/>
      <c r="K457" s="363"/>
      <c r="L457" s="363">
        <f>1000000-1000000</f>
        <v>0</v>
      </c>
      <c r="M457" s="363">
        <f>+L457</f>
        <v>0</v>
      </c>
      <c r="N457" s="363">
        <f>1000000-1000000</f>
        <v>0</v>
      </c>
      <c r="O457" s="363">
        <f t="shared" si="49"/>
        <v>0</v>
      </c>
      <c r="P457" s="100">
        <f t="shared" si="43"/>
        <v>0</v>
      </c>
      <c r="R457" s="71"/>
      <c r="S457" s="71"/>
      <c r="T457" s="71"/>
      <c r="U457" s="71"/>
    </row>
    <row r="458" spans="1:65" ht="54" hidden="1" customHeight="1">
      <c r="A458" s="1415"/>
      <c r="B458" s="1415"/>
      <c r="C458" s="569" t="s">
        <v>893</v>
      </c>
      <c r="D458" s="445" t="s">
        <v>1135</v>
      </c>
      <c r="E458" s="363"/>
      <c r="F458" s="363"/>
      <c r="G458" s="363"/>
      <c r="H458" s="363">
        <f>+I458+L458</f>
        <v>0</v>
      </c>
      <c r="I458" s="363"/>
      <c r="J458" s="363"/>
      <c r="K458" s="363"/>
      <c r="L458" s="363"/>
      <c r="M458" s="363">
        <f>+L458</f>
        <v>0</v>
      </c>
      <c r="N458" s="363"/>
      <c r="O458" s="363">
        <f t="shared" si="49"/>
        <v>0</v>
      </c>
      <c r="P458" s="162">
        <f t="shared" si="43"/>
        <v>0</v>
      </c>
      <c r="R458" s="71"/>
      <c r="S458" s="71"/>
      <c r="T458" s="71"/>
      <c r="U458" s="71"/>
    </row>
    <row r="459" spans="1:65" ht="45" hidden="1">
      <c r="A459" s="1415"/>
      <c r="B459" s="1415"/>
      <c r="C459" s="550" t="s">
        <v>757</v>
      </c>
      <c r="D459" s="197" t="s">
        <v>756</v>
      </c>
      <c r="E459" s="180"/>
      <c r="F459" s="180"/>
      <c r="G459" s="180"/>
      <c r="H459" s="180">
        <f t="shared" si="48"/>
        <v>0</v>
      </c>
      <c r="I459" s="180"/>
      <c r="J459" s="180"/>
      <c r="K459" s="180"/>
      <c r="L459" s="193"/>
      <c r="M459" s="180"/>
      <c r="N459" s="193"/>
      <c r="O459" s="180">
        <f t="shared" si="49"/>
        <v>0</v>
      </c>
      <c r="P459" s="100">
        <f t="shared" si="43"/>
        <v>0</v>
      </c>
      <c r="R459" s="71"/>
      <c r="S459" s="71"/>
      <c r="T459" s="71"/>
      <c r="U459" s="71"/>
    </row>
    <row r="460" spans="1:65" ht="39.6" customHeight="1">
      <c r="A460" s="359" t="s">
        <v>1173</v>
      </c>
      <c r="B460" s="359"/>
      <c r="C460" s="359" t="s">
        <v>1176</v>
      </c>
      <c r="D460" s="360" t="s">
        <v>1167</v>
      </c>
      <c r="E460" s="487">
        <f>+E464+E472+E473+E475+E479+E480+E481+E478+E474+E486+E487+E477+E476+E462+E461+E463</f>
        <v>36744300</v>
      </c>
      <c r="F460" s="487">
        <f t="shared" ref="F460:N460" si="50">+F464+F472+F473+F475+F479+F480+F481+F478+F474+F486+F487+F477+F476+F462+F461+F463</f>
        <v>4186700</v>
      </c>
      <c r="G460" s="487">
        <f t="shared" si="50"/>
        <v>101800</v>
      </c>
      <c r="H460" s="487">
        <f t="shared" si="50"/>
        <v>4225500</v>
      </c>
      <c r="I460" s="487">
        <f t="shared" si="50"/>
        <v>225500</v>
      </c>
      <c r="J460" s="487">
        <f t="shared" si="50"/>
        <v>125000</v>
      </c>
      <c r="K460" s="487">
        <f t="shared" si="50"/>
        <v>6000</v>
      </c>
      <c r="L460" s="487">
        <f t="shared" si="50"/>
        <v>4000000</v>
      </c>
      <c r="M460" s="487">
        <f t="shared" si="50"/>
        <v>4000000</v>
      </c>
      <c r="N460" s="487">
        <f t="shared" si="50"/>
        <v>4000000</v>
      </c>
      <c r="O460" s="487">
        <f t="shared" si="49"/>
        <v>40969800</v>
      </c>
      <c r="P460" s="162">
        <f t="shared" si="43"/>
        <v>40969800</v>
      </c>
      <c r="R460" s="71"/>
      <c r="S460" s="71"/>
      <c r="T460" s="71"/>
      <c r="U460" s="71"/>
    </row>
    <row r="461" spans="1:65" ht="39.6" hidden="1" customHeight="1">
      <c r="A461" s="1416"/>
      <c r="B461" s="1416"/>
      <c r="C461" s="569"/>
      <c r="D461" s="360"/>
      <c r="E461" s="487"/>
      <c r="F461" s="487"/>
      <c r="G461" s="487"/>
      <c r="H461" s="488">
        <f t="shared" si="48"/>
        <v>0</v>
      </c>
      <c r="I461" s="487"/>
      <c r="J461" s="487"/>
      <c r="K461" s="487"/>
      <c r="L461" s="487"/>
      <c r="M461" s="487"/>
      <c r="N461" s="487"/>
      <c r="O461" s="488">
        <f t="shared" si="49"/>
        <v>0</v>
      </c>
      <c r="P461" s="162">
        <f t="shared" si="43"/>
        <v>0</v>
      </c>
      <c r="R461" s="71"/>
      <c r="S461" s="71"/>
      <c r="T461" s="71"/>
      <c r="U461" s="71"/>
    </row>
    <row r="462" spans="1:65" ht="39.6" customHeight="1">
      <c r="A462" s="1416" t="s">
        <v>490</v>
      </c>
      <c r="B462" s="1416"/>
      <c r="C462" s="569" t="s">
        <v>538</v>
      </c>
      <c r="D462" s="217" t="s">
        <v>1049</v>
      </c>
      <c r="E462" s="488">
        <f>665100+100000</f>
        <v>765100</v>
      </c>
      <c r="F462" s="487"/>
      <c r="G462" s="487"/>
      <c r="H462" s="488">
        <f t="shared" si="48"/>
        <v>0</v>
      </c>
      <c r="I462" s="487"/>
      <c r="J462" s="487"/>
      <c r="K462" s="487"/>
      <c r="L462" s="487"/>
      <c r="M462" s="487"/>
      <c r="N462" s="487"/>
      <c r="O462" s="488">
        <f t="shared" si="49"/>
        <v>765100</v>
      </c>
      <c r="P462" s="162">
        <f t="shared" si="43"/>
        <v>765100</v>
      </c>
      <c r="R462" s="71"/>
      <c r="S462" s="71"/>
      <c r="T462" s="71"/>
      <c r="U462" s="71"/>
    </row>
    <row r="463" spans="1:65" ht="39.6" customHeight="1">
      <c r="A463" s="1416" t="s">
        <v>305</v>
      </c>
      <c r="B463" s="1416"/>
      <c r="C463" s="569" t="s">
        <v>333</v>
      </c>
      <c r="D463" s="217" t="s">
        <v>866</v>
      </c>
      <c r="E463" s="488">
        <v>190500</v>
      </c>
      <c r="F463" s="488">
        <v>121100</v>
      </c>
      <c r="G463" s="488">
        <v>20600</v>
      </c>
      <c r="H463" s="488">
        <f t="shared" si="48"/>
        <v>0</v>
      </c>
      <c r="I463" s="487"/>
      <c r="J463" s="487"/>
      <c r="K463" s="487"/>
      <c r="L463" s="487"/>
      <c r="M463" s="487"/>
      <c r="N463" s="487"/>
      <c r="O463" s="488">
        <f t="shared" si="49"/>
        <v>190500</v>
      </c>
      <c r="P463" s="162">
        <f t="shared" si="43"/>
        <v>190500</v>
      </c>
      <c r="R463" s="71"/>
      <c r="S463" s="71"/>
      <c r="T463" s="71"/>
      <c r="U463" s="71"/>
    </row>
    <row r="464" spans="1:65" ht="30.6" customHeight="1">
      <c r="A464" s="1416" t="s">
        <v>1366</v>
      </c>
      <c r="B464" s="1416"/>
      <c r="C464" s="569">
        <v>130102</v>
      </c>
      <c r="D464" s="364" t="s">
        <v>562</v>
      </c>
      <c r="E464" s="488">
        <f>+'видатки_затв '!C211</f>
        <v>7331800</v>
      </c>
      <c r="F464" s="488">
        <f>+'видатки_затв '!D211</f>
        <v>0</v>
      </c>
      <c r="G464" s="488">
        <f>+'видатки_затв '!E211</f>
        <v>0</v>
      </c>
      <c r="H464" s="488">
        <f t="shared" si="48"/>
        <v>0</v>
      </c>
      <c r="I464" s="488">
        <f>+'видатки_затв '!G211</f>
        <v>0</v>
      </c>
      <c r="J464" s="488">
        <f>+'видатки_затв '!H211</f>
        <v>0</v>
      </c>
      <c r="K464" s="488">
        <f>+'видатки_затв '!I211</f>
        <v>0</v>
      </c>
      <c r="L464" s="488">
        <f>+'видатки_затв '!J211</f>
        <v>0</v>
      </c>
      <c r="M464" s="488">
        <f>+'видатки_затв '!K211</f>
        <v>0</v>
      </c>
      <c r="N464" s="488">
        <f>+'видатки_затв '!L211</f>
        <v>0</v>
      </c>
      <c r="O464" s="488">
        <f t="shared" si="49"/>
        <v>7331800</v>
      </c>
      <c r="P464" s="162">
        <f t="shared" si="43"/>
        <v>7331800</v>
      </c>
      <c r="R464" s="71"/>
      <c r="S464" s="71"/>
      <c r="T464" s="71"/>
      <c r="U464" s="71"/>
    </row>
    <row r="465" spans="1:65" ht="54.6" hidden="1" customHeight="1">
      <c r="A465" s="1415"/>
      <c r="B465" s="1415"/>
      <c r="C465" s="573"/>
      <c r="D465" s="364" t="s">
        <v>400</v>
      </c>
      <c r="E465" s="364">
        <v>300000</v>
      </c>
      <c r="F465" s="364"/>
      <c r="G465" s="364"/>
      <c r="H465" s="364">
        <f t="shared" si="48"/>
        <v>0</v>
      </c>
      <c r="I465" s="364"/>
      <c r="J465" s="364"/>
      <c r="K465" s="364"/>
      <c r="L465" s="369"/>
      <c r="M465" s="364"/>
      <c r="N465" s="369"/>
      <c r="O465" s="488">
        <f t="shared" si="49"/>
        <v>300000</v>
      </c>
      <c r="P465" s="162"/>
      <c r="Q465" s="2"/>
      <c r="R465" s="7"/>
      <c r="S465" s="7"/>
      <c r="T465" s="7"/>
      <c r="U465" s="7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</row>
    <row r="466" spans="1:65" ht="43.15" hidden="1" customHeight="1">
      <c r="A466" s="1415"/>
      <c r="B466" s="1415"/>
      <c r="C466" s="567"/>
      <c r="D466" s="171" t="s">
        <v>577</v>
      </c>
      <c r="E466" s="173"/>
      <c r="F466" s="173"/>
      <c r="G466" s="173"/>
      <c r="H466" s="173">
        <f t="shared" si="48"/>
        <v>0</v>
      </c>
      <c r="I466" s="173"/>
      <c r="J466" s="173"/>
      <c r="K466" s="173"/>
      <c r="L466" s="194"/>
      <c r="M466" s="173"/>
      <c r="N466" s="194"/>
      <c r="O466" s="173">
        <f t="shared" si="49"/>
        <v>0</v>
      </c>
      <c r="P466" s="100">
        <f t="shared" si="43"/>
        <v>0</v>
      </c>
      <c r="Q466" s="2"/>
      <c r="R466" s="132"/>
      <c r="S466" s="132"/>
      <c r="T466" s="132"/>
      <c r="U466" s="13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</row>
    <row r="467" spans="1:65" ht="30.6" hidden="1" customHeight="1">
      <c r="A467" s="1415"/>
      <c r="B467" s="1415"/>
      <c r="C467" s="567"/>
      <c r="D467" s="170" t="s">
        <v>510</v>
      </c>
      <c r="E467" s="169"/>
      <c r="F467" s="169"/>
      <c r="G467" s="169"/>
      <c r="H467" s="169"/>
      <c r="I467" s="169"/>
      <c r="J467" s="169"/>
      <c r="K467" s="169"/>
      <c r="L467" s="195"/>
      <c r="M467" s="169"/>
      <c r="N467" s="195"/>
      <c r="O467" s="169">
        <f t="shared" si="49"/>
        <v>0</v>
      </c>
      <c r="P467" s="100">
        <f t="shared" si="43"/>
        <v>0</v>
      </c>
      <c r="Q467" s="24"/>
      <c r="R467" s="44"/>
      <c r="S467" s="44"/>
      <c r="T467" s="44"/>
      <c r="U467" s="44"/>
      <c r="V467" s="24"/>
    </row>
    <row r="468" spans="1:65" ht="27.6" hidden="1" customHeight="1">
      <c r="A468" s="1415"/>
      <c r="B468" s="1415"/>
      <c r="C468" s="567"/>
      <c r="D468" s="171" t="s">
        <v>1006</v>
      </c>
      <c r="E468" s="173"/>
      <c r="F468" s="173"/>
      <c r="G468" s="173"/>
      <c r="H468" s="173"/>
      <c r="I468" s="173"/>
      <c r="J468" s="173"/>
      <c r="K468" s="173"/>
      <c r="L468" s="194"/>
      <c r="M468" s="173"/>
      <c r="N468" s="194"/>
      <c r="O468" s="173">
        <f t="shared" si="49"/>
        <v>0</v>
      </c>
      <c r="P468" s="100">
        <f t="shared" si="43"/>
        <v>0</v>
      </c>
      <c r="Q468" s="24"/>
      <c r="R468" s="44"/>
      <c r="S468" s="44"/>
      <c r="T468" s="44"/>
      <c r="U468" s="44"/>
      <c r="V468" s="24"/>
    </row>
    <row r="469" spans="1:65" ht="55.9" hidden="1" customHeight="1">
      <c r="A469" s="1415"/>
      <c r="B469" s="1415"/>
      <c r="C469" s="570"/>
      <c r="D469" s="170" t="s">
        <v>511</v>
      </c>
      <c r="E469" s="169"/>
      <c r="F469" s="169"/>
      <c r="G469" s="169"/>
      <c r="H469" s="169"/>
      <c r="I469" s="169"/>
      <c r="J469" s="169"/>
      <c r="K469" s="169"/>
      <c r="L469" s="195"/>
      <c r="M469" s="169"/>
      <c r="N469" s="195"/>
      <c r="O469" s="169">
        <f t="shared" si="49"/>
        <v>0</v>
      </c>
      <c r="P469" s="100">
        <f t="shared" si="43"/>
        <v>0</v>
      </c>
      <c r="Q469" s="24"/>
      <c r="R469" s="44"/>
      <c r="S469" s="44"/>
      <c r="T469" s="44"/>
      <c r="U469" s="44"/>
      <c r="V469" s="24"/>
    </row>
    <row r="470" spans="1:65" ht="4.9000000000000004" hidden="1" customHeight="1">
      <c r="A470" s="1415"/>
      <c r="B470" s="1415"/>
      <c r="C470" s="570"/>
      <c r="D470" s="170" t="s">
        <v>627</v>
      </c>
      <c r="E470" s="169"/>
      <c r="F470" s="169"/>
      <c r="G470" s="169"/>
      <c r="H470" s="169"/>
      <c r="I470" s="169"/>
      <c r="J470" s="169"/>
      <c r="K470" s="169"/>
      <c r="L470" s="195"/>
      <c r="M470" s="169"/>
      <c r="N470" s="195"/>
      <c r="O470" s="169">
        <f t="shared" si="49"/>
        <v>0</v>
      </c>
      <c r="P470" s="100">
        <f t="shared" si="43"/>
        <v>0</v>
      </c>
      <c r="Q470" s="24"/>
      <c r="R470" s="44"/>
      <c r="S470" s="44"/>
      <c r="T470" s="44"/>
      <c r="U470" s="44"/>
      <c r="V470" s="24"/>
    </row>
    <row r="471" spans="1:65" ht="48" hidden="1" customHeight="1">
      <c r="A471" s="1415"/>
      <c r="B471" s="1415"/>
      <c r="C471" s="570"/>
      <c r="D471" s="614" t="s">
        <v>1473</v>
      </c>
      <c r="E471" s="169"/>
      <c r="F471" s="169"/>
      <c r="G471" s="169"/>
      <c r="H471" s="169"/>
      <c r="I471" s="169"/>
      <c r="J471" s="169"/>
      <c r="K471" s="169"/>
      <c r="L471" s="195"/>
      <c r="M471" s="169"/>
      <c r="N471" s="195"/>
      <c r="O471" s="169">
        <f t="shared" si="49"/>
        <v>0</v>
      </c>
      <c r="P471" s="100">
        <f t="shared" si="43"/>
        <v>0</v>
      </c>
      <c r="Q471" s="24"/>
      <c r="R471" s="44"/>
      <c r="S471" s="44"/>
      <c r="T471" s="44"/>
      <c r="U471" s="44"/>
      <c r="V471" s="24"/>
    </row>
    <row r="472" spans="1:65" ht="52.15" customHeight="1">
      <c r="A472" s="1416" t="s">
        <v>1367</v>
      </c>
      <c r="B472" s="1416"/>
      <c r="C472" s="569">
        <v>130104</v>
      </c>
      <c r="D472" s="364" t="s">
        <v>1202</v>
      </c>
      <c r="E472" s="488">
        <f>+'видатки_затв '!C212</f>
        <v>1503600</v>
      </c>
      <c r="F472" s="488">
        <f>+'видатки_затв '!D212</f>
        <v>937100</v>
      </c>
      <c r="G472" s="488">
        <f>+'видатки_затв '!E212</f>
        <v>25000</v>
      </c>
      <c r="H472" s="488">
        <f t="shared" si="48"/>
        <v>165500</v>
      </c>
      <c r="I472" s="488">
        <f>+'видатки_затв '!G212</f>
        <v>165500</v>
      </c>
      <c r="J472" s="488">
        <f>+'видатки_затв '!H212</f>
        <v>125000</v>
      </c>
      <c r="K472" s="488">
        <f>+'видатки_затв '!I212</f>
        <v>0</v>
      </c>
      <c r="L472" s="488">
        <f>+'видатки_затв '!J212</f>
        <v>0</v>
      </c>
      <c r="M472" s="488">
        <f>+'видатки_затв '!K212</f>
        <v>0</v>
      </c>
      <c r="N472" s="488">
        <f>+'видатки_затв '!L212</f>
        <v>0</v>
      </c>
      <c r="O472" s="488">
        <f t="shared" si="49"/>
        <v>1669100</v>
      </c>
      <c r="P472" s="162">
        <f t="shared" si="43"/>
        <v>1669100</v>
      </c>
      <c r="R472" s="71"/>
      <c r="S472" s="71"/>
      <c r="T472" s="71"/>
      <c r="U472" s="71"/>
    </row>
    <row r="473" spans="1:65" ht="51" customHeight="1">
      <c r="A473" s="1416" t="s">
        <v>1368</v>
      </c>
      <c r="B473" s="1416"/>
      <c r="C473" s="569">
        <v>130105</v>
      </c>
      <c r="D473" s="364" t="s">
        <v>552</v>
      </c>
      <c r="E473" s="488">
        <f>+'видатки_затв '!C213</f>
        <v>290000</v>
      </c>
      <c r="F473" s="488">
        <f>+'видатки_затв '!D213</f>
        <v>0</v>
      </c>
      <c r="G473" s="488">
        <f>+'видатки_затв '!E213</f>
        <v>0</v>
      </c>
      <c r="H473" s="488">
        <f t="shared" si="48"/>
        <v>0</v>
      </c>
      <c r="I473" s="488">
        <f>+'видатки_затв '!G213</f>
        <v>0</v>
      </c>
      <c r="J473" s="488">
        <f>+'видатки_затв '!H213</f>
        <v>0</v>
      </c>
      <c r="K473" s="488">
        <f>+'видатки_затв '!I213</f>
        <v>0</v>
      </c>
      <c r="L473" s="488">
        <f>+'видатки_затв '!J213</f>
        <v>0</v>
      </c>
      <c r="M473" s="488">
        <f>+'видатки_затв '!K213</f>
        <v>0</v>
      </c>
      <c r="N473" s="488">
        <f>+'видатки_затв '!L213</f>
        <v>0</v>
      </c>
      <c r="O473" s="488">
        <f t="shared" si="49"/>
        <v>290000</v>
      </c>
      <c r="P473" s="162">
        <f t="shared" si="43"/>
        <v>290000</v>
      </c>
      <c r="R473" s="71"/>
      <c r="S473" s="71"/>
      <c r="T473" s="71"/>
      <c r="U473" s="71"/>
    </row>
    <row r="474" spans="1:65" ht="51" hidden="1" customHeight="1">
      <c r="A474" s="1415"/>
      <c r="B474" s="1415"/>
      <c r="C474" s="569" t="s">
        <v>815</v>
      </c>
      <c r="D474" s="364" t="s">
        <v>1203</v>
      </c>
      <c r="E474" s="363">
        <f>+'видатки_затв '!C214</f>
        <v>0</v>
      </c>
      <c r="F474" s="363">
        <f>+'видатки_затв '!D214</f>
        <v>0</v>
      </c>
      <c r="G474" s="363">
        <f>+'видатки_затв '!E214</f>
        <v>0</v>
      </c>
      <c r="H474" s="363">
        <f t="shared" si="48"/>
        <v>0</v>
      </c>
      <c r="I474" s="363">
        <f>+'видатки_затв '!G214</f>
        <v>0</v>
      </c>
      <c r="J474" s="363">
        <f>+'видатки_затв '!H214</f>
        <v>0</v>
      </c>
      <c r="K474" s="363">
        <f>+'видатки_затв '!I214</f>
        <v>0</v>
      </c>
      <c r="L474" s="363">
        <f>+'видатки_затв '!J214</f>
        <v>0</v>
      </c>
      <c r="M474" s="363">
        <f>+'видатки_затв '!K214</f>
        <v>0</v>
      </c>
      <c r="N474" s="363">
        <f>+'видатки_затв '!L214</f>
        <v>0</v>
      </c>
      <c r="O474" s="363">
        <f t="shared" si="49"/>
        <v>0</v>
      </c>
      <c r="P474" s="162">
        <f t="shared" si="43"/>
        <v>0</v>
      </c>
      <c r="R474" s="71"/>
      <c r="S474" s="71"/>
      <c r="T474" s="71"/>
      <c r="U474" s="71"/>
    </row>
    <row r="475" spans="1:65" ht="53.45" hidden="1" customHeight="1">
      <c r="A475" s="1415"/>
      <c r="B475" s="1415"/>
      <c r="C475" s="569">
        <v>130107</v>
      </c>
      <c r="D475" s="364" t="s">
        <v>390</v>
      </c>
      <c r="E475" s="488"/>
      <c r="F475" s="488"/>
      <c r="G475" s="488"/>
      <c r="H475" s="169">
        <f t="shared" si="48"/>
        <v>0</v>
      </c>
      <c r="I475" s="488"/>
      <c r="J475" s="488"/>
      <c r="K475" s="488"/>
      <c r="L475" s="488"/>
      <c r="M475" s="488"/>
      <c r="N475" s="488"/>
      <c r="O475" s="488">
        <f t="shared" si="49"/>
        <v>0</v>
      </c>
      <c r="P475" s="162">
        <f t="shared" si="43"/>
        <v>0</v>
      </c>
      <c r="R475" s="71"/>
      <c r="S475" s="71"/>
      <c r="T475" s="71"/>
      <c r="U475" s="71"/>
    </row>
    <row r="476" spans="1:65" ht="28.9" hidden="1" customHeight="1">
      <c r="A476" s="1416" t="s">
        <v>1369</v>
      </c>
      <c r="B476" s="1416"/>
      <c r="C476" s="569" t="s">
        <v>1245</v>
      </c>
      <c r="D476" s="533" t="s">
        <v>967</v>
      </c>
      <c r="E476" s="488">
        <f>+'видатки_затв '!C217</f>
        <v>0</v>
      </c>
      <c r="F476" s="488">
        <f>+'видатки_затв '!D217</f>
        <v>0</v>
      </c>
      <c r="G476" s="488">
        <f>+'видатки_затв '!E217</f>
        <v>0</v>
      </c>
      <c r="H476" s="364">
        <f>+I476+L476</f>
        <v>0</v>
      </c>
      <c r="I476" s="488">
        <f>+'видатки_затв '!G217</f>
        <v>0</v>
      </c>
      <c r="J476" s="488">
        <f>+'видатки_затв '!H217</f>
        <v>0</v>
      </c>
      <c r="K476" s="488">
        <f>+'видатки_затв '!I217</f>
        <v>0</v>
      </c>
      <c r="L476" s="488">
        <f>+'видатки_затв '!J217</f>
        <v>0</v>
      </c>
      <c r="M476" s="488">
        <f>+'видатки_затв '!K217</f>
        <v>0</v>
      </c>
      <c r="N476" s="488">
        <f>+'видатки_затв '!L217</f>
        <v>0</v>
      </c>
      <c r="O476" s="488">
        <f>+E476+H476</f>
        <v>0</v>
      </c>
      <c r="P476" s="162">
        <f t="shared" si="43"/>
        <v>0</v>
      </c>
      <c r="R476" s="71"/>
      <c r="S476" s="71"/>
      <c r="T476" s="71"/>
      <c r="U476" s="71"/>
    </row>
    <row r="477" spans="1:65" ht="48.6" customHeight="1">
      <c r="A477" s="1416" t="s">
        <v>1370</v>
      </c>
      <c r="B477" s="1416"/>
      <c r="C477" s="569" t="s">
        <v>170</v>
      </c>
      <c r="D477" s="367" t="s">
        <v>665</v>
      </c>
      <c r="E477" s="488">
        <f>+'видатки_затв '!C219</f>
        <v>6148700</v>
      </c>
      <c r="F477" s="488">
        <f>+'видатки_затв '!D219</f>
        <v>2880000</v>
      </c>
      <c r="G477" s="488">
        <f>+'видатки_затв '!E219</f>
        <v>28700</v>
      </c>
      <c r="H477" s="488">
        <f>+I477+L477</f>
        <v>4060000</v>
      </c>
      <c r="I477" s="488">
        <f>+'видатки_затв '!G219</f>
        <v>60000</v>
      </c>
      <c r="J477" s="488">
        <f>+'видатки_затв '!H219</f>
        <v>0</v>
      </c>
      <c r="K477" s="488">
        <f>+'видатки_затв '!I219</f>
        <v>6000</v>
      </c>
      <c r="L477" s="488">
        <f>+'видатки_затв '!J219</f>
        <v>4000000</v>
      </c>
      <c r="M477" s="488">
        <f>+'видатки_затв '!K219</f>
        <v>4000000</v>
      </c>
      <c r="N477" s="488">
        <f>+'видатки_затв '!L219</f>
        <v>4000000</v>
      </c>
      <c r="O477" s="488">
        <f>+E477+H477</f>
        <v>10208700</v>
      </c>
      <c r="P477" s="162">
        <f t="shared" si="43"/>
        <v>10208700</v>
      </c>
      <c r="R477" s="71"/>
      <c r="S477" s="71"/>
      <c r="T477" s="71"/>
      <c r="U477" s="71"/>
    </row>
    <row r="478" spans="1:65" ht="40.15" customHeight="1">
      <c r="A478" s="1416" t="s">
        <v>1371</v>
      </c>
      <c r="B478" s="1416"/>
      <c r="C478" s="569" t="s">
        <v>171</v>
      </c>
      <c r="D478" s="367" t="s">
        <v>487</v>
      </c>
      <c r="E478" s="488">
        <f>+'видатки_затв '!C220</f>
        <v>548500</v>
      </c>
      <c r="F478" s="488">
        <f>+'видатки_затв '!D220</f>
        <v>248500</v>
      </c>
      <c r="G478" s="488">
        <f>+'видатки_затв '!E220</f>
        <v>27500</v>
      </c>
      <c r="H478" s="488">
        <f>+I478+L478</f>
        <v>0</v>
      </c>
      <c r="I478" s="488">
        <f>+'видатки_затв '!G220</f>
        <v>0</v>
      </c>
      <c r="J478" s="488">
        <f>+'видатки_затв '!H220</f>
        <v>0</v>
      </c>
      <c r="K478" s="488">
        <f>+'видатки_затв '!I220</f>
        <v>0</v>
      </c>
      <c r="L478" s="488">
        <f>+'видатки_затв '!J220</f>
        <v>0</v>
      </c>
      <c r="M478" s="488">
        <f>+'видатки_затв '!K220</f>
        <v>0</v>
      </c>
      <c r="N478" s="488">
        <f>+'видатки_затв '!L220</f>
        <v>0</v>
      </c>
      <c r="O478" s="488">
        <f>+E478+H478</f>
        <v>548500</v>
      </c>
      <c r="P478" s="162">
        <f t="shared" si="43"/>
        <v>548500</v>
      </c>
      <c r="Q478" s="24"/>
      <c r="R478" s="44"/>
      <c r="S478" s="44"/>
      <c r="T478" s="44"/>
      <c r="U478" s="44"/>
      <c r="V478" s="24"/>
    </row>
    <row r="479" spans="1:65" ht="79.150000000000006" customHeight="1">
      <c r="A479" s="1416" t="s">
        <v>1372</v>
      </c>
      <c r="B479" s="1416"/>
      <c r="C479" s="569" t="s">
        <v>759</v>
      </c>
      <c r="D479" s="364" t="s">
        <v>396</v>
      </c>
      <c r="E479" s="488">
        <f>+'видатки_затв '!C223</f>
        <v>17400000</v>
      </c>
      <c r="F479" s="488">
        <f>+'видатки_затв '!D223</f>
        <v>0</v>
      </c>
      <c r="G479" s="488">
        <f>+'видатки_затв '!E223</f>
        <v>0</v>
      </c>
      <c r="H479" s="488">
        <f t="shared" si="48"/>
        <v>0</v>
      </c>
      <c r="I479" s="488">
        <f>+'видатки_затв '!G223</f>
        <v>0</v>
      </c>
      <c r="J479" s="488">
        <f>+'видатки_затв '!H223</f>
        <v>0</v>
      </c>
      <c r="K479" s="488">
        <f>+'видатки_затв '!I223</f>
        <v>0</v>
      </c>
      <c r="L479" s="488">
        <f>+'видатки_затв '!J223</f>
        <v>0</v>
      </c>
      <c r="M479" s="488">
        <f>+'видатки_затв '!K223</f>
        <v>0</v>
      </c>
      <c r="N479" s="488">
        <f>+'видатки_затв '!L223</f>
        <v>0</v>
      </c>
      <c r="O479" s="488">
        <f t="shared" si="49"/>
        <v>17400000</v>
      </c>
      <c r="P479" s="162">
        <f t="shared" si="43"/>
        <v>17400000</v>
      </c>
      <c r="R479" s="71"/>
      <c r="S479" s="71"/>
      <c r="T479" s="71"/>
      <c r="U479" s="71"/>
    </row>
    <row r="480" spans="1:65" ht="52.15" customHeight="1">
      <c r="A480" s="1416" t="s">
        <v>1373</v>
      </c>
      <c r="B480" s="1416"/>
      <c r="C480" s="569" t="s">
        <v>131</v>
      </c>
      <c r="D480" s="364" t="s">
        <v>314</v>
      </c>
      <c r="E480" s="488">
        <f>+'видатки_затв '!C224</f>
        <v>566100</v>
      </c>
      <c r="F480" s="488">
        <f>+'видатки_затв '!D224</f>
        <v>0</v>
      </c>
      <c r="G480" s="488">
        <f>+'видатки_затв '!E224</f>
        <v>0</v>
      </c>
      <c r="H480" s="488"/>
      <c r="I480" s="488">
        <f>+'видатки_затв '!G224</f>
        <v>0</v>
      </c>
      <c r="J480" s="488">
        <f>+'видатки_затв '!H224</f>
        <v>0</v>
      </c>
      <c r="K480" s="488">
        <f>+'видатки_затв '!I224</f>
        <v>0</v>
      </c>
      <c r="L480" s="488">
        <f>+'видатки_затв '!J224</f>
        <v>0</v>
      </c>
      <c r="M480" s="488">
        <f>+'видатки_затв '!K224</f>
        <v>0</v>
      </c>
      <c r="N480" s="488">
        <f>+'видатки_затв '!L224</f>
        <v>0</v>
      </c>
      <c r="O480" s="488">
        <f t="shared" si="49"/>
        <v>566100</v>
      </c>
      <c r="P480" s="162">
        <f t="shared" si="43"/>
        <v>566100</v>
      </c>
      <c r="R480" s="71"/>
      <c r="S480" s="71"/>
      <c r="T480" s="71"/>
      <c r="U480" s="71"/>
    </row>
    <row r="481" spans="1:65" ht="66.599999999999994" customHeight="1">
      <c r="A481" s="1416" t="s">
        <v>1374</v>
      </c>
      <c r="B481" s="1416"/>
      <c r="C481" s="569" t="s">
        <v>381</v>
      </c>
      <c r="D481" s="364" t="s">
        <v>1520</v>
      </c>
      <c r="E481" s="488">
        <f>+'видатки_затв '!C225</f>
        <v>2000000</v>
      </c>
      <c r="F481" s="488">
        <f>+'видатки_затв '!D225</f>
        <v>0</v>
      </c>
      <c r="G481" s="488">
        <f>+'видатки_затв '!E225</f>
        <v>0</v>
      </c>
      <c r="H481" s="488">
        <f t="shared" si="48"/>
        <v>0</v>
      </c>
      <c r="I481" s="488">
        <f>+'видатки_затв '!G225</f>
        <v>0</v>
      </c>
      <c r="J481" s="488">
        <f>+'видатки_затв '!H225</f>
        <v>0</v>
      </c>
      <c r="K481" s="488">
        <f>+'видатки_затв '!I225</f>
        <v>0</v>
      </c>
      <c r="L481" s="488">
        <f>+'видатки_затв '!J225</f>
        <v>0</v>
      </c>
      <c r="M481" s="488">
        <f>+'видатки_затв '!K225</f>
        <v>0</v>
      </c>
      <c r="N481" s="488">
        <f>+'видатки_затв '!L225</f>
        <v>0</v>
      </c>
      <c r="O481" s="488">
        <f t="shared" si="49"/>
        <v>2000000</v>
      </c>
      <c r="P481" s="162">
        <f t="shared" si="43"/>
        <v>2000000</v>
      </c>
      <c r="R481" s="71"/>
      <c r="S481" s="71"/>
      <c r="T481" s="71"/>
      <c r="U481" s="71"/>
    </row>
    <row r="482" spans="1:65" ht="23.45" hidden="1" customHeight="1">
      <c r="A482" s="1415"/>
      <c r="B482" s="1415"/>
      <c r="C482" s="569"/>
      <c r="D482" s="364" t="s">
        <v>1467</v>
      </c>
      <c r="E482" s="488"/>
      <c r="F482" s="488"/>
      <c r="G482" s="488"/>
      <c r="H482" s="488">
        <f t="shared" si="48"/>
        <v>0</v>
      </c>
      <c r="I482" s="488"/>
      <c r="J482" s="488"/>
      <c r="K482" s="488"/>
      <c r="L482" s="488"/>
      <c r="M482" s="488"/>
      <c r="N482" s="488"/>
      <c r="O482" s="488">
        <f t="shared" si="49"/>
        <v>0</v>
      </c>
      <c r="P482" s="162"/>
      <c r="R482" s="71"/>
      <c r="S482" s="71"/>
      <c r="T482" s="71"/>
      <c r="U482" s="71"/>
    </row>
    <row r="483" spans="1:65" ht="15.75" hidden="1">
      <c r="A483" s="1415"/>
      <c r="B483" s="1415"/>
      <c r="C483" s="550"/>
      <c r="D483" s="197" t="s">
        <v>382</v>
      </c>
      <c r="E483" s="180"/>
      <c r="F483" s="180"/>
      <c r="G483" s="180"/>
      <c r="H483" s="180">
        <f t="shared" si="48"/>
        <v>0</v>
      </c>
      <c r="I483" s="180"/>
      <c r="J483" s="180"/>
      <c r="K483" s="180"/>
      <c r="L483" s="193"/>
      <c r="M483" s="180"/>
      <c r="N483" s="193"/>
      <c r="O483" s="180">
        <f t="shared" si="49"/>
        <v>0</v>
      </c>
      <c r="P483" s="100">
        <f t="shared" si="43"/>
        <v>0</v>
      </c>
      <c r="Q483" s="2"/>
      <c r="R483" s="7"/>
      <c r="S483" s="7"/>
      <c r="T483" s="7"/>
      <c r="U483" s="7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</row>
    <row r="484" spans="1:65" ht="21.6" hidden="1" customHeight="1">
      <c r="A484" s="1415"/>
      <c r="B484" s="1415"/>
      <c r="C484" s="550"/>
      <c r="D484" s="197" t="s">
        <v>1590</v>
      </c>
      <c r="E484" s="489"/>
      <c r="F484" s="489"/>
      <c r="G484" s="489"/>
      <c r="H484" s="489">
        <f t="shared" si="48"/>
        <v>0</v>
      </c>
      <c r="I484" s="489"/>
      <c r="J484" s="489"/>
      <c r="K484" s="489"/>
      <c r="L484" s="489"/>
      <c r="M484" s="489"/>
      <c r="N484" s="489"/>
      <c r="O484" s="489">
        <f t="shared" si="49"/>
        <v>0</v>
      </c>
      <c r="P484" s="162">
        <f t="shared" si="43"/>
        <v>0</v>
      </c>
      <c r="Q484" s="2"/>
      <c r="R484" s="124">
        <f>+E486</f>
        <v>0</v>
      </c>
      <c r="S484" s="124"/>
      <c r="T484" s="124"/>
      <c r="U484" s="124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</row>
    <row r="485" spans="1:65" ht="45.6" hidden="1" customHeight="1">
      <c r="A485" s="1415"/>
      <c r="B485" s="1415"/>
      <c r="C485" s="575"/>
      <c r="D485" s="170" t="s">
        <v>450</v>
      </c>
      <c r="E485" s="169"/>
      <c r="F485" s="169"/>
      <c r="G485" s="169"/>
      <c r="H485" s="169">
        <f t="shared" si="48"/>
        <v>0</v>
      </c>
      <c r="I485" s="169"/>
      <c r="J485" s="169"/>
      <c r="K485" s="169"/>
      <c r="L485" s="195">
        <f>500-500</f>
        <v>0</v>
      </c>
      <c r="M485" s="169">
        <f>+L485</f>
        <v>0</v>
      </c>
      <c r="N485" s="195">
        <f>500-500</f>
        <v>0</v>
      </c>
      <c r="O485" s="169">
        <f t="shared" si="49"/>
        <v>0</v>
      </c>
      <c r="P485" s="100">
        <f t="shared" si="43"/>
        <v>0</v>
      </c>
      <c r="Q485" s="2"/>
      <c r="R485" s="124"/>
      <c r="S485" s="124"/>
      <c r="T485" s="124"/>
      <c r="U485" s="124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</row>
    <row r="486" spans="1:65" ht="19.899999999999999" hidden="1" customHeight="1" outlineLevel="1">
      <c r="A486" s="1415"/>
      <c r="B486" s="1415"/>
      <c r="C486" s="550" t="s">
        <v>1508</v>
      </c>
      <c r="D486" s="197" t="s">
        <v>532</v>
      </c>
      <c r="E486" s="197"/>
      <c r="F486" s="197"/>
      <c r="G486" s="197"/>
      <c r="H486" s="197">
        <f t="shared" si="48"/>
        <v>0</v>
      </c>
      <c r="I486" s="197"/>
      <c r="J486" s="197"/>
      <c r="K486" s="197"/>
      <c r="L486" s="197">
        <f>2500000-525000-1975000</f>
        <v>0</v>
      </c>
      <c r="M486" s="197">
        <f>+L486</f>
        <v>0</v>
      </c>
      <c r="N486" s="197">
        <f>2500000-525000-1975000</f>
        <v>0</v>
      </c>
      <c r="O486" s="197">
        <f t="shared" si="49"/>
        <v>0</v>
      </c>
      <c r="P486" s="100">
        <f t="shared" si="43"/>
        <v>0</v>
      </c>
      <c r="Q486" s="2"/>
      <c r="R486" s="124"/>
      <c r="S486" s="124"/>
      <c r="T486" s="124"/>
      <c r="U486" s="124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</row>
    <row r="487" spans="1:65" ht="45.6" hidden="1" customHeight="1" outlineLevel="1">
      <c r="A487" s="1415"/>
      <c r="B487" s="1415"/>
      <c r="C487" s="550" t="s">
        <v>893</v>
      </c>
      <c r="D487" s="445" t="s">
        <v>1135</v>
      </c>
      <c r="E487" s="197"/>
      <c r="F487" s="197"/>
      <c r="G487" s="197"/>
      <c r="H487" s="197">
        <f>+I487+L487</f>
        <v>0</v>
      </c>
      <c r="I487" s="197"/>
      <c r="J487" s="197"/>
      <c r="K487" s="197"/>
      <c r="L487" s="197"/>
      <c r="M487" s="197">
        <f>+L487</f>
        <v>0</v>
      </c>
      <c r="N487" s="197"/>
      <c r="O487" s="197">
        <f t="shared" si="49"/>
        <v>0</v>
      </c>
      <c r="P487" s="162">
        <f t="shared" si="43"/>
        <v>0</v>
      </c>
      <c r="R487" s="71"/>
      <c r="S487" s="71"/>
      <c r="T487" s="71"/>
      <c r="U487" s="71"/>
    </row>
    <row r="488" spans="1:65" ht="22.9" hidden="1" customHeight="1">
      <c r="A488" s="359" t="s">
        <v>1174</v>
      </c>
      <c r="B488" s="359"/>
      <c r="C488" s="359" t="s">
        <v>962</v>
      </c>
      <c r="D488" s="360" t="s">
        <v>726</v>
      </c>
      <c r="E488" s="487">
        <f>SUM(E489:E507)-E504-E505-E503</f>
        <v>0</v>
      </c>
      <c r="F488" s="487">
        <f>SUM(F489:F507)-F504-F505-F503</f>
        <v>0</v>
      </c>
      <c r="G488" s="487">
        <f>SUM(G489:G507)-G504-G505-G503</f>
        <v>0</v>
      </c>
      <c r="H488" s="487">
        <f>SUM(H489:H507)</f>
        <v>0</v>
      </c>
      <c r="I488" s="487">
        <f t="shared" ref="I488:N488" si="51">SUM(I489:I507)-I504-I505</f>
        <v>0</v>
      </c>
      <c r="J488" s="487">
        <f t="shared" si="51"/>
        <v>0</v>
      </c>
      <c r="K488" s="487">
        <f t="shared" si="51"/>
        <v>0</v>
      </c>
      <c r="L488" s="487">
        <f t="shared" si="51"/>
        <v>0</v>
      </c>
      <c r="M488" s="487">
        <f t="shared" si="51"/>
        <v>0</v>
      </c>
      <c r="N488" s="487">
        <f t="shared" si="51"/>
        <v>0</v>
      </c>
      <c r="O488" s="487">
        <f t="shared" si="49"/>
        <v>0</v>
      </c>
      <c r="P488" s="162">
        <f t="shared" si="43"/>
        <v>0</v>
      </c>
      <c r="R488" s="71">
        <f>+E495+E498</f>
        <v>0</v>
      </c>
      <c r="S488" s="71"/>
      <c r="T488" s="71"/>
      <c r="U488" s="71"/>
    </row>
    <row r="489" spans="1:65" ht="22.9" hidden="1" customHeight="1">
      <c r="A489" s="1415"/>
      <c r="B489" s="1415"/>
      <c r="C489" s="570" t="s">
        <v>1624</v>
      </c>
      <c r="D489" s="171" t="s">
        <v>514</v>
      </c>
      <c r="E489" s="173">
        <f>5738.6-5738.6</f>
        <v>0</v>
      </c>
      <c r="F489" s="173">
        <f>5738.6-5738.6</f>
        <v>0</v>
      </c>
      <c r="G489" s="173">
        <f>137-137</f>
        <v>0</v>
      </c>
      <c r="H489" s="173">
        <f>+I489+L489</f>
        <v>0</v>
      </c>
      <c r="I489" s="173"/>
      <c r="J489" s="173"/>
      <c r="K489" s="173"/>
      <c r="L489" s="194"/>
      <c r="M489" s="173"/>
      <c r="N489" s="194"/>
      <c r="O489" s="173">
        <f t="shared" si="49"/>
        <v>0</v>
      </c>
      <c r="P489" s="100">
        <f t="shared" si="43"/>
        <v>0</v>
      </c>
      <c r="Q489" s="2"/>
      <c r="R489" s="7"/>
      <c r="S489" s="7"/>
      <c r="T489" s="7"/>
      <c r="U489" s="7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</row>
    <row r="490" spans="1:65" ht="22.9" hidden="1" customHeight="1">
      <c r="A490" s="1415"/>
      <c r="B490" s="1415"/>
      <c r="C490" s="570" t="s">
        <v>516</v>
      </c>
      <c r="D490" s="171" t="s">
        <v>1405</v>
      </c>
      <c r="E490" s="173">
        <f>148+138.1-286.1</f>
        <v>0</v>
      </c>
      <c r="F490" s="173">
        <f>148+138.1-286.1</f>
        <v>0</v>
      </c>
      <c r="G490" s="173">
        <f>11.5+16-27.5</f>
        <v>0</v>
      </c>
      <c r="H490" s="173">
        <f>+I490+L490</f>
        <v>0</v>
      </c>
      <c r="I490" s="173"/>
      <c r="J490" s="173"/>
      <c r="K490" s="173"/>
      <c r="L490" s="194"/>
      <c r="M490" s="173"/>
      <c r="N490" s="194"/>
      <c r="O490" s="173">
        <f t="shared" si="49"/>
        <v>0</v>
      </c>
      <c r="P490" s="100">
        <f t="shared" si="43"/>
        <v>0</v>
      </c>
      <c r="Q490" s="2"/>
      <c r="R490" s="124"/>
      <c r="S490" s="124"/>
      <c r="T490" s="124"/>
      <c r="U490" s="124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</row>
    <row r="491" spans="1:65" ht="31.15" hidden="1" customHeight="1">
      <c r="A491" s="1415"/>
      <c r="B491" s="1415"/>
      <c r="C491" s="570" t="s">
        <v>1625</v>
      </c>
      <c r="D491" s="171" t="s">
        <v>1406</v>
      </c>
      <c r="E491" s="173">
        <f>273.6+151-424.6</f>
        <v>0</v>
      </c>
      <c r="F491" s="173">
        <f>273.6+151-424.6</f>
        <v>0</v>
      </c>
      <c r="G491" s="173">
        <f>3+14.5-17.5</f>
        <v>0</v>
      </c>
      <c r="H491" s="173"/>
      <c r="I491" s="173"/>
      <c r="J491" s="173"/>
      <c r="K491" s="173"/>
      <c r="L491" s="194"/>
      <c r="M491" s="173"/>
      <c r="N491" s="194"/>
      <c r="O491" s="173">
        <f t="shared" si="49"/>
        <v>0</v>
      </c>
      <c r="P491" s="100">
        <f t="shared" si="43"/>
        <v>0</v>
      </c>
      <c r="Q491" s="2"/>
      <c r="R491" s="124"/>
      <c r="S491" s="124"/>
      <c r="T491" s="124"/>
      <c r="U491" s="124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</row>
    <row r="492" spans="1:65" ht="21" hidden="1" customHeight="1">
      <c r="A492" s="1415"/>
      <c r="B492" s="1415"/>
      <c r="C492" s="570" t="s">
        <v>1626</v>
      </c>
      <c r="D492" s="171" t="s">
        <v>515</v>
      </c>
      <c r="E492" s="173"/>
      <c r="F492" s="173"/>
      <c r="G492" s="173"/>
      <c r="H492" s="173">
        <f>+I492+L492</f>
        <v>0</v>
      </c>
      <c r="I492" s="173">
        <f>361.9-361.9</f>
        <v>0</v>
      </c>
      <c r="J492" s="173"/>
      <c r="K492" s="173"/>
      <c r="L492" s="194">
        <f>8-8</f>
        <v>0</v>
      </c>
      <c r="M492" s="173"/>
      <c r="N492" s="194">
        <f>8-8</f>
        <v>0</v>
      </c>
      <c r="O492" s="173">
        <f t="shared" si="49"/>
        <v>0</v>
      </c>
      <c r="P492" s="100">
        <f t="shared" si="43"/>
        <v>0</v>
      </c>
      <c r="Q492" s="2"/>
      <c r="R492" s="124"/>
      <c r="S492" s="124"/>
      <c r="T492" s="124"/>
      <c r="U492" s="124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</row>
    <row r="493" spans="1:65" ht="24" hidden="1" customHeight="1">
      <c r="A493" s="1415"/>
      <c r="B493" s="1415"/>
      <c r="C493" s="570" t="s">
        <v>1627</v>
      </c>
      <c r="D493" s="171" t="s">
        <v>1238</v>
      </c>
      <c r="E493" s="173"/>
      <c r="F493" s="173"/>
      <c r="G493" s="173"/>
      <c r="H493" s="173"/>
      <c r="I493" s="173"/>
      <c r="J493" s="173"/>
      <c r="K493" s="173"/>
      <c r="L493" s="194"/>
      <c r="M493" s="173"/>
      <c r="N493" s="194"/>
      <c r="O493" s="173">
        <f t="shared" si="49"/>
        <v>0</v>
      </c>
      <c r="P493" s="100">
        <f t="shared" si="43"/>
        <v>0</v>
      </c>
      <c r="Q493" s="2"/>
      <c r="R493" s="124"/>
      <c r="S493" s="124"/>
      <c r="T493" s="124"/>
      <c r="U493" s="124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</row>
    <row r="494" spans="1:65" ht="19.899999999999999" hidden="1" customHeight="1">
      <c r="A494" s="1415"/>
      <c r="B494" s="1415"/>
      <c r="C494" s="570" t="s">
        <v>1407</v>
      </c>
      <c r="D494" s="171" t="s">
        <v>966</v>
      </c>
      <c r="E494" s="173"/>
      <c r="F494" s="173"/>
      <c r="G494" s="173"/>
      <c r="H494" s="173"/>
      <c r="I494" s="173"/>
      <c r="J494" s="173"/>
      <c r="K494" s="173"/>
      <c r="L494" s="194"/>
      <c r="M494" s="173"/>
      <c r="N494" s="194"/>
      <c r="O494" s="173">
        <f t="shared" si="49"/>
        <v>0</v>
      </c>
      <c r="P494" s="100">
        <f t="shared" si="43"/>
        <v>0</v>
      </c>
      <c r="Q494" s="2"/>
      <c r="R494" s="124"/>
      <c r="S494" s="124"/>
      <c r="T494" s="124"/>
      <c r="U494" s="124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</row>
    <row r="495" spans="1:65" ht="19.899999999999999" hidden="1" customHeight="1">
      <c r="A495" s="1415"/>
      <c r="B495" s="1415"/>
      <c r="C495" s="570" t="s">
        <v>539</v>
      </c>
      <c r="D495" s="171" t="s">
        <v>1137</v>
      </c>
      <c r="E495" s="173"/>
      <c r="F495" s="173"/>
      <c r="G495" s="173"/>
      <c r="H495" s="173">
        <f t="shared" ref="H495:H538" si="52">+I495+L495</f>
        <v>0</v>
      </c>
      <c r="I495" s="173"/>
      <c r="J495" s="173"/>
      <c r="K495" s="173"/>
      <c r="L495" s="194"/>
      <c r="M495" s="173"/>
      <c r="N495" s="194"/>
      <c r="O495" s="173">
        <f t="shared" si="49"/>
        <v>0</v>
      </c>
      <c r="P495" s="100">
        <f t="shared" si="43"/>
        <v>0</v>
      </c>
      <c r="Q495" s="2"/>
      <c r="R495" s="124"/>
      <c r="S495" s="124"/>
      <c r="T495" s="124"/>
      <c r="U495" s="124"/>
      <c r="V495" s="2"/>
      <c r="W495" s="2"/>
      <c r="X495" s="2"/>
      <c r="Y495" s="2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</row>
    <row r="496" spans="1:65" ht="22.9" hidden="1" customHeight="1">
      <c r="A496" s="1415"/>
      <c r="B496" s="1415"/>
      <c r="C496" s="570" t="s">
        <v>727</v>
      </c>
      <c r="D496" s="171" t="s">
        <v>728</v>
      </c>
      <c r="E496" s="173"/>
      <c r="F496" s="173"/>
      <c r="G496" s="173"/>
      <c r="H496" s="173">
        <f t="shared" si="52"/>
        <v>0</v>
      </c>
      <c r="I496" s="173"/>
      <c r="J496" s="173"/>
      <c r="K496" s="173"/>
      <c r="L496" s="194"/>
      <c r="M496" s="173"/>
      <c r="N496" s="194"/>
      <c r="O496" s="173">
        <f t="shared" si="49"/>
        <v>0</v>
      </c>
      <c r="P496" s="100">
        <f t="shared" si="43"/>
        <v>0</v>
      </c>
      <c r="Q496" s="2"/>
      <c r="R496" s="124"/>
      <c r="S496" s="124"/>
      <c r="T496" s="124"/>
      <c r="U496" s="124"/>
      <c r="V496" s="2"/>
      <c r="W496" s="2"/>
      <c r="X496" s="2"/>
      <c r="Y496" s="2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</row>
    <row r="497" spans="1:65" ht="25.15" hidden="1" customHeight="1">
      <c r="A497" s="1415"/>
      <c r="B497" s="1415"/>
      <c r="C497" s="570" t="s">
        <v>1604</v>
      </c>
      <c r="D497" s="171" t="s">
        <v>387</v>
      </c>
      <c r="E497" s="173"/>
      <c r="F497" s="173"/>
      <c r="G497" s="173"/>
      <c r="H497" s="173">
        <f t="shared" si="52"/>
        <v>0</v>
      </c>
      <c r="I497" s="173"/>
      <c r="J497" s="173"/>
      <c r="K497" s="173"/>
      <c r="L497" s="194"/>
      <c r="M497" s="173"/>
      <c r="N497" s="194"/>
      <c r="O497" s="173">
        <f t="shared" si="49"/>
        <v>0</v>
      </c>
      <c r="P497" s="100">
        <f t="shared" si="43"/>
        <v>0</v>
      </c>
      <c r="Q497" s="2"/>
      <c r="R497" s="124"/>
      <c r="S497" s="124"/>
      <c r="T497" s="124"/>
      <c r="U497" s="124"/>
      <c r="V497" s="2"/>
      <c r="W497" s="2"/>
      <c r="X497" s="2"/>
      <c r="Y497" s="2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</row>
    <row r="498" spans="1:65" ht="40.15" hidden="1" customHeight="1">
      <c r="A498" s="1415"/>
      <c r="B498" s="1415"/>
      <c r="C498" s="569" t="s">
        <v>1622</v>
      </c>
      <c r="D498" s="364" t="s">
        <v>1200</v>
      </c>
      <c r="E498" s="488"/>
      <c r="F498" s="488"/>
      <c r="G498" s="488"/>
      <c r="H498" s="488">
        <f t="shared" si="52"/>
        <v>0</v>
      </c>
      <c r="I498" s="488"/>
      <c r="J498" s="488"/>
      <c r="K498" s="488"/>
      <c r="L498" s="488"/>
      <c r="M498" s="488"/>
      <c r="N498" s="488"/>
      <c r="O498" s="488">
        <f t="shared" si="49"/>
        <v>0</v>
      </c>
      <c r="P498" s="162">
        <f t="shared" si="43"/>
        <v>0</v>
      </c>
      <c r="R498" s="71"/>
      <c r="S498" s="71"/>
      <c r="T498" s="71"/>
      <c r="U498" s="71"/>
    </row>
    <row r="499" spans="1:65" ht="41.45" hidden="1" customHeight="1">
      <c r="A499" s="1415"/>
      <c r="B499" s="1415"/>
      <c r="C499" s="567" t="s">
        <v>1140</v>
      </c>
      <c r="D499" s="170" t="s">
        <v>1475</v>
      </c>
      <c r="E499" s="169"/>
      <c r="F499" s="169"/>
      <c r="G499" s="169"/>
      <c r="H499" s="169">
        <f t="shared" si="52"/>
        <v>0</v>
      </c>
      <c r="I499" s="169"/>
      <c r="J499" s="169"/>
      <c r="K499" s="169"/>
      <c r="L499" s="195"/>
      <c r="M499" s="169"/>
      <c r="N499" s="195"/>
      <c r="O499" s="169">
        <f t="shared" si="49"/>
        <v>0</v>
      </c>
      <c r="P499" s="100">
        <f t="shared" si="43"/>
        <v>0</v>
      </c>
      <c r="R499" s="71"/>
      <c r="S499" s="71"/>
      <c r="T499" s="71"/>
      <c r="U499" s="71"/>
    </row>
    <row r="500" spans="1:65" ht="67.150000000000006" hidden="1" customHeight="1">
      <c r="A500" s="1415"/>
      <c r="B500" s="1415"/>
      <c r="C500" s="569" t="s">
        <v>682</v>
      </c>
      <c r="D500" s="447" t="s">
        <v>683</v>
      </c>
      <c r="E500" s="488"/>
      <c r="F500" s="488"/>
      <c r="G500" s="488"/>
      <c r="H500" s="488">
        <f>+I500+L500</f>
        <v>0</v>
      </c>
      <c r="I500" s="488"/>
      <c r="J500" s="488"/>
      <c r="K500" s="488"/>
      <c r="L500" s="488"/>
      <c r="M500" s="488"/>
      <c r="N500" s="488"/>
      <c r="O500" s="488">
        <f t="shared" si="49"/>
        <v>0</v>
      </c>
      <c r="P500" s="162">
        <f t="shared" si="43"/>
        <v>0</v>
      </c>
      <c r="R500" s="71"/>
      <c r="S500" s="71"/>
      <c r="T500" s="71"/>
      <c r="U500" s="71"/>
    </row>
    <row r="501" spans="1:65" ht="70.150000000000006" hidden="1" customHeight="1">
      <c r="A501" s="1415"/>
      <c r="B501" s="1415"/>
      <c r="C501" s="569" t="s">
        <v>1127</v>
      </c>
      <c r="D501" s="217" t="s">
        <v>1268</v>
      </c>
      <c r="E501" s="488"/>
      <c r="F501" s="488"/>
      <c r="G501" s="488"/>
      <c r="H501" s="488">
        <f t="shared" si="52"/>
        <v>0</v>
      </c>
      <c r="I501" s="488"/>
      <c r="J501" s="488"/>
      <c r="K501" s="488"/>
      <c r="L501" s="488"/>
      <c r="M501" s="488"/>
      <c r="N501" s="488"/>
      <c r="O501" s="488">
        <f t="shared" si="49"/>
        <v>0</v>
      </c>
      <c r="P501" s="162">
        <f t="shared" si="43"/>
        <v>0</v>
      </c>
      <c r="Q501" s="54"/>
      <c r="R501" s="123"/>
      <c r="S501" s="123"/>
      <c r="T501" s="123"/>
      <c r="U501" s="123"/>
      <c r="V501" s="54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</row>
    <row r="502" spans="1:65" ht="22.15" hidden="1" customHeight="1">
      <c r="A502" s="1415"/>
      <c r="B502" s="1415"/>
      <c r="C502" s="565"/>
      <c r="D502" s="217" t="s">
        <v>1598</v>
      </c>
      <c r="E502" s="363"/>
      <c r="F502" s="363"/>
      <c r="G502" s="363"/>
      <c r="H502" s="363"/>
      <c r="I502" s="363"/>
      <c r="J502" s="363"/>
      <c r="K502" s="363"/>
      <c r="L502" s="365"/>
      <c r="M502" s="363"/>
      <c r="N502" s="365"/>
      <c r="O502" s="363"/>
      <c r="P502" s="100"/>
      <c r="Q502" s="54"/>
      <c r="R502" s="123"/>
      <c r="S502" s="123"/>
      <c r="T502" s="123"/>
      <c r="U502" s="123"/>
      <c r="V502" s="54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</row>
    <row r="503" spans="1:65" ht="78.75" hidden="1" customHeight="1">
      <c r="A503" s="1415"/>
      <c r="B503" s="1415"/>
      <c r="C503" s="565"/>
      <c r="D503" s="370" t="s">
        <v>234</v>
      </c>
      <c r="E503" s="364"/>
      <c r="F503" s="364"/>
      <c r="G503" s="364"/>
      <c r="H503" s="364">
        <f t="shared" si="52"/>
        <v>0</v>
      </c>
      <c r="I503" s="364"/>
      <c r="J503" s="364"/>
      <c r="K503" s="364"/>
      <c r="L503" s="369"/>
      <c r="M503" s="364"/>
      <c r="N503" s="369"/>
      <c r="O503" s="364">
        <f>+E503+H503</f>
        <v>0</v>
      </c>
      <c r="P503" s="100">
        <f t="shared" si="43"/>
        <v>0</v>
      </c>
      <c r="Q503" s="54"/>
      <c r="R503" s="123"/>
      <c r="S503" s="123"/>
      <c r="T503" s="123"/>
      <c r="U503" s="123"/>
      <c r="V503" s="54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</row>
    <row r="504" spans="1:65" ht="169.5" hidden="1" customHeight="1">
      <c r="A504" s="1415"/>
      <c r="B504" s="1415"/>
      <c r="C504" s="565"/>
      <c r="D504" s="370" t="s">
        <v>1587</v>
      </c>
      <c r="E504" s="364"/>
      <c r="F504" s="364"/>
      <c r="G504" s="364"/>
      <c r="H504" s="364">
        <f t="shared" si="52"/>
        <v>0</v>
      </c>
      <c r="I504" s="364"/>
      <c r="J504" s="364"/>
      <c r="K504" s="364"/>
      <c r="L504" s="369"/>
      <c r="M504" s="364"/>
      <c r="N504" s="369"/>
      <c r="O504" s="364">
        <f>+E504+H504</f>
        <v>0</v>
      </c>
      <c r="P504" s="100">
        <f t="shared" si="43"/>
        <v>0</v>
      </c>
      <c r="Q504" s="54"/>
      <c r="R504" s="123"/>
      <c r="S504" s="123"/>
      <c r="T504" s="123"/>
      <c r="U504" s="123"/>
      <c r="V504" s="54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</row>
    <row r="505" spans="1:65" ht="30.6" hidden="1" customHeight="1">
      <c r="A505" s="1415"/>
      <c r="B505" s="1415"/>
      <c r="C505" s="550"/>
      <c r="D505" s="558" t="s">
        <v>1041</v>
      </c>
      <c r="E505" s="180"/>
      <c r="F505" s="180"/>
      <c r="G505" s="180"/>
      <c r="H505" s="180">
        <f t="shared" si="52"/>
        <v>0</v>
      </c>
      <c r="I505" s="180"/>
      <c r="J505" s="180"/>
      <c r="K505" s="180"/>
      <c r="L505" s="193"/>
      <c r="M505" s="180"/>
      <c r="N505" s="193"/>
      <c r="O505" s="180">
        <f>+E505+H505</f>
        <v>0</v>
      </c>
      <c r="P505" s="100">
        <f t="shared" si="43"/>
        <v>0</v>
      </c>
      <c r="Q505" s="54"/>
      <c r="R505" s="123"/>
      <c r="S505" s="123"/>
      <c r="T505" s="123"/>
      <c r="U505" s="123"/>
      <c r="V505" s="54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</row>
    <row r="506" spans="1:65" ht="32.450000000000003" hidden="1" customHeight="1">
      <c r="A506" s="1415"/>
      <c r="B506" s="1415"/>
      <c r="C506" s="570" t="s">
        <v>1512</v>
      </c>
      <c r="D506" s="171" t="s">
        <v>268</v>
      </c>
      <c r="E506" s="173"/>
      <c r="F506" s="173"/>
      <c r="G506" s="173"/>
      <c r="H506" s="173">
        <f t="shared" si="52"/>
        <v>0</v>
      </c>
      <c r="I506" s="173"/>
      <c r="J506" s="173"/>
      <c r="K506" s="173"/>
      <c r="L506" s="194"/>
      <c r="M506" s="173"/>
      <c r="N506" s="194"/>
      <c r="O506" s="173">
        <f>+E506+H506</f>
        <v>0</v>
      </c>
      <c r="P506" s="100">
        <f t="shared" si="43"/>
        <v>0</v>
      </c>
      <c r="Q506" s="54"/>
      <c r="R506" s="125"/>
      <c r="S506" s="125"/>
      <c r="T506" s="125"/>
      <c r="U506" s="125"/>
      <c r="V506" s="54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</row>
    <row r="507" spans="1:65" ht="37.9" hidden="1" customHeight="1">
      <c r="A507" s="1415"/>
      <c r="B507" s="1415"/>
      <c r="C507" s="569" t="s">
        <v>1287</v>
      </c>
      <c r="D507" s="197" t="s">
        <v>1478</v>
      </c>
      <c r="E507" s="488"/>
      <c r="F507" s="488"/>
      <c r="G507" s="488"/>
      <c r="H507" s="488">
        <f t="shared" si="52"/>
        <v>0</v>
      </c>
      <c r="I507" s="488"/>
      <c r="J507" s="488"/>
      <c r="K507" s="488"/>
      <c r="L507" s="488"/>
      <c r="M507" s="488"/>
      <c r="N507" s="488"/>
      <c r="O507" s="488">
        <f>+E507+H507</f>
        <v>0</v>
      </c>
      <c r="P507" s="162">
        <f t="shared" si="43"/>
        <v>0</v>
      </c>
      <c r="R507" s="71"/>
      <c r="S507" s="71"/>
      <c r="T507" s="71"/>
      <c r="U507" s="71"/>
    </row>
    <row r="508" spans="1:65" ht="26.45" hidden="1" customHeight="1">
      <c r="A508" s="1415"/>
      <c r="B508" s="1415"/>
      <c r="C508" s="570"/>
      <c r="D508" s="364" t="s">
        <v>747</v>
      </c>
      <c r="E508" s="363"/>
      <c r="F508" s="363"/>
      <c r="G508" s="363"/>
      <c r="H508" s="363"/>
      <c r="I508" s="363"/>
      <c r="J508" s="363"/>
      <c r="K508" s="363"/>
      <c r="L508" s="365"/>
      <c r="M508" s="363"/>
      <c r="N508" s="365"/>
      <c r="O508" s="363"/>
      <c r="P508" s="100"/>
      <c r="R508" s="71"/>
      <c r="S508" s="71"/>
      <c r="T508" s="71"/>
      <c r="U508" s="71"/>
    </row>
    <row r="509" spans="1:65" ht="78.599999999999994" hidden="1" customHeight="1">
      <c r="A509" s="1415"/>
      <c r="B509" s="1415"/>
      <c r="C509" s="570"/>
      <c r="D509" s="370" t="s">
        <v>234</v>
      </c>
      <c r="E509" s="363"/>
      <c r="F509" s="363"/>
      <c r="G509" s="363"/>
      <c r="H509" s="363"/>
      <c r="I509" s="363"/>
      <c r="J509" s="363"/>
      <c r="K509" s="363"/>
      <c r="L509" s="365"/>
      <c r="M509" s="363"/>
      <c r="N509" s="365"/>
      <c r="O509" s="197">
        <f t="shared" ref="O509:O552" si="53">+E509+H509</f>
        <v>0</v>
      </c>
      <c r="P509" s="100">
        <f t="shared" si="43"/>
        <v>0</v>
      </c>
      <c r="R509" s="71"/>
      <c r="S509" s="71"/>
      <c r="T509" s="71"/>
      <c r="U509" s="71"/>
    </row>
    <row r="510" spans="1:65" ht="64.150000000000006" hidden="1" customHeight="1">
      <c r="A510" s="1415"/>
      <c r="B510" s="1415"/>
      <c r="C510" s="570"/>
      <c r="D510" s="370" t="s">
        <v>90</v>
      </c>
      <c r="E510" s="363"/>
      <c r="F510" s="363"/>
      <c r="G510" s="363"/>
      <c r="H510" s="363"/>
      <c r="I510" s="363"/>
      <c r="J510" s="363"/>
      <c r="K510" s="363"/>
      <c r="L510" s="365"/>
      <c r="M510" s="363"/>
      <c r="N510" s="365"/>
      <c r="O510" s="197">
        <f t="shared" si="53"/>
        <v>0</v>
      </c>
      <c r="P510" s="100">
        <f t="shared" si="43"/>
        <v>0</v>
      </c>
      <c r="R510" s="71"/>
      <c r="S510" s="71"/>
      <c r="T510" s="71"/>
      <c r="U510" s="71"/>
    </row>
    <row r="511" spans="1:65" ht="67.900000000000006" hidden="1" customHeight="1">
      <c r="A511" s="1415"/>
      <c r="B511" s="1415"/>
      <c r="C511" s="570"/>
      <c r="D511" s="364" t="s">
        <v>1466</v>
      </c>
      <c r="E511" s="363"/>
      <c r="F511" s="363"/>
      <c r="G511" s="363"/>
      <c r="H511" s="363"/>
      <c r="I511" s="363"/>
      <c r="J511" s="363"/>
      <c r="K511" s="363"/>
      <c r="L511" s="365"/>
      <c r="M511" s="363"/>
      <c r="N511" s="365"/>
      <c r="O511" s="197">
        <f t="shared" si="53"/>
        <v>0</v>
      </c>
      <c r="P511" s="100">
        <f t="shared" si="43"/>
        <v>0</v>
      </c>
      <c r="R511" s="71"/>
      <c r="S511" s="71"/>
      <c r="T511" s="71"/>
      <c r="U511" s="71"/>
    </row>
    <row r="512" spans="1:65" ht="19.149999999999999" hidden="1" customHeight="1">
      <c r="A512" s="1415"/>
      <c r="B512" s="1415"/>
      <c r="C512" s="570"/>
      <c r="D512" s="171" t="s">
        <v>710</v>
      </c>
      <c r="E512" s="173"/>
      <c r="F512" s="173"/>
      <c r="G512" s="173"/>
      <c r="H512" s="173"/>
      <c r="I512" s="173"/>
      <c r="J512" s="173"/>
      <c r="K512" s="173"/>
      <c r="L512" s="194"/>
      <c r="M512" s="173"/>
      <c r="N512" s="194"/>
      <c r="O512" s="173">
        <f t="shared" si="53"/>
        <v>0</v>
      </c>
      <c r="P512" s="100">
        <f t="shared" si="43"/>
        <v>0</v>
      </c>
      <c r="Q512" s="2"/>
      <c r="R512" s="7"/>
      <c r="S512" s="7"/>
      <c r="T512" s="7"/>
      <c r="U512" s="7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</row>
    <row r="513" spans="1:65" ht="21" hidden="1" customHeight="1">
      <c r="A513" s="1415"/>
      <c r="B513" s="1415"/>
      <c r="C513" s="570"/>
      <c r="D513" s="171" t="s">
        <v>712</v>
      </c>
      <c r="E513" s="173"/>
      <c r="F513" s="173"/>
      <c r="G513" s="173"/>
      <c r="H513" s="173"/>
      <c r="I513" s="173"/>
      <c r="J513" s="173"/>
      <c r="K513" s="173"/>
      <c r="L513" s="194"/>
      <c r="M513" s="173"/>
      <c r="N513" s="194"/>
      <c r="O513" s="173">
        <f t="shared" si="53"/>
        <v>0</v>
      </c>
      <c r="P513" s="100">
        <f t="shared" si="43"/>
        <v>0</v>
      </c>
      <c r="Q513" s="2"/>
      <c r="R513" s="124"/>
      <c r="S513" s="124"/>
      <c r="T513" s="124"/>
      <c r="U513" s="124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</row>
    <row r="514" spans="1:65" ht="34.15" hidden="1" customHeight="1">
      <c r="A514" s="1415"/>
      <c r="B514" s="1415"/>
      <c r="C514" s="570"/>
      <c r="D514" s="171" t="s">
        <v>186</v>
      </c>
      <c r="E514" s="173"/>
      <c r="F514" s="173"/>
      <c r="G514" s="173"/>
      <c r="H514" s="173"/>
      <c r="I514" s="173"/>
      <c r="J514" s="173"/>
      <c r="K514" s="173"/>
      <c r="L514" s="194"/>
      <c r="M514" s="173"/>
      <c r="N514" s="194"/>
      <c r="O514" s="173">
        <f t="shared" si="53"/>
        <v>0</v>
      </c>
      <c r="P514" s="100">
        <f t="shared" si="43"/>
        <v>0</v>
      </c>
      <c r="Q514" s="2"/>
      <c r="R514" s="124"/>
      <c r="S514" s="124"/>
      <c r="T514" s="124"/>
      <c r="U514" s="124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</row>
    <row r="515" spans="1:65" ht="42.6" hidden="1" customHeight="1">
      <c r="A515" s="1415"/>
      <c r="B515" s="1415"/>
      <c r="C515" s="570"/>
      <c r="D515" s="171" t="s">
        <v>976</v>
      </c>
      <c r="E515" s="173"/>
      <c r="F515" s="173"/>
      <c r="G515" s="173"/>
      <c r="H515" s="173"/>
      <c r="I515" s="173"/>
      <c r="J515" s="173"/>
      <c r="K515" s="173"/>
      <c r="L515" s="194"/>
      <c r="M515" s="173"/>
      <c r="N515" s="194"/>
      <c r="O515" s="173">
        <f t="shared" si="53"/>
        <v>0</v>
      </c>
      <c r="P515" s="100">
        <f t="shared" ref="P515:P554" si="54">+O515</f>
        <v>0</v>
      </c>
      <c r="Q515" s="2"/>
      <c r="R515" s="124"/>
      <c r="S515" s="124"/>
      <c r="T515" s="124"/>
      <c r="U515" s="124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</row>
    <row r="516" spans="1:65" ht="46.9" hidden="1" customHeight="1">
      <c r="A516" s="1415"/>
      <c r="B516" s="1415"/>
      <c r="C516" s="570"/>
      <c r="D516" s="615" t="s">
        <v>753</v>
      </c>
      <c r="E516" s="173"/>
      <c r="F516" s="173"/>
      <c r="G516" s="173"/>
      <c r="H516" s="173"/>
      <c r="I516" s="173"/>
      <c r="J516" s="173"/>
      <c r="K516" s="173"/>
      <c r="L516" s="194"/>
      <c r="M516" s="173"/>
      <c r="N516" s="194"/>
      <c r="O516" s="173">
        <f t="shared" si="53"/>
        <v>0</v>
      </c>
      <c r="P516" s="100">
        <f t="shared" si="54"/>
        <v>0</v>
      </c>
      <c r="Q516" s="2"/>
      <c r="R516" s="124"/>
      <c r="S516" s="124"/>
      <c r="T516" s="124"/>
      <c r="U516" s="124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</row>
    <row r="517" spans="1:65" ht="49.9" customHeight="1">
      <c r="A517" s="359" t="s">
        <v>1174</v>
      </c>
      <c r="B517" s="359"/>
      <c r="C517" s="359" t="s">
        <v>1171</v>
      </c>
      <c r="D517" s="360" t="s">
        <v>1182</v>
      </c>
      <c r="E517" s="487">
        <f>+E518+E523+E524+E530+E532+E525</f>
        <v>8695000</v>
      </c>
      <c r="F517" s="487">
        <f t="shared" ref="F517:N517" si="55">+F518+F523+F524+F530+F532+F525</f>
        <v>0</v>
      </c>
      <c r="G517" s="487">
        <f t="shared" si="55"/>
        <v>0</v>
      </c>
      <c r="H517" s="487">
        <f t="shared" si="55"/>
        <v>2900000</v>
      </c>
      <c r="I517" s="487">
        <f t="shared" si="55"/>
        <v>0</v>
      </c>
      <c r="J517" s="487">
        <f t="shared" si="55"/>
        <v>0</v>
      </c>
      <c r="K517" s="487">
        <f t="shared" si="55"/>
        <v>0</v>
      </c>
      <c r="L517" s="487">
        <f t="shared" si="55"/>
        <v>2900000</v>
      </c>
      <c r="M517" s="487">
        <f t="shared" si="55"/>
        <v>2900000</v>
      </c>
      <c r="N517" s="487">
        <f t="shared" si="55"/>
        <v>2900000</v>
      </c>
      <c r="O517" s="487">
        <f t="shared" si="53"/>
        <v>11595000</v>
      </c>
      <c r="P517" s="162">
        <f t="shared" si="54"/>
        <v>11595000</v>
      </c>
      <c r="R517" s="71">
        <f>SUM(E523:E527)</f>
        <v>1633000</v>
      </c>
      <c r="S517" s="71"/>
      <c r="T517" s="71"/>
      <c r="U517" s="71"/>
      <c r="Y517" s="46"/>
      <c r="Z517" s="43" t="s">
        <v>310</v>
      </c>
      <c r="AA517" s="44">
        <f>SUM(AA523:AA524)</f>
        <v>193</v>
      </c>
      <c r="AB517" s="44">
        <f>SUM(AB523:AB524)</f>
        <v>193</v>
      </c>
      <c r="AC517" s="44">
        <f>SUM(AC523:AC524)</f>
        <v>24</v>
      </c>
    </row>
    <row r="518" spans="1:65" ht="40.9" customHeight="1">
      <c r="A518" s="1418" t="s">
        <v>1440</v>
      </c>
      <c r="B518" s="1419"/>
      <c r="C518" s="569" t="s">
        <v>729</v>
      </c>
      <c r="D518" s="364" t="s">
        <v>616</v>
      </c>
      <c r="E518" s="488">
        <f>+'видатки_затв '!C203</f>
        <v>4897000</v>
      </c>
      <c r="F518" s="488">
        <f>+'видатки_затв '!D203</f>
        <v>0</v>
      </c>
      <c r="G518" s="488">
        <f>+'видатки_затв '!E203</f>
        <v>0</v>
      </c>
      <c r="H518" s="488">
        <f t="shared" si="52"/>
        <v>2900000</v>
      </c>
      <c r="I518" s="488">
        <f>+'видатки_затв '!G203</f>
        <v>0</v>
      </c>
      <c r="J518" s="488">
        <f>+'видатки_затв '!H203</f>
        <v>0</v>
      </c>
      <c r="K518" s="488">
        <f>+'видатки_затв '!I203</f>
        <v>0</v>
      </c>
      <c r="L518" s="488">
        <f>+'видатки_затв '!J203</f>
        <v>2900000</v>
      </c>
      <c r="M518" s="488">
        <f>+'видатки_затв '!K203</f>
        <v>2900000</v>
      </c>
      <c r="N518" s="488">
        <f>+'видатки_затв '!L203</f>
        <v>2900000</v>
      </c>
      <c r="O518" s="488">
        <f t="shared" si="53"/>
        <v>7797000</v>
      </c>
      <c r="P518" s="162">
        <f t="shared" si="54"/>
        <v>7797000</v>
      </c>
      <c r="R518" s="71"/>
      <c r="S518" s="71"/>
      <c r="T518" s="71"/>
      <c r="U518" s="71"/>
      <c r="Y518" s="46"/>
      <c r="Z518" s="43"/>
      <c r="AA518" s="44"/>
      <c r="AB518" s="44"/>
      <c r="AC518" s="44"/>
    </row>
    <row r="519" spans="1:65" ht="89.45" hidden="1" customHeight="1">
      <c r="A519" s="1415"/>
      <c r="B519" s="1415"/>
      <c r="C519" s="575"/>
      <c r="D519" s="170" t="s">
        <v>735</v>
      </c>
      <c r="E519" s="169"/>
      <c r="F519" s="169"/>
      <c r="G519" s="169"/>
      <c r="H519" s="169"/>
      <c r="I519" s="169"/>
      <c r="J519" s="169"/>
      <c r="K519" s="169"/>
      <c r="L519" s="195"/>
      <c r="M519" s="169"/>
      <c r="N519" s="195"/>
      <c r="O519" s="169">
        <f t="shared" si="53"/>
        <v>0</v>
      </c>
      <c r="P519" s="100">
        <f t="shared" si="54"/>
        <v>0</v>
      </c>
      <c r="R519" s="71"/>
      <c r="S519" s="71"/>
      <c r="T519" s="71"/>
      <c r="U519" s="71"/>
      <c r="Y519" s="46"/>
      <c r="Z519" s="43"/>
      <c r="AA519" s="44"/>
      <c r="AB519" s="44"/>
      <c r="AC519" s="44"/>
    </row>
    <row r="520" spans="1:65" ht="25.15" hidden="1" customHeight="1">
      <c r="A520" s="1415"/>
      <c r="B520" s="1415"/>
      <c r="C520" s="575"/>
      <c r="D520" s="170" t="s">
        <v>1474</v>
      </c>
      <c r="E520" s="169"/>
      <c r="F520" s="169"/>
      <c r="G520" s="169"/>
      <c r="H520" s="169"/>
      <c r="I520" s="169"/>
      <c r="J520" s="169"/>
      <c r="K520" s="169"/>
      <c r="L520" s="195"/>
      <c r="M520" s="169"/>
      <c r="N520" s="195"/>
      <c r="O520" s="169">
        <f t="shared" si="53"/>
        <v>0</v>
      </c>
      <c r="P520" s="100">
        <f t="shared" si="54"/>
        <v>0</v>
      </c>
      <c r="R520" s="71"/>
      <c r="S520" s="71"/>
      <c r="T520" s="71"/>
      <c r="U520" s="71"/>
      <c r="Y520" s="46"/>
      <c r="Z520" s="43"/>
      <c r="AA520" s="44"/>
      <c r="AB520" s="44"/>
      <c r="AC520" s="44"/>
    </row>
    <row r="521" spans="1:65" ht="64.150000000000006" hidden="1" customHeight="1">
      <c r="A521" s="1415"/>
      <c r="B521" s="1415"/>
      <c r="C521" s="575"/>
      <c r="D521" s="170" t="s">
        <v>724</v>
      </c>
      <c r="E521" s="169"/>
      <c r="F521" s="169"/>
      <c r="G521" s="169"/>
      <c r="H521" s="169"/>
      <c r="I521" s="169"/>
      <c r="J521" s="169"/>
      <c r="K521" s="169"/>
      <c r="L521" s="195"/>
      <c r="M521" s="169"/>
      <c r="N521" s="195"/>
      <c r="O521" s="169">
        <f t="shared" si="53"/>
        <v>0</v>
      </c>
      <c r="P521" s="100">
        <f t="shared" si="54"/>
        <v>0</v>
      </c>
      <c r="R521" s="71"/>
      <c r="S521" s="71"/>
      <c r="T521" s="71"/>
      <c r="U521" s="71"/>
      <c r="Y521" s="46"/>
      <c r="Z521" s="43"/>
      <c r="AA521" s="44"/>
      <c r="AB521" s="44"/>
      <c r="AC521" s="44"/>
    </row>
    <row r="522" spans="1:65" ht="30" hidden="1" customHeight="1">
      <c r="A522" s="1415"/>
      <c r="B522" s="1415"/>
      <c r="C522" s="575"/>
      <c r="D522" s="170" t="s">
        <v>264</v>
      </c>
      <c r="E522" s="169"/>
      <c r="F522" s="169"/>
      <c r="G522" s="169"/>
      <c r="H522" s="169"/>
      <c r="I522" s="169"/>
      <c r="J522" s="169"/>
      <c r="K522" s="169"/>
      <c r="L522" s="195"/>
      <c r="M522" s="169"/>
      <c r="N522" s="195"/>
      <c r="O522" s="169">
        <f t="shared" si="53"/>
        <v>0</v>
      </c>
      <c r="P522" s="100">
        <f t="shared" si="54"/>
        <v>0</v>
      </c>
      <c r="R522" s="71"/>
      <c r="S522" s="71"/>
      <c r="T522" s="71"/>
      <c r="U522" s="71"/>
      <c r="Y522" s="46"/>
      <c r="Z522" s="43"/>
      <c r="AA522" s="44"/>
      <c r="AB522" s="44"/>
      <c r="AC522" s="44"/>
    </row>
    <row r="523" spans="1:65" ht="26.45" customHeight="1">
      <c r="A523" s="1416" t="s">
        <v>1441</v>
      </c>
      <c r="B523" s="1416"/>
      <c r="C523" s="569" t="s">
        <v>873</v>
      </c>
      <c r="D523" s="364" t="s">
        <v>647</v>
      </c>
      <c r="E523" s="488">
        <f>+'видатки_затв '!C204</f>
        <v>598000</v>
      </c>
      <c r="F523" s="488">
        <f>+'видатки_затв '!D204</f>
        <v>0</v>
      </c>
      <c r="G523" s="488">
        <f>+'видатки_затв '!E204</f>
        <v>0</v>
      </c>
      <c r="H523" s="488"/>
      <c r="I523" s="488"/>
      <c r="J523" s="488"/>
      <c r="K523" s="488"/>
      <c r="L523" s="488"/>
      <c r="M523" s="488"/>
      <c r="N523" s="488"/>
      <c r="O523" s="488">
        <f t="shared" si="53"/>
        <v>598000</v>
      </c>
      <c r="P523" s="162">
        <f t="shared" si="54"/>
        <v>598000</v>
      </c>
      <c r="R523" s="71"/>
      <c r="S523" s="71"/>
      <c r="T523" s="71"/>
      <c r="U523" s="71"/>
      <c r="Y523" s="46" t="s">
        <v>731</v>
      </c>
      <c r="Z523" s="45" t="s">
        <v>732</v>
      </c>
      <c r="AA523" s="44">
        <f>+AB523+AE523</f>
        <v>150</v>
      </c>
      <c r="AB523" s="44">
        <v>150</v>
      </c>
      <c r="AC523" s="44"/>
    </row>
    <row r="524" spans="1:65" ht="24">
      <c r="A524" s="1416" t="s">
        <v>1442</v>
      </c>
      <c r="B524" s="1416"/>
      <c r="C524" s="569" t="s">
        <v>733</v>
      </c>
      <c r="D524" s="364" t="s">
        <v>1048</v>
      </c>
      <c r="E524" s="488">
        <f>+'видатки_затв '!C205</f>
        <v>936000</v>
      </c>
      <c r="F524" s="488">
        <f>+'видатки_затв '!D205</f>
        <v>0</v>
      </c>
      <c r="G524" s="488">
        <f>+'видатки_затв '!E205</f>
        <v>0</v>
      </c>
      <c r="H524" s="488">
        <f t="shared" si="52"/>
        <v>0</v>
      </c>
      <c r="I524" s="488"/>
      <c r="J524" s="488"/>
      <c r="K524" s="488"/>
      <c r="L524" s="488"/>
      <c r="M524" s="488"/>
      <c r="N524" s="488"/>
      <c r="O524" s="488">
        <f t="shared" si="53"/>
        <v>936000</v>
      </c>
      <c r="P524" s="162">
        <f t="shared" si="54"/>
        <v>936000</v>
      </c>
      <c r="R524" s="71"/>
      <c r="S524" s="71"/>
      <c r="T524" s="71"/>
      <c r="U524" s="71"/>
      <c r="Y524" s="46" t="s">
        <v>733</v>
      </c>
      <c r="Z524" s="45" t="s">
        <v>1048</v>
      </c>
      <c r="AA524" s="44">
        <f>+AB524+AE524</f>
        <v>43</v>
      </c>
      <c r="AB524" s="44">
        <v>43</v>
      </c>
      <c r="AC524" s="44">
        <v>24</v>
      </c>
    </row>
    <row r="525" spans="1:65" ht="30.6" customHeight="1">
      <c r="A525" s="1416" t="s">
        <v>1443</v>
      </c>
      <c r="B525" s="1416"/>
      <c r="C525" s="569" t="s">
        <v>1188</v>
      </c>
      <c r="D525" s="364" t="s">
        <v>1187</v>
      </c>
      <c r="E525" s="488">
        <f>+'видатки_затв '!C206</f>
        <v>99000</v>
      </c>
      <c r="F525" s="488">
        <f>+'видатки_затв '!D206</f>
        <v>0</v>
      </c>
      <c r="G525" s="488">
        <f>+'видатки_затв '!E206</f>
        <v>0</v>
      </c>
      <c r="H525" s="488">
        <f>+I525+L525</f>
        <v>0</v>
      </c>
      <c r="I525" s="488"/>
      <c r="J525" s="488"/>
      <c r="K525" s="488"/>
      <c r="L525" s="488"/>
      <c r="M525" s="488"/>
      <c r="N525" s="488"/>
      <c r="O525" s="488">
        <f>+E525+H525</f>
        <v>99000</v>
      </c>
      <c r="P525" s="162">
        <f t="shared" si="54"/>
        <v>99000</v>
      </c>
      <c r="R525" s="71"/>
      <c r="S525" s="71"/>
      <c r="T525" s="71"/>
      <c r="U525" s="71"/>
      <c r="Y525" s="46"/>
      <c r="Z525" s="45"/>
      <c r="AA525" s="44"/>
      <c r="AB525" s="44"/>
      <c r="AC525" s="44"/>
    </row>
    <row r="526" spans="1:65" ht="18.600000000000001" hidden="1" customHeight="1">
      <c r="A526" s="1415"/>
      <c r="B526" s="1415"/>
      <c r="C526" s="575"/>
      <c r="D526" s="170" t="s">
        <v>642</v>
      </c>
      <c r="E526" s="169"/>
      <c r="F526" s="169"/>
      <c r="G526" s="169"/>
      <c r="H526" s="169"/>
      <c r="I526" s="169"/>
      <c r="J526" s="169"/>
      <c r="K526" s="169"/>
      <c r="L526" s="195"/>
      <c r="M526" s="169"/>
      <c r="N526" s="195"/>
      <c r="O526" s="169">
        <f t="shared" si="53"/>
        <v>0</v>
      </c>
      <c r="P526" s="100">
        <f t="shared" si="54"/>
        <v>0</v>
      </c>
      <c r="R526" s="71"/>
      <c r="S526" s="71"/>
      <c r="T526" s="71"/>
      <c r="U526" s="71"/>
      <c r="Y526" s="46"/>
      <c r="Z526" s="45"/>
      <c r="AA526" s="44"/>
      <c r="AB526" s="44"/>
      <c r="AC526" s="44"/>
    </row>
    <row r="527" spans="1:65" ht="18.600000000000001" hidden="1" customHeight="1">
      <c r="A527" s="1415"/>
      <c r="B527" s="1415"/>
      <c r="C527" s="575"/>
      <c r="D527" s="170" t="s">
        <v>205</v>
      </c>
      <c r="E527" s="169"/>
      <c r="F527" s="169"/>
      <c r="G527" s="169"/>
      <c r="H527" s="169">
        <f t="shared" si="52"/>
        <v>0</v>
      </c>
      <c r="I527" s="169"/>
      <c r="J527" s="169"/>
      <c r="K527" s="169"/>
      <c r="L527" s="195"/>
      <c r="M527" s="169"/>
      <c r="N527" s="195"/>
      <c r="O527" s="169">
        <f t="shared" si="53"/>
        <v>0</v>
      </c>
      <c r="P527" s="100">
        <f t="shared" si="54"/>
        <v>0</v>
      </c>
      <c r="R527" s="71"/>
      <c r="S527" s="71"/>
      <c r="T527" s="71"/>
      <c r="U527" s="71"/>
      <c r="Y527" s="46">
        <v>120300</v>
      </c>
      <c r="Z527" s="45" t="s">
        <v>1074</v>
      </c>
      <c r="AA527" s="44">
        <f>+AB527+AE527</f>
        <v>43</v>
      </c>
      <c r="AB527" s="44">
        <v>43</v>
      </c>
      <c r="AC527" s="44">
        <v>24</v>
      </c>
    </row>
    <row r="528" spans="1:65" ht="22.15" hidden="1" customHeight="1" outlineLevel="1">
      <c r="A528" s="1415"/>
      <c r="B528" s="1415"/>
      <c r="C528" s="570"/>
      <c r="D528" s="616" t="s">
        <v>265</v>
      </c>
      <c r="E528" s="173"/>
      <c r="F528" s="173"/>
      <c r="G528" s="173">
        <f>+G530+G532</f>
        <v>0</v>
      </c>
      <c r="H528" s="173">
        <f t="shared" si="52"/>
        <v>0</v>
      </c>
      <c r="I528" s="173">
        <f t="shared" ref="I528:N528" si="56">+I530+I532</f>
        <v>0</v>
      </c>
      <c r="J528" s="173">
        <f t="shared" si="56"/>
        <v>0</v>
      </c>
      <c r="K528" s="173">
        <f t="shared" si="56"/>
        <v>0</v>
      </c>
      <c r="L528" s="194">
        <f t="shared" si="56"/>
        <v>0</v>
      </c>
      <c r="M528" s="173">
        <f t="shared" si="56"/>
        <v>0</v>
      </c>
      <c r="N528" s="194">
        <f t="shared" si="56"/>
        <v>0</v>
      </c>
      <c r="O528" s="173">
        <f t="shared" si="53"/>
        <v>0</v>
      </c>
      <c r="P528" s="100">
        <f t="shared" si="54"/>
        <v>0</v>
      </c>
      <c r="Q528" s="2"/>
      <c r="R528" s="7">
        <f>+E530+E532</f>
        <v>2165000</v>
      </c>
      <c r="S528" s="7"/>
      <c r="T528" s="7"/>
      <c r="U528" s="7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</row>
    <row r="529" spans="1:65" ht="74.45" hidden="1" customHeight="1" outlineLevel="1">
      <c r="A529" s="1415"/>
      <c r="B529" s="1415"/>
      <c r="C529" s="575"/>
      <c r="D529" s="170" t="s">
        <v>59</v>
      </c>
      <c r="E529" s="173"/>
      <c r="F529" s="173"/>
      <c r="G529" s="173"/>
      <c r="H529" s="173"/>
      <c r="I529" s="173"/>
      <c r="J529" s="173"/>
      <c r="K529" s="173"/>
      <c r="L529" s="194"/>
      <c r="M529" s="173"/>
      <c r="N529" s="194"/>
      <c r="O529" s="173">
        <f t="shared" si="53"/>
        <v>0</v>
      </c>
      <c r="P529" s="100">
        <f t="shared" si="54"/>
        <v>0</v>
      </c>
      <c r="Q529" s="2"/>
      <c r="R529" s="7"/>
      <c r="S529" s="7"/>
      <c r="T529" s="7"/>
      <c r="U529" s="7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</row>
    <row r="530" spans="1:65" ht="34.9" customHeight="1" outlineLevel="1">
      <c r="A530" s="1416" t="s">
        <v>1444</v>
      </c>
      <c r="B530" s="1416"/>
      <c r="C530" s="569" t="s">
        <v>1512</v>
      </c>
      <c r="D530" s="364" t="s">
        <v>49</v>
      </c>
      <c r="E530" s="488">
        <f>95000+400000</f>
        <v>495000</v>
      </c>
      <c r="F530" s="488"/>
      <c r="G530" s="488"/>
      <c r="H530" s="488">
        <f t="shared" si="52"/>
        <v>0</v>
      </c>
      <c r="I530" s="488"/>
      <c r="J530" s="488"/>
      <c r="K530" s="488"/>
      <c r="L530" s="488"/>
      <c r="M530" s="488"/>
      <c r="N530" s="488"/>
      <c r="O530" s="488">
        <f t="shared" si="53"/>
        <v>495000</v>
      </c>
      <c r="P530" s="162">
        <f t="shared" si="54"/>
        <v>495000</v>
      </c>
      <c r="Q530" s="2"/>
      <c r="R530" s="124"/>
      <c r="S530" s="124"/>
      <c r="T530" s="124"/>
      <c r="U530" s="124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</row>
    <row r="531" spans="1:65" ht="32.450000000000003" customHeight="1" outlineLevel="1">
      <c r="A531" s="1415"/>
      <c r="B531" s="1415"/>
      <c r="C531" s="569"/>
      <c r="D531" s="364" t="s">
        <v>127</v>
      </c>
      <c r="E531" s="488">
        <v>400000</v>
      </c>
      <c r="F531" s="488"/>
      <c r="G531" s="488"/>
      <c r="H531" s="488"/>
      <c r="I531" s="488"/>
      <c r="J531" s="488"/>
      <c r="K531" s="488"/>
      <c r="L531" s="488"/>
      <c r="M531" s="488"/>
      <c r="N531" s="488"/>
      <c r="O531" s="488">
        <f t="shared" si="53"/>
        <v>400000</v>
      </c>
      <c r="P531" s="162">
        <f t="shared" si="54"/>
        <v>400000</v>
      </c>
      <c r="Q531" s="2"/>
      <c r="R531" s="124"/>
      <c r="S531" s="124"/>
      <c r="T531" s="124"/>
      <c r="U531" s="124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</row>
    <row r="532" spans="1:65" ht="21.6" customHeight="1" outlineLevel="1">
      <c r="A532" s="1416" t="s">
        <v>1384</v>
      </c>
      <c r="B532" s="1416"/>
      <c r="C532" s="569" t="s">
        <v>1287</v>
      </c>
      <c r="D532" s="364" t="s">
        <v>866</v>
      </c>
      <c r="E532" s="488">
        <f>1300000+370000</f>
        <v>1670000</v>
      </c>
      <c r="F532" s="689"/>
      <c r="G532" s="689"/>
      <c r="H532" s="689">
        <f t="shared" si="52"/>
        <v>0</v>
      </c>
      <c r="I532" s="689"/>
      <c r="J532" s="689"/>
      <c r="K532" s="689"/>
      <c r="L532" s="691"/>
      <c r="M532" s="689"/>
      <c r="N532" s="691"/>
      <c r="O532" s="364">
        <f t="shared" si="53"/>
        <v>1670000</v>
      </c>
      <c r="P532" s="100">
        <f t="shared" si="54"/>
        <v>1670000</v>
      </c>
      <c r="Q532" s="2"/>
      <c r="R532" s="124"/>
      <c r="S532" s="124"/>
      <c r="T532" s="124"/>
      <c r="U532" s="124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</row>
    <row r="533" spans="1:65" ht="26.45" customHeight="1" outlineLevel="1">
      <c r="A533" s="1415"/>
      <c r="B533" s="1415"/>
      <c r="C533" s="570"/>
      <c r="D533" s="364" t="s">
        <v>1598</v>
      </c>
      <c r="E533" s="173"/>
      <c r="F533" s="173"/>
      <c r="G533" s="173">
        <f>+G534</f>
        <v>0</v>
      </c>
      <c r="H533" s="173">
        <f t="shared" si="52"/>
        <v>0</v>
      </c>
      <c r="I533" s="173">
        <f t="shared" ref="I533:N533" si="57">+I534</f>
        <v>0</v>
      </c>
      <c r="J533" s="173">
        <f t="shared" si="57"/>
        <v>0</v>
      </c>
      <c r="K533" s="173">
        <f t="shared" si="57"/>
        <v>0</v>
      </c>
      <c r="L533" s="194">
        <f t="shared" si="57"/>
        <v>0</v>
      </c>
      <c r="M533" s="173">
        <f t="shared" si="57"/>
        <v>0</v>
      </c>
      <c r="N533" s="194">
        <f t="shared" si="57"/>
        <v>0</v>
      </c>
      <c r="O533" s="173">
        <f t="shared" si="53"/>
        <v>0</v>
      </c>
      <c r="P533" s="100">
        <v>1</v>
      </c>
      <c r="Q533" s="2"/>
      <c r="R533" s="124">
        <f>+E534</f>
        <v>250000</v>
      </c>
      <c r="S533" s="124"/>
      <c r="T533" s="124"/>
      <c r="U533" s="124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</row>
    <row r="534" spans="1:65" ht="49.15" customHeight="1" outlineLevel="1" collapsed="1">
      <c r="A534" s="1415"/>
      <c r="B534" s="1415"/>
      <c r="C534" s="570"/>
      <c r="D534" s="364" t="s">
        <v>548</v>
      </c>
      <c r="E534" s="488">
        <v>250000</v>
      </c>
      <c r="F534" s="488"/>
      <c r="G534" s="488"/>
      <c r="H534" s="488">
        <f t="shared" si="52"/>
        <v>0</v>
      </c>
      <c r="I534" s="488"/>
      <c r="J534" s="488"/>
      <c r="K534" s="488"/>
      <c r="L534" s="488"/>
      <c r="M534" s="488"/>
      <c r="N534" s="488"/>
      <c r="O534" s="488">
        <f t="shared" si="53"/>
        <v>250000</v>
      </c>
      <c r="P534" s="100">
        <f t="shared" si="54"/>
        <v>250000</v>
      </c>
      <c r="Q534" s="2"/>
      <c r="R534" s="124"/>
      <c r="S534" s="124"/>
      <c r="T534" s="124"/>
      <c r="U534" s="124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</row>
    <row r="535" spans="1:65" ht="40.15" customHeight="1" outlineLevel="1">
      <c r="A535" s="1415"/>
      <c r="B535" s="1415"/>
      <c r="C535" s="570"/>
      <c r="D535" s="364" t="s">
        <v>125</v>
      </c>
      <c r="E535" s="488">
        <v>120000</v>
      </c>
      <c r="F535" s="488"/>
      <c r="G535" s="488">
        <f>+G536</f>
        <v>0</v>
      </c>
      <c r="H535" s="488">
        <f t="shared" si="52"/>
        <v>0</v>
      </c>
      <c r="I535" s="488">
        <f t="shared" ref="I535:N535" si="58">+I536</f>
        <v>0</v>
      </c>
      <c r="J535" s="488">
        <f t="shared" si="58"/>
        <v>0</v>
      </c>
      <c r="K535" s="488">
        <f t="shared" si="58"/>
        <v>0</v>
      </c>
      <c r="L535" s="488">
        <f t="shared" si="58"/>
        <v>0</v>
      </c>
      <c r="M535" s="488">
        <f t="shared" si="58"/>
        <v>0</v>
      </c>
      <c r="N535" s="488">
        <f t="shared" si="58"/>
        <v>0</v>
      </c>
      <c r="O535" s="488">
        <f t="shared" si="53"/>
        <v>120000</v>
      </c>
      <c r="P535" s="100">
        <f t="shared" si="54"/>
        <v>120000</v>
      </c>
      <c r="Q535" s="2"/>
      <c r="R535" s="124">
        <f>+E536</f>
        <v>0</v>
      </c>
      <c r="S535" s="124"/>
      <c r="T535" s="124"/>
      <c r="U535" s="124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</row>
    <row r="536" spans="1:65" ht="15.75" hidden="1" outlineLevel="1">
      <c r="A536" s="1415"/>
      <c r="B536" s="1415"/>
      <c r="C536" s="570"/>
      <c r="D536" s="171"/>
      <c r="E536" s="173"/>
      <c r="F536" s="173"/>
      <c r="G536" s="173"/>
      <c r="H536" s="173">
        <f t="shared" si="52"/>
        <v>0</v>
      </c>
      <c r="I536" s="173"/>
      <c r="J536" s="173"/>
      <c r="K536" s="173"/>
      <c r="L536" s="194"/>
      <c r="M536" s="173"/>
      <c r="N536" s="194"/>
      <c r="O536" s="173">
        <f t="shared" si="53"/>
        <v>0</v>
      </c>
      <c r="P536" s="100">
        <f t="shared" si="54"/>
        <v>0</v>
      </c>
      <c r="Q536" s="2"/>
      <c r="R536" s="124"/>
      <c r="S536" s="124"/>
      <c r="T536" s="124"/>
      <c r="U536" s="124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</row>
    <row r="537" spans="1:65" ht="15.75" hidden="1" outlineLevel="1">
      <c r="A537" s="1415"/>
      <c r="B537" s="1415"/>
      <c r="C537" s="570"/>
      <c r="D537" s="617"/>
      <c r="E537" s="173"/>
      <c r="F537" s="173"/>
      <c r="G537" s="173">
        <f>+G538</f>
        <v>0</v>
      </c>
      <c r="H537" s="173">
        <f t="shared" si="52"/>
        <v>0</v>
      </c>
      <c r="I537" s="173">
        <f t="shared" ref="I537:N537" si="59">+I538</f>
        <v>0</v>
      </c>
      <c r="J537" s="173">
        <f t="shared" si="59"/>
        <v>0</v>
      </c>
      <c r="K537" s="173">
        <f t="shared" si="59"/>
        <v>0</v>
      </c>
      <c r="L537" s="194">
        <f t="shared" si="59"/>
        <v>0</v>
      </c>
      <c r="M537" s="173">
        <f t="shared" si="59"/>
        <v>0</v>
      </c>
      <c r="N537" s="194">
        <f t="shared" si="59"/>
        <v>0</v>
      </c>
      <c r="O537" s="173">
        <f t="shared" si="53"/>
        <v>0</v>
      </c>
      <c r="P537" s="100">
        <f t="shared" si="54"/>
        <v>0</v>
      </c>
      <c r="Q537" s="2"/>
      <c r="R537" s="124">
        <f>+E538</f>
        <v>0</v>
      </c>
      <c r="S537" s="124"/>
      <c r="T537" s="124"/>
      <c r="U537" s="124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</row>
    <row r="538" spans="1:65" ht="15.75" hidden="1" outlineLevel="1">
      <c r="A538" s="1415"/>
      <c r="B538" s="1415"/>
      <c r="C538" s="570"/>
      <c r="D538" s="171"/>
      <c r="E538" s="173"/>
      <c r="F538" s="173"/>
      <c r="G538" s="173"/>
      <c r="H538" s="173">
        <f t="shared" si="52"/>
        <v>0</v>
      </c>
      <c r="I538" s="173"/>
      <c r="J538" s="173"/>
      <c r="K538" s="173"/>
      <c r="L538" s="194"/>
      <c r="M538" s="173"/>
      <c r="N538" s="194"/>
      <c r="O538" s="173">
        <f t="shared" si="53"/>
        <v>0</v>
      </c>
      <c r="P538" s="100">
        <f t="shared" si="54"/>
        <v>0</v>
      </c>
      <c r="Q538" s="2"/>
      <c r="R538" s="124"/>
      <c r="S538" s="124"/>
      <c r="T538" s="124"/>
      <c r="U538" s="124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</row>
    <row r="539" spans="1:65" ht="24" hidden="1" customHeight="1" outlineLevel="1">
      <c r="A539" s="1415"/>
      <c r="B539" s="1415"/>
      <c r="C539" s="575"/>
      <c r="D539" s="170" t="s">
        <v>1302</v>
      </c>
      <c r="E539" s="169"/>
      <c r="F539" s="169"/>
      <c r="G539" s="169"/>
      <c r="H539" s="169"/>
      <c r="I539" s="169"/>
      <c r="J539" s="169"/>
      <c r="K539" s="169"/>
      <c r="L539" s="195"/>
      <c r="M539" s="169"/>
      <c r="N539" s="195"/>
      <c r="O539" s="169">
        <f t="shared" si="53"/>
        <v>0</v>
      </c>
      <c r="P539" s="100">
        <f t="shared" si="54"/>
        <v>0</v>
      </c>
      <c r="Q539" s="2"/>
      <c r="R539" s="132"/>
      <c r="S539" s="132"/>
      <c r="T539" s="132"/>
      <c r="U539" s="13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</row>
    <row r="540" spans="1:65" ht="34.15" customHeight="1" collapsed="1">
      <c r="A540" s="359" t="s">
        <v>1175</v>
      </c>
      <c r="B540" s="359"/>
      <c r="C540" s="359" t="s">
        <v>1479</v>
      </c>
      <c r="D540" s="360" t="s">
        <v>1189</v>
      </c>
      <c r="E540" s="487">
        <f>+E542+E546+E549+E541+E545+E550+E548+E541</f>
        <v>7100000</v>
      </c>
      <c r="F540" s="487">
        <f>+F542+F546+F549+F541+F545+F550+F548+F541</f>
        <v>0</v>
      </c>
      <c r="G540" s="487">
        <f>+G542+G546+G549+G541+G545+G550+G548+G541</f>
        <v>0</v>
      </c>
      <c r="H540" s="487">
        <f>+H542+H546+H549+H541+H545+H550+H548</f>
        <v>3000000</v>
      </c>
      <c r="I540" s="487">
        <f t="shared" ref="I540:N540" si="60">+I542+I546+I549+I541+I545+I550+I548</f>
        <v>0</v>
      </c>
      <c r="J540" s="487">
        <f t="shared" si="60"/>
        <v>0</v>
      </c>
      <c r="K540" s="487">
        <f t="shared" si="60"/>
        <v>0</v>
      </c>
      <c r="L540" s="487">
        <f t="shared" si="60"/>
        <v>3000000</v>
      </c>
      <c r="M540" s="487">
        <f t="shared" si="60"/>
        <v>0</v>
      </c>
      <c r="N540" s="487">
        <f t="shared" si="60"/>
        <v>0</v>
      </c>
      <c r="O540" s="487">
        <f t="shared" si="53"/>
        <v>10100000</v>
      </c>
      <c r="P540" s="162">
        <f t="shared" si="54"/>
        <v>10100000</v>
      </c>
      <c r="R540" s="71">
        <f>+E542</f>
        <v>7100000</v>
      </c>
      <c r="S540" s="71"/>
      <c r="T540" s="71"/>
      <c r="U540" s="71"/>
    </row>
    <row r="541" spans="1:65" ht="44.45" hidden="1" customHeight="1">
      <c r="A541" s="1415"/>
      <c r="B541" s="1415"/>
      <c r="C541" s="569" t="s">
        <v>172</v>
      </c>
      <c r="D541" s="202" t="s">
        <v>1024</v>
      </c>
      <c r="E541" s="618"/>
      <c r="F541" s="618"/>
      <c r="G541" s="618"/>
      <c r="H541" s="490">
        <f t="shared" ref="H541:H552" si="61">+I541+L541</f>
        <v>0</v>
      </c>
      <c r="I541" s="618"/>
      <c r="J541" s="618"/>
      <c r="K541" s="618"/>
      <c r="L541" s="619">
        <f>+'видатки_затв '!J249</f>
        <v>0</v>
      </c>
      <c r="M541" s="618"/>
      <c r="N541" s="620"/>
      <c r="O541" s="488">
        <f t="shared" si="53"/>
        <v>0</v>
      </c>
      <c r="P541" s="100">
        <f t="shared" si="54"/>
        <v>0</v>
      </c>
      <c r="R541" s="71"/>
      <c r="S541" s="71"/>
      <c r="T541" s="71"/>
      <c r="U541" s="71"/>
    </row>
    <row r="542" spans="1:65" ht="52.9" customHeight="1">
      <c r="A542" s="1418" t="s">
        <v>630</v>
      </c>
      <c r="B542" s="1419"/>
      <c r="C542" s="569" t="s">
        <v>645</v>
      </c>
      <c r="D542" s="364" t="s">
        <v>758</v>
      </c>
      <c r="E542" s="488">
        <f>+'видатки_затв '!C250</f>
        <v>7100000</v>
      </c>
      <c r="F542" s="488">
        <f>+'видатки_затв '!D250</f>
        <v>0</v>
      </c>
      <c r="G542" s="488">
        <f>+'видатки_затв '!E250</f>
        <v>0</v>
      </c>
      <c r="H542" s="488">
        <f t="shared" si="61"/>
        <v>3000000</v>
      </c>
      <c r="I542" s="488">
        <f>+'видатки_затв '!G250</f>
        <v>0</v>
      </c>
      <c r="J542" s="488">
        <f>+'видатки_затв '!H250</f>
        <v>0</v>
      </c>
      <c r="K542" s="488">
        <f>+'видатки_затв '!I250</f>
        <v>0</v>
      </c>
      <c r="L542" s="488">
        <f>+'видатки_затв '!J250</f>
        <v>3000000</v>
      </c>
      <c r="M542" s="488">
        <f>+'видатки_затв '!K250</f>
        <v>0</v>
      </c>
      <c r="N542" s="488">
        <f>+'видатки_затв '!L250</f>
        <v>0</v>
      </c>
      <c r="O542" s="488">
        <f t="shared" si="53"/>
        <v>10100000</v>
      </c>
      <c r="P542" s="162">
        <f t="shared" si="54"/>
        <v>10100000</v>
      </c>
      <c r="R542" s="71"/>
      <c r="S542" s="71"/>
      <c r="T542" s="71"/>
      <c r="U542" s="71"/>
    </row>
    <row r="543" spans="1:65" ht="56.45" hidden="1" customHeight="1">
      <c r="A543" s="1415"/>
      <c r="B543" s="1415"/>
      <c r="C543" s="621"/>
      <c r="D543" s="364" t="s">
        <v>1468</v>
      </c>
      <c r="E543" s="364"/>
      <c r="F543" s="364"/>
      <c r="G543" s="364"/>
      <c r="H543" s="364">
        <f t="shared" si="61"/>
        <v>0</v>
      </c>
      <c r="I543" s="364"/>
      <c r="J543" s="364"/>
      <c r="K543" s="364"/>
      <c r="L543" s="364"/>
      <c r="M543" s="364"/>
      <c r="N543" s="364"/>
      <c r="O543" s="364">
        <f t="shared" si="53"/>
        <v>0</v>
      </c>
      <c r="P543" s="100">
        <f t="shared" si="54"/>
        <v>0</v>
      </c>
      <c r="R543" s="71"/>
      <c r="S543" s="71"/>
      <c r="T543" s="71"/>
      <c r="U543" s="71"/>
    </row>
    <row r="544" spans="1:65" ht="51" hidden="1" customHeight="1">
      <c r="A544" s="1415"/>
      <c r="B544" s="1415"/>
      <c r="C544" s="575"/>
      <c r="D544" s="170" t="s">
        <v>1197</v>
      </c>
      <c r="E544" s="169"/>
      <c r="F544" s="169"/>
      <c r="G544" s="169"/>
      <c r="H544" s="169">
        <f t="shared" si="61"/>
        <v>0</v>
      </c>
      <c r="I544" s="169"/>
      <c r="J544" s="169"/>
      <c r="K544" s="169"/>
      <c r="L544" s="195"/>
      <c r="M544" s="169"/>
      <c r="N544" s="195"/>
      <c r="O544" s="169">
        <f t="shared" si="53"/>
        <v>0</v>
      </c>
      <c r="P544" s="100">
        <f t="shared" si="54"/>
        <v>0</v>
      </c>
      <c r="Q544" s="2"/>
      <c r="R544" s="7"/>
      <c r="S544" s="7"/>
      <c r="T544" s="7"/>
      <c r="U544" s="7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</row>
    <row r="545" spans="1:65" ht="23.45" hidden="1" customHeight="1">
      <c r="A545" s="1415"/>
      <c r="B545" s="1415"/>
      <c r="C545" s="570" t="s">
        <v>1508</v>
      </c>
      <c r="D545" s="622" t="s">
        <v>532</v>
      </c>
      <c r="E545" s="169"/>
      <c r="F545" s="169"/>
      <c r="G545" s="169"/>
      <c r="H545" s="173">
        <f t="shared" si="61"/>
        <v>0</v>
      </c>
      <c r="I545" s="169"/>
      <c r="J545" s="169"/>
      <c r="K545" s="169"/>
      <c r="L545" s="195"/>
      <c r="M545" s="169">
        <f>+L545</f>
        <v>0</v>
      </c>
      <c r="N545" s="195"/>
      <c r="O545" s="169">
        <f t="shared" si="53"/>
        <v>0</v>
      </c>
      <c r="P545" s="100">
        <f t="shared" si="54"/>
        <v>0</v>
      </c>
      <c r="Q545" s="2"/>
      <c r="R545" s="132"/>
      <c r="S545" s="132"/>
      <c r="T545" s="132"/>
      <c r="U545" s="13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</row>
    <row r="546" spans="1:65" ht="39.6" hidden="1" customHeight="1">
      <c r="A546" s="1415"/>
      <c r="B546" s="1415"/>
      <c r="C546" s="570" t="s">
        <v>68</v>
      </c>
      <c r="D546" s="171" t="s">
        <v>69</v>
      </c>
      <c r="E546" s="173"/>
      <c r="F546" s="173"/>
      <c r="G546" s="173"/>
      <c r="H546" s="173">
        <f t="shared" si="61"/>
        <v>0</v>
      </c>
      <c r="I546" s="173"/>
      <c r="J546" s="173"/>
      <c r="K546" s="173"/>
      <c r="L546" s="194"/>
      <c r="M546" s="173"/>
      <c r="N546" s="194"/>
      <c r="O546" s="173">
        <f t="shared" si="53"/>
        <v>0</v>
      </c>
      <c r="P546" s="100">
        <f t="shared" si="54"/>
        <v>0</v>
      </c>
      <c r="Q546" s="24"/>
      <c r="R546" s="44"/>
      <c r="S546" s="44"/>
      <c r="T546" s="44"/>
      <c r="U546" s="44"/>
      <c r="V546" s="24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</row>
    <row r="547" spans="1:65" ht="62.45" hidden="1" customHeight="1">
      <c r="A547" s="1415"/>
      <c r="B547" s="1415"/>
      <c r="C547" s="570" t="s">
        <v>1034</v>
      </c>
      <c r="D547" s="595" t="s">
        <v>517</v>
      </c>
      <c r="E547" s="173"/>
      <c r="F547" s="173"/>
      <c r="G547" s="173"/>
      <c r="H547" s="173">
        <f t="shared" si="61"/>
        <v>0</v>
      </c>
      <c r="I547" s="173"/>
      <c r="J547" s="173"/>
      <c r="K547" s="173"/>
      <c r="L547" s="194">
        <f>3000-3000</f>
        <v>0</v>
      </c>
      <c r="M547" s="173">
        <f>+L547</f>
        <v>0</v>
      </c>
      <c r="N547" s="194">
        <f>3000-3000</f>
        <v>0</v>
      </c>
      <c r="O547" s="173">
        <f t="shared" si="53"/>
        <v>0</v>
      </c>
      <c r="P547" s="100">
        <f t="shared" si="54"/>
        <v>0</v>
      </c>
      <c r="Q547" s="24"/>
      <c r="R547" s="44"/>
      <c r="S547" s="44"/>
      <c r="T547" s="44"/>
      <c r="U547" s="44"/>
      <c r="V547" s="24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</row>
    <row r="548" spans="1:65" ht="33.6" hidden="1" customHeight="1">
      <c r="A548" s="1415"/>
      <c r="B548" s="1415"/>
      <c r="C548" s="567" t="s">
        <v>225</v>
      </c>
      <c r="D548" s="197" t="s">
        <v>226</v>
      </c>
      <c r="E548" s="522"/>
      <c r="F548" s="522"/>
      <c r="G548" s="522"/>
      <c r="H548" s="523">
        <f t="shared" si="61"/>
        <v>0</v>
      </c>
      <c r="I548" s="523">
        <f>+'видатки_затв '!G300</f>
        <v>0</v>
      </c>
      <c r="J548" s="523">
        <f>+'видатки_затв '!H300</f>
        <v>0</v>
      </c>
      <c r="K548" s="523">
        <f>+'видатки_затв '!I300</f>
        <v>0</v>
      </c>
      <c r="L548" s="523"/>
      <c r="M548" s="523">
        <f>+'видатки_затв '!K300</f>
        <v>0</v>
      </c>
      <c r="N548" s="523">
        <f>+'видатки_затв '!L300</f>
        <v>0</v>
      </c>
      <c r="O548" s="523">
        <f t="shared" si="53"/>
        <v>0</v>
      </c>
      <c r="P548" s="500">
        <f t="shared" si="54"/>
        <v>0</v>
      </c>
      <c r="R548" s="71"/>
      <c r="S548" s="71"/>
      <c r="T548" s="71"/>
      <c r="U548" s="71"/>
    </row>
    <row r="549" spans="1:65" ht="70.900000000000006" hidden="1" customHeight="1">
      <c r="A549" s="1415"/>
      <c r="B549" s="1415"/>
      <c r="C549" s="550" t="s">
        <v>1127</v>
      </c>
      <c r="D549" s="542" t="s">
        <v>819</v>
      </c>
      <c r="E549" s="489">
        <f>200000-200000</f>
        <v>0</v>
      </c>
      <c r="F549" s="489"/>
      <c r="G549" s="489"/>
      <c r="H549" s="489">
        <f t="shared" si="61"/>
        <v>0</v>
      </c>
      <c r="I549" s="489"/>
      <c r="J549" s="489"/>
      <c r="K549" s="489"/>
      <c r="L549" s="489"/>
      <c r="M549" s="489"/>
      <c r="N549" s="489"/>
      <c r="O549" s="489">
        <f t="shared" si="53"/>
        <v>0</v>
      </c>
      <c r="P549" s="100">
        <f t="shared" si="54"/>
        <v>0</v>
      </c>
      <c r="R549" s="71"/>
      <c r="S549" s="71"/>
      <c r="T549" s="71"/>
      <c r="U549" s="71"/>
    </row>
    <row r="550" spans="1:65" ht="19.149999999999999" hidden="1" customHeight="1">
      <c r="A550" s="1415"/>
      <c r="B550" s="1415"/>
      <c r="C550" s="578">
        <v>250380</v>
      </c>
      <c r="D550" s="202" t="s">
        <v>1246</v>
      </c>
      <c r="E550" s="180"/>
      <c r="F550" s="180"/>
      <c r="G550" s="180"/>
      <c r="H550" s="180">
        <f>+I550+L550</f>
        <v>0</v>
      </c>
      <c r="I550" s="180">
        <f>1000-1000</f>
        <v>0</v>
      </c>
      <c r="J550" s="180"/>
      <c r="K550" s="180"/>
      <c r="L550" s="193">
        <f>2000000-2000000</f>
        <v>0</v>
      </c>
      <c r="M550" s="180"/>
      <c r="N550" s="193">
        <f>2000000-2000000</f>
        <v>0</v>
      </c>
      <c r="O550" s="180">
        <f t="shared" si="53"/>
        <v>0</v>
      </c>
      <c r="P550" s="100">
        <f t="shared" si="54"/>
        <v>0</v>
      </c>
      <c r="R550" s="71"/>
      <c r="S550" s="71"/>
      <c r="T550" s="71"/>
      <c r="U550" s="71"/>
    </row>
    <row r="551" spans="1:65" ht="43.9" hidden="1" customHeight="1">
      <c r="A551" s="1415"/>
      <c r="B551" s="1415"/>
      <c r="C551" s="567"/>
      <c r="D551" s="623" t="s">
        <v>1223</v>
      </c>
      <c r="E551" s="169"/>
      <c r="F551" s="169"/>
      <c r="G551" s="169"/>
      <c r="H551" s="169">
        <f t="shared" si="61"/>
        <v>0</v>
      </c>
      <c r="I551" s="169"/>
      <c r="J551" s="169"/>
      <c r="K551" s="169"/>
      <c r="L551" s="195"/>
      <c r="M551" s="169"/>
      <c r="N551" s="195"/>
      <c r="O551" s="169">
        <f t="shared" si="53"/>
        <v>0</v>
      </c>
      <c r="P551" s="100">
        <f t="shared" si="54"/>
        <v>0</v>
      </c>
      <c r="R551" s="71"/>
      <c r="S551" s="71"/>
      <c r="T551" s="71"/>
      <c r="U551" s="71"/>
    </row>
    <row r="552" spans="1:65" ht="22.9" hidden="1" customHeight="1">
      <c r="A552" s="1415"/>
      <c r="B552" s="1415"/>
      <c r="C552" s="567"/>
      <c r="D552" s="623" t="s">
        <v>1199</v>
      </c>
      <c r="E552" s="169"/>
      <c r="F552" s="169"/>
      <c r="G552" s="169"/>
      <c r="H552" s="169">
        <f t="shared" si="61"/>
        <v>0</v>
      </c>
      <c r="I552" s="169"/>
      <c r="J552" s="169"/>
      <c r="K552" s="169"/>
      <c r="L552" s="195"/>
      <c r="M552" s="169"/>
      <c r="N552" s="195"/>
      <c r="O552" s="169">
        <f t="shared" si="53"/>
        <v>0</v>
      </c>
      <c r="P552" s="100">
        <f t="shared" si="54"/>
        <v>0</v>
      </c>
      <c r="R552" s="71"/>
      <c r="S552" s="71"/>
      <c r="T552" s="71"/>
      <c r="U552" s="71"/>
    </row>
    <row r="553" spans="1:65" ht="24" customHeight="1">
      <c r="A553" s="359" t="s">
        <v>1176</v>
      </c>
      <c r="B553" s="359"/>
      <c r="C553" s="359" t="s">
        <v>1003</v>
      </c>
      <c r="D553" s="360" t="s">
        <v>311</v>
      </c>
      <c r="E553" s="487">
        <f>+E554+E559+E565+E575+E569+E562+E566+E568+E561</f>
        <v>17626400</v>
      </c>
      <c r="F553" s="487">
        <f>+F554+F559+F565+F575+F569+F562+F566+F568+F561</f>
        <v>7327200</v>
      </c>
      <c r="G553" s="487">
        <f>+G554+G559+G565+G575+G569+G562+G566+G568+G561</f>
        <v>1016500</v>
      </c>
      <c r="H553" s="487">
        <f t="shared" ref="H553:M553" si="62">+H554+H559+H565+H575+H569+H562+H566+H568</f>
        <v>3631400</v>
      </c>
      <c r="I553" s="487">
        <f t="shared" si="62"/>
        <v>2034000</v>
      </c>
      <c r="J553" s="487">
        <f t="shared" si="62"/>
        <v>0</v>
      </c>
      <c r="K553" s="487">
        <f t="shared" si="62"/>
        <v>1264000</v>
      </c>
      <c r="L553" s="487">
        <f t="shared" si="62"/>
        <v>1597400</v>
      </c>
      <c r="M553" s="487">
        <f t="shared" si="62"/>
        <v>1597400</v>
      </c>
      <c r="N553" s="487">
        <f>+N554+N559+N565+N575+N569+N562+N566+N568</f>
        <v>1597400</v>
      </c>
      <c r="O553" s="487">
        <f>+H553+E553</f>
        <v>21257800</v>
      </c>
      <c r="P553" s="162">
        <f t="shared" si="54"/>
        <v>21257800</v>
      </c>
      <c r="R553" s="71">
        <f>+E554</f>
        <v>16011400</v>
      </c>
      <c r="S553" s="71"/>
      <c r="T553" s="71"/>
      <c r="U553" s="71"/>
    </row>
    <row r="554" spans="1:65" ht="25.15" customHeight="1">
      <c r="A554" s="1418" t="s">
        <v>1385</v>
      </c>
      <c r="B554" s="1419"/>
      <c r="C554" s="569" t="s">
        <v>1623</v>
      </c>
      <c r="D554" s="364" t="s">
        <v>1075</v>
      </c>
      <c r="E554" s="488">
        <f>+'видатки_затв '!C26</f>
        <v>16011400</v>
      </c>
      <c r="F554" s="488">
        <f>+'видатки_затв '!D26</f>
        <v>7327200</v>
      </c>
      <c r="G554" s="488">
        <f>+'видатки_затв '!E26</f>
        <v>1016500</v>
      </c>
      <c r="H554" s="488">
        <f t="shared" ref="H554:H582" si="63">+I554+L554</f>
        <v>3631400</v>
      </c>
      <c r="I554" s="488">
        <f>+'видатки_затв '!G26</f>
        <v>2034000</v>
      </c>
      <c r="J554" s="488">
        <f>+'видатки_затв '!H26</f>
        <v>0</v>
      </c>
      <c r="K554" s="488">
        <f>+'видатки_затв '!I26</f>
        <v>1264000</v>
      </c>
      <c r="L554" s="488">
        <f>+'видатки_затв '!J26</f>
        <v>1597400</v>
      </c>
      <c r="M554" s="488">
        <f>+'видатки_затв '!K26</f>
        <v>1597400</v>
      </c>
      <c r="N554" s="488">
        <f>+'видатки_затв '!L26</f>
        <v>1597400</v>
      </c>
      <c r="O554" s="488">
        <f>+E554+H554</f>
        <v>19642800</v>
      </c>
      <c r="P554" s="162">
        <f t="shared" si="54"/>
        <v>19642800</v>
      </c>
      <c r="R554" s="71"/>
      <c r="S554" s="71"/>
      <c r="T554" s="71"/>
      <c r="U554" s="71"/>
    </row>
    <row r="555" spans="1:65" ht="26.45" hidden="1" customHeight="1">
      <c r="A555" s="1417"/>
      <c r="B555" s="1417"/>
      <c r="C555" s="569"/>
      <c r="D555" s="364" t="s">
        <v>1046</v>
      </c>
      <c r="E555" s="488"/>
      <c r="F555" s="488"/>
      <c r="G555" s="488"/>
      <c r="H555" s="488"/>
      <c r="I555" s="488"/>
      <c r="J555" s="488"/>
      <c r="K555" s="488"/>
      <c r="L555" s="488"/>
      <c r="M555" s="488"/>
      <c r="N555" s="488"/>
      <c r="O555" s="488"/>
      <c r="P555" s="162"/>
      <c r="R555" s="71"/>
      <c r="S555" s="71"/>
      <c r="T555" s="71"/>
      <c r="U555" s="71"/>
    </row>
    <row r="556" spans="1:65" ht="26.45" hidden="1" customHeight="1">
      <c r="A556" s="1417"/>
      <c r="B556" s="1417"/>
      <c r="C556" s="569"/>
      <c r="D556" s="364" t="s">
        <v>1047</v>
      </c>
      <c r="E556" s="488">
        <f>8067600+506700</f>
        <v>8574300</v>
      </c>
      <c r="F556" s="488">
        <f>4492000+100000</f>
        <v>4592000</v>
      </c>
      <c r="G556" s="488">
        <f>278800-101200+101200</f>
        <v>278800</v>
      </c>
      <c r="H556" s="488">
        <f t="shared" si="63"/>
        <v>335000</v>
      </c>
      <c r="I556" s="488"/>
      <c r="J556" s="488"/>
      <c r="K556" s="488"/>
      <c r="L556" s="488">
        <f>131500+203500</f>
        <v>335000</v>
      </c>
      <c r="M556" s="488">
        <f>+L556</f>
        <v>335000</v>
      </c>
      <c r="N556" s="488">
        <f>+M556</f>
        <v>335000</v>
      </c>
      <c r="O556" s="488">
        <f t="shared" ref="O556:O591" si="64">+E556+H556</f>
        <v>8909300</v>
      </c>
      <c r="P556" s="162"/>
      <c r="R556" s="71"/>
      <c r="S556" s="71"/>
      <c r="T556" s="71"/>
      <c r="U556" s="71"/>
    </row>
    <row r="557" spans="1:65" ht="29.45" hidden="1" customHeight="1">
      <c r="A557" s="1415"/>
      <c r="B557" s="1415"/>
      <c r="C557" s="569"/>
      <c r="D557" s="559" t="s">
        <v>1150</v>
      </c>
      <c r="E557" s="388"/>
      <c r="F557" s="388"/>
      <c r="G557" s="388"/>
      <c r="H557" s="388">
        <f t="shared" si="63"/>
        <v>0</v>
      </c>
      <c r="I557" s="388"/>
      <c r="J557" s="388"/>
      <c r="K557" s="388"/>
      <c r="L557" s="598"/>
      <c r="M557" s="388"/>
      <c r="N557" s="598"/>
      <c r="O557" s="388">
        <f t="shared" si="64"/>
        <v>0</v>
      </c>
      <c r="P557" s="100"/>
      <c r="R557" s="71"/>
      <c r="S557" s="71"/>
      <c r="T557" s="71"/>
      <c r="U557" s="71"/>
    </row>
    <row r="558" spans="1:65" ht="23.45" hidden="1" customHeight="1">
      <c r="A558" s="1417"/>
      <c r="B558" s="1417"/>
      <c r="C558" s="569"/>
      <c r="D558" s="364" t="s">
        <v>423</v>
      </c>
      <c r="E558" s="488">
        <v>7437100</v>
      </c>
      <c r="F558" s="488">
        <v>2735200</v>
      </c>
      <c r="G558" s="488">
        <v>737700</v>
      </c>
      <c r="H558" s="488">
        <f t="shared" si="63"/>
        <v>3296400</v>
      </c>
      <c r="I558" s="488">
        <v>2034000</v>
      </c>
      <c r="J558" s="488"/>
      <c r="K558" s="488">
        <v>1264000</v>
      </c>
      <c r="L558" s="488">
        <f>362400+900000</f>
        <v>1262400</v>
      </c>
      <c r="M558" s="488">
        <f>+L558</f>
        <v>1262400</v>
      </c>
      <c r="N558" s="488">
        <f>+M558</f>
        <v>1262400</v>
      </c>
      <c r="O558" s="488">
        <f t="shared" si="64"/>
        <v>10733500</v>
      </c>
      <c r="P558" s="162"/>
      <c r="R558" s="71"/>
      <c r="S558" s="71"/>
      <c r="T558" s="71"/>
      <c r="U558" s="71"/>
    </row>
    <row r="559" spans="1:65" ht="34.15" hidden="1" customHeight="1">
      <c r="A559" s="1415"/>
      <c r="B559" s="1415"/>
      <c r="C559" s="550" t="s">
        <v>1140</v>
      </c>
      <c r="D559" s="197" t="s">
        <v>57</v>
      </c>
      <c r="E559" s="180"/>
      <c r="F559" s="180"/>
      <c r="G559" s="180"/>
      <c r="H559" s="180">
        <f t="shared" si="63"/>
        <v>0</v>
      </c>
      <c r="I559" s="180"/>
      <c r="J559" s="180"/>
      <c r="K559" s="180"/>
      <c r="L559" s="193"/>
      <c r="M559" s="180"/>
      <c r="N559" s="193"/>
      <c r="O559" s="180">
        <f t="shared" si="64"/>
        <v>0</v>
      </c>
      <c r="P559" s="100">
        <f t="shared" ref="P559:P569" si="65">+O559</f>
        <v>0</v>
      </c>
      <c r="R559" s="71"/>
      <c r="S559" s="71"/>
      <c r="T559" s="71"/>
      <c r="U559" s="71"/>
    </row>
    <row r="560" spans="1:65" ht="60" hidden="1" customHeight="1">
      <c r="A560" s="1415"/>
      <c r="B560" s="1415"/>
      <c r="C560" s="567"/>
      <c r="D560" s="171" t="s">
        <v>188</v>
      </c>
      <c r="E560" s="169"/>
      <c r="F560" s="169"/>
      <c r="G560" s="169"/>
      <c r="H560" s="169">
        <f t="shared" si="63"/>
        <v>0</v>
      </c>
      <c r="I560" s="169"/>
      <c r="J560" s="169"/>
      <c r="K560" s="169"/>
      <c r="L560" s="195"/>
      <c r="M560" s="169"/>
      <c r="N560" s="195"/>
      <c r="O560" s="169">
        <f t="shared" si="64"/>
        <v>0</v>
      </c>
      <c r="P560" s="100">
        <f t="shared" si="65"/>
        <v>0</v>
      </c>
      <c r="R560" s="71"/>
      <c r="S560" s="71"/>
      <c r="T560" s="71"/>
      <c r="U560" s="71"/>
    </row>
    <row r="561" spans="1:22" ht="51.6" hidden="1" customHeight="1">
      <c r="A561" s="1415"/>
      <c r="B561" s="1415"/>
      <c r="C561" s="550" t="s">
        <v>224</v>
      </c>
      <c r="D561" s="215" t="s">
        <v>998</v>
      </c>
      <c r="E561" s="180"/>
      <c r="F561" s="180"/>
      <c r="G561" s="180"/>
      <c r="H561" s="180">
        <f t="shared" si="63"/>
        <v>0</v>
      </c>
      <c r="I561" s="180"/>
      <c r="J561" s="180"/>
      <c r="K561" s="180"/>
      <c r="L561" s="193"/>
      <c r="M561" s="180"/>
      <c r="N561" s="193"/>
      <c r="O561" s="180">
        <f t="shared" si="64"/>
        <v>0</v>
      </c>
      <c r="P561" s="100">
        <f t="shared" si="65"/>
        <v>0</v>
      </c>
      <c r="R561" s="71"/>
      <c r="S561" s="71"/>
      <c r="T561" s="71"/>
      <c r="U561" s="71"/>
    </row>
    <row r="562" spans="1:22" ht="66" hidden="1" customHeight="1">
      <c r="A562" s="1415"/>
      <c r="B562" s="1415"/>
      <c r="C562" s="570" t="s">
        <v>1127</v>
      </c>
      <c r="D562" s="605" t="s">
        <v>42</v>
      </c>
      <c r="E562" s="173"/>
      <c r="F562" s="173"/>
      <c r="G562" s="173"/>
      <c r="H562" s="173">
        <f t="shared" si="63"/>
        <v>0</v>
      </c>
      <c r="I562" s="173"/>
      <c r="J562" s="173"/>
      <c r="K562" s="173"/>
      <c r="L562" s="194"/>
      <c r="M562" s="173"/>
      <c r="N562" s="194"/>
      <c r="O562" s="173">
        <f t="shared" si="64"/>
        <v>0</v>
      </c>
      <c r="P562" s="100">
        <f t="shared" si="65"/>
        <v>0</v>
      </c>
      <c r="Q562" s="24"/>
      <c r="R562" s="44">
        <f>+E576</f>
        <v>0</v>
      </c>
      <c r="S562" s="44"/>
      <c r="T562" s="44"/>
      <c r="U562" s="44"/>
      <c r="V562" s="24"/>
    </row>
    <row r="563" spans="1:22" ht="33" hidden="1" customHeight="1">
      <c r="A563" s="1415"/>
      <c r="B563" s="1415"/>
      <c r="C563" s="570"/>
      <c r="D563" s="605" t="s">
        <v>451</v>
      </c>
      <c r="E563" s="173"/>
      <c r="F563" s="173"/>
      <c r="G563" s="173"/>
      <c r="H563" s="173">
        <f t="shared" si="63"/>
        <v>0</v>
      </c>
      <c r="I563" s="173"/>
      <c r="J563" s="173"/>
      <c r="K563" s="173"/>
      <c r="L563" s="194"/>
      <c r="M563" s="173"/>
      <c r="N563" s="194"/>
      <c r="O563" s="173">
        <f t="shared" si="64"/>
        <v>0</v>
      </c>
      <c r="P563" s="100">
        <f t="shared" si="65"/>
        <v>0</v>
      </c>
      <c r="Q563" s="24"/>
      <c r="R563" s="44"/>
      <c r="S563" s="44"/>
      <c r="T563" s="44"/>
      <c r="U563" s="44"/>
      <c r="V563" s="24"/>
    </row>
    <row r="564" spans="1:22" ht="41.45" hidden="1" customHeight="1">
      <c r="A564" s="1415"/>
      <c r="B564" s="1415"/>
      <c r="C564" s="570"/>
      <c r="D564" s="171" t="s">
        <v>1136</v>
      </c>
      <c r="E564" s="173"/>
      <c r="F564" s="173"/>
      <c r="G564" s="173"/>
      <c r="H564" s="173">
        <f t="shared" si="63"/>
        <v>0</v>
      </c>
      <c r="I564" s="173"/>
      <c r="J564" s="173"/>
      <c r="K564" s="173"/>
      <c r="L564" s="194"/>
      <c r="M564" s="173"/>
      <c r="N564" s="194"/>
      <c r="O564" s="173">
        <f t="shared" si="64"/>
        <v>0</v>
      </c>
      <c r="P564" s="100">
        <f t="shared" si="65"/>
        <v>0</v>
      </c>
      <c r="Q564" s="24"/>
      <c r="R564" s="44"/>
      <c r="S564" s="44"/>
      <c r="T564" s="44"/>
      <c r="U564" s="44"/>
      <c r="V564" s="24"/>
    </row>
    <row r="565" spans="1:22" ht="87" hidden="1" customHeight="1">
      <c r="A565" s="1415"/>
      <c r="B565" s="1415"/>
      <c r="C565" s="550" t="s">
        <v>501</v>
      </c>
      <c r="D565" s="436" t="s">
        <v>1471</v>
      </c>
      <c r="E565" s="197"/>
      <c r="F565" s="197"/>
      <c r="G565" s="197"/>
      <c r="H565" s="197">
        <f t="shared" si="63"/>
        <v>0</v>
      </c>
      <c r="I565" s="197"/>
      <c r="J565" s="197"/>
      <c r="K565" s="197"/>
      <c r="L565" s="381"/>
      <c r="M565" s="197"/>
      <c r="N565" s="381"/>
      <c r="O565" s="197">
        <f t="shared" si="64"/>
        <v>0</v>
      </c>
      <c r="P565" s="100">
        <f t="shared" si="65"/>
        <v>0</v>
      </c>
      <c r="Q565" s="24"/>
      <c r="R565" s="44"/>
      <c r="S565" s="44"/>
      <c r="T565" s="44"/>
      <c r="U565" s="44"/>
      <c r="V565" s="24"/>
    </row>
    <row r="566" spans="1:22" ht="27" hidden="1" customHeight="1">
      <c r="A566" s="1415"/>
      <c r="B566" s="1415"/>
      <c r="C566" s="550" t="s">
        <v>1508</v>
      </c>
      <c r="D566" s="197" t="s">
        <v>650</v>
      </c>
      <c r="E566" s="180"/>
      <c r="F566" s="180"/>
      <c r="G566" s="180"/>
      <c r="H566" s="180">
        <f t="shared" si="63"/>
        <v>0</v>
      </c>
      <c r="I566" s="180"/>
      <c r="J566" s="180"/>
      <c r="K566" s="180"/>
      <c r="L566" s="193"/>
      <c r="M566" s="180">
        <f>+L566</f>
        <v>0</v>
      </c>
      <c r="N566" s="193"/>
      <c r="O566" s="180">
        <f t="shared" si="64"/>
        <v>0</v>
      </c>
      <c r="P566" s="100">
        <f t="shared" si="65"/>
        <v>0</v>
      </c>
      <c r="Q566" s="24"/>
      <c r="R566" s="44"/>
      <c r="S566" s="44"/>
      <c r="T566" s="44"/>
      <c r="U566" s="44"/>
      <c r="V566" s="24"/>
    </row>
    <row r="567" spans="1:22" ht="31.9" hidden="1" customHeight="1">
      <c r="A567" s="1415"/>
      <c r="B567" s="1415"/>
      <c r="C567" s="567" t="s">
        <v>1243</v>
      </c>
      <c r="D567" s="170" t="s">
        <v>649</v>
      </c>
      <c r="E567" s="169"/>
      <c r="F567" s="169"/>
      <c r="G567" s="169"/>
      <c r="H567" s="169">
        <f t="shared" si="63"/>
        <v>0</v>
      </c>
      <c r="I567" s="169"/>
      <c r="J567" s="169"/>
      <c r="K567" s="169"/>
      <c r="L567" s="195"/>
      <c r="M567" s="169">
        <f>+L567</f>
        <v>0</v>
      </c>
      <c r="N567" s="195"/>
      <c r="O567" s="169">
        <f t="shared" si="64"/>
        <v>0</v>
      </c>
      <c r="P567" s="100">
        <f t="shared" si="65"/>
        <v>0</v>
      </c>
      <c r="Q567" s="24"/>
      <c r="R567" s="44"/>
      <c r="S567" s="44"/>
      <c r="T567" s="44"/>
      <c r="U567" s="44"/>
      <c r="V567" s="24"/>
    </row>
    <row r="568" spans="1:22" ht="92.45" hidden="1" customHeight="1">
      <c r="A568" s="1415"/>
      <c r="B568" s="1415"/>
      <c r="C568" s="550" t="s">
        <v>1034</v>
      </c>
      <c r="D568" s="448" t="s">
        <v>1521</v>
      </c>
      <c r="E568" s="180"/>
      <c r="F568" s="180"/>
      <c r="G568" s="180"/>
      <c r="H568" s="180">
        <f t="shared" si="63"/>
        <v>0</v>
      </c>
      <c r="I568" s="180"/>
      <c r="J568" s="180"/>
      <c r="K568" s="180"/>
      <c r="L568" s="193">
        <f>300000-300000</f>
        <v>0</v>
      </c>
      <c r="M568" s="180">
        <f>+L568</f>
        <v>0</v>
      </c>
      <c r="N568" s="193">
        <f>300000-300000</f>
        <v>0</v>
      </c>
      <c r="O568" s="180">
        <f t="shared" si="64"/>
        <v>0</v>
      </c>
      <c r="P568" s="100">
        <f t="shared" si="65"/>
        <v>0</v>
      </c>
      <c r="Q568" s="24"/>
      <c r="R568" s="44"/>
      <c r="S568" s="44"/>
      <c r="T568" s="44"/>
      <c r="U568" s="44"/>
      <c r="V568" s="24"/>
    </row>
    <row r="569" spans="1:22" ht="37.9" customHeight="1">
      <c r="A569" s="1418" t="s">
        <v>631</v>
      </c>
      <c r="B569" s="1419"/>
      <c r="C569" s="569" t="s">
        <v>1512</v>
      </c>
      <c r="D569" s="364" t="s">
        <v>268</v>
      </c>
      <c r="E569" s="488">
        <v>150000</v>
      </c>
      <c r="F569" s="488"/>
      <c r="G569" s="488"/>
      <c r="H569" s="488">
        <f t="shared" si="63"/>
        <v>0</v>
      </c>
      <c r="I569" s="488"/>
      <c r="J569" s="488"/>
      <c r="K569" s="488"/>
      <c r="L569" s="488"/>
      <c r="M569" s="488"/>
      <c r="N569" s="488"/>
      <c r="O569" s="488">
        <f t="shared" si="64"/>
        <v>150000</v>
      </c>
      <c r="P569" s="162">
        <f t="shared" si="65"/>
        <v>150000</v>
      </c>
      <c r="Q569" s="24"/>
      <c r="R569" s="44"/>
      <c r="S569" s="44"/>
      <c r="T569" s="44"/>
      <c r="U569" s="44"/>
      <c r="V569" s="24"/>
    </row>
    <row r="570" spans="1:22" ht="21.6" hidden="1" customHeight="1">
      <c r="A570" s="1415"/>
      <c r="B570" s="1415"/>
      <c r="C570" s="569"/>
      <c r="D570" s="213" t="s">
        <v>747</v>
      </c>
      <c r="E570" s="488"/>
      <c r="F570" s="488"/>
      <c r="G570" s="488"/>
      <c r="H570" s="489">
        <f t="shared" si="63"/>
        <v>0</v>
      </c>
      <c r="I570" s="488"/>
      <c r="J570" s="488"/>
      <c r="K570" s="488"/>
      <c r="L570" s="488"/>
      <c r="M570" s="488"/>
      <c r="N570" s="488"/>
      <c r="O570" s="488">
        <f t="shared" si="64"/>
        <v>0</v>
      </c>
      <c r="P570" s="162"/>
      <c r="Q570" s="24"/>
      <c r="R570" s="44"/>
      <c r="S570" s="44"/>
      <c r="T570" s="44"/>
      <c r="U570" s="44"/>
      <c r="V570" s="24"/>
    </row>
    <row r="571" spans="1:22" ht="119.45" hidden="1" customHeight="1">
      <c r="A571" s="1415"/>
      <c r="B571" s="1415"/>
      <c r="C571" s="569"/>
      <c r="D571" s="213" t="s">
        <v>1149</v>
      </c>
      <c r="E571" s="488"/>
      <c r="F571" s="488"/>
      <c r="G571" s="488"/>
      <c r="H571" s="489">
        <f t="shared" si="63"/>
        <v>0</v>
      </c>
      <c r="I571" s="488"/>
      <c r="J571" s="488"/>
      <c r="K571" s="488"/>
      <c r="L571" s="488"/>
      <c r="M571" s="488"/>
      <c r="N571" s="488"/>
      <c r="O571" s="488">
        <f t="shared" si="64"/>
        <v>0</v>
      </c>
      <c r="P571" s="162">
        <f t="shared" ref="P571:P589" si="66">+O571</f>
        <v>0</v>
      </c>
      <c r="Q571" s="24"/>
      <c r="R571" s="44"/>
      <c r="S571" s="44"/>
      <c r="T571" s="44"/>
      <c r="U571" s="44"/>
      <c r="V571" s="24"/>
    </row>
    <row r="572" spans="1:22" ht="29.45" hidden="1" customHeight="1">
      <c r="A572" s="1415"/>
      <c r="B572" s="1415"/>
      <c r="C572" s="569"/>
      <c r="D572" s="213" t="s">
        <v>1638</v>
      </c>
      <c r="E572" s="363"/>
      <c r="F572" s="363"/>
      <c r="G572" s="363"/>
      <c r="H572" s="180">
        <f t="shared" si="63"/>
        <v>0</v>
      </c>
      <c r="I572" s="363"/>
      <c r="J572" s="363"/>
      <c r="K572" s="363"/>
      <c r="L572" s="365"/>
      <c r="M572" s="363"/>
      <c r="N572" s="365"/>
      <c r="O572" s="363">
        <f t="shared" si="64"/>
        <v>0</v>
      </c>
      <c r="P572" s="100">
        <f t="shared" si="66"/>
        <v>0</v>
      </c>
      <c r="Q572" s="24"/>
      <c r="R572" s="44"/>
      <c r="S572" s="44"/>
      <c r="T572" s="44"/>
      <c r="U572" s="44"/>
      <c r="V572" s="24"/>
    </row>
    <row r="573" spans="1:22" ht="29.45" hidden="1" customHeight="1">
      <c r="A573" s="1415"/>
      <c r="B573" s="1415"/>
      <c r="C573" s="569"/>
      <c r="D573" s="213" t="s">
        <v>342</v>
      </c>
      <c r="E573" s="363"/>
      <c r="F573" s="363"/>
      <c r="G573" s="363"/>
      <c r="H573" s="180">
        <f t="shared" si="63"/>
        <v>0</v>
      </c>
      <c r="I573" s="363"/>
      <c r="J573" s="363"/>
      <c r="K573" s="363"/>
      <c r="L573" s="365"/>
      <c r="M573" s="363"/>
      <c r="N573" s="365"/>
      <c r="O573" s="363">
        <f t="shared" si="64"/>
        <v>0</v>
      </c>
      <c r="P573" s="100">
        <f t="shared" si="66"/>
        <v>0</v>
      </c>
      <c r="Q573" s="24"/>
      <c r="R573" s="44"/>
      <c r="S573" s="44"/>
      <c r="T573" s="44"/>
      <c r="U573" s="44"/>
      <c r="V573" s="24"/>
    </row>
    <row r="574" spans="1:22" ht="46.9" hidden="1" customHeight="1">
      <c r="A574" s="1415"/>
      <c r="B574" s="1415"/>
      <c r="C574" s="569"/>
      <c r="D574" s="213" t="s">
        <v>941</v>
      </c>
      <c r="E574" s="363"/>
      <c r="F574" s="363"/>
      <c r="G574" s="363"/>
      <c r="H574" s="180">
        <f t="shared" si="63"/>
        <v>0</v>
      </c>
      <c r="I574" s="363"/>
      <c r="J574" s="363"/>
      <c r="K574" s="363"/>
      <c r="L574" s="365"/>
      <c r="M574" s="363"/>
      <c r="N574" s="365"/>
      <c r="O574" s="363">
        <f t="shared" si="64"/>
        <v>0</v>
      </c>
      <c r="P574" s="100">
        <f t="shared" si="66"/>
        <v>0</v>
      </c>
      <c r="Q574" s="24"/>
      <c r="R574" s="44"/>
      <c r="S574" s="44"/>
      <c r="T574" s="44"/>
      <c r="U574" s="44"/>
      <c r="V574" s="24"/>
    </row>
    <row r="575" spans="1:22" ht="68.45" customHeight="1">
      <c r="A575" s="1418" t="s">
        <v>1386</v>
      </c>
      <c r="B575" s="1419"/>
      <c r="C575" s="569" t="s">
        <v>1287</v>
      </c>
      <c r="D575" s="364" t="s">
        <v>123</v>
      </c>
      <c r="E575" s="456">
        <f>1275000+190000</f>
        <v>1465000</v>
      </c>
      <c r="F575" s="456"/>
      <c r="G575" s="456"/>
      <c r="H575" s="488">
        <f t="shared" si="63"/>
        <v>0</v>
      </c>
      <c r="I575" s="456"/>
      <c r="J575" s="456"/>
      <c r="K575" s="456"/>
      <c r="L575" s="456"/>
      <c r="M575" s="456"/>
      <c r="N575" s="456"/>
      <c r="O575" s="456">
        <f t="shared" si="64"/>
        <v>1465000</v>
      </c>
      <c r="P575" s="100">
        <f t="shared" si="66"/>
        <v>1465000</v>
      </c>
      <c r="Q575" s="24"/>
      <c r="R575" s="44"/>
      <c r="S575" s="44"/>
      <c r="T575" s="44"/>
      <c r="U575" s="44"/>
      <c r="V575" s="24"/>
    </row>
    <row r="576" spans="1:22" ht="30" hidden="1">
      <c r="A576" s="624" t="s">
        <v>1177</v>
      </c>
      <c r="B576" s="624"/>
      <c r="C576" s="624"/>
      <c r="D576" s="560" t="s">
        <v>1076</v>
      </c>
      <c r="E576" s="173">
        <f>+E577</f>
        <v>0</v>
      </c>
      <c r="F576" s="173">
        <f>+F577</f>
        <v>0</v>
      </c>
      <c r="G576" s="173">
        <f>+G577</f>
        <v>0</v>
      </c>
      <c r="H576" s="173">
        <f t="shared" si="63"/>
        <v>0</v>
      </c>
      <c r="I576" s="173">
        <f t="shared" ref="I576:N576" si="67">+I577</f>
        <v>0</v>
      </c>
      <c r="J576" s="173">
        <f t="shared" si="67"/>
        <v>0</v>
      </c>
      <c r="K576" s="173">
        <f t="shared" si="67"/>
        <v>0</v>
      </c>
      <c r="L576" s="194">
        <f t="shared" si="67"/>
        <v>0</v>
      </c>
      <c r="M576" s="173">
        <f t="shared" si="67"/>
        <v>0</v>
      </c>
      <c r="N576" s="194">
        <f t="shared" si="67"/>
        <v>0</v>
      </c>
      <c r="O576" s="173">
        <f t="shared" si="64"/>
        <v>0</v>
      </c>
      <c r="P576" s="100">
        <f t="shared" si="66"/>
        <v>0</v>
      </c>
      <c r="R576" s="71"/>
      <c r="S576" s="71"/>
      <c r="T576" s="71"/>
      <c r="U576" s="71"/>
    </row>
    <row r="577" spans="1:65" ht="30" hidden="1" customHeight="1">
      <c r="A577" s="1415"/>
      <c r="B577" s="1415"/>
      <c r="C577" s="570" t="s">
        <v>1623</v>
      </c>
      <c r="D577" s="171" t="s">
        <v>1075</v>
      </c>
      <c r="E577" s="173">
        <f>291.6+48.1-339.7</f>
        <v>0</v>
      </c>
      <c r="F577" s="173">
        <f>291.6+48.1-339.7</f>
        <v>0</v>
      </c>
      <c r="G577" s="173">
        <f>110.7+41.7-152.4</f>
        <v>0</v>
      </c>
      <c r="H577" s="173">
        <f t="shared" si="63"/>
        <v>0</v>
      </c>
      <c r="I577" s="173"/>
      <c r="J577" s="173"/>
      <c r="K577" s="173"/>
      <c r="L577" s="194"/>
      <c r="M577" s="173"/>
      <c r="N577" s="194"/>
      <c r="O577" s="173">
        <f t="shared" si="64"/>
        <v>0</v>
      </c>
      <c r="P577" s="100">
        <f t="shared" si="66"/>
        <v>0</v>
      </c>
      <c r="R577" s="71" t="e">
        <f>+#REF!</f>
        <v>#REF!</v>
      </c>
      <c r="S577" s="71"/>
      <c r="T577" s="71"/>
      <c r="U577" s="71"/>
    </row>
    <row r="578" spans="1:65" ht="15.6" hidden="1" customHeight="1" outlineLevel="1">
      <c r="A578" s="1415"/>
      <c r="B578" s="1415"/>
      <c r="C578" s="570"/>
      <c r="D578" s="561"/>
      <c r="E578" s="173"/>
      <c r="F578" s="173"/>
      <c r="G578" s="173">
        <f>+G579</f>
        <v>0</v>
      </c>
      <c r="H578" s="173">
        <f t="shared" si="63"/>
        <v>0</v>
      </c>
      <c r="I578" s="173">
        <f t="shared" ref="I578:N578" si="68">+I579</f>
        <v>0</v>
      </c>
      <c r="J578" s="173">
        <f t="shared" si="68"/>
        <v>0</v>
      </c>
      <c r="K578" s="173">
        <f t="shared" si="68"/>
        <v>0</v>
      </c>
      <c r="L578" s="194">
        <f t="shared" si="68"/>
        <v>0</v>
      </c>
      <c r="M578" s="173">
        <f t="shared" si="68"/>
        <v>0</v>
      </c>
      <c r="N578" s="194">
        <f t="shared" si="68"/>
        <v>0</v>
      </c>
      <c r="O578" s="173">
        <f t="shared" si="64"/>
        <v>0</v>
      </c>
      <c r="P578" s="100">
        <f t="shared" si="66"/>
        <v>0</v>
      </c>
      <c r="Q578" s="2"/>
      <c r="R578" s="124">
        <f>+E579</f>
        <v>0</v>
      </c>
      <c r="S578" s="124"/>
      <c r="T578" s="124"/>
      <c r="U578" s="124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</row>
    <row r="579" spans="1:65" ht="15.6" hidden="1" customHeight="1" outlineLevel="1">
      <c r="A579" s="1415"/>
      <c r="B579" s="1415"/>
      <c r="C579" s="570"/>
      <c r="D579" s="171"/>
      <c r="E579" s="173"/>
      <c r="F579" s="173"/>
      <c r="G579" s="173"/>
      <c r="H579" s="173"/>
      <c r="I579" s="173"/>
      <c r="J579" s="173"/>
      <c r="K579" s="173"/>
      <c r="L579" s="194"/>
      <c r="M579" s="173"/>
      <c r="N579" s="194"/>
      <c r="O579" s="173">
        <f t="shared" si="64"/>
        <v>0</v>
      </c>
      <c r="P579" s="100">
        <f t="shared" si="66"/>
        <v>0</v>
      </c>
      <c r="Q579" s="2"/>
      <c r="R579" s="124"/>
      <c r="S579" s="124"/>
      <c r="T579" s="124"/>
      <c r="U579" s="124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</row>
    <row r="580" spans="1:65" ht="15.6" hidden="1" customHeight="1" outlineLevel="1">
      <c r="A580" s="1415"/>
      <c r="B580" s="1415"/>
      <c r="C580" s="570"/>
      <c r="D580" s="561"/>
      <c r="E580" s="173"/>
      <c r="F580" s="173"/>
      <c r="G580" s="173">
        <f>+G581</f>
        <v>0</v>
      </c>
      <c r="H580" s="173">
        <f t="shared" si="63"/>
        <v>0</v>
      </c>
      <c r="I580" s="173">
        <f t="shared" ref="I580:N580" si="69">+I581</f>
        <v>0</v>
      </c>
      <c r="J580" s="173">
        <f t="shared" si="69"/>
        <v>0</v>
      </c>
      <c r="K580" s="173">
        <f t="shared" si="69"/>
        <v>0</v>
      </c>
      <c r="L580" s="194">
        <f t="shared" si="69"/>
        <v>0</v>
      </c>
      <c r="M580" s="173">
        <f t="shared" si="69"/>
        <v>0</v>
      </c>
      <c r="N580" s="194">
        <f t="shared" si="69"/>
        <v>0</v>
      </c>
      <c r="O580" s="173">
        <f t="shared" si="64"/>
        <v>0</v>
      </c>
      <c r="P580" s="100">
        <f t="shared" si="66"/>
        <v>0</v>
      </c>
      <c r="Q580" s="2"/>
      <c r="R580" s="124"/>
      <c r="S580" s="124"/>
      <c r="T580" s="124"/>
      <c r="U580" s="124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</row>
    <row r="581" spans="1:65" ht="15.75" hidden="1" outlineLevel="1">
      <c r="A581" s="1415"/>
      <c r="B581" s="1415"/>
      <c r="C581" s="570"/>
      <c r="D581" s="171"/>
      <c r="E581" s="173"/>
      <c r="F581" s="173"/>
      <c r="G581" s="173"/>
      <c r="H581" s="173"/>
      <c r="I581" s="173"/>
      <c r="J581" s="173"/>
      <c r="K581" s="173"/>
      <c r="L581" s="194"/>
      <c r="M581" s="173"/>
      <c r="N581" s="194"/>
      <c r="O581" s="173">
        <f t="shared" si="64"/>
        <v>0</v>
      </c>
      <c r="P581" s="100">
        <f t="shared" si="66"/>
        <v>0</v>
      </c>
      <c r="Q581" s="2"/>
      <c r="R581" s="124"/>
      <c r="S581" s="124"/>
      <c r="T581" s="124"/>
      <c r="U581" s="124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</row>
    <row r="582" spans="1:65" ht="15.6" hidden="1" customHeight="1" outlineLevel="1">
      <c r="A582" s="1415"/>
      <c r="B582" s="1415"/>
      <c r="C582" s="570"/>
      <c r="D582" s="561"/>
      <c r="E582" s="173"/>
      <c r="F582" s="173"/>
      <c r="G582" s="173"/>
      <c r="H582" s="173">
        <f t="shared" si="63"/>
        <v>0</v>
      </c>
      <c r="I582" s="173">
        <f t="shared" ref="I582:N582" si="70">+I583</f>
        <v>0</v>
      </c>
      <c r="J582" s="173">
        <f t="shared" si="70"/>
        <v>0</v>
      </c>
      <c r="K582" s="173">
        <f t="shared" si="70"/>
        <v>0</v>
      </c>
      <c r="L582" s="194">
        <f t="shared" si="70"/>
        <v>0</v>
      </c>
      <c r="M582" s="173">
        <f t="shared" si="70"/>
        <v>0</v>
      </c>
      <c r="N582" s="194">
        <f t="shared" si="70"/>
        <v>0</v>
      </c>
      <c r="O582" s="173">
        <f t="shared" si="64"/>
        <v>0</v>
      </c>
      <c r="P582" s="100">
        <f t="shared" si="66"/>
        <v>0</v>
      </c>
      <c r="Q582" s="2"/>
      <c r="R582" s="124"/>
      <c r="S582" s="124"/>
      <c r="T582" s="124"/>
      <c r="U582" s="124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</row>
    <row r="583" spans="1:65" ht="15.6" hidden="1" customHeight="1" outlineLevel="1">
      <c r="A583" s="1415"/>
      <c r="B583" s="1415"/>
      <c r="C583" s="570"/>
      <c r="D583" s="171"/>
      <c r="E583" s="173"/>
      <c r="F583" s="173"/>
      <c r="G583" s="173"/>
      <c r="H583" s="173"/>
      <c r="I583" s="173"/>
      <c r="J583" s="173"/>
      <c r="K583" s="173"/>
      <c r="L583" s="194"/>
      <c r="M583" s="173"/>
      <c r="N583" s="194"/>
      <c r="O583" s="173">
        <f t="shared" si="64"/>
        <v>0</v>
      </c>
      <c r="P583" s="100">
        <f t="shared" si="66"/>
        <v>0</v>
      </c>
      <c r="Q583" s="2"/>
      <c r="R583" s="124"/>
      <c r="S583" s="124"/>
      <c r="T583" s="124"/>
      <c r="U583" s="124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</row>
    <row r="584" spans="1:65" ht="15.75" hidden="1" outlineLevel="1">
      <c r="A584" s="1415"/>
      <c r="B584" s="1415"/>
      <c r="C584" s="570"/>
      <c r="D584" s="171"/>
      <c r="E584" s="173"/>
      <c r="F584" s="173"/>
      <c r="G584" s="173"/>
      <c r="H584" s="173"/>
      <c r="I584" s="173"/>
      <c r="J584" s="173"/>
      <c r="K584" s="173"/>
      <c r="L584" s="194"/>
      <c r="M584" s="173"/>
      <c r="N584" s="194"/>
      <c r="O584" s="173">
        <f t="shared" si="64"/>
        <v>0</v>
      </c>
      <c r="P584" s="100">
        <f t="shared" si="66"/>
        <v>0</v>
      </c>
      <c r="Q584" s="2"/>
      <c r="R584" s="124"/>
      <c r="S584" s="124"/>
      <c r="T584" s="124"/>
      <c r="U584" s="124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</row>
    <row r="585" spans="1:65" ht="15.6" hidden="1" customHeight="1" outlineLevel="1">
      <c r="A585" s="1415"/>
      <c r="B585" s="1415"/>
      <c r="C585" s="570"/>
      <c r="D585" s="171"/>
      <c r="E585" s="173"/>
      <c r="F585" s="173"/>
      <c r="G585" s="173"/>
      <c r="H585" s="173"/>
      <c r="I585" s="173"/>
      <c r="J585" s="173"/>
      <c r="K585" s="173"/>
      <c r="L585" s="194"/>
      <c r="M585" s="173"/>
      <c r="N585" s="194"/>
      <c r="O585" s="173">
        <f t="shared" si="64"/>
        <v>0</v>
      </c>
      <c r="P585" s="100">
        <f t="shared" si="66"/>
        <v>0</v>
      </c>
      <c r="Q585" s="2"/>
      <c r="R585" s="124"/>
      <c r="S585" s="124"/>
      <c r="T585" s="124"/>
      <c r="U585" s="124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</row>
    <row r="586" spans="1:65" ht="15.6" hidden="1" customHeight="1" outlineLevel="1">
      <c r="A586" s="1415"/>
      <c r="B586" s="1415"/>
      <c r="C586" s="570"/>
      <c r="D586" s="171"/>
      <c r="E586" s="173"/>
      <c r="F586" s="173"/>
      <c r="G586" s="173"/>
      <c r="H586" s="173"/>
      <c r="I586" s="173"/>
      <c r="J586" s="173"/>
      <c r="K586" s="173"/>
      <c r="L586" s="194"/>
      <c r="M586" s="173"/>
      <c r="N586" s="194"/>
      <c r="O586" s="173">
        <f t="shared" si="64"/>
        <v>0</v>
      </c>
      <c r="P586" s="100">
        <f t="shared" si="66"/>
        <v>0</v>
      </c>
      <c r="Q586" s="2"/>
      <c r="R586" s="124"/>
      <c r="S586" s="124"/>
      <c r="T586" s="124"/>
      <c r="U586" s="124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</row>
    <row r="587" spans="1:65" ht="15.6" hidden="1" customHeight="1" outlineLevel="1">
      <c r="A587" s="1415"/>
      <c r="B587" s="1415"/>
      <c r="C587" s="570"/>
      <c r="D587" s="171"/>
      <c r="E587" s="173"/>
      <c r="F587" s="173"/>
      <c r="G587" s="173"/>
      <c r="H587" s="173"/>
      <c r="I587" s="173"/>
      <c r="J587" s="173"/>
      <c r="K587" s="173"/>
      <c r="L587" s="194"/>
      <c r="M587" s="173"/>
      <c r="N587" s="194"/>
      <c r="O587" s="173">
        <f t="shared" si="64"/>
        <v>0</v>
      </c>
      <c r="P587" s="100">
        <f t="shared" si="66"/>
        <v>0</v>
      </c>
      <c r="Q587" s="2"/>
      <c r="R587" s="124"/>
      <c r="S587" s="124"/>
      <c r="T587" s="124"/>
      <c r="U587" s="124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</row>
    <row r="588" spans="1:65" ht="15.6" hidden="1" customHeight="1" outlineLevel="1">
      <c r="A588" s="1415"/>
      <c r="B588" s="1415"/>
      <c r="C588" s="570"/>
      <c r="D588" s="171"/>
      <c r="E588" s="173"/>
      <c r="F588" s="173"/>
      <c r="G588" s="173"/>
      <c r="H588" s="173"/>
      <c r="I588" s="173"/>
      <c r="J588" s="173"/>
      <c r="K588" s="173"/>
      <c r="L588" s="194"/>
      <c r="M588" s="173"/>
      <c r="N588" s="194"/>
      <c r="O588" s="173">
        <f t="shared" si="64"/>
        <v>0</v>
      </c>
      <c r="P588" s="100">
        <f t="shared" si="66"/>
        <v>0</v>
      </c>
      <c r="Q588" s="2"/>
      <c r="R588" s="124"/>
      <c r="S588" s="124"/>
      <c r="T588" s="124"/>
      <c r="U588" s="124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</row>
    <row r="589" spans="1:65" ht="15.6" hidden="1" customHeight="1" outlineLevel="1">
      <c r="A589" s="1415"/>
      <c r="B589" s="1415"/>
      <c r="C589" s="570"/>
      <c r="D589" s="561"/>
      <c r="E589" s="173"/>
      <c r="F589" s="173"/>
      <c r="G589" s="173">
        <f>+G590</f>
        <v>0</v>
      </c>
      <c r="H589" s="173">
        <f>+I589+L589</f>
        <v>0</v>
      </c>
      <c r="I589" s="173">
        <f t="shared" ref="I589:N589" si="71">+I590</f>
        <v>0</v>
      </c>
      <c r="J589" s="173">
        <f t="shared" si="71"/>
        <v>0</v>
      </c>
      <c r="K589" s="173">
        <f t="shared" si="71"/>
        <v>0</v>
      </c>
      <c r="L589" s="194">
        <f t="shared" si="71"/>
        <v>0</v>
      </c>
      <c r="M589" s="173">
        <f t="shared" si="71"/>
        <v>0</v>
      </c>
      <c r="N589" s="194">
        <f t="shared" si="71"/>
        <v>0</v>
      </c>
      <c r="O589" s="173">
        <f t="shared" si="64"/>
        <v>0</v>
      </c>
      <c r="P589" s="100">
        <f t="shared" si="66"/>
        <v>0</v>
      </c>
      <c r="Q589" s="2"/>
      <c r="R589" s="124"/>
      <c r="S589" s="124"/>
      <c r="T589" s="124"/>
      <c r="U589" s="124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</row>
    <row r="590" spans="1:65" ht="15.6" hidden="1" customHeight="1" outlineLevel="1">
      <c r="A590" s="1415"/>
      <c r="B590" s="1415"/>
      <c r="C590" s="570"/>
      <c r="D590" s="171"/>
      <c r="E590" s="173"/>
      <c r="F590" s="173"/>
      <c r="G590" s="173"/>
      <c r="H590" s="173"/>
      <c r="I590" s="173"/>
      <c r="J590" s="173"/>
      <c r="K590" s="173"/>
      <c r="L590" s="194"/>
      <c r="M590" s="173"/>
      <c r="N590" s="194"/>
      <c r="O590" s="173">
        <f t="shared" si="64"/>
        <v>0</v>
      </c>
      <c r="P590" s="100">
        <f t="shared" ref="P590:P670" si="72">+O590</f>
        <v>0</v>
      </c>
      <c r="Q590" s="2"/>
      <c r="R590" s="124"/>
      <c r="S590" s="124"/>
      <c r="T590" s="124"/>
      <c r="U590" s="124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</row>
    <row r="591" spans="1:65" ht="15.6" hidden="1" customHeight="1" outlineLevel="1">
      <c r="A591" s="1415"/>
      <c r="B591" s="1415"/>
      <c r="C591" s="570"/>
      <c r="D591" s="561"/>
      <c r="E591" s="173"/>
      <c r="F591" s="173"/>
      <c r="G591" s="173">
        <f>+G593</f>
        <v>0</v>
      </c>
      <c r="H591" s="173">
        <f>+I591+L591</f>
        <v>0</v>
      </c>
      <c r="I591" s="173">
        <f t="shared" ref="I591:N591" si="73">+I593</f>
        <v>0</v>
      </c>
      <c r="J591" s="173">
        <f t="shared" si="73"/>
        <v>0</v>
      </c>
      <c r="K591" s="173">
        <f t="shared" si="73"/>
        <v>0</v>
      </c>
      <c r="L591" s="194">
        <f t="shared" si="73"/>
        <v>0</v>
      </c>
      <c r="M591" s="173">
        <f t="shared" si="73"/>
        <v>0</v>
      </c>
      <c r="N591" s="194">
        <f t="shared" si="73"/>
        <v>0</v>
      </c>
      <c r="O591" s="173">
        <f t="shared" si="64"/>
        <v>0</v>
      </c>
      <c r="P591" s="100">
        <f t="shared" si="72"/>
        <v>0</v>
      </c>
      <c r="Q591" s="2"/>
      <c r="R591" s="124"/>
      <c r="S591" s="124"/>
      <c r="T591" s="124"/>
      <c r="U591" s="124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</row>
    <row r="592" spans="1:65" ht="15.6" hidden="1" customHeight="1" outlineLevel="1">
      <c r="A592" s="1415"/>
      <c r="B592" s="1415"/>
      <c r="C592" s="570"/>
      <c r="D592" s="561"/>
      <c r="E592" s="173"/>
      <c r="F592" s="173"/>
      <c r="G592" s="173"/>
      <c r="H592" s="173"/>
      <c r="I592" s="173"/>
      <c r="J592" s="173"/>
      <c r="K592" s="173"/>
      <c r="L592" s="194"/>
      <c r="M592" s="173"/>
      <c r="N592" s="194"/>
      <c r="O592" s="173"/>
      <c r="P592" s="100">
        <f t="shared" si="72"/>
        <v>0</v>
      </c>
      <c r="Q592" s="2"/>
      <c r="R592" s="124"/>
      <c r="S592" s="124"/>
      <c r="T592" s="124"/>
      <c r="U592" s="124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</row>
    <row r="593" spans="1:65" ht="15.6" hidden="1" customHeight="1" outlineLevel="1">
      <c r="A593" s="1415"/>
      <c r="B593" s="1415"/>
      <c r="C593" s="570"/>
      <c r="D593" s="171"/>
      <c r="E593" s="173"/>
      <c r="F593" s="173"/>
      <c r="G593" s="173"/>
      <c r="H593" s="173"/>
      <c r="I593" s="173"/>
      <c r="J593" s="173"/>
      <c r="K593" s="173"/>
      <c r="L593" s="194"/>
      <c r="M593" s="173"/>
      <c r="N593" s="194"/>
      <c r="O593" s="173">
        <f>+E593+H593</f>
        <v>0</v>
      </c>
      <c r="P593" s="100">
        <f t="shared" si="72"/>
        <v>0</v>
      </c>
      <c r="Q593" s="2"/>
      <c r="R593" s="124"/>
      <c r="S593" s="124"/>
      <c r="T593" s="124"/>
      <c r="U593" s="124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</row>
    <row r="594" spans="1:65" ht="15.6" hidden="1" customHeight="1" outlineLevel="1">
      <c r="A594" s="1415"/>
      <c r="B594" s="1415"/>
      <c r="C594" s="569"/>
      <c r="D594" s="213" t="s">
        <v>747</v>
      </c>
      <c r="E594" s="173"/>
      <c r="F594" s="173"/>
      <c r="G594" s="173"/>
      <c r="H594" s="173"/>
      <c r="I594" s="173"/>
      <c r="J594" s="173"/>
      <c r="K594" s="173"/>
      <c r="L594" s="194"/>
      <c r="M594" s="173"/>
      <c r="N594" s="194"/>
      <c r="O594" s="173"/>
      <c r="P594" s="100"/>
      <c r="Q594" s="2"/>
      <c r="R594" s="132"/>
      <c r="S594" s="132"/>
      <c r="T594" s="132"/>
      <c r="U594" s="13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</row>
    <row r="595" spans="1:65" ht="44.25" hidden="1" customHeight="1" outlineLevel="1">
      <c r="A595" s="1415"/>
      <c r="B595" s="1415"/>
      <c r="C595" s="569"/>
      <c r="D595" s="213" t="s">
        <v>1226</v>
      </c>
      <c r="E595" s="363"/>
      <c r="F595" s="363"/>
      <c r="G595" s="363"/>
      <c r="H595" s="363"/>
      <c r="I595" s="363"/>
      <c r="J595" s="363"/>
      <c r="K595" s="363"/>
      <c r="L595" s="365"/>
      <c r="M595" s="363"/>
      <c r="N595" s="365"/>
      <c r="O595" s="363">
        <f t="shared" ref="O595:O636" si="74">+E595+H595</f>
        <v>0</v>
      </c>
      <c r="P595" s="100">
        <f t="shared" si="72"/>
        <v>0</v>
      </c>
      <c r="Q595" s="2"/>
      <c r="R595" s="132"/>
      <c r="S595" s="132"/>
      <c r="T595" s="132"/>
      <c r="U595" s="13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</row>
    <row r="596" spans="1:65" ht="36" hidden="1" customHeight="1" outlineLevel="1">
      <c r="A596" s="1415"/>
      <c r="B596" s="1415"/>
      <c r="C596" s="569"/>
      <c r="D596" s="215" t="s">
        <v>882</v>
      </c>
      <c r="E596" s="363"/>
      <c r="F596" s="363"/>
      <c r="G596" s="363"/>
      <c r="H596" s="363"/>
      <c r="I596" s="363"/>
      <c r="J596" s="363"/>
      <c r="K596" s="363"/>
      <c r="L596" s="365"/>
      <c r="M596" s="363"/>
      <c r="N596" s="365"/>
      <c r="O596" s="363">
        <f t="shared" si="74"/>
        <v>0</v>
      </c>
      <c r="P596" s="100">
        <f t="shared" si="72"/>
        <v>0</v>
      </c>
      <c r="Q596" s="2"/>
      <c r="R596" s="132"/>
      <c r="S596" s="132"/>
      <c r="T596" s="132"/>
      <c r="U596" s="13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</row>
    <row r="597" spans="1:65" ht="57" hidden="1" customHeight="1" outlineLevel="1">
      <c r="A597" s="1415"/>
      <c r="B597" s="1415"/>
      <c r="C597" s="569"/>
      <c r="D597" s="215" t="s">
        <v>941</v>
      </c>
      <c r="E597" s="363"/>
      <c r="F597" s="363"/>
      <c r="G597" s="363"/>
      <c r="H597" s="363"/>
      <c r="I597" s="363"/>
      <c r="J597" s="363"/>
      <c r="K597" s="363"/>
      <c r="L597" s="365"/>
      <c r="M597" s="363"/>
      <c r="N597" s="365"/>
      <c r="O597" s="363">
        <f t="shared" si="74"/>
        <v>0</v>
      </c>
      <c r="P597" s="100">
        <f t="shared" si="72"/>
        <v>0</v>
      </c>
      <c r="Q597" s="2"/>
      <c r="R597" s="132"/>
      <c r="S597" s="132"/>
      <c r="T597" s="132"/>
      <c r="U597" s="13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</row>
    <row r="598" spans="1:65" ht="28.9" hidden="1" customHeight="1">
      <c r="A598" s="359" t="s">
        <v>1177</v>
      </c>
      <c r="B598" s="359"/>
      <c r="C598" s="359" t="s">
        <v>73</v>
      </c>
      <c r="D598" s="360" t="s">
        <v>701</v>
      </c>
      <c r="E598" s="487">
        <f>SUM(E599:E612)-E600-E601</f>
        <v>0</v>
      </c>
      <c r="F598" s="487">
        <f>SUM(F599:F612)-F600-F601</f>
        <v>0</v>
      </c>
      <c r="G598" s="487">
        <f>SUM(G599:G612)-G600-G601</f>
        <v>0</v>
      </c>
      <c r="H598" s="487">
        <f>SUM(H599:H612)-H600-H601</f>
        <v>0</v>
      </c>
      <c r="I598" s="487">
        <f t="shared" ref="I598:N598" si="75">SUM(I599:I612)-I600-I601</f>
        <v>0</v>
      </c>
      <c r="J598" s="487">
        <f t="shared" si="75"/>
        <v>0</v>
      </c>
      <c r="K598" s="487">
        <f t="shared" si="75"/>
        <v>0</v>
      </c>
      <c r="L598" s="487">
        <f t="shared" si="75"/>
        <v>0</v>
      </c>
      <c r="M598" s="487">
        <f t="shared" si="75"/>
        <v>0</v>
      </c>
      <c r="N598" s="487">
        <f t="shared" si="75"/>
        <v>0</v>
      </c>
      <c r="O598" s="487">
        <f t="shared" si="74"/>
        <v>0</v>
      </c>
      <c r="P598" s="100">
        <f t="shared" si="72"/>
        <v>0</v>
      </c>
      <c r="R598" s="71"/>
      <c r="S598" s="71"/>
      <c r="T598" s="71"/>
      <c r="U598" s="71"/>
    </row>
    <row r="599" spans="1:65" ht="27.6" hidden="1" customHeight="1">
      <c r="A599" s="1418" t="s">
        <v>632</v>
      </c>
      <c r="B599" s="1419"/>
      <c r="C599" s="569">
        <v>150101</v>
      </c>
      <c r="D599" s="364" t="s">
        <v>532</v>
      </c>
      <c r="E599" s="488"/>
      <c r="F599" s="488"/>
      <c r="G599" s="488"/>
      <c r="H599" s="488">
        <f t="shared" ref="H599:H608" si="76">+I599+L599</f>
        <v>0</v>
      </c>
      <c r="I599" s="488"/>
      <c r="J599" s="488"/>
      <c r="K599" s="488"/>
      <c r="L599" s="488">
        <f>11147800-11147800</f>
        <v>0</v>
      </c>
      <c r="M599" s="488">
        <f>+L599</f>
        <v>0</v>
      </c>
      <c r="N599" s="488">
        <f>8000000-8000000</f>
        <v>0</v>
      </c>
      <c r="O599" s="488">
        <f t="shared" si="74"/>
        <v>0</v>
      </c>
      <c r="P599" s="100">
        <f t="shared" si="72"/>
        <v>0</v>
      </c>
      <c r="R599" s="71"/>
      <c r="S599" s="71"/>
      <c r="T599" s="71"/>
      <c r="U599" s="71"/>
      <c r="AA599" s="24">
        <v>2502.4</v>
      </c>
      <c r="AB599" s="38">
        <f>+M599-AA599</f>
        <v>-2502.4</v>
      </c>
    </row>
    <row r="600" spans="1:65" ht="22.9" hidden="1" customHeight="1">
      <c r="A600" s="643"/>
      <c r="B600" s="644"/>
      <c r="C600" s="569"/>
      <c r="D600" s="364" t="s">
        <v>529</v>
      </c>
      <c r="E600" s="488"/>
      <c r="F600" s="488"/>
      <c r="G600" s="488"/>
      <c r="H600" s="488"/>
      <c r="I600" s="488"/>
      <c r="J600" s="488"/>
      <c r="K600" s="488"/>
      <c r="L600" s="488"/>
      <c r="M600" s="488"/>
      <c r="N600" s="488"/>
      <c r="O600" s="488"/>
      <c r="P600" s="100"/>
      <c r="R600" s="71"/>
      <c r="S600" s="71"/>
      <c r="T600" s="71"/>
      <c r="U600" s="71"/>
      <c r="AB600" s="38"/>
    </row>
    <row r="601" spans="1:65" ht="56.45" hidden="1" customHeight="1">
      <c r="A601" s="643"/>
      <c r="B601" s="644"/>
      <c r="C601" s="569"/>
      <c r="D601" s="362" t="s">
        <v>430</v>
      </c>
      <c r="E601" s="488"/>
      <c r="F601" s="488"/>
      <c r="G601" s="488"/>
      <c r="H601" s="488">
        <f t="shared" si="76"/>
        <v>0</v>
      </c>
      <c r="I601" s="488"/>
      <c r="J601" s="488"/>
      <c r="K601" s="488"/>
      <c r="L601" s="488"/>
      <c r="M601" s="488">
        <f>+L601</f>
        <v>0</v>
      </c>
      <c r="N601" s="488">
        <f>+M601</f>
        <v>0</v>
      </c>
      <c r="O601" s="488">
        <f t="shared" si="74"/>
        <v>0</v>
      </c>
      <c r="P601" s="100">
        <f t="shared" si="72"/>
        <v>0</v>
      </c>
      <c r="R601" s="71"/>
      <c r="S601" s="71"/>
      <c r="T601" s="71"/>
      <c r="U601" s="71"/>
      <c r="AB601" s="38"/>
    </row>
    <row r="602" spans="1:65" ht="25.9" hidden="1" customHeight="1">
      <c r="A602" s="1415"/>
      <c r="B602" s="1415"/>
      <c r="C602" s="550">
        <v>150107</v>
      </c>
      <c r="D602" s="518" t="s">
        <v>421</v>
      </c>
      <c r="E602" s="180">
        <f>+'видатки_затв '!C235</f>
        <v>0</v>
      </c>
      <c r="F602" s="180">
        <f>+'видатки_затв '!D235</f>
        <v>0</v>
      </c>
      <c r="G602" s="180">
        <f>+'видатки_затв '!E235</f>
        <v>0</v>
      </c>
      <c r="H602" s="180">
        <f t="shared" si="76"/>
        <v>0</v>
      </c>
      <c r="I602" s="180"/>
      <c r="J602" s="180"/>
      <c r="K602" s="180"/>
      <c r="L602" s="180"/>
      <c r="M602" s="180">
        <f t="shared" ref="M602:M608" si="77">+L602</f>
        <v>0</v>
      </c>
      <c r="N602" s="489"/>
      <c r="O602" s="180">
        <f t="shared" si="74"/>
        <v>0</v>
      </c>
      <c r="P602" s="100">
        <f t="shared" si="72"/>
        <v>0</v>
      </c>
      <c r="R602" s="71"/>
      <c r="S602" s="71"/>
      <c r="T602" s="71"/>
      <c r="U602" s="71"/>
    </row>
    <row r="603" spans="1:65" ht="39" hidden="1" customHeight="1">
      <c r="A603" s="1415"/>
      <c r="B603" s="1415"/>
      <c r="C603" s="550" t="s">
        <v>901</v>
      </c>
      <c r="D603" s="197" t="s">
        <v>1234</v>
      </c>
      <c r="E603" s="489"/>
      <c r="F603" s="489"/>
      <c r="G603" s="489"/>
      <c r="H603" s="489">
        <f t="shared" si="76"/>
        <v>0</v>
      </c>
      <c r="I603" s="489"/>
      <c r="J603" s="489"/>
      <c r="K603" s="489"/>
      <c r="L603" s="489"/>
      <c r="M603" s="489">
        <f t="shared" si="77"/>
        <v>0</v>
      </c>
      <c r="N603" s="488"/>
      <c r="O603" s="489">
        <f t="shared" si="74"/>
        <v>0</v>
      </c>
      <c r="P603" s="100">
        <f t="shared" si="72"/>
        <v>0</v>
      </c>
      <c r="R603" s="71"/>
      <c r="S603" s="71"/>
      <c r="T603" s="71"/>
      <c r="U603" s="71"/>
    </row>
    <row r="604" spans="1:65" ht="57" hidden="1" customHeight="1">
      <c r="A604" s="1415"/>
      <c r="B604" s="1415"/>
      <c r="C604" s="550" t="s">
        <v>895</v>
      </c>
      <c r="D604" s="197" t="s">
        <v>575</v>
      </c>
      <c r="E604" s="180"/>
      <c r="F604" s="180"/>
      <c r="G604" s="180"/>
      <c r="H604" s="180">
        <f t="shared" si="76"/>
        <v>0</v>
      </c>
      <c r="I604" s="180"/>
      <c r="J604" s="180"/>
      <c r="K604" s="180"/>
      <c r="L604" s="180"/>
      <c r="M604" s="180">
        <f t="shared" si="77"/>
        <v>0</v>
      </c>
      <c r="N604" s="489"/>
      <c r="O604" s="180">
        <f t="shared" si="74"/>
        <v>0</v>
      </c>
      <c r="P604" s="100">
        <f t="shared" si="72"/>
        <v>0</v>
      </c>
      <c r="R604" s="71"/>
      <c r="S604" s="71"/>
      <c r="T604" s="71"/>
      <c r="U604" s="71"/>
    </row>
    <row r="605" spans="1:65" ht="51.6" hidden="1" customHeight="1">
      <c r="A605" s="1415"/>
      <c r="B605" s="1415"/>
      <c r="C605" s="570" t="s">
        <v>383</v>
      </c>
      <c r="D605" s="171" t="s">
        <v>767</v>
      </c>
      <c r="E605" s="173"/>
      <c r="F605" s="173"/>
      <c r="G605" s="173"/>
      <c r="H605" s="173">
        <f t="shared" si="76"/>
        <v>0</v>
      </c>
      <c r="I605" s="173"/>
      <c r="J605" s="173"/>
      <c r="K605" s="173"/>
      <c r="L605" s="194"/>
      <c r="M605" s="173">
        <f t="shared" si="77"/>
        <v>0</v>
      </c>
      <c r="N605" s="489"/>
      <c r="O605" s="173">
        <f t="shared" si="74"/>
        <v>0</v>
      </c>
      <c r="P605" s="100">
        <f t="shared" si="72"/>
        <v>0</v>
      </c>
      <c r="R605" s="71"/>
      <c r="S605" s="71"/>
      <c r="T605" s="71"/>
      <c r="U605" s="71"/>
    </row>
    <row r="606" spans="1:65" ht="46.9" hidden="1" customHeight="1">
      <c r="A606" s="1415"/>
      <c r="B606" s="1415"/>
      <c r="C606" s="550" t="s">
        <v>902</v>
      </c>
      <c r="D606" s="197" t="s">
        <v>715</v>
      </c>
      <c r="E606" s="173"/>
      <c r="F606" s="173"/>
      <c r="G606" s="173"/>
      <c r="H606" s="197">
        <f t="shared" si="76"/>
        <v>0</v>
      </c>
      <c r="I606" s="197"/>
      <c r="J606" s="197"/>
      <c r="K606" s="197"/>
      <c r="L606" s="490"/>
      <c r="M606" s="197">
        <f t="shared" si="77"/>
        <v>0</v>
      </c>
      <c r="N606" s="488"/>
      <c r="O606" s="197">
        <f t="shared" si="74"/>
        <v>0</v>
      </c>
      <c r="P606" s="100">
        <f t="shared" si="72"/>
        <v>0</v>
      </c>
      <c r="R606" s="71"/>
      <c r="S606" s="71"/>
      <c r="T606" s="71"/>
      <c r="U606" s="71"/>
    </row>
    <row r="607" spans="1:65" ht="36" hidden="1" customHeight="1">
      <c r="A607" s="1415"/>
      <c r="B607" s="1415"/>
      <c r="C607" s="550" t="s">
        <v>1242</v>
      </c>
      <c r="D607" s="197" t="s">
        <v>940</v>
      </c>
      <c r="E607" s="489"/>
      <c r="F607" s="489"/>
      <c r="G607" s="489"/>
      <c r="H607" s="489">
        <f t="shared" si="76"/>
        <v>0</v>
      </c>
      <c r="I607" s="489"/>
      <c r="J607" s="489"/>
      <c r="K607" s="489"/>
      <c r="L607" s="489"/>
      <c r="M607" s="489">
        <f t="shared" si="77"/>
        <v>0</v>
      </c>
      <c r="N607" s="488"/>
      <c r="O607" s="489">
        <f t="shared" si="74"/>
        <v>0</v>
      </c>
      <c r="P607" s="100">
        <f t="shared" si="72"/>
        <v>0</v>
      </c>
      <c r="R607" s="71"/>
      <c r="S607" s="71"/>
      <c r="T607" s="71"/>
      <c r="U607" s="71"/>
    </row>
    <row r="608" spans="1:65" ht="39.6" hidden="1" customHeight="1">
      <c r="A608" s="1415"/>
      <c r="B608" s="1415"/>
      <c r="C608" s="550" t="s">
        <v>1243</v>
      </c>
      <c r="D608" s="197" t="s">
        <v>230</v>
      </c>
      <c r="E608" s="489"/>
      <c r="F608" s="489"/>
      <c r="G608" s="489"/>
      <c r="H608" s="489">
        <f t="shared" si="76"/>
        <v>0</v>
      </c>
      <c r="I608" s="489"/>
      <c r="J608" s="489"/>
      <c r="K608" s="489"/>
      <c r="L608" s="489"/>
      <c r="M608" s="489">
        <f t="shared" si="77"/>
        <v>0</v>
      </c>
      <c r="N608" s="488"/>
      <c r="O608" s="489">
        <f t="shared" si="74"/>
        <v>0</v>
      </c>
      <c r="P608" s="100">
        <f t="shared" si="72"/>
        <v>0</v>
      </c>
      <c r="R608" s="71"/>
      <c r="S608" s="71"/>
      <c r="T608" s="71"/>
      <c r="U608" s="71"/>
    </row>
    <row r="609" spans="1:65" ht="58.9" hidden="1" customHeight="1">
      <c r="A609" s="1415"/>
      <c r="B609" s="1415"/>
      <c r="C609" s="575" t="s">
        <v>71</v>
      </c>
      <c r="D609" s="169" t="s">
        <v>266</v>
      </c>
      <c r="E609" s="169"/>
      <c r="F609" s="169"/>
      <c r="G609" s="169"/>
      <c r="H609" s="169"/>
      <c r="I609" s="169"/>
      <c r="J609" s="169"/>
      <c r="K609" s="169"/>
      <c r="L609" s="195"/>
      <c r="M609" s="169"/>
      <c r="N609" s="195"/>
      <c r="O609" s="169">
        <f t="shared" si="74"/>
        <v>0</v>
      </c>
      <c r="P609" s="100">
        <f t="shared" si="72"/>
        <v>0</v>
      </c>
      <c r="R609" s="71"/>
      <c r="S609" s="71"/>
      <c r="T609" s="71"/>
      <c r="U609" s="71"/>
    </row>
    <row r="610" spans="1:65" ht="49.15" hidden="1" customHeight="1">
      <c r="A610" s="1415"/>
      <c r="B610" s="1415"/>
      <c r="C610" s="575" t="s">
        <v>1125</v>
      </c>
      <c r="D610" s="173" t="s">
        <v>1126</v>
      </c>
      <c r="E610" s="169"/>
      <c r="F610" s="169"/>
      <c r="G610" s="169"/>
      <c r="H610" s="169"/>
      <c r="I610" s="169"/>
      <c r="J610" s="169"/>
      <c r="K610" s="169"/>
      <c r="L610" s="195"/>
      <c r="M610" s="169"/>
      <c r="N610" s="195"/>
      <c r="O610" s="169">
        <f t="shared" si="74"/>
        <v>0</v>
      </c>
      <c r="P610" s="100">
        <f t="shared" si="72"/>
        <v>0</v>
      </c>
      <c r="R610" s="71"/>
      <c r="S610" s="71"/>
      <c r="T610" s="71"/>
      <c r="U610" s="71"/>
    </row>
    <row r="611" spans="1:65" ht="39" hidden="1" customHeight="1">
      <c r="A611" s="1415"/>
      <c r="B611" s="1415"/>
      <c r="C611" s="550" t="s">
        <v>72</v>
      </c>
      <c r="D611" s="197" t="s">
        <v>377</v>
      </c>
      <c r="E611" s="180"/>
      <c r="F611" s="180"/>
      <c r="G611" s="180"/>
      <c r="H611" s="180">
        <f>+I611+L611</f>
        <v>0</v>
      </c>
      <c r="I611" s="180"/>
      <c r="J611" s="180"/>
      <c r="K611" s="180"/>
      <c r="L611" s="193"/>
      <c r="M611" s="180"/>
      <c r="N611" s="193"/>
      <c r="O611" s="180">
        <f t="shared" si="74"/>
        <v>0</v>
      </c>
      <c r="P611" s="100">
        <f t="shared" si="72"/>
        <v>0</v>
      </c>
      <c r="R611" s="71"/>
      <c r="S611" s="71"/>
      <c r="T611" s="71"/>
      <c r="U611" s="71"/>
    </row>
    <row r="612" spans="1:65" ht="51.6" hidden="1" customHeight="1">
      <c r="A612" s="1415"/>
      <c r="B612" s="1415"/>
      <c r="C612" s="570" t="s">
        <v>1510</v>
      </c>
      <c r="D612" s="171" t="s">
        <v>1509</v>
      </c>
      <c r="E612" s="173"/>
      <c r="F612" s="173"/>
      <c r="G612" s="173"/>
      <c r="H612" s="173">
        <f>+I612+L612</f>
        <v>0</v>
      </c>
      <c r="I612" s="173"/>
      <c r="J612" s="173"/>
      <c r="K612" s="173"/>
      <c r="L612" s="194">
        <f>250-250</f>
        <v>0</v>
      </c>
      <c r="M612" s="173">
        <f>+L612</f>
        <v>0</v>
      </c>
      <c r="N612" s="194">
        <f>250-250</f>
        <v>0</v>
      </c>
      <c r="O612" s="173">
        <f t="shared" si="74"/>
        <v>0</v>
      </c>
      <c r="P612" s="100">
        <f t="shared" si="72"/>
        <v>0</v>
      </c>
      <c r="R612" s="71"/>
      <c r="S612" s="71"/>
      <c r="T612" s="71"/>
      <c r="U612" s="71"/>
    </row>
    <row r="613" spans="1:65" ht="51.6" customHeight="1">
      <c r="A613" s="359" t="s">
        <v>1177</v>
      </c>
      <c r="B613" s="359"/>
      <c r="C613" s="359" t="s">
        <v>1180</v>
      </c>
      <c r="D613" s="360" t="s">
        <v>1181</v>
      </c>
      <c r="E613" s="487">
        <f>+E616+E630+E618+E626+E615+E622+E617+E614+E627</f>
        <v>1200000</v>
      </c>
      <c r="F613" s="487">
        <f t="shared" ref="F613:N613" si="78">+F616+F630+F618+F626+F615+F622+F617+F614+F627</f>
        <v>0</v>
      </c>
      <c r="G613" s="487">
        <f t="shared" si="78"/>
        <v>0</v>
      </c>
      <c r="H613" s="487">
        <f t="shared" si="78"/>
        <v>1300000</v>
      </c>
      <c r="I613" s="487">
        <f t="shared" si="78"/>
        <v>0</v>
      </c>
      <c r="J613" s="487">
        <f t="shared" si="78"/>
        <v>0</v>
      </c>
      <c r="K613" s="487">
        <f t="shared" si="78"/>
        <v>0</v>
      </c>
      <c r="L613" s="487">
        <f t="shared" si="78"/>
        <v>1300000</v>
      </c>
      <c r="M613" s="487">
        <f t="shared" si="78"/>
        <v>700000</v>
      </c>
      <c r="N613" s="487">
        <f t="shared" si="78"/>
        <v>700000</v>
      </c>
      <c r="O613" s="487">
        <f t="shared" si="74"/>
        <v>2500000</v>
      </c>
      <c r="P613" s="162">
        <f t="shared" si="72"/>
        <v>2500000</v>
      </c>
      <c r="Q613" s="2"/>
      <c r="R613" s="7"/>
      <c r="S613" s="7"/>
      <c r="T613" s="7"/>
      <c r="U613" s="7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</row>
    <row r="614" spans="1:65" ht="37.9" customHeight="1">
      <c r="A614" s="1418" t="s">
        <v>555</v>
      </c>
      <c r="B614" s="1419"/>
      <c r="C614" s="569" t="s">
        <v>225</v>
      </c>
      <c r="D614" s="217" t="s">
        <v>226</v>
      </c>
      <c r="E614" s="487"/>
      <c r="F614" s="487"/>
      <c r="G614" s="487"/>
      <c r="H614" s="363">
        <f t="shared" ref="H614:H619" si="79">+I614+L614</f>
        <v>600000</v>
      </c>
      <c r="I614" s="487"/>
      <c r="J614" s="487"/>
      <c r="K614" s="487"/>
      <c r="L614" s="488">
        <v>600000</v>
      </c>
      <c r="M614" s="487"/>
      <c r="N614" s="487"/>
      <c r="O614" s="363">
        <f t="shared" si="74"/>
        <v>600000</v>
      </c>
      <c r="P614" s="580">
        <f t="shared" si="72"/>
        <v>600000</v>
      </c>
      <c r="Q614" s="2"/>
      <c r="R614" s="7"/>
      <c r="S614" s="7"/>
      <c r="T614" s="7"/>
      <c r="U614" s="7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</row>
    <row r="615" spans="1:65" ht="50.25" hidden="1" customHeight="1">
      <c r="A615" s="1415"/>
      <c r="B615" s="1415"/>
      <c r="C615" s="550" t="s">
        <v>1033</v>
      </c>
      <c r="D615" s="202" t="s">
        <v>1032</v>
      </c>
      <c r="E615" s="180"/>
      <c r="F615" s="180"/>
      <c r="G615" s="180"/>
      <c r="H615" s="180">
        <f t="shared" si="79"/>
        <v>0</v>
      </c>
      <c r="I615" s="180"/>
      <c r="J615" s="180"/>
      <c r="K615" s="180"/>
      <c r="L615" s="180">
        <f>2478496+500000-2978496</f>
        <v>0</v>
      </c>
      <c r="M615" s="180"/>
      <c r="N615" s="180">
        <f>2478496+500000-2978496</f>
        <v>0</v>
      </c>
      <c r="O615" s="180">
        <f t="shared" si="74"/>
        <v>0</v>
      </c>
      <c r="P615" s="580">
        <f t="shared" si="72"/>
        <v>0</v>
      </c>
      <c r="Q615" s="2"/>
      <c r="R615" s="7"/>
      <c r="S615" s="7"/>
      <c r="T615" s="7"/>
      <c r="U615" s="7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</row>
    <row r="616" spans="1:65" ht="39" hidden="1" customHeight="1">
      <c r="A616" s="1415"/>
      <c r="B616" s="1415"/>
      <c r="C616" s="550" t="s">
        <v>1510</v>
      </c>
      <c r="D616" s="197" t="s">
        <v>1509</v>
      </c>
      <c r="E616" s="180"/>
      <c r="F616" s="180"/>
      <c r="G616" s="180"/>
      <c r="H616" s="180">
        <f t="shared" si="79"/>
        <v>0</v>
      </c>
      <c r="I616" s="180"/>
      <c r="J616" s="180"/>
      <c r="K616" s="180"/>
      <c r="L616" s="180"/>
      <c r="M616" s="180">
        <f>+L616</f>
        <v>0</v>
      </c>
      <c r="N616" s="180"/>
      <c r="O616" s="180">
        <f t="shared" si="74"/>
        <v>0</v>
      </c>
      <c r="P616" s="581">
        <f t="shared" si="72"/>
        <v>0</v>
      </c>
      <c r="Q616" s="2"/>
      <c r="R616" s="124"/>
      <c r="S616" s="124"/>
      <c r="T616" s="124"/>
      <c r="U616" s="124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</row>
    <row r="617" spans="1:65" ht="39.6" hidden="1" customHeight="1">
      <c r="A617" s="1416" t="s">
        <v>1387</v>
      </c>
      <c r="B617" s="1416"/>
      <c r="C617" s="569" t="s">
        <v>1183</v>
      </c>
      <c r="D617" s="518" t="s">
        <v>559</v>
      </c>
      <c r="E617" s="363"/>
      <c r="F617" s="363"/>
      <c r="G617" s="363"/>
      <c r="H617" s="488">
        <f t="shared" si="79"/>
        <v>0</v>
      </c>
      <c r="I617" s="488"/>
      <c r="J617" s="488"/>
      <c r="K617" s="488"/>
      <c r="L617" s="488"/>
      <c r="M617" s="488">
        <f>+L617</f>
        <v>0</v>
      </c>
      <c r="N617" s="488">
        <f>+M617</f>
        <v>0</v>
      </c>
      <c r="O617" s="488">
        <f t="shared" si="74"/>
        <v>0</v>
      </c>
      <c r="P617" s="581">
        <f t="shared" si="72"/>
        <v>0</v>
      </c>
      <c r="Q617" s="2"/>
      <c r="R617" s="124"/>
      <c r="S617" s="124"/>
      <c r="T617" s="124"/>
      <c r="U617" s="124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</row>
    <row r="618" spans="1:65" ht="35.450000000000003" customHeight="1">
      <c r="A618" s="1416" t="s">
        <v>1388</v>
      </c>
      <c r="B618" s="1416"/>
      <c r="C618" s="569" t="s">
        <v>1512</v>
      </c>
      <c r="D618" s="217" t="s">
        <v>547</v>
      </c>
      <c r="E618" s="488">
        <f>1000000+200000</f>
        <v>1200000</v>
      </c>
      <c r="F618" s="488"/>
      <c r="G618" s="488"/>
      <c r="H618" s="488">
        <f t="shared" si="79"/>
        <v>0</v>
      </c>
      <c r="I618" s="488"/>
      <c r="J618" s="488"/>
      <c r="K618" s="488"/>
      <c r="L618" s="488"/>
      <c r="M618" s="488"/>
      <c r="N618" s="488"/>
      <c r="O618" s="488">
        <f t="shared" si="74"/>
        <v>1200000</v>
      </c>
      <c r="P618" s="162">
        <f t="shared" si="72"/>
        <v>1200000</v>
      </c>
      <c r="Q618" s="2"/>
      <c r="R618" s="124"/>
      <c r="S618" s="124"/>
      <c r="T618" s="124"/>
      <c r="U618" s="124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</row>
    <row r="619" spans="1:65" ht="51" hidden="1" customHeight="1">
      <c r="A619" s="1415"/>
      <c r="B619" s="1415"/>
      <c r="C619" s="551"/>
      <c r="D619" s="217" t="s">
        <v>145</v>
      </c>
      <c r="E619" s="363"/>
      <c r="F619" s="363"/>
      <c r="G619" s="363"/>
      <c r="H619" s="363">
        <f t="shared" si="79"/>
        <v>0</v>
      </c>
      <c r="I619" s="363"/>
      <c r="J619" s="363"/>
      <c r="K619" s="363"/>
      <c r="L619" s="365"/>
      <c r="M619" s="363"/>
      <c r="N619" s="365"/>
      <c r="O619" s="180">
        <f t="shared" si="74"/>
        <v>0</v>
      </c>
      <c r="P619" s="100"/>
      <c r="Q619" s="2"/>
      <c r="R619" s="124"/>
      <c r="S619" s="124"/>
      <c r="T619" s="124"/>
      <c r="U619" s="124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</row>
    <row r="620" spans="1:65" ht="53.45" hidden="1" customHeight="1">
      <c r="A620" s="1415"/>
      <c r="B620" s="1415"/>
      <c r="C620" s="551"/>
      <c r="D620" s="625" t="s">
        <v>652</v>
      </c>
      <c r="E620" s="180"/>
      <c r="F620" s="180"/>
      <c r="G620" s="180"/>
      <c r="H620" s="180"/>
      <c r="I620" s="180"/>
      <c r="J620" s="180"/>
      <c r="K620" s="180"/>
      <c r="L620" s="193"/>
      <c r="M620" s="180"/>
      <c r="N620" s="193"/>
      <c r="O620" s="180">
        <f t="shared" si="74"/>
        <v>0</v>
      </c>
      <c r="P620" s="100">
        <f t="shared" si="72"/>
        <v>0</v>
      </c>
      <c r="Q620" s="2"/>
      <c r="R620" s="124"/>
      <c r="S620" s="124"/>
      <c r="T620" s="124"/>
      <c r="U620" s="124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</row>
    <row r="621" spans="1:65" ht="46.15" hidden="1" customHeight="1">
      <c r="A621" s="1415"/>
      <c r="B621" s="1415"/>
      <c r="C621" s="550"/>
      <c r="D621" s="213" t="s">
        <v>534</v>
      </c>
      <c r="E621" s="180"/>
      <c r="F621" s="180"/>
      <c r="G621" s="180"/>
      <c r="H621" s="180"/>
      <c r="I621" s="180"/>
      <c r="J621" s="180"/>
      <c r="K621" s="180"/>
      <c r="L621" s="193"/>
      <c r="M621" s="180"/>
      <c r="N621" s="193"/>
      <c r="O621" s="180">
        <f t="shared" si="74"/>
        <v>0</v>
      </c>
      <c r="P621" s="100"/>
      <c r="Q621" s="2"/>
      <c r="R621" s="124"/>
      <c r="S621" s="124"/>
      <c r="T621" s="124"/>
      <c r="U621" s="124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</row>
    <row r="622" spans="1:65" ht="32.450000000000003" hidden="1" customHeight="1">
      <c r="A622" s="1415"/>
      <c r="B622" s="1415"/>
      <c r="C622" s="569" t="s">
        <v>225</v>
      </c>
      <c r="D622" s="448" t="s">
        <v>226</v>
      </c>
      <c r="E622" s="488"/>
      <c r="F622" s="488"/>
      <c r="G622" s="488"/>
      <c r="H622" s="488">
        <f t="shared" ref="H622:H628" si="80">+I622+L622</f>
        <v>0</v>
      </c>
      <c r="I622" s="488"/>
      <c r="J622" s="488"/>
      <c r="K622" s="488"/>
      <c r="L622" s="488">
        <f>1500000-1500000</f>
        <v>0</v>
      </c>
      <c r="M622" s="488"/>
      <c r="N622" s="488"/>
      <c r="O622" s="488">
        <f>+E622+H622</f>
        <v>0</v>
      </c>
      <c r="P622" s="162">
        <f t="shared" si="72"/>
        <v>0</v>
      </c>
      <c r="Q622" s="2"/>
      <c r="R622" s="124"/>
      <c r="S622" s="124"/>
      <c r="T622" s="124"/>
      <c r="U622" s="124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</row>
    <row r="623" spans="1:65" ht="20.45" hidden="1" customHeight="1">
      <c r="A623" s="1415"/>
      <c r="B623" s="1415"/>
      <c r="C623" s="569"/>
      <c r="D623" s="213" t="s">
        <v>747</v>
      </c>
      <c r="E623" s="488"/>
      <c r="F623" s="488"/>
      <c r="G623" s="488"/>
      <c r="H623" s="488">
        <f t="shared" si="80"/>
        <v>0</v>
      </c>
      <c r="I623" s="488"/>
      <c r="J623" s="488"/>
      <c r="K623" s="488"/>
      <c r="L623" s="488"/>
      <c r="M623" s="488"/>
      <c r="N623" s="488"/>
      <c r="O623" s="488">
        <f>+E623+H623</f>
        <v>0</v>
      </c>
      <c r="P623" s="162"/>
      <c r="Q623" s="2"/>
      <c r="R623" s="124"/>
      <c r="S623" s="124"/>
      <c r="T623" s="124"/>
      <c r="U623" s="124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</row>
    <row r="624" spans="1:65" ht="30.6" hidden="1" customHeight="1">
      <c r="A624" s="1415"/>
      <c r="B624" s="1415"/>
      <c r="C624" s="569"/>
      <c r="D624" s="215" t="s">
        <v>626</v>
      </c>
      <c r="E624" s="488"/>
      <c r="F624" s="488"/>
      <c r="G624" s="488"/>
      <c r="H624" s="488">
        <f t="shared" si="80"/>
        <v>0</v>
      </c>
      <c r="I624" s="488"/>
      <c r="J624" s="488"/>
      <c r="K624" s="488"/>
      <c r="L624" s="488">
        <f>1500000-1500000</f>
        <v>0</v>
      </c>
      <c r="M624" s="488"/>
      <c r="N624" s="488"/>
      <c r="O624" s="488">
        <f>+E624+H624</f>
        <v>0</v>
      </c>
      <c r="P624" s="162">
        <f t="shared" si="72"/>
        <v>0</v>
      </c>
      <c r="Q624" s="2"/>
      <c r="R624" s="124"/>
      <c r="S624" s="124"/>
      <c r="T624" s="124"/>
      <c r="U624" s="124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</row>
    <row r="625" spans="1:65" ht="32.450000000000003" hidden="1" customHeight="1">
      <c r="A625" s="1415"/>
      <c r="B625" s="1415"/>
      <c r="C625" s="569"/>
      <c r="D625" s="215" t="s">
        <v>684</v>
      </c>
      <c r="E625" s="488"/>
      <c r="F625" s="488"/>
      <c r="G625" s="488"/>
      <c r="H625" s="488">
        <f t="shared" si="80"/>
        <v>0</v>
      </c>
      <c r="I625" s="488"/>
      <c r="J625" s="488"/>
      <c r="K625" s="488"/>
      <c r="L625" s="488"/>
      <c r="M625" s="488"/>
      <c r="N625" s="488"/>
      <c r="O625" s="488">
        <f>+E625+H625</f>
        <v>0</v>
      </c>
      <c r="P625" s="162">
        <f t="shared" si="72"/>
        <v>0</v>
      </c>
      <c r="Q625" s="2"/>
      <c r="R625" s="124"/>
      <c r="S625" s="124"/>
      <c r="T625" s="124"/>
      <c r="U625" s="124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</row>
    <row r="626" spans="1:65" ht="69.599999999999994" hidden="1" customHeight="1">
      <c r="A626" s="1415"/>
      <c r="B626" s="1415"/>
      <c r="C626" s="569" t="s">
        <v>1127</v>
      </c>
      <c r="D626" s="217" t="s">
        <v>1268</v>
      </c>
      <c r="E626" s="488"/>
      <c r="F626" s="488"/>
      <c r="G626" s="488"/>
      <c r="H626" s="488">
        <f t="shared" si="80"/>
        <v>0</v>
      </c>
      <c r="I626" s="488"/>
      <c r="J626" s="488"/>
      <c r="K626" s="488"/>
      <c r="L626" s="488">
        <f>2250000-2250000</f>
        <v>0</v>
      </c>
      <c r="M626" s="488"/>
      <c r="N626" s="488"/>
      <c r="O626" s="488">
        <f t="shared" si="74"/>
        <v>0</v>
      </c>
      <c r="P626" s="162">
        <f t="shared" si="72"/>
        <v>0</v>
      </c>
      <c r="Q626" s="2"/>
      <c r="R626" s="124"/>
      <c r="S626" s="124"/>
      <c r="T626" s="124"/>
      <c r="U626" s="124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</row>
    <row r="627" spans="1:65" ht="40.15" customHeight="1">
      <c r="A627" s="1440" t="s">
        <v>259</v>
      </c>
      <c r="B627" s="1441"/>
      <c r="C627" s="569" t="s">
        <v>1247</v>
      </c>
      <c r="D627" s="217" t="s">
        <v>1246</v>
      </c>
      <c r="E627" s="488"/>
      <c r="F627" s="488"/>
      <c r="G627" s="488"/>
      <c r="H627" s="488">
        <f t="shared" si="80"/>
        <v>700000</v>
      </c>
      <c r="I627" s="488"/>
      <c r="J627" s="488"/>
      <c r="K627" s="488"/>
      <c r="L627" s="488">
        <v>700000</v>
      </c>
      <c r="M627" s="488">
        <f>+L627</f>
        <v>700000</v>
      </c>
      <c r="N627" s="488">
        <f>+M627</f>
        <v>700000</v>
      </c>
      <c r="O627" s="488">
        <f t="shared" si="74"/>
        <v>700000</v>
      </c>
      <c r="P627" s="162">
        <f t="shared" si="72"/>
        <v>700000</v>
      </c>
      <c r="Q627" s="2"/>
      <c r="R627" s="124"/>
      <c r="S627" s="124"/>
      <c r="T627" s="124"/>
      <c r="U627" s="124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</row>
    <row r="628" spans="1:65" ht="76.150000000000006" customHeight="1">
      <c r="A628" s="1346"/>
      <c r="B628" s="1347"/>
      <c r="C628" s="569"/>
      <c r="D628" s="217" t="s">
        <v>260</v>
      </c>
      <c r="E628" s="488"/>
      <c r="F628" s="488"/>
      <c r="G628" s="488"/>
      <c r="H628" s="488">
        <f t="shared" si="80"/>
        <v>700000</v>
      </c>
      <c r="I628" s="488"/>
      <c r="J628" s="488"/>
      <c r="K628" s="488"/>
      <c r="L628" s="488">
        <v>700000</v>
      </c>
      <c r="M628" s="488">
        <f>+L628</f>
        <v>700000</v>
      </c>
      <c r="N628" s="488">
        <f>+M628</f>
        <v>700000</v>
      </c>
      <c r="O628" s="488">
        <f t="shared" si="74"/>
        <v>700000</v>
      </c>
      <c r="P628" s="162">
        <f t="shared" si="72"/>
        <v>700000</v>
      </c>
      <c r="Q628" s="2"/>
      <c r="R628" s="124"/>
      <c r="S628" s="124"/>
      <c r="T628" s="124"/>
      <c r="U628" s="124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</row>
    <row r="629" spans="1:65" ht="45.6" hidden="1" customHeight="1">
      <c r="A629" s="1415"/>
      <c r="B629" s="1415"/>
      <c r="C629" s="575"/>
      <c r="D629" s="623" t="s">
        <v>1253</v>
      </c>
      <c r="E629" s="169"/>
      <c r="F629" s="169"/>
      <c r="G629" s="169"/>
      <c r="H629" s="169"/>
      <c r="I629" s="169"/>
      <c r="J629" s="169"/>
      <c r="K629" s="169"/>
      <c r="L629" s="195"/>
      <c r="M629" s="169"/>
      <c r="N629" s="195"/>
      <c r="O629" s="169">
        <f t="shared" si="74"/>
        <v>0</v>
      </c>
      <c r="P629" s="100">
        <f t="shared" si="72"/>
        <v>0</v>
      </c>
      <c r="Q629" s="2"/>
      <c r="R629" s="124"/>
      <c r="S629" s="124"/>
      <c r="T629" s="124"/>
      <c r="U629" s="124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</row>
    <row r="630" spans="1:65" ht="32.450000000000003" hidden="1" customHeight="1">
      <c r="A630" s="1415"/>
      <c r="B630" s="1415"/>
      <c r="C630" s="575" t="s">
        <v>500</v>
      </c>
      <c r="D630" s="626" t="s">
        <v>499</v>
      </c>
      <c r="E630" s="169"/>
      <c r="F630" s="169"/>
      <c r="G630" s="169"/>
      <c r="H630" s="169">
        <f t="shared" ref="H630:H650" si="81">+I630+L630</f>
        <v>0</v>
      </c>
      <c r="I630" s="169"/>
      <c r="J630" s="169"/>
      <c r="K630" s="169"/>
      <c r="L630" s="195"/>
      <c r="M630" s="169"/>
      <c r="N630" s="195"/>
      <c r="O630" s="169">
        <f t="shared" si="74"/>
        <v>0</v>
      </c>
      <c r="P630" s="100">
        <f t="shared" si="72"/>
        <v>0</v>
      </c>
      <c r="Q630" s="2"/>
      <c r="R630" s="124"/>
      <c r="S630" s="124"/>
      <c r="T630" s="124"/>
      <c r="U630" s="124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</row>
    <row r="631" spans="1:65" ht="15.75" hidden="1" outlineLevel="1">
      <c r="A631" s="624" t="s">
        <v>1178</v>
      </c>
      <c r="B631" s="624"/>
      <c r="C631" s="624"/>
      <c r="D631" s="560" t="s">
        <v>219</v>
      </c>
      <c r="E631" s="173">
        <f>+E632</f>
        <v>0</v>
      </c>
      <c r="F631" s="173">
        <f>+F632</f>
        <v>0</v>
      </c>
      <c r="G631" s="173">
        <f>+G632</f>
        <v>0</v>
      </c>
      <c r="H631" s="173">
        <f t="shared" si="81"/>
        <v>0</v>
      </c>
      <c r="I631" s="173">
        <f t="shared" ref="I631:N631" si="82">+I632</f>
        <v>0</v>
      </c>
      <c r="J631" s="173">
        <f t="shared" si="82"/>
        <v>0</v>
      </c>
      <c r="K631" s="173">
        <f t="shared" si="82"/>
        <v>0</v>
      </c>
      <c r="L631" s="194">
        <f t="shared" si="82"/>
        <v>0</v>
      </c>
      <c r="M631" s="173">
        <f t="shared" si="82"/>
        <v>0</v>
      </c>
      <c r="N631" s="194">
        <f t="shared" si="82"/>
        <v>0</v>
      </c>
      <c r="O631" s="173">
        <f t="shared" si="74"/>
        <v>0</v>
      </c>
      <c r="P631" s="100">
        <f t="shared" si="72"/>
        <v>0</v>
      </c>
      <c r="Q631" s="2"/>
      <c r="R631" s="124"/>
      <c r="S631" s="124"/>
      <c r="T631" s="124"/>
      <c r="U631" s="124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</row>
    <row r="632" spans="1:65" ht="13.9" hidden="1" customHeight="1" outlineLevel="1">
      <c r="A632" s="1415"/>
      <c r="B632" s="1415"/>
      <c r="C632" s="570">
        <v>150101</v>
      </c>
      <c r="D632" s="171" t="s">
        <v>532</v>
      </c>
      <c r="E632" s="173"/>
      <c r="F632" s="173"/>
      <c r="G632" s="173"/>
      <c r="H632" s="173">
        <f t="shared" si="81"/>
        <v>0</v>
      </c>
      <c r="I632" s="173">
        <f t="shared" ref="I632:K637" si="83">+I633</f>
        <v>0</v>
      </c>
      <c r="J632" s="173">
        <f t="shared" si="83"/>
        <v>0</v>
      </c>
      <c r="K632" s="173">
        <f t="shared" si="83"/>
        <v>0</v>
      </c>
      <c r="L632" s="194"/>
      <c r="M632" s="173"/>
      <c r="N632" s="194"/>
      <c r="O632" s="173">
        <f t="shared" si="74"/>
        <v>0</v>
      </c>
      <c r="P632" s="100">
        <f t="shared" si="72"/>
        <v>0</v>
      </c>
      <c r="Q632" s="2"/>
      <c r="R632" s="124"/>
      <c r="S632" s="124"/>
      <c r="T632" s="124"/>
      <c r="U632" s="124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</row>
    <row r="633" spans="1:65" ht="33.75" hidden="1" customHeight="1" outlineLevel="1">
      <c r="A633" s="624" t="s">
        <v>871</v>
      </c>
      <c r="B633" s="624"/>
      <c r="C633" s="624" t="s">
        <v>871</v>
      </c>
      <c r="D633" s="560" t="s">
        <v>220</v>
      </c>
      <c r="E633" s="173">
        <f>+E634</f>
        <v>0</v>
      </c>
      <c r="F633" s="173">
        <f>+F634</f>
        <v>0</v>
      </c>
      <c r="G633" s="173">
        <f>+G634</f>
        <v>0</v>
      </c>
      <c r="H633" s="173">
        <f t="shared" si="81"/>
        <v>0</v>
      </c>
      <c r="I633" s="173">
        <f t="shared" si="83"/>
        <v>0</v>
      </c>
      <c r="J633" s="173">
        <f t="shared" si="83"/>
        <v>0</v>
      </c>
      <c r="K633" s="173">
        <f t="shared" si="83"/>
        <v>0</v>
      </c>
      <c r="L633" s="194">
        <f>+L634</f>
        <v>0</v>
      </c>
      <c r="M633" s="173">
        <f>+M634</f>
        <v>0</v>
      </c>
      <c r="N633" s="194">
        <f>+N634</f>
        <v>0</v>
      </c>
      <c r="O633" s="173">
        <f t="shared" si="74"/>
        <v>0</v>
      </c>
      <c r="P633" s="100">
        <f t="shared" si="72"/>
        <v>0</v>
      </c>
      <c r="Q633" s="2"/>
      <c r="R633" s="124"/>
      <c r="S633" s="124"/>
      <c r="T633" s="124"/>
      <c r="U633" s="124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</row>
    <row r="634" spans="1:65" ht="13.9" hidden="1" customHeight="1" outlineLevel="1">
      <c r="A634" s="1415"/>
      <c r="B634" s="1415"/>
      <c r="C634" s="570">
        <v>150101</v>
      </c>
      <c r="D634" s="171" t="s">
        <v>532</v>
      </c>
      <c r="E634" s="173"/>
      <c r="F634" s="173"/>
      <c r="G634" s="173"/>
      <c r="H634" s="173">
        <f t="shared" si="81"/>
        <v>0</v>
      </c>
      <c r="I634" s="173"/>
      <c r="J634" s="173"/>
      <c r="K634" s="173"/>
      <c r="L634" s="194"/>
      <c r="M634" s="173"/>
      <c r="N634" s="194"/>
      <c r="O634" s="173">
        <f t="shared" si="74"/>
        <v>0</v>
      </c>
      <c r="P634" s="100">
        <f t="shared" si="72"/>
        <v>0</v>
      </c>
      <c r="Q634" s="2"/>
      <c r="R634" s="124"/>
      <c r="S634" s="124"/>
      <c r="T634" s="124"/>
      <c r="U634" s="124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</row>
    <row r="635" spans="1:65" ht="15.75" hidden="1" outlineLevel="1">
      <c r="A635" s="624" t="s">
        <v>618</v>
      </c>
      <c r="B635" s="624"/>
      <c r="C635" s="624" t="s">
        <v>618</v>
      </c>
      <c r="D635" s="560" t="s">
        <v>404</v>
      </c>
      <c r="E635" s="173"/>
      <c r="F635" s="173"/>
      <c r="G635" s="173">
        <f>+G636</f>
        <v>0</v>
      </c>
      <c r="H635" s="173">
        <f t="shared" si="81"/>
        <v>0</v>
      </c>
      <c r="I635" s="173">
        <f t="shared" si="83"/>
        <v>0</v>
      </c>
      <c r="J635" s="173">
        <f t="shared" si="83"/>
        <v>0</v>
      </c>
      <c r="K635" s="173">
        <f t="shared" si="83"/>
        <v>0</v>
      </c>
      <c r="L635" s="194">
        <f>+L636</f>
        <v>0</v>
      </c>
      <c r="M635" s="173">
        <f>+M636</f>
        <v>0</v>
      </c>
      <c r="N635" s="194">
        <f>+N636</f>
        <v>0</v>
      </c>
      <c r="O635" s="173">
        <f t="shared" si="74"/>
        <v>0</v>
      </c>
      <c r="P635" s="100">
        <f t="shared" si="72"/>
        <v>0</v>
      </c>
      <c r="Q635" s="2"/>
      <c r="R635" s="124"/>
      <c r="S635" s="124"/>
      <c r="T635" s="124"/>
      <c r="U635" s="124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</row>
    <row r="636" spans="1:65" ht="13.9" hidden="1" customHeight="1" outlineLevel="1">
      <c r="A636" s="1415"/>
      <c r="B636" s="1415"/>
      <c r="C636" s="570">
        <v>150101</v>
      </c>
      <c r="D636" s="171" t="s">
        <v>532</v>
      </c>
      <c r="E636" s="173"/>
      <c r="F636" s="173"/>
      <c r="G636" s="173"/>
      <c r="H636" s="173">
        <f t="shared" si="81"/>
        <v>0</v>
      </c>
      <c r="I636" s="173"/>
      <c r="J636" s="173"/>
      <c r="K636" s="173"/>
      <c r="L636" s="194"/>
      <c r="M636" s="173"/>
      <c r="N636" s="194"/>
      <c r="O636" s="173">
        <f t="shared" si="74"/>
        <v>0</v>
      </c>
      <c r="P636" s="100">
        <f t="shared" si="72"/>
        <v>0</v>
      </c>
      <c r="Q636" s="2"/>
      <c r="R636" s="124"/>
      <c r="S636" s="124"/>
      <c r="T636" s="124"/>
      <c r="U636" s="124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</row>
    <row r="637" spans="1:65" ht="28.9" hidden="1" customHeight="1" outlineLevel="1">
      <c r="A637" s="624" t="s">
        <v>1176</v>
      </c>
      <c r="B637" s="624"/>
      <c r="C637" s="624" t="s">
        <v>1176</v>
      </c>
      <c r="D637" s="560" t="s">
        <v>405</v>
      </c>
      <c r="E637" s="173"/>
      <c r="F637" s="173"/>
      <c r="G637" s="173">
        <f>+G638</f>
        <v>0</v>
      </c>
      <c r="H637" s="173">
        <f t="shared" si="81"/>
        <v>0</v>
      </c>
      <c r="I637" s="173">
        <f t="shared" si="83"/>
        <v>0</v>
      </c>
      <c r="J637" s="173">
        <f t="shared" si="83"/>
        <v>0</v>
      </c>
      <c r="K637" s="173">
        <f t="shared" si="83"/>
        <v>0</v>
      </c>
      <c r="L637" s="194">
        <f>+L638</f>
        <v>0</v>
      </c>
      <c r="M637" s="173">
        <f>+M638</f>
        <v>0</v>
      </c>
      <c r="N637" s="194">
        <f>+N638</f>
        <v>0</v>
      </c>
      <c r="O637" s="173">
        <f t="shared" ref="O637:O668" si="84">+E637+H637</f>
        <v>0</v>
      </c>
      <c r="P637" s="100">
        <f t="shared" si="72"/>
        <v>0</v>
      </c>
      <c r="Q637" s="2"/>
      <c r="R637" s="124"/>
      <c r="S637" s="124"/>
      <c r="T637" s="124"/>
      <c r="U637" s="124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</row>
    <row r="638" spans="1:65" ht="13.9" hidden="1" customHeight="1">
      <c r="A638" s="1415"/>
      <c r="B638" s="1415"/>
      <c r="C638" s="570">
        <v>150101</v>
      </c>
      <c r="D638" s="171" t="s">
        <v>532</v>
      </c>
      <c r="E638" s="173"/>
      <c r="F638" s="173"/>
      <c r="G638" s="173">
        <f>+G640</f>
        <v>0</v>
      </c>
      <c r="H638" s="173">
        <f t="shared" si="81"/>
        <v>0</v>
      </c>
      <c r="I638" s="173">
        <f>+I640</f>
        <v>0</v>
      </c>
      <c r="J638" s="173">
        <f>+J640</f>
        <v>0</v>
      </c>
      <c r="K638" s="173">
        <f>+K640</f>
        <v>0</v>
      </c>
      <c r="L638" s="194"/>
      <c r="M638" s="173"/>
      <c r="N638" s="194"/>
      <c r="O638" s="173">
        <f t="shared" si="84"/>
        <v>0</v>
      </c>
      <c r="P638" s="100">
        <f t="shared" si="72"/>
        <v>0</v>
      </c>
      <c r="Q638" s="2"/>
      <c r="R638" s="124"/>
      <c r="S638" s="124"/>
      <c r="T638" s="124"/>
      <c r="U638" s="124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</row>
    <row r="639" spans="1:65" ht="23.45" hidden="1" customHeight="1">
      <c r="A639" s="624" t="s">
        <v>1592</v>
      </c>
      <c r="B639" s="624"/>
      <c r="C639" s="624" t="s">
        <v>1592</v>
      </c>
      <c r="D639" s="560" t="s">
        <v>405</v>
      </c>
      <c r="E639" s="173">
        <f>+E640</f>
        <v>0</v>
      </c>
      <c r="F639" s="173">
        <f>+F640</f>
        <v>0</v>
      </c>
      <c r="G639" s="173">
        <f>+G640</f>
        <v>0</v>
      </c>
      <c r="H639" s="173">
        <f t="shared" si="81"/>
        <v>0</v>
      </c>
      <c r="I639" s="173">
        <f t="shared" ref="I639:N639" si="85">+I640</f>
        <v>0</v>
      </c>
      <c r="J639" s="173">
        <f t="shared" si="85"/>
        <v>0</v>
      </c>
      <c r="K639" s="173">
        <f t="shared" si="85"/>
        <v>0</v>
      </c>
      <c r="L639" s="194">
        <f t="shared" si="85"/>
        <v>0</v>
      </c>
      <c r="M639" s="173">
        <f t="shared" si="85"/>
        <v>0</v>
      </c>
      <c r="N639" s="194">
        <f t="shared" si="85"/>
        <v>0</v>
      </c>
      <c r="O639" s="173">
        <f t="shared" si="84"/>
        <v>0</v>
      </c>
      <c r="P639" s="100">
        <f t="shared" si="72"/>
        <v>0</v>
      </c>
      <c r="Q639" s="2"/>
      <c r="R639" s="124"/>
      <c r="S639" s="124"/>
      <c r="T639" s="124"/>
      <c r="U639" s="124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</row>
    <row r="640" spans="1:65" ht="23.45" hidden="1" customHeight="1">
      <c r="A640" s="627"/>
      <c r="B640" s="627"/>
      <c r="C640" s="627">
        <v>150101</v>
      </c>
      <c r="D640" s="171" t="s">
        <v>532</v>
      </c>
      <c r="E640" s="173"/>
      <c r="F640" s="173"/>
      <c r="G640" s="173"/>
      <c r="H640" s="173">
        <f t="shared" si="81"/>
        <v>0</v>
      </c>
      <c r="I640" s="173"/>
      <c r="J640" s="173"/>
      <c r="K640" s="173"/>
      <c r="L640" s="194"/>
      <c r="M640" s="173"/>
      <c r="N640" s="194"/>
      <c r="O640" s="173">
        <f t="shared" si="84"/>
        <v>0</v>
      </c>
      <c r="P640" s="100">
        <f t="shared" si="72"/>
        <v>0</v>
      </c>
      <c r="Q640" s="2"/>
      <c r="R640" s="124"/>
      <c r="S640" s="124"/>
      <c r="T640" s="124"/>
      <c r="U640" s="124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</row>
    <row r="641" spans="1:65" ht="25.9" hidden="1" customHeight="1">
      <c r="A641" s="624" t="s">
        <v>1289</v>
      </c>
      <c r="B641" s="624"/>
      <c r="C641" s="624" t="s">
        <v>1289</v>
      </c>
      <c r="D641" s="560" t="s">
        <v>406</v>
      </c>
      <c r="E641" s="173">
        <f>+E642</f>
        <v>0</v>
      </c>
      <c r="F641" s="173">
        <f>+F642</f>
        <v>0</v>
      </c>
      <c r="G641" s="173">
        <f>+G642</f>
        <v>0</v>
      </c>
      <c r="H641" s="173">
        <f t="shared" si="81"/>
        <v>0</v>
      </c>
      <c r="I641" s="173">
        <f t="shared" ref="I641:N641" si="86">+I642</f>
        <v>0</v>
      </c>
      <c r="J641" s="173">
        <f t="shared" si="86"/>
        <v>0</v>
      </c>
      <c r="K641" s="173">
        <f t="shared" si="86"/>
        <v>0</v>
      </c>
      <c r="L641" s="194">
        <f t="shared" si="86"/>
        <v>0</v>
      </c>
      <c r="M641" s="173">
        <f t="shared" si="86"/>
        <v>0</v>
      </c>
      <c r="N641" s="194">
        <f t="shared" si="86"/>
        <v>0</v>
      </c>
      <c r="O641" s="173">
        <f t="shared" si="84"/>
        <v>0</v>
      </c>
      <c r="P641" s="100">
        <f t="shared" si="72"/>
        <v>0</v>
      </c>
      <c r="Q641" s="2"/>
      <c r="R641" s="124"/>
      <c r="S641" s="124"/>
      <c r="T641" s="124"/>
      <c r="U641" s="124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</row>
    <row r="642" spans="1:65" ht="13.9" hidden="1" customHeight="1">
      <c r="A642" s="1415"/>
      <c r="B642" s="1415"/>
      <c r="C642" s="570">
        <v>150101</v>
      </c>
      <c r="D642" s="171" t="s">
        <v>532</v>
      </c>
      <c r="E642" s="173"/>
      <c r="F642" s="173"/>
      <c r="G642" s="173"/>
      <c r="H642" s="173">
        <f t="shared" si="81"/>
        <v>0</v>
      </c>
      <c r="I642" s="173"/>
      <c r="J642" s="173"/>
      <c r="K642" s="173"/>
      <c r="L642" s="194"/>
      <c r="M642" s="173"/>
      <c r="N642" s="194"/>
      <c r="O642" s="173">
        <f t="shared" si="84"/>
        <v>0</v>
      </c>
      <c r="P642" s="100">
        <f t="shared" si="72"/>
        <v>0</v>
      </c>
      <c r="Q642" s="2"/>
      <c r="R642" s="124"/>
      <c r="S642" s="124"/>
      <c r="T642" s="124"/>
      <c r="U642" s="124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</row>
    <row r="643" spans="1:65" ht="15.75" hidden="1">
      <c r="A643" s="624" t="s">
        <v>1296</v>
      </c>
      <c r="B643" s="624"/>
      <c r="C643" s="624" t="s">
        <v>1296</v>
      </c>
      <c r="D643" s="560" t="s">
        <v>407</v>
      </c>
      <c r="E643" s="173"/>
      <c r="F643" s="173"/>
      <c r="G643" s="173">
        <f>+G644</f>
        <v>0</v>
      </c>
      <c r="H643" s="173">
        <f t="shared" si="81"/>
        <v>0</v>
      </c>
      <c r="I643" s="173">
        <f t="shared" ref="I643:N643" si="87">+I644</f>
        <v>0</v>
      </c>
      <c r="J643" s="173">
        <f t="shared" si="87"/>
        <v>0</v>
      </c>
      <c r="K643" s="173">
        <f t="shared" si="87"/>
        <v>0</v>
      </c>
      <c r="L643" s="194">
        <f t="shared" si="87"/>
        <v>0</v>
      </c>
      <c r="M643" s="173">
        <f t="shared" si="87"/>
        <v>0</v>
      </c>
      <c r="N643" s="194">
        <f t="shared" si="87"/>
        <v>0</v>
      </c>
      <c r="O643" s="173">
        <f t="shared" si="84"/>
        <v>0</v>
      </c>
      <c r="P643" s="100">
        <f t="shared" si="72"/>
        <v>0</v>
      </c>
      <c r="Q643" s="2"/>
      <c r="R643" s="124"/>
      <c r="S643" s="124"/>
      <c r="T643" s="124"/>
      <c r="U643" s="124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</row>
    <row r="644" spans="1:65" ht="13.9" hidden="1" customHeight="1">
      <c r="A644" s="1415"/>
      <c r="B644" s="1415"/>
      <c r="C644" s="570">
        <v>150101</v>
      </c>
      <c r="D644" s="171" t="s">
        <v>532</v>
      </c>
      <c r="E644" s="173"/>
      <c r="F644" s="173"/>
      <c r="G644" s="173"/>
      <c r="H644" s="173">
        <f t="shared" si="81"/>
        <v>0</v>
      </c>
      <c r="I644" s="173"/>
      <c r="J644" s="173"/>
      <c r="K644" s="173"/>
      <c r="L644" s="194">
        <v>0</v>
      </c>
      <c r="M644" s="173">
        <v>0</v>
      </c>
      <c r="N644" s="194">
        <v>0</v>
      </c>
      <c r="O644" s="173">
        <f t="shared" si="84"/>
        <v>0</v>
      </c>
      <c r="P644" s="100">
        <f t="shared" si="72"/>
        <v>0</v>
      </c>
      <c r="Q644" s="2"/>
      <c r="R644" s="124"/>
      <c r="S644" s="124"/>
      <c r="T644" s="124"/>
      <c r="U644" s="124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</row>
    <row r="645" spans="1:65" ht="15.75" hidden="1">
      <c r="A645" s="624" t="s">
        <v>1296</v>
      </c>
      <c r="B645" s="624"/>
      <c r="C645" s="624" t="s">
        <v>1296</v>
      </c>
      <c r="D645" s="560" t="s">
        <v>408</v>
      </c>
      <c r="E645" s="173">
        <f>+E646</f>
        <v>0</v>
      </c>
      <c r="F645" s="173">
        <f>+F646</f>
        <v>0</v>
      </c>
      <c r="G645" s="173">
        <f>+G646</f>
        <v>0</v>
      </c>
      <c r="H645" s="173">
        <f t="shared" si="81"/>
        <v>0</v>
      </c>
      <c r="I645" s="173">
        <f t="shared" ref="I645:N645" si="88">+I646</f>
        <v>0</v>
      </c>
      <c r="J645" s="173">
        <f t="shared" si="88"/>
        <v>0</v>
      </c>
      <c r="K645" s="173">
        <f t="shared" si="88"/>
        <v>0</v>
      </c>
      <c r="L645" s="194">
        <f t="shared" si="88"/>
        <v>0</v>
      </c>
      <c r="M645" s="173">
        <f t="shared" si="88"/>
        <v>0</v>
      </c>
      <c r="N645" s="194">
        <f t="shared" si="88"/>
        <v>0</v>
      </c>
      <c r="O645" s="173">
        <f t="shared" si="84"/>
        <v>0</v>
      </c>
      <c r="P645" s="100">
        <f t="shared" si="72"/>
        <v>0</v>
      </c>
      <c r="Q645" s="2"/>
      <c r="R645" s="124"/>
      <c r="S645" s="124"/>
      <c r="T645" s="124"/>
      <c r="U645" s="124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</row>
    <row r="646" spans="1:65" ht="13.9" hidden="1" customHeight="1">
      <c r="A646" s="1415"/>
      <c r="B646" s="1415"/>
      <c r="C646" s="570">
        <v>150101</v>
      </c>
      <c r="D646" s="171" t="s">
        <v>532</v>
      </c>
      <c r="E646" s="173"/>
      <c r="F646" s="173"/>
      <c r="G646" s="173"/>
      <c r="H646" s="173">
        <f t="shared" si="81"/>
        <v>0</v>
      </c>
      <c r="I646" s="173"/>
      <c r="J646" s="173"/>
      <c r="K646" s="173"/>
      <c r="L646" s="194"/>
      <c r="M646" s="173"/>
      <c r="N646" s="194"/>
      <c r="O646" s="173">
        <f t="shared" si="84"/>
        <v>0</v>
      </c>
      <c r="P646" s="100">
        <f t="shared" si="72"/>
        <v>0</v>
      </c>
      <c r="Q646" s="2"/>
      <c r="R646" s="124"/>
      <c r="S646" s="124"/>
      <c r="T646" s="124"/>
      <c r="U646" s="124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</row>
    <row r="647" spans="1:65" ht="15.75" hidden="1">
      <c r="A647" s="624" t="s">
        <v>1297</v>
      </c>
      <c r="B647" s="624"/>
      <c r="C647" s="624" t="s">
        <v>1297</v>
      </c>
      <c r="D647" s="560" t="s">
        <v>1294</v>
      </c>
      <c r="E647" s="173">
        <f>+E648</f>
        <v>0</v>
      </c>
      <c r="F647" s="173">
        <f>+F648</f>
        <v>0</v>
      </c>
      <c r="G647" s="173">
        <f>+G648</f>
        <v>0</v>
      </c>
      <c r="H647" s="173">
        <f t="shared" si="81"/>
        <v>0</v>
      </c>
      <c r="I647" s="173">
        <f t="shared" ref="I647:N647" si="89">+I648</f>
        <v>0</v>
      </c>
      <c r="J647" s="173">
        <f t="shared" si="89"/>
        <v>0</v>
      </c>
      <c r="K647" s="173">
        <f t="shared" si="89"/>
        <v>0</v>
      </c>
      <c r="L647" s="194">
        <f t="shared" si="89"/>
        <v>0</v>
      </c>
      <c r="M647" s="173">
        <f t="shared" si="89"/>
        <v>0</v>
      </c>
      <c r="N647" s="194">
        <f t="shared" si="89"/>
        <v>0</v>
      </c>
      <c r="O647" s="173">
        <f t="shared" si="84"/>
        <v>0</v>
      </c>
      <c r="P647" s="100">
        <f t="shared" si="72"/>
        <v>0</v>
      </c>
      <c r="Q647" s="2"/>
      <c r="R647" s="124"/>
      <c r="S647" s="124"/>
      <c r="T647" s="124"/>
      <c r="U647" s="124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</row>
    <row r="648" spans="1:65" ht="13.9" hidden="1" customHeight="1">
      <c r="A648" s="1415"/>
      <c r="B648" s="1415"/>
      <c r="C648" s="570">
        <v>150101</v>
      </c>
      <c r="D648" s="171" t="s">
        <v>532</v>
      </c>
      <c r="E648" s="173"/>
      <c r="F648" s="173"/>
      <c r="G648" s="173"/>
      <c r="H648" s="173">
        <f t="shared" si="81"/>
        <v>0</v>
      </c>
      <c r="I648" s="173"/>
      <c r="J648" s="173"/>
      <c r="K648" s="173"/>
      <c r="L648" s="194"/>
      <c r="M648" s="173"/>
      <c r="N648" s="194"/>
      <c r="O648" s="173">
        <f t="shared" si="84"/>
        <v>0</v>
      </c>
      <c r="P648" s="100">
        <f t="shared" si="72"/>
        <v>0</v>
      </c>
      <c r="Q648" s="2"/>
      <c r="R648" s="124"/>
      <c r="S648" s="124"/>
      <c r="T648" s="124"/>
      <c r="U648" s="124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</row>
    <row r="649" spans="1:65" ht="15.75" hidden="1">
      <c r="A649" s="624" t="s">
        <v>1298</v>
      </c>
      <c r="B649" s="624"/>
      <c r="C649" s="624" t="s">
        <v>1298</v>
      </c>
      <c r="D649" s="560" t="s">
        <v>1511</v>
      </c>
      <c r="E649" s="173">
        <f>+E650</f>
        <v>0</v>
      </c>
      <c r="F649" s="173">
        <f>+F650</f>
        <v>0</v>
      </c>
      <c r="G649" s="173">
        <f>+G650</f>
        <v>0</v>
      </c>
      <c r="H649" s="173">
        <f t="shared" si="81"/>
        <v>0</v>
      </c>
      <c r="I649" s="173">
        <f t="shared" ref="I649:N649" si="90">+I650</f>
        <v>0</v>
      </c>
      <c r="J649" s="173">
        <f t="shared" si="90"/>
        <v>0</v>
      </c>
      <c r="K649" s="173">
        <f t="shared" si="90"/>
        <v>0</v>
      </c>
      <c r="L649" s="194">
        <f t="shared" si="90"/>
        <v>0</v>
      </c>
      <c r="M649" s="173">
        <f t="shared" si="90"/>
        <v>0</v>
      </c>
      <c r="N649" s="194">
        <f t="shared" si="90"/>
        <v>0</v>
      </c>
      <c r="O649" s="173">
        <f t="shared" si="84"/>
        <v>0</v>
      </c>
      <c r="P649" s="100">
        <f t="shared" si="72"/>
        <v>0</v>
      </c>
      <c r="Q649" s="2"/>
      <c r="R649" s="124"/>
      <c r="S649" s="124"/>
      <c r="T649" s="124"/>
      <c r="U649" s="124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</row>
    <row r="650" spans="1:65" ht="15.75" hidden="1">
      <c r="A650" s="1415"/>
      <c r="B650" s="1415"/>
      <c r="C650" s="570">
        <v>150101</v>
      </c>
      <c r="D650" s="171" t="s">
        <v>532</v>
      </c>
      <c r="E650" s="173"/>
      <c r="F650" s="173"/>
      <c r="G650" s="173"/>
      <c r="H650" s="173">
        <f t="shared" si="81"/>
        <v>0</v>
      </c>
      <c r="I650" s="173"/>
      <c r="J650" s="173"/>
      <c r="K650" s="173"/>
      <c r="L650" s="194"/>
      <c r="M650" s="173"/>
      <c r="N650" s="194"/>
      <c r="O650" s="173">
        <f t="shared" si="84"/>
        <v>0</v>
      </c>
      <c r="P650" s="100">
        <f t="shared" si="72"/>
        <v>0</v>
      </c>
      <c r="Q650" s="2"/>
      <c r="R650" s="124"/>
      <c r="S650" s="124"/>
      <c r="T650" s="124"/>
      <c r="U650" s="124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</row>
    <row r="651" spans="1:65" ht="24.6" hidden="1" customHeight="1">
      <c r="A651" s="1415"/>
      <c r="B651" s="1415"/>
      <c r="C651" s="570">
        <v>150101</v>
      </c>
      <c r="D651" s="171" t="s">
        <v>700</v>
      </c>
      <c r="E651" s="173"/>
      <c r="F651" s="173"/>
      <c r="G651" s="173"/>
      <c r="H651" s="173"/>
      <c r="I651" s="173"/>
      <c r="J651" s="173"/>
      <c r="K651" s="173"/>
      <c r="L651" s="194"/>
      <c r="M651" s="173"/>
      <c r="N651" s="194"/>
      <c r="O651" s="173">
        <f t="shared" si="84"/>
        <v>0</v>
      </c>
      <c r="P651" s="100">
        <f t="shared" si="72"/>
        <v>0</v>
      </c>
      <c r="Q651" s="54"/>
      <c r="R651" s="125"/>
      <c r="S651" s="125"/>
      <c r="T651" s="125"/>
      <c r="U651" s="125"/>
      <c r="V651" s="54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</row>
    <row r="652" spans="1:65" ht="18.600000000000001" hidden="1" customHeight="1">
      <c r="A652" s="624" t="s">
        <v>1299</v>
      </c>
      <c r="B652" s="624"/>
      <c r="C652" s="624" t="s">
        <v>1299</v>
      </c>
      <c r="D652" s="560" t="s">
        <v>578</v>
      </c>
      <c r="E652" s="173">
        <f>+E653</f>
        <v>0</v>
      </c>
      <c r="F652" s="173">
        <f>+F653</f>
        <v>0</v>
      </c>
      <c r="G652" s="173">
        <f>+G653</f>
        <v>0</v>
      </c>
      <c r="H652" s="173">
        <f t="shared" ref="H652:H667" si="91">+I652+L652</f>
        <v>0</v>
      </c>
      <c r="I652" s="173">
        <f t="shared" ref="I652:N652" si="92">+I653</f>
        <v>0</v>
      </c>
      <c r="J652" s="173">
        <f t="shared" si="92"/>
        <v>0</v>
      </c>
      <c r="K652" s="173">
        <f t="shared" si="92"/>
        <v>0</v>
      </c>
      <c r="L652" s="194">
        <f t="shared" si="92"/>
        <v>0</v>
      </c>
      <c r="M652" s="173">
        <f t="shared" si="92"/>
        <v>0</v>
      </c>
      <c r="N652" s="194">
        <f t="shared" si="92"/>
        <v>0</v>
      </c>
      <c r="O652" s="173">
        <f t="shared" si="84"/>
        <v>0</v>
      </c>
      <c r="P652" s="100">
        <f t="shared" si="72"/>
        <v>0</v>
      </c>
      <c r="Q652" s="2"/>
      <c r="R652" s="124"/>
      <c r="S652" s="124"/>
      <c r="T652" s="124"/>
      <c r="U652" s="124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</row>
    <row r="653" spans="1:65" ht="19.149999999999999" hidden="1" customHeight="1">
      <c r="A653" s="1415"/>
      <c r="B653" s="1415"/>
      <c r="C653" s="570">
        <v>150101</v>
      </c>
      <c r="D653" s="171" t="s">
        <v>532</v>
      </c>
      <c r="E653" s="173"/>
      <c r="F653" s="173"/>
      <c r="G653" s="173"/>
      <c r="H653" s="173">
        <f t="shared" si="91"/>
        <v>0</v>
      </c>
      <c r="I653" s="173"/>
      <c r="J653" s="173"/>
      <c r="K653" s="173"/>
      <c r="L653" s="194"/>
      <c r="M653" s="173"/>
      <c r="N653" s="194"/>
      <c r="O653" s="173">
        <f t="shared" si="84"/>
        <v>0</v>
      </c>
      <c r="P653" s="100">
        <f t="shared" si="72"/>
        <v>0</v>
      </c>
      <c r="Q653" s="2"/>
      <c r="R653" s="124"/>
      <c r="S653" s="124"/>
      <c r="T653" s="124"/>
      <c r="U653" s="124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</row>
    <row r="654" spans="1:65" ht="17.45" hidden="1" customHeight="1">
      <c r="A654" s="624" t="s">
        <v>1300</v>
      </c>
      <c r="B654" s="624"/>
      <c r="C654" s="624" t="s">
        <v>1300</v>
      </c>
      <c r="D654" s="560" t="s">
        <v>579</v>
      </c>
      <c r="E654" s="173">
        <f>+E655</f>
        <v>0</v>
      </c>
      <c r="F654" s="173">
        <f>+F655</f>
        <v>0</v>
      </c>
      <c r="G654" s="173">
        <f>+G655</f>
        <v>0</v>
      </c>
      <c r="H654" s="173">
        <f t="shared" si="91"/>
        <v>0</v>
      </c>
      <c r="I654" s="173">
        <f t="shared" ref="I654:N654" si="93">+I655</f>
        <v>0</v>
      </c>
      <c r="J654" s="173">
        <f t="shared" si="93"/>
        <v>0</v>
      </c>
      <c r="K654" s="173">
        <f t="shared" si="93"/>
        <v>0</v>
      </c>
      <c r="L654" s="194">
        <f t="shared" si="93"/>
        <v>0</v>
      </c>
      <c r="M654" s="173">
        <f t="shared" si="93"/>
        <v>0</v>
      </c>
      <c r="N654" s="194">
        <f t="shared" si="93"/>
        <v>0</v>
      </c>
      <c r="O654" s="173">
        <f t="shared" si="84"/>
        <v>0</v>
      </c>
      <c r="P654" s="100">
        <f t="shared" si="72"/>
        <v>0</v>
      </c>
      <c r="Q654" s="2"/>
      <c r="R654" s="124"/>
      <c r="S654" s="124"/>
      <c r="T654" s="124"/>
      <c r="U654" s="124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</row>
    <row r="655" spans="1:65" ht="18.600000000000001" hidden="1" customHeight="1">
      <c r="A655" s="1415"/>
      <c r="B655" s="1415"/>
      <c r="C655" s="570">
        <v>150101</v>
      </c>
      <c r="D655" s="171" t="s">
        <v>532</v>
      </c>
      <c r="E655" s="173"/>
      <c r="F655" s="173"/>
      <c r="G655" s="173"/>
      <c r="H655" s="173">
        <f t="shared" si="91"/>
        <v>0</v>
      </c>
      <c r="I655" s="173"/>
      <c r="J655" s="173"/>
      <c r="K655" s="173"/>
      <c r="L655" s="194"/>
      <c r="M655" s="173"/>
      <c r="N655" s="194"/>
      <c r="O655" s="173">
        <f t="shared" si="84"/>
        <v>0</v>
      </c>
      <c r="P655" s="100">
        <f t="shared" si="72"/>
        <v>0</v>
      </c>
      <c r="Q655" s="2"/>
      <c r="R655" s="124"/>
      <c r="S655" s="124"/>
      <c r="T655" s="124"/>
      <c r="U655" s="124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</row>
    <row r="656" spans="1:65" ht="15" hidden="1" customHeight="1">
      <c r="A656" s="624" t="s">
        <v>1501</v>
      </c>
      <c r="B656" s="624"/>
      <c r="C656" s="624" t="s">
        <v>1501</v>
      </c>
      <c r="D656" s="560" t="s">
        <v>1290</v>
      </c>
      <c r="E656" s="173">
        <f>+E657</f>
        <v>0</v>
      </c>
      <c r="F656" s="173">
        <f>+F657</f>
        <v>0</v>
      </c>
      <c r="G656" s="173">
        <f>+G657</f>
        <v>0</v>
      </c>
      <c r="H656" s="173">
        <f t="shared" si="91"/>
        <v>0</v>
      </c>
      <c r="I656" s="173">
        <f t="shared" ref="I656:N656" si="94">+I657</f>
        <v>0</v>
      </c>
      <c r="J656" s="173">
        <f t="shared" si="94"/>
        <v>0</v>
      </c>
      <c r="K656" s="173">
        <f t="shared" si="94"/>
        <v>0</v>
      </c>
      <c r="L656" s="194">
        <f t="shared" si="94"/>
        <v>0</v>
      </c>
      <c r="M656" s="173">
        <f t="shared" si="94"/>
        <v>0</v>
      </c>
      <c r="N656" s="194">
        <f t="shared" si="94"/>
        <v>0</v>
      </c>
      <c r="O656" s="173">
        <f t="shared" si="84"/>
        <v>0</v>
      </c>
      <c r="P656" s="100">
        <f t="shared" si="72"/>
        <v>0</v>
      </c>
      <c r="Q656" s="2"/>
      <c r="R656" s="124"/>
      <c r="S656" s="124"/>
      <c r="T656" s="124"/>
      <c r="U656" s="124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</row>
    <row r="657" spans="1:65" ht="18.600000000000001" hidden="1" customHeight="1">
      <c r="A657" s="1415"/>
      <c r="B657" s="1415"/>
      <c r="C657" s="570">
        <v>150101</v>
      </c>
      <c r="D657" s="171" t="s">
        <v>532</v>
      </c>
      <c r="E657" s="173"/>
      <c r="F657" s="173"/>
      <c r="G657" s="173"/>
      <c r="H657" s="173">
        <f t="shared" si="91"/>
        <v>0</v>
      </c>
      <c r="I657" s="173"/>
      <c r="J657" s="173"/>
      <c r="K657" s="173"/>
      <c r="L657" s="194"/>
      <c r="M657" s="173"/>
      <c r="N657" s="194"/>
      <c r="O657" s="173">
        <f t="shared" si="84"/>
        <v>0</v>
      </c>
      <c r="P657" s="100">
        <f t="shared" si="72"/>
        <v>0</v>
      </c>
      <c r="Q657" s="2"/>
      <c r="R657" s="124"/>
      <c r="S657" s="124"/>
      <c r="T657" s="124"/>
      <c r="U657" s="124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</row>
    <row r="658" spans="1:65" ht="19.149999999999999" hidden="1" customHeight="1">
      <c r="A658" s="624" t="s">
        <v>1502</v>
      </c>
      <c r="B658" s="624"/>
      <c r="C658" s="624" t="s">
        <v>1502</v>
      </c>
      <c r="D658" s="560" t="s">
        <v>227</v>
      </c>
      <c r="E658" s="173">
        <f>+E659</f>
        <v>0</v>
      </c>
      <c r="F658" s="173">
        <f>+F659</f>
        <v>0</v>
      </c>
      <c r="G658" s="173">
        <f>+G659</f>
        <v>0</v>
      </c>
      <c r="H658" s="173">
        <f t="shared" si="91"/>
        <v>0</v>
      </c>
      <c r="I658" s="173">
        <f t="shared" ref="I658:N658" si="95">+I659</f>
        <v>0</v>
      </c>
      <c r="J658" s="173">
        <f t="shared" si="95"/>
        <v>0</v>
      </c>
      <c r="K658" s="173">
        <f t="shared" si="95"/>
        <v>0</v>
      </c>
      <c r="L658" s="194">
        <f t="shared" si="95"/>
        <v>0</v>
      </c>
      <c r="M658" s="173">
        <f t="shared" si="95"/>
        <v>0</v>
      </c>
      <c r="N658" s="194">
        <f t="shared" si="95"/>
        <v>0</v>
      </c>
      <c r="O658" s="173">
        <f t="shared" si="84"/>
        <v>0</v>
      </c>
      <c r="P658" s="100">
        <f t="shared" si="72"/>
        <v>0</v>
      </c>
      <c r="Q658" s="2"/>
      <c r="R658" s="124"/>
      <c r="S658" s="124"/>
      <c r="T658" s="124"/>
      <c r="U658" s="124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</row>
    <row r="659" spans="1:65" ht="21.6" hidden="1" customHeight="1">
      <c r="A659" s="1415"/>
      <c r="B659" s="1415"/>
      <c r="C659" s="570">
        <v>150101</v>
      </c>
      <c r="D659" s="171" t="s">
        <v>532</v>
      </c>
      <c r="E659" s="173"/>
      <c r="F659" s="173"/>
      <c r="G659" s="173"/>
      <c r="H659" s="173">
        <f t="shared" si="91"/>
        <v>0</v>
      </c>
      <c r="I659" s="173"/>
      <c r="J659" s="173"/>
      <c r="K659" s="173"/>
      <c r="L659" s="194"/>
      <c r="M659" s="173"/>
      <c r="N659" s="194"/>
      <c r="O659" s="173">
        <f t="shared" si="84"/>
        <v>0</v>
      </c>
      <c r="P659" s="100">
        <f t="shared" si="72"/>
        <v>0</v>
      </c>
      <c r="Q659" s="2"/>
      <c r="R659" s="124"/>
      <c r="S659" s="124"/>
      <c r="T659" s="124"/>
      <c r="U659" s="124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</row>
    <row r="660" spans="1:65" ht="18.600000000000001" hidden="1" customHeight="1">
      <c r="A660" s="624" t="s">
        <v>1503</v>
      </c>
      <c r="B660" s="624"/>
      <c r="C660" s="624" t="s">
        <v>1503</v>
      </c>
      <c r="D660" s="560" t="s">
        <v>228</v>
      </c>
      <c r="E660" s="173">
        <f>+E661</f>
        <v>0</v>
      </c>
      <c r="F660" s="173">
        <f>+F661</f>
        <v>0</v>
      </c>
      <c r="G660" s="173">
        <f>+G661</f>
        <v>0</v>
      </c>
      <c r="H660" s="173">
        <f t="shared" si="91"/>
        <v>0</v>
      </c>
      <c r="I660" s="173">
        <f t="shared" ref="I660:N660" si="96">+I661</f>
        <v>0</v>
      </c>
      <c r="J660" s="173">
        <f t="shared" si="96"/>
        <v>0</v>
      </c>
      <c r="K660" s="173">
        <f t="shared" si="96"/>
        <v>0</v>
      </c>
      <c r="L660" s="194">
        <f t="shared" si="96"/>
        <v>0</v>
      </c>
      <c r="M660" s="173">
        <f t="shared" si="96"/>
        <v>0</v>
      </c>
      <c r="N660" s="194">
        <f t="shared" si="96"/>
        <v>0</v>
      </c>
      <c r="O660" s="173">
        <f t="shared" si="84"/>
        <v>0</v>
      </c>
      <c r="P660" s="100">
        <f t="shared" si="72"/>
        <v>0</v>
      </c>
      <c r="Q660" s="2"/>
      <c r="R660" s="124"/>
      <c r="S660" s="124"/>
      <c r="T660" s="124"/>
      <c r="U660" s="124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</row>
    <row r="661" spans="1:65" ht="21" hidden="1" customHeight="1">
      <c r="A661" s="1415"/>
      <c r="B661" s="1415"/>
      <c r="C661" s="570">
        <v>150101</v>
      </c>
      <c r="D661" s="171" t="s">
        <v>532</v>
      </c>
      <c r="E661" s="173"/>
      <c r="F661" s="173"/>
      <c r="G661" s="173"/>
      <c r="H661" s="173">
        <f t="shared" si="91"/>
        <v>0</v>
      </c>
      <c r="I661" s="173"/>
      <c r="J661" s="173"/>
      <c r="K661" s="173"/>
      <c r="L661" s="194"/>
      <c r="M661" s="173"/>
      <c r="N661" s="194"/>
      <c r="O661" s="173">
        <f t="shared" si="84"/>
        <v>0</v>
      </c>
      <c r="P661" s="100">
        <f t="shared" si="72"/>
        <v>0</v>
      </c>
      <c r="Q661" s="2"/>
      <c r="R661" s="124"/>
      <c r="S661" s="124"/>
      <c r="T661" s="124"/>
      <c r="U661" s="124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</row>
    <row r="662" spans="1:65" ht="21" hidden="1" customHeight="1">
      <c r="A662" s="624" t="s">
        <v>1504</v>
      </c>
      <c r="B662" s="624"/>
      <c r="C662" s="624" t="s">
        <v>1504</v>
      </c>
      <c r="D662" s="560" t="s">
        <v>43</v>
      </c>
      <c r="E662" s="173">
        <f>+E663</f>
        <v>0</v>
      </c>
      <c r="F662" s="173">
        <f>+F663</f>
        <v>0</v>
      </c>
      <c r="G662" s="173">
        <f>+G663</f>
        <v>0</v>
      </c>
      <c r="H662" s="173">
        <f t="shared" si="91"/>
        <v>0</v>
      </c>
      <c r="I662" s="173">
        <f t="shared" ref="I662:N662" si="97">+I663</f>
        <v>0</v>
      </c>
      <c r="J662" s="173">
        <f t="shared" si="97"/>
        <v>0</v>
      </c>
      <c r="K662" s="173">
        <f t="shared" si="97"/>
        <v>0</v>
      </c>
      <c r="L662" s="194">
        <f t="shared" si="97"/>
        <v>0</v>
      </c>
      <c r="M662" s="173">
        <f t="shared" si="97"/>
        <v>0</v>
      </c>
      <c r="N662" s="194">
        <f t="shared" si="97"/>
        <v>0</v>
      </c>
      <c r="O662" s="173">
        <f t="shared" si="84"/>
        <v>0</v>
      </c>
      <c r="P662" s="100">
        <f t="shared" si="72"/>
        <v>0</v>
      </c>
      <c r="Q662" s="2"/>
      <c r="R662" s="124"/>
      <c r="S662" s="124"/>
      <c r="T662" s="124"/>
      <c r="U662" s="124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</row>
    <row r="663" spans="1:65" ht="26.45" hidden="1" customHeight="1">
      <c r="A663" s="1415"/>
      <c r="B663" s="1415"/>
      <c r="C663" s="570">
        <v>150101</v>
      </c>
      <c r="D663" s="171" t="s">
        <v>532</v>
      </c>
      <c r="E663" s="173"/>
      <c r="F663" s="173"/>
      <c r="G663" s="173"/>
      <c r="H663" s="173">
        <f t="shared" si="91"/>
        <v>0</v>
      </c>
      <c r="I663" s="173"/>
      <c r="J663" s="173"/>
      <c r="K663" s="173"/>
      <c r="L663" s="194"/>
      <c r="M663" s="173"/>
      <c r="N663" s="194"/>
      <c r="O663" s="173">
        <f t="shared" si="84"/>
        <v>0</v>
      </c>
      <c r="P663" s="100">
        <f t="shared" si="72"/>
        <v>0</v>
      </c>
      <c r="Q663" s="2"/>
      <c r="R663" s="124"/>
      <c r="S663" s="124"/>
      <c r="T663" s="124"/>
      <c r="U663" s="124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</row>
    <row r="664" spans="1:65" ht="22.15" hidden="1" customHeight="1">
      <c r="A664" s="624" t="s">
        <v>1505</v>
      </c>
      <c r="B664" s="624"/>
      <c r="C664" s="624" t="s">
        <v>1505</v>
      </c>
      <c r="D664" s="560" t="s">
        <v>44</v>
      </c>
      <c r="E664" s="173">
        <f>+E665</f>
        <v>0</v>
      </c>
      <c r="F664" s="173">
        <f>+F665</f>
        <v>0</v>
      </c>
      <c r="G664" s="173">
        <f>+G665</f>
        <v>0</v>
      </c>
      <c r="H664" s="173">
        <f t="shared" si="91"/>
        <v>0</v>
      </c>
      <c r="I664" s="173">
        <f t="shared" ref="I664:N664" si="98">+I665</f>
        <v>0</v>
      </c>
      <c r="J664" s="173">
        <f t="shared" si="98"/>
        <v>0</v>
      </c>
      <c r="K664" s="173">
        <f t="shared" si="98"/>
        <v>0</v>
      </c>
      <c r="L664" s="194">
        <f t="shared" si="98"/>
        <v>0</v>
      </c>
      <c r="M664" s="173">
        <f t="shared" si="98"/>
        <v>0</v>
      </c>
      <c r="N664" s="194">
        <f t="shared" si="98"/>
        <v>0</v>
      </c>
      <c r="O664" s="173">
        <f t="shared" si="84"/>
        <v>0</v>
      </c>
      <c r="P664" s="100">
        <f t="shared" si="72"/>
        <v>0</v>
      </c>
      <c r="Q664" s="2"/>
      <c r="R664" s="124"/>
      <c r="S664" s="124"/>
      <c r="T664" s="124"/>
      <c r="U664" s="124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</row>
    <row r="665" spans="1:65" ht="23.45" hidden="1" customHeight="1">
      <c r="A665" s="1415"/>
      <c r="B665" s="1415"/>
      <c r="C665" s="570">
        <v>150101</v>
      </c>
      <c r="D665" s="171" t="s">
        <v>532</v>
      </c>
      <c r="E665" s="173"/>
      <c r="F665" s="173"/>
      <c r="G665" s="173"/>
      <c r="H665" s="173">
        <f t="shared" si="91"/>
        <v>0</v>
      </c>
      <c r="I665" s="173"/>
      <c r="J665" s="173"/>
      <c r="K665" s="173"/>
      <c r="L665" s="194"/>
      <c r="M665" s="173"/>
      <c r="N665" s="194"/>
      <c r="O665" s="173">
        <f t="shared" si="84"/>
        <v>0</v>
      </c>
      <c r="P665" s="100">
        <f t="shared" si="72"/>
        <v>0</v>
      </c>
      <c r="Q665" s="2"/>
      <c r="R665" s="124"/>
      <c r="S665" s="124"/>
      <c r="T665" s="124"/>
      <c r="U665" s="124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</row>
    <row r="666" spans="1:65" ht="31.9" hidden="1" customHeight="1">
      <c r="A666" s="624" t="s">
        <v>1506</v>
      </c>
      <c r="B666" s="624"/>
      <c r="C666" s="624" t="s">
        <v>1506</v>
      </c>
      <c r="D666" s="560" t="s">
        <v>617</v>
      </c>
      <c r="E666" s="173">
        <f>+E667</f>
        <v>0</v>
      </c>
      <c r="F666" s="173">
        <f>+F667</f>
        <v>0</v>
      </c>
      <c r="G666" s="173">
        <f>+G667</f>
        <v>0</v>
      </c>
      <c r="H666" s="173">
        <f t="shared" si="91"/>
        <v>0</v>
      </c>
      <c r="I666" s="173">
        <f t="shared" ref="I666:N666" si="99">+I667</f>
        <v>0</v>
      </c>
      <c r="J666" s="173">
        <f t="shared" si="99"/>
        <v>0</v>
      </c>
      <c r="K666" s="173">
        <f t="shared" si="99"/>
        <v>0</v>
      </c>
      <c r="L666" s="194">
        <f t="shared" si="99"/>
        <v>0</v>
      </c>
      <c r="M666" s="173">
        <f t="shared" si="99"/>
        <v>0</v>
      </c>
      <c r="N666" s="194">
        <f t="shared" si="99"/>
        <v>0</v>
      </c>
      <c r="O666" s="173">
        <f t="shared" si="84"/>
        <v>0</v>
      </c>
      <c r="P666" s="100">
        <f t="shared" si="72"/>
        <v>0</v>
      </c>
      <c r="Q666" s="2"/>
      <c r="R666" s="124"/>
      <c r="S666" s="124"/>
      <c r="T666" s="124"/>
      <c r="U666" s="124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</row>
    <row r="667" spans="1:65" ht="27" hidden="1" customHeight="1">
      <c r="A667" s="1415"/>
      <c r="B667" s="1415"/>
      <c r="C667" s="570">
        <v>150101</v>
      </c>
      <c r="D667" s="171" t="s">
        <v>532</v>
      </c>
      <c r="E667" s="173"/>
      <c r="F667" s="173"/>
      <c r="G667" s="173"/>
      <c r="H667" s="173">
        <f t="shared" si="91"/>
        <v>0</v>
      </c>
      <c r="I667" s="173"/>
      <c r="J667" s="173"/>
      <c r="K667" s="173"/>
      <c r="L667" s="194"/>
      <c r="M667" s="173"/>
      <c r="N667" s="194"/>
      <c r="O667" s="173">
        <f t="shared" si="84"/>
        <v>0</v>
      </c>
      <c r="P667" s="100">
        <f t="shared" si="72"/>
        <v>0</v>
      </c>
      <c r="Q667" s="2"/>
      <c r="R667" s="124"/>
      <c r="S667" s="124"/>
      <c r="T667" s="124"/>
      <c r="U667" s="124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</row>
    <row r="668" spans="1:65" s="120" customFormat="1" ht="34.15" hidden="1" customHeight="1">
      <c r="A668" s="359"/>
      <c r="B668" s="359"/>
      <c r="C668" s="359" t="s">
        <v>686</v>
      </c>
      <c r="D668" s="360" t="s">
        <v>1295</v>
      </c>
      <c r="E668" s="361">
        <f>+E669+E670+E671+E672+E675+E676-E669+E683+E678+E677</f>
        <v>0</v>
      </c>
      <c r="F668" s="361">
        <f>+F669+F670+F671+F672+F675+F676-F669+F683+F678</f>
        <v>0</v>
      </c>
      <c r="G668" s="361">
        <f>+G669+G670+G671+G672+G675+G676-G669+G683+G678</f>
        <v>0</v>
      </c>
      <c r="H668" s="361">
        <f t="shared" ref="H668:M668" si="100">+H669+H670+H671+H672+H675+H676-H669+H683+H678</f>
        <v>0</v>
      </c>
      <c r="I668" s="361">
        <f t="shared" si="100"/>
        <v>0</v>
      </c>
      <c r="J668" s="361">
        <f t="shared" si="100"/>
        <v>0</v>
      </c>
      <c r="K668" s="361">
        <f t="shared" si="100"/>
        <v>0</v>
      </c>
      <c r="L668" s="361">
        <f t="shared" si="100"/>
        <v>0</v>
      </c>
      <c r="M668" s="361">
        <f t="shared" si="100"/>
        <v>0</v>
      </c>
      <c r="N668" s="361">
        <f>+N669+N670+N671+N672+N675+N676-N669+N683+N678</f>
        <v>0</v>
      </c>
      <c r="O668" s="361">
        <f t="shared" si="84"/>
        <v>0</v>
      </c>
      <c r="P668" s="355">
        <f t="shared" si="72"/>
        <v>0</v>
      </c>
      <c r="Q668" s="356"/>
      <c r="R668" s="357"/>
      <c r="S668" s="357"/>
      <c r="T668" s="357"/>
      <c r="U668" s="357"/>
      <c r="V668" s="356"/>
      <c r="W668" s="356"/>
      <c r="X668" s="356"/>
      <c r="Y668" s="356"/>
      <c r="Z668" s="356"/>
      <c r="AA668" s="356"/>
      <c r="AB668" s="356"/>
      <c r="AC668" s="356"/>
      <c r="AD668" s="356"/>
      <c r="AE668" s="356"/>
      <c r="AF668" s="356"/>
      <c r="AG668" s="356"/>
      <c r="AH668" s="356"/>
      <c r="AI668" s="356"/>
      <c r="AJ668" s="356"/>
      <c r="AK668" s="356"/>
      <c r="AL668" s="356"/>
      <c r="AM668" s="356"/>
      <c r="AN668" s="356"/>
      <c r="AO668" s="356"/>
      <c r="AP668" s="356"/>
      <c r="AQ668" s="356"/>
      <c r="AR668" s="358"/>
      <c r="AS668" s="358"/>
      <c r="AT668" s="358"/>
      <c r="AU668" s="358"/>
      <c r="AV668" s="358"/>
      <c r="AW668" s="358"/>
      <c r="AX668" s="358"/>
      <c r="AY668" s="358"/>
      <c r="AZ668" s="358"/>
      <c r="BA668" s="358"/>
      <c r="BB668" s="358"/>
      <c r="BC668" s="358"/>
      <c r="BD668" s="358"/>
      <c r="BE668" s="358"/>
      <c r="BF668" s="358"/>
      <c r="BG668" s="358"/>
      <c r="BH668" s="358"/>
      <c r="BI668" s="358"/>
      <c r="BJ668" s="358"/>
      <c r="BK668" s="358"/>
      <c r="BL668" s="358"/>
      <c r="BM668" s="358"/>
    </row>
    <row r="669" spans="1:65" ht="26.45" hidden="1" customHeight="1">
      <c r="A669" s="1415"/>
      <c r="B669" s="1415"/>
      <c r="C669" s="570" t="s">
        <v>811</v>
      </c>
      <c r="D669" s="628" t="s">
        <v>1051</v>
      </c>
      <c r="E669" s="445"/>
      <c r="F669" s="445"/>
      <c r="G669" s="445"/>
      <c r="H669" s="445">
        <f t="shared" ref="H669:H680" si="101">+I669+L669</f>
        <v>0</v>
      </c>
      <c r="I669" s="445"/>
      <c r="J669" s="445"/>
      <c r="K669" s="445"/>
      <c r="L669" s="546"/>
      <c r="M669" s="445"/>
      <c r="N669" s="546"/>
      <c r="O669" s="445">
        <f t="shared" ref="O669:O694" si="102">+E669+H669</f>
        <v>0</v>
      </c>
      <c r="P669" s="100">
        <f t="shared" si="72"/>
        <v>0</v>
      </c>
      <c r="Q669" s="24"/>
      <c r="R669" s="44"/>
      <c r="S669" s="44"/>
      <c r="T669" s="44"/>
      <c r="U669" s="44"/>
      <c r="V669" s="24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</row>
    <row r="670" spans="1:65" ht="24" hidden="1" customHeight="1">
      <c r="A670" s="1415"/>
      <c r="B670" s="1415"/>
      <c r="C670" s="570" t="s">
        <v>980</v>
      </c>
      <c r="D670" s="628" t="s">
        <v>981</v>
      </c>
      <c r="E670" s="445"/>
      <c r="F670" s="445"/>
      <c r="G670" s="445"/>
      <c r="H670" s="445">
        <f t="shared" si="101"/>
        <v>0</v>
      </c>
      <c r="I670" s="445"/>
      <c r="J670" s="445"/>
      <c r="K670" s="445"/>
      <c r="L670" s="546"/>
      <c r="M670" s="445"/>
      <c r="N670" s="546"/>
      <c r="O670" s="445">
        <f t="shared" si="102"/>
        <v>0</v>
      </c>
      <c r="P670" s="100">
        <f t="shared" si="72"/>
        <v>0</v>
      </c>
      <c r="Q670" s="2"/>
      <c r="R670" s="7"/>
      <c r="S670" s="7"/>
      <c r="T670" s="7"/>
      <c r="U670" s="7"/>
      <c r="V670" s="2"/>
      <c r="W670" s="2"/>
      <c r="X670" s="2"/>
      <c r="Y670" s="2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</row>
    <row r="671" spans="1:65" ht="24" hidden="1" customHeight="1">
      <c r="A671" s="1415"/>
      <c r="B671" s="1415"/>
      <c r="C671" s="570" t="s">
        <v>643</v>
      </c>
      <c r="D671" s="629" t="s">
        <v>79</v>
      </c>
      <c r="E671" s="445"/>
      <c r="F671" s="445">
        <f>+F672</f>
        <v>0</v>
      </c>
      <c r="G671" s="445">
        <f>+G672</f>
        <v>0</v>
      </c>
      <c r="H671" s="445">
        <f t="shared" si="101"/>
        <v>0</v>
      </c>
      <c r="I671" s="445">
        <f t="shared" ref="I671:N671" si="103">+I672</f>
        <v>0</v>
      </c>
      <c r="J671" s="445">
        <f t="shared" si="103"/>
        <v>0</v>
      </c>
      <c r="K671" s="445">
        <f t="shared" si="103"/>
        <v>0</v>
      </c>
      <c r="L671" s="546">
        <f t="shared" si="103"/>
        <v>0</v>
      </c>
      <c r="M671" s="445">
        <f t="shared" si="103"/>
        <v>0</v>
      </c>
      <c r="N671" s="546">
        <f t="shared" si="103"/>
        <v>0</v>
      </c>
      <c r="O671" s="445">
        <f t="shared" si="102"/>
        <v>0</v>
      </c>
      <c r="P671" s="100">
        <f t="shared" ref="P671:P694" si="104">+O671</f>
        <v>0</v>
      </c>
      <c r="Q671" s="2"/>
      <c r="R671" s="124"/>
      <c r="S671" s="124"/>
      <c r="T671" s="124"/>
      <c r="U671" s="124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</row>
    <row r="672" spans="1:65" ht="54" hidden="1" customHeight="1">
      <c r="A672" s="1415"/>
      <c r="B672" s="1415"/>
      <c r="C672" s="569" t="s">
        <v>1512</v>
      </c>
      <c r="D672" s="545" t="s">
        <v>402</v>
      </c>
      <c r="E672" s="197"/>
      <c r="F672" s="445"/>
      <c r="G672" s="445"/>
      <c r="H672" s="445">
        <f t="shared" si="101"/>
        <v>0</v>
      </c>
      <c r="I672" s="445"/>
      <c r="J672" s="445"/>
      <c r="K672" s="445"/>
      <c r="L672" s="546"/>
      <c r="M672" s="445"/>
      <c r="N672" s="546"/>
      <c r="O672" s="197">
        <f t="shared" si="102"/>
        <v>0</v>
      </c>
      <c r="P672" s="100">
        <f t="shared" si="104"/>
        <v>0</v>
      </c>
      <c r="Q672" s="2"/>
      <c r="R672" s="124"/>
      <c r="S672" s="124"/>
      <c r="T672" s="124"/>
      <c r="U672" s="124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</row>
    <row r="673" spans="1:65" ht="24.6" hidden="1" customHeight="1">
      <c r="A673" s="1415"/>
      <c r="B673" s="1415"/>
      <c r="C673" s="570"/>
      <c r="D673" s="370"/>
      <c r="E673" s="197"/>
      <c r="F673" s="445"/>
      <c r="G673" s="445"/>
      <c r="H673" s="445"/>
      <c r="I673" s="445"/>
      <c r="J673" s="445"/>
      <c r="K673" s="445"/>
      <c r="L673" s="546"/>
      <c r="M673" s="445"/>
      <c r="N673" s="546"/>
      <c r="O673" s="197"/>
      <c r="P673" s="100"/>
      <c r="Q673" s="2"/>
      <c r="R673" s="124"/>
      <c r="S673" s="124"/>
      <c r="T673" s="124"/>
      <c r="U673" s="124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</row>
    <row r="674" spans="1:65" ht="24.6" hidden="1" customHeight="1">
      <c r="A674" s="1415"/>
      <c r="B674" s="1415"/>
      <c r="C674" s="570"/>
      <c r="D674" s="545"/>
      <c r="E674" s="197"/>
      <c r="F674" s="445"/>
      <c r="G674" s="445"/>
      <c r="H674" s="445"/>
      <c r="I674" s="445"/>
      <c r="J674" s="445"/>
      <c r="K674" s="445"/>
      <c r="L674" s="546"/>
      <c r="M674" s="445"/>
      <c r="N674" s="546"/>
      <c r="O674" s="197"/>
      <c r="P674" s="100"/>
      <c r="Q674" s="2"/>
      <c r="R674" s="124"/>
      <c r="S674" s="124"/>
      <c r="T674" s="124"/>
      <c r="U674" s="124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</row>
    <row r="675" spans="1:65" ht="24" hidden="1" customHeight="1">
      <c r="A675" s="1415"/>
      <c r="B675" s="1415"/>
      <c r="C675" s="570">
        <v>100202</v>
      </c>
      <c r="D675" s="629" t="s">
        <v>1052</v>
      </c>
      <c r="E675" s="445">
        <f>+E683+E676</f>
        <v>0</v>
      </c>
      <c r="F675" s="445">
        <f>+F683+F676</f>
        <v>0</v>
      </c>
      <c r="G675" s="445">
        <f>+G676+G683</f>
        <v>0</v>
      </c>
      <c r="H675" s="445">
        <f t="shared" si="101"/>
        <v>0</v>
      </c>
      <c r="I675" s="445">
        <f t="shared" ref="I675:N675" si="105">+I676</f>
        <v>0</v>
      </c>
      <c r="J675" s="445">
        <f t="shared" si="105"/>
        <v>0</v>
      </c>
      <c r="K675" s="445">
        <f t="shared" si="105"/>
        <v>0</v>
      </c>
      <c r="L675" s="546">
        <f t="shared" si="105"/>
        <v>0</v>
      </c>
      <c r="M675" s="445">
        <f t="shared" si="105"/>
        <v>0</v>
      </c>
      <c r="N675" s="546">
        <f t="shared" si="105"/>
        <v>0</v>
      </c>
      <c r="O675" s="445">
        <f t="shared" si="102"/>
        <v>0</v>
      </c>
      <c r="P675" s="100">
        <f t="shared" si="104"/>
        <v>0</v>
      </c>
      <c r="Q675" s="2"/>
      <c r="R675" s="124"/>
      <c r="S675" s="124"/>
      <c r="T675" s="124"/>
      <c r="U675" s="124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</row>
    <row r="676" spans="1:65" ht="26.45" hidden="1" customHeight="1">
      <c r="A676" s="1415"/>
      <c r="B676" s="1415"/>
      <c r="C676" s="570">
        <v>100203</v>
      </c>
      <c r="D676" s="629" t="s">
        <v>65</v>
      </c>
      <c r="E676" s="445"/>
      <c r="F676" s="445"/>
      <c r="G676" s="445"/>
      <c r="H676" s="445">
        <f t="shared" si="101"/>
        <v>0</v>
      </c>
      <c r="I676" s="445"/>
      <c r="J676" s="445"/>
      <c r="K676" s="445"/>
      <c r="L676" s="546"/>
      <c r="M676" s="445"/>
      <c r="N676" s="546"/>
      <c r="O676" s="445">
        <f t="shared" si="102"/>
        <v>0</v>
      </c>
      <c r="P676" s="100">
        <f t="shared" si="104"/>
        <v>0</v>
      </c>
      <c r="Q676" s="2"/>
      <c r="R676" s="124"/>
      <c r="S676" s="124"/>
      <c r="T676" s="124"/>
      <c r="U676" s="124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</row>
    <row r="677" spans="1:65" ht="33" hidden="1" customHeight="1">
      <c r="A677" s="1415"/>
      <c r="B677" s="1415"/>
      <c r="C677" s="564" t="s">
        <v>1395</v>
      </c>
      <c r="D677" s="501" t="s">
        <v>379</v>
      </c>
      <c r="E677" s="197"/>
      <c r="F677" s="445"/>
      <c r="G677" s="445"/>
      <c r="H677" s="445"/>
      <c r="I677" s="445"/>
      <c r="J677" s="445"/>
      <c r="K677" s="445"/>
      <c r="L677" s="546"/>
      <c r="M677" s="445"/>
      <c r="N677" s="546"/>
      <c r="O677" s="363">
        <f t="shared" si="102"/>
        <v>0</v>
      </c>
      <c r="P677" s="100">
        <f t="shared" si="104"/>
        <v>0</v>
      </c>
      <c r="Q677" s="2"/>
      <c r="R677" s="124"/>
      <c r="S677" s="124"/>
      <c r="T677" s="124"/>
      <c r="U677" s="124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</row>
    <row r="678" spans="1:65" ht="40.15" hidden="1" customHeight="1">
      <c r="A678" s="1415"/>
      <c r="B678" s="1415"/>
      <c r="C678" s="569" t="s">
        <v>1287</v>
      </c>
      <c r="D678" s="217" t="s">
        <v>967</v>
      </c>
      <c r="E678" s="363">
        <f>800000-800000</f>
        <v>0</v>
      </c>
      <c r="F678" s="363"/>
      <c r="G678" s="363"/>
      <c r="H678" s="363">
        <f t="shared" si="101"/>
        <v>0</v>
      </c>
      <c r="I678" s="363"/>
      <c r="J678" s="363"/>
      <c r="K678" s="363"/>
      <c r="L678" s="365"/>
      <c r="M678" s="363"/>
      <c r="N678" s="365"/>
      <c r="O678" s="363">
        <f t="shared" si="102"/>
        <v>0</v>
      </c>
      <c r="P678" s="100">
        <f t="shared" si="104"/>
        <v>0</v>
      </c>
      <c r="Q678" s="100">
        <f>+P678</f>
        <v>0</v>
      </c>
      <c r="R678" s="124"/>
      <c r="S678" s="124"/>
      <c r="T678" s="124"/>
      <c r="U678" s="124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</row>
    <row r="679" spans="1:65" ht="21.6" hidden="1" customHeight="1">
      <c r="A679" s="1415"/>
      <c r="B679" s="1415"/>
      <c r="C679" s="569"/>
      <c r="D679" s="370" t="s">
        <v>1598</v>
      </c>
      <c r="E679" s="363"/>
      <c r="F679" s="363"/>
      <c r="G679" s="363"/>
      <c r="H679" s="363">
        <f t="shared" si="101"/>
        <v>0</v>
      </c>
      <c r="I679" s="363"/>
      <c r="J679" s="363"/>
      <c r="K679" s="363"/>
      <c r="L679" s="365"/>
      <c r="M679" s="363"/>
      <c r="N679" s="365"/>
      <c r="O679" s="363">
        <f t="shared" si="102"/>
        <v>0</v>
      </c>
      <c r="P679" s="100"/>
      <c r="Q679" s="100"/>
      <c r="R679" s="124"/>
      <c r="S679" s="124"/>
      <c r="T679" s="124"/>
      <c r="U679" s="124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</row>
    <row r="680" spans="1:65" ht="52.15" hidden="1" customHeight="1">
      <c r="A680" s="1415"/>
      <c r="B680" s="1415"/>
      <c r="C680" s="569"/>
      <c r="D680" s="217" t="s">
        <v>687</v>
      </c>
      <c r="E680" s="363"/>
      <c r="F680" s="363"/>
      <c r="G680" s="363"/>
      <c r="H680" s="363">
        <f t="shared" si="101"/>
        <v>0</v>
      </c>
      <c r="I680" s="363"/>
      <c r="J680" s="363"/>
      <c r="K680" s="363"/>
      <c r="L680" s="365"/>
      <c r="M680" s="363"/>
      <c r="N680" s="365"/>
      <c r="O680" s="363">
        <f t="shared" si="102"/>
        <v>0</v>
      </c>
      <c r="P680" s="100"/>
      <c r="Q680" s="100"/>
      <c r="R680" s="124"/>
      <c r="S680" s="124"/>
      <c r="T680" s="124"/>
      <c r="U680" s="124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</row>
    <row r="681" spans="1:65" ht="40.15" hidden="1" customHeight="1">
      <c r="A681" s="1415"/>
      <c r="B681" s="1415"/>
      <c r="C681" s="569"/>
      <c r="D681" s="217" t="s">
        <v>688</v>
      </c>
      <c r="E681" s="363"/>
      <c r="F681" s="363"/>
      <c r="G681" s="363"/>
      <c r="H681" s="363"/>
      <c r="I681" s="363"/>
      <c r="J681" s="363"/>
      <c r="K681" s="363"/>
      <c r="L681" s="365"/>
      <c r="M681" s="363"/>
      <c r="N681" s="365"/>
      <c r="O681" s="363">
        <f t="shared" si="102"/>
        <v>0</v>
      </c>
      <c r="P681" s="100"/>
      <c r="Q681" s="100"/>
      <c r="R681" s="124"/>
      <c r="S681" s="124"/>
      <c r="T681" s="124"/>
      <c r="U681" s="124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</row>
    <row r="682" spans="1:65" ht="54.75" hidden="1" customHeight="1">
      <c r="A682" s="1415"/>
      <c r="B682" s="1415"/>
      <c r="C682" s="569"/>
      <c r="D682" s="217" t="s">
        <v>1256</v>
      </c>
      <c r="E682" s="363"/>
      <c r="F682" s="363"/>
      <c r="G682" s="363"/>
      <c r="H682" s="363">
        <f>+I682+L682</f>
        <v>0</v>
      </c>
      <c r="I682" s="363"/>
      <c r="J682" s="363"/>
      <c r="K682" s="363"/>
      <c r="L682" s="365"/>
      <c r="M682" s="363"/>
      <c r="N682" s="365"/>
      <c r="O682" s="363">
        <f t="shared" si="102"/>
        <v>0</v>
      </c>
      <c r="P682" s="100"/>
      <c r="Q682" s="100"/>
      <c r="R682" s="124"/>
      <c r="S682" s="124"/>
      <c r="T682" s="124"/>
      <c r="U682" s="124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</row>
    <row r="683" spans="1:65" ht="27" hidden="1" customHeight="1">
      <c r="A683" s="1415"/>
      <c r="B683" s="1415"/>
      <c r="C683" s="570" t="s">
        <v>88</v>
      </c>
      <c r="D683" s="585" t="s">
        <v>1301</v>
      </c>
      <c r="E683" s="173"/>
      <c r="F683" s="173"/>
      <c r="G683" s="173"/>
      <c r="H683" s="173">
        <f>+I683+L683</f>
        <v>0</v>
      </c>
      <c r="I683" s="173"/>
      <c r="J683" s="173"/>
      <c r="K683" s="173"/>
      <c r="L683" s="194"/>
      <c r="M683" s="173"/>
      <c r="N683" s="194"/>
      <c r="O683" s="173">
        <f t="shared" si="102"/>
        <v>0</v>
      </c>
      <c r="P683" s="100">
        <f t="shared" si="104"/>
        <v>0</v>
      </c>
      <c r="Q683" s="2"/>
      <c r="R683" s="124"/>
      <c r="S683" s="124"/>
      <c r="T683" s="124"/>
      <c r="U683" s="124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</row>
    <row r="684" spans="1:65" ht="42.6" customHeight="1">
      <c r="A684" s="359" t="s">
        <v>1178</v>
      </c>
      <c r="B684" s="359"/>
      <c r="C684" s="359" t="s">
        <v>572</v>
      </c>
      <c r="D684" s="360" t="s">
        <v>574</v>
      </c>
      <c r="E684" s="487">
        <f>+E685+E686</f>
        <v>620000</v>
      </c>
      <c r="F684" s="487">
        <f t="shared" ref="F684:N684" si="106">+F685+F686</f>
        <v>424038</v>
      </c>
      <c r="G684" s="487">
        <f t="shared" si="106"/>
        <v>7000</v>
      </c>
      <c r="H684" s="487">
        <f t="shared" si="106"/>
        <v>7625000</v>
      </c>
      <c r="I684" s="487">
        <f t="shared" si="106"/>
        <v>25000</v>
      </c>
      <c r="J684" s="487">
        <f t="shared" si="106"/>
        <v>0</v>
      </c>
      <c r="K684" s="487">
        <f t="shared" si="106"/>
        <v>0</v>
      </c>
      <c r="L684" s="487">
        <f t="shared" si="106"/>
        <v>7600000</v>
      </c>
      <c r="M684" s="487">
        <f t="shared" si="106"/>
        <v>0</v>
      </c>
      <c r="N684" s="487">
        <f t="shared" si="106"/>
        <v>0</v>
      </c>
      <c r="O684" s="487">
        <f>+E684+H684</f>
        <v>8245000</v>
      </c>
      <c r="P684" s="162">
        <f t="shared" si="104"/>
        <v>8245000</v>
      </c>
      <c r="Q684" s="2"/>
      <c r="R684" s="132"/>
      <c r="S684" s="132"/>
      <c r="T684" s="132"/>
      <c r="U684" s="13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</row>
    <row r="685" spans="1:65" ht="54" customHeight="1">
      <c r="A685" s="1418" t="s">
        <v>573</v>
      </c>
      <c r="B685" s="1419"/>
      <c r="C685" s="569" t="s">
        <v>997</v>
      </c>
      <c r="D685" s="217" t="s">
        <v>996</v>
      </c>
      <c r="E685" s="488">
        <f>+'видатки_затв '!C296</f>
        <v>620000</v>
      </c>
      <c r="F685" s="488">
        <f>+'видатки_затв '!D296</f>
        <v>424038</v>
      </c>
      <c r="G685" s="488">
        <f>+'видатки_затв '!E296</f>
        <v>7000</v>
      </c>
      <c r="H685" s="488">
        <f>+I685+L685</f>
        <v>25000</v>
      </c>
      <c r="I685" s="488">
        <f>+'видатки_затв '!G296</f>
        <v>25000</v>
      </c>
      <c r="J685" s="488">
        <f>+'видатки_затв '!H296</f>
        <v>0</v>
      </c>
      <c r="K685" s="488">
        <f>+'видатки_затв '!I296</f>
        <v>0</v>
      </c>
      <c r="L685" s="488">
        <f>+'видатки_затв '!J296</f>
        <v>0</v>
      </c>
      <c r="M685" s="488">
        <f>+'видатки_затв '!K296</f>
        <v>0</v>
      </c>
      <c r="N685" s="488">
        <f>+'видатки_затв '!L296</f>
        <v>0</v>
      </c>
      <c r="O685" s="488">
        <f t="shared" si="102"/>
        <v>645000</v>
      </c>
      <c r="P685" s="162">
        <f t="shared" si="104"/>
        <v>645000</v>
      </c>
      <c r="Q685" s="2"/>
      <c r="R685" s="132"/>
      <c r="S685" s="132"/>
      <c r="T685" s="132"/>
      <c r="U685" s="13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</row>
    <row r="686" spans="1:65" ht="54" customHeight="1">
      <c r="A686" s="1418" t="s">
        <v>838</v>
      </c>
      <c r="B686" s="1419"/>
      <c r="C686" s="569">
        <v>240601</v>
      </c>
      <c r="D686" s="211" t="s">
        <v>979</v>
      </c>
      <c r="E686" s="488"/>
      <c r="F686" s="488"/>
      <c r="G686" s="488"/>
      <c r="H686" s="488">
        <f>+I686+L686</f>
        <v>7600000</v>
      </c>
      <c r="I686" s="488"/>
      <c r="J686" s="488">
        <f>+'видатки_затв '!H296</f>
        <v>0</v>
      </c>
      <c r="K686" s="488">
        <f>+'видатки_затв '!I296</f>
        <v>0</v>
      </c>
      <c r="L686" s="488">
        <v>7600000</v>
      </c>
      <c r="M686" s="488"/>
      <c r="N686" s="488"/>
      <c r="O686" s="488">
        <f t="shared" si="102"/>
        <v>7600000</v>
      </c>
      <c r="P686" s="100">
        <f t="shared" si="104"/>
        <v>7600000</v>
      </c>
      <c r="R686" s="132"/>
      <c r="S686" s="132"/>
      <c r="T686" s="132"/>
      <c r="U686" s="13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</row>
    <row r="687" spans="1:65" ht="48.6" customHeight="1">
      <c r="A687" s="359" t="s">
        <v>871</v>
      </c>
      <c r="B687" s="359"/>
      <c r="C687" s="359" t="s">
        <v>1477</v>
      </c>
      <c r="D687" s="360" t="s">
        <v>432</v>
      </c>
      <c r="E687" s="487">
        <f t="shared" ref="E687:N687" si="107">+E688+E691+E715+E694+E701+E706+E707+E708+E709+E710+E689+E711</f>
        <v>4400000</v>
      </c>
      <c r="F687" s="487">
        <f t="shared" si="107"/>
        <v>0</v>
      </c>
      <c r="G687" s="487">
        <f t="shared" si="107"/>
        <v>0</v>
      </c>
      <c r="H687" s="487">
        <f t="shared" si="107"/>
        <v>250000</v>
      </c>
      <c r="I687" s="487">
        <f t="shared" si="107"/>
        <v>0</v>
      </c>
      <c r="J687" s="487">
        <f t="shared" si="107"/>
        <v>0</v>
      </c>
      <c r="K687" s="487">
        <f t="shared" si="107"/>
        <v>0</v>
      </c>
      <c r="L687" s="487">
        <f t="shared" si="107"/>
        <v>250000</v>
      </c>
      <c r="M687" s="487">
        <f t="shared" si="107"/>
        <v>250000</v>
      </c>
      <c r="N687" s="487">
        <f t="shared" si="107"/>
        <v>250000</v>
      </c>
      <c r="O687" s="487">
        <f t="shared" si="102"/>
        <v>4650000</v>
      </c>
      <c r="P687" s="162">
        <f t="shared" si="104"/>
        <v>4650000</v>
      </c>
      <c r="R687" s="71"/>
      <c r="S687" s="71"/>
      <c r="T687" s="71"/>
      <c r="U687" s="71"/>
    </row>
    <row r="688" spans="1:65" ht="39.6" customHeight="1">
      <c r="A688" s="1418" t="s">
        <v>1389</v>
      </c>
      <c r="B688" s="1419"/>
      <c r="C688" s="569" t="s">
        <v>222</v>
      </c>
      <c r="D688" s="364" t="s">
        <v>397</v>
      </c>
      <c r="E688" s="488">
        <v>500000</v>
      </c>
      <c r="F688" s="488"/>
      <c r="G688" s="488"/>
      <c r="H688" s="488">
        <f>+I688+L688</f>
        <v>0</v>
      </c>
      <c r="I688" s="488"/>
      <c r="J688" s="488"/>
      <c r="K688" s="488"/>
      <c r="L688" s="488"/>
      <c r="M688" s="488"/>
      <c r="N688" s="488"/>
      <c r="O688" s="488">
        <f t="shared" si="102"/>
        <v>500000</v>
      </c>
      <c r="P688" s="162">
        <f t="shared" si="104"/>
        <v>500000</v>
      </c>
      <c r="R688" s="71"/>
      <c r="S688" s="71"/>
      <c r="T688" s="71"/>
      <c r="U688" s="71"/>
    </row>
    <row r="689" spans="1:65" ht="64.900000000000006" hidden="1" customHeight="1">
      <c r="A689" s="1415"/>
      <c r="B689" s="1415"/>
      <c r="C689" s="569" t="s">
        <v>1034</v>
      </c>
      <c r="D689" s="448" t="s">
        <v>1233</v>
      </c>
      <c r="E689" s="488"/>
      <c r="F689" s="488"/>
      <c r="G689" s="488"/>
      <c r="H689" s="488">
        <f t="shared" ref="H689:H699" si="108">+I689+L689</f>
        <v>0</v>
      </c>
      <c r="I689" s="488"/>
      <c r="J689" s="488"/>
      <c r="K689" s="488"/>
      <c r="L689" s="488"/>
      <c r="M689" s="488">
        <f>+L689</f>
        <v>0</v>
      </c>
      <c r="N689" s="488"/>
      <c r="O689" s="488">
        <f t="shared" si="102"/>
        <v>0</v>
      </c>
      <c r="P689" s="580">
        <f t="shared" si="104"/>
        <v>0</v>
      </c>
      <c r="R689" s="71"/>
      <c r="S689" s="71"/>
      <c r="T689" s="71"/>
      <c r="U689" s="71"/>
    </row>
    <row r="690" spans="1:65" ht="48" hidden="1" customHeight="1">
      <c r="A690" s="1415"/>
      <c r="B690" s="1415"/>
      <c r="C690" s="569"/>
      <c r="D690" s="448" t="s">
        <v>56</v>
      </c>
      <c r="E690" s="488"/>
      <c r="F690" s="488"/>
      <c r="G690" s="488"/>
      <c r="H690" s="488"/>
      <c r="I690" s="488"/>
      <c r="J690" s="488"/>
      <c r="K690" s="488"/>
      <c r="L690" s="488"/>
      <c r="M690" s="488"/>
      <c r="N690" s="488"/>
      <c r="O690" s="488">
        <f t="shared" si="102"/>
        <v>0</v>
      </c>
      <c r="P690" s="580">
        <f t="shared" si="104"/>
        <v>0</v>
      </c>
      <c r="R690" s="71"/>
      <c r="S690" s="71"/>
      <c r="T690" s="71"/>
      <c r="U690" s="71"/>
    </row>
    <row r="691" spans="1:65" ht="34.9" customHeight="1">
      <c r="A691" s="1418" t="s">
        <v>1390</v>
      </c>
      <c r="B691" s="1419"/>
      <c r="C691" s="569" t="s">
        <v>1512</v>
      </c>
      <c r="D691" s="364" t="s">
        <v>547</v>
      </c>
      <c r="E691" s="488">
        <f>1100000+200000-100000</f>
        <v>1200000</v>
      </c>
      <c r="F691" s="488"/>
      <c r="G691" s="488"/>
      <c r="H691" s="488">
        <f t="shared" si="108"/>
        <v>0</v>
      </c>
      <c r="I691" s="488"/>
      <c r="J691" s="488"/>
      <c r="K691" s="488"/>
      <c r="L691" s="488"/>
      <c r="M691" s="488"/>
      <c r="N691" s="488"/>
      <c r="O691" s="488">
        <f t="shared" si="102"/>
        <v>1200000</v>
      </c>
      <c r="P691" s="162">
        <f t="shared" si="104"/>
        <v>1200000</v>
      </c>
      <c r="R691" s="71"/>
      <c r="S691" s="71"/>
      <c r="T691" s="71"/>
      <c r="U691" s="71"/>
    </row>
    <row r="692" spans="1:65" ht="40.15" hidden="1" customHeight="1">
      <c r="A692" s="1415"/>
      <c r="B692" s="1415"/>
      <c r="C692" s="570"/>
      <c r="D692" s="171" t="s">
        <v>1007</v>
      </c>
      <c r="E692" s="173"/>
      <c r="F692" s="173"/>
      <c r="G692" s="173"/>
      <c r="H692" s="173">
        <f t="shared" si="108"/>
        <v>0</v>
      </c>
      <c r="I692" s="173"/>
      <c r="J692" s="173"/>
      <c r="K692" s="173"/>
      <c r="L692" s="194"/>
      <c r="M692" s="173"/>
      <c r="N692" s="194"/>
      <c r="O692" s="169">
        <f t="shared" si="102"/>
        <v>0</v>
      </c>
      <c r="P692" s="100">
        <f t="shared" si="104"/>
        <v>0</v>
      </c>
      <c r="Q692" s="2"/>
      <c r="R692" s="7"/>
      <c r="S692" s="7"/>
      <c r="T692" s="7"/>
      <c r="U692" s="7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</row>
    <row r="693" spans="1:65" ht="34.9" hidden="1" customHeight="1">
      <c r="A693" s="1415"/>
      <c r="B693" s="1415"/>
      <c r="C693" s="570"/>
      <c r="D693" s="171" t="s">
        <v>978</v>
      </c>
      <c r="E693" s="173"/>
      <c r="F693" s="173"/>
      <c r="G693" s="173"/>
      <c r="H693" s="173">
        <f t="shared" si="108"/>
        <v>0</v>
      </c>
      <c r="I693" s="173"/>
      <c r="J693" s="173"/>
      <c r="K693" s="173"/>
      <c r="L693" s="194"/>
      <c r="M693" s="173"/>
      <c r="N693" s="194"/>
      <c r="O693" s="173">
        <f t="shared" si="102"/>
        <v>0</v>
      </c>
      <c r="P693" s="100">
        <f t="shared" si="104"/>
        <v>0</v>
      </c>
      <c r="Q693" s="2"/>
      <c r="R693" s="124"/>
      <c r="S693" s="124"/>
      <c r="T693" s="124"/>
      <c r="U693" s="124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</row>
    <row r="694" spans="1:65" ht="50.45" customHeight="1">
      <c r="A694" s="1418" t="s">
        <v>149</v>
      </c>
      <c r="B694" s="1419"/>
      <c r="C694" s="569" t="s">
        <v>88</v>
      </c>
      <c r="D694" s="367" t="s">
        <v>229</v>
      </c>
      <c r="E694" s="488">
        <f>2300000+400000</f>
        <v>2700000</v>
      </c>
      <c r="F694" s="488">
        <f>+'видатки_затв '!D277</f>
        <v>0</v>
      </c>
      <c r="G694" s="488">
        <f>+'видатки_затв '!E277</f>
        <v>0</v>
      </c>
      <c r="H694" s="488">
        <f t="shared" si="108"/>
        <v>0</v>
      </c>
      <c r="I694" s="488"/>
      <c r="J694" s="488"/>
      <c r="K694" s="488"/>
      <c r="L694" s="488">
        <f>6898000+360000-7258000</f>
        <v>0</v>
      </c>
      <c r="M694" s="488">
        <f>+L694</f>
        <v>0</v>
      </c>
      <c r="N694" s="488">
        <f>+M694</f>
        <v>0</v>
      </c>
      <c r="O694" s="488">
        <f t="shared" si="102"/>
        <v>2700000</v>
      </c>
      <c r="P694" s="162">
        <f t="shared" si="104"/>
        <v>2700000</v>
      </c>
      <c r="Q694" s="2"/>
      <c r="R694" s="124"/>
      <c r="S694" s="124"/>
      <c r="T694" s="124"/>
      <c r="U694" s="124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</row>
    <row r="695" spans="1:65" ht="17.25" hidden="1" customHeight="1">
      <c r="A695" s="1415"/>
      <c r="B695" s="1415"/>
      <c r="C695" s="569"/>
      <c r="D695" s="367" t="s">
        <v>1042</v>
      </c>
      <c r="E695" s="363"/>
      <c r="F695" s="363"/>
      <c r="G695" s="363"/>
      <c r="H695" s="363"/>
      <c r="I695" s="363"/>
      <c r="J695" s="363"/>
      <c r="K695" s="363"/>
      <c r="L695" s="363"/>
      <c r="M695" s="363"/>
      <c r="N695" s="363"/>
      <c r="O695" s="363"/>
      <c r="P695" s="162"/>
      <c r="Q695" s="2"/>
      <c r="R695" s="124"/>
      <c r="S695" s="124"/>
      <c r="T695" s="124"/>
      <c r="U695" s="124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</row>
    <row r="696" spans="1:65" ht="18.600000000000001" hidden="1" customHeight="1">
      <c r="A696" s="1415"/>
      <c r="B696" s="1415"/>
      <c r="C696" s="569"/>
      <c r="D696" s="367" t="s">
        <v>747</v>
      </c>
      <c r="E696" s="363"/>
      <c r="F696" s="363"/>
      <c r="G696" s="363"/>
      <c r="H696" s="363"/>
      <c r="I696" s="363"/>
      <c r="J696" s="363"/>
      <c r="K696" s="363"/>
      <c r="L696" s="363"/>
      <c r="M696" s="363"/>
      <c r="N696" s="363"/>
      <c r="O696" s="363"/>
      <c r="P696" s="162"/>
      <c r="Q696" s="2"/>
      <c r="R696" s="124"/>
      <c r="S696" s="124"/>
      <c r="T696" s="124"/>
      <c r="U696" s="124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</row>
    <row r="697" spans="1:65" ht="37.9" hidden="1" customHeight="1">
      <c r="A697" s="1415"/>
      <c r="B697" s="1415"/>
      <c r="C697" s="569"/>
      <c r="D697" s="367" t="s">
        <v>629</v>
      </c>
      <c r="E697" s="363"/>
      <c r="F697" s="363"/>
      <c r="G697" s="363"/>
      <c r="H697" s="488">
        <f t="shared" si="108"/>
        <v>0</v>
      </c>
      <c r="I697" s="363"/>
      <c r="J697" s="363"/>
      <c r="K697" s="363"/>
      <c r="L697" s="488">
        <f>360000-360000</f>
        <v>0</v>
      </c>
      <c r="M697" s="488">
        <f>+L697</f>
        <v>0</v>
      </c>
      <c r="N697" s="488">
        <f>+M697</f>
        <v>0</v>
      </c>
      <c r="O697" s="488">
        <f>+E697+H697</f>
        <v>0</v>
      </c>
      <c r="P697" s="100">
        <f t="shared" ref="P697:P758" si="109">+O697</f>
        <v>0</v>
      </c>
      <c r="Q697" s="2"/>
      <c r="R697" s="124"/>
      <c r="S697" s="124"/>
      <c r="T697" s="124"/>
      <c r="U697" s="124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</row>
    <row r="698" spans="1:65" ht="50.25" hidden="1" customHeight="1" outlineLevel="1">
      <c r="A698" s="1415"/>
      <c r="B698" s="1415"/>
      <c r="C698" s="569"/>
      <c r="D698" s="367" t="s">
        <v>755</v>
      </c>
      <c r="E698" s="363"/>
      <c r="F698" s="363"/>
      <c r="G698" s="363"/>
      <c r="H698" s="363">
        <f t="shared" si="108"/>
        <v>0</v>
      </c>
      <c r="I698" s="363"/>
      <c r="J698" s="363"/>
      <c r="K698" s="363"/>
      <c r="L698" s="363"/>
      <c r="M698" s="363"/>
      <c r="N698" s="363"/>
      <c r="O698" s="363">
        <f t="shared" ref="O698:O734" si="110">+E698+H698</f>
        <v>0</v>
      </c>
      <c r="P698" s="100">
        <f t="shared" si="109"/>
        <v>0</v>
      </c>
      <c r="Q698" s="2"/>
      <c r="R698" s="124"/>
      <c r="S698" s="124"/>
      <c r="T698" s="124"/>
      <c r="U698" s="124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</row>
    <row r="699" spans="1:65" ht="36" hidden="1" customHeight="1" outlineLevel="1">
      <c r="A699" s="1415"/>
      <c r="B699" s="1415"/>
      <c r="C699" s="569"/>
      <c r="D699" s="214" t="s">
        <v>189</v>
      </c>
      <c r="E699" s="363"/>
      <c r="F699" s="363"/>
      <c r="G699" s="363"/>
      <c r="H699" s="363">
        <f t="shared" si="108"/>
        <v>0</v>
      </c>
      <c r="I699" s="363"/>
      <c r="J699" s="363"/>
      <c r="K699" s="363"/>
      <c r="L699" s="363"/>
      <c r="M699" s="363"/>
      <c r="N699" s="363"/>
      <c r="O699" s="363">
        <f t="shared" si="110"/>
        <v>0</v>
      </c>
      <c r="P699" s="162"/>
      <c r="Q699" s="2"/>
      <c r="R699" s="124"/>
      <c r="S699" s="124"/>
      <c r="T699" s="124"/>
      <c r="U699" s="124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</row>
    <row r="700" spans="1:65" ht="45" hidden="1" outlineLevel="1">
      <c r="A700" s="1415"/>
      <c r="B700" s="1415"/>
      <c r="C700" s="570"/>
      <c r="D700" s="214" t="s">
        <v>118</v>
      </c>
      <c r="E700" s="489">
        <v>400000</v>
      </c>
      <c r="F700" s="491"/>
      <c r="G700" s="491"/>
      <c r="H700" s="491"/>
      <c r="I700" s="491"/>
      <c r="J700" s="491"/>
      <c r="K700" s="491"/>
      <c r="L700" s="491"/>
      <c r="M700" s="491"/>
      <c r="N700" s="491"/>
      <c r="O700" s="491">
        <f t="shared" si="110"/>
        <v>400000</v>
      </c>
      <c r="P700" s="100"/>
      <c r="Q700" s="2"/>
      <c r="R700" s="124"/>
      <c r="S700" s="124"/>
      <c r="T700" s="124"/>
      <c r="U700" s="124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</row>
    <row r="701" spans="1:65" ht="39.6" hidden="1" customHeight="1" outlineLevel="1">
      <c r="A701" s="1418" t="s">
        <v>633</v>
      </c>
      <c r="B701" s="1419"/>
      <c r="C701" s="569" t="s">
        <v>997</v>
      </c>
      <c r="D701" s="217" t="s">
        <v>996</v>
      </c>
      <c r="E701" s="488"/>
      <c r="F701" s="488"/>
      <c r="G701" s="488"/>
      <c r="H701" s="488">
        <f t="shared" ref="H701:H720" si="111">+I701+L701</f>
        <v>0</v>
      </c>
      <c r="I701" s="488"/>
      <c r="J701" s="488"/>
      <c r="K701" s="488"/>
      <c r="L701" s="488"/>
      <c r="M701" s="488"/>
      <c r="N701" s="488"/>
      <c r="O701" s="488">
        <f t="shared" si="110"/>
        <v>0</v>
      </c>
      <c r="P701" s="162">
        <f t="shared" si="109"/>
        <v>0</v>
      </c>
      <c r="Q701" s="2"/>
      <c r="R701" s="124"/>
      <c r="S701" s="124"/>
      <c r="T701" s="124"/>
      <c r="U701" s="124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</row>
    <row r="702" spans="1:65" ht="15.75" hidden="1" outlineLevel="1">
      <c r="A702" s="1415"/>
      <c r="B702" s="1415"/>
      <c r="C702" s="570"/>
      <c r="D702" s="560" t="s">
        <v>892</v>
      </c>
      <c r="E702" s="173"/>
      <c r="F702" s="173"/>
      <c r="G702" s="173"/>
      <c r="H702" s="173">
        <f t="shared" si="111"/>
        <v>0</v>
      </c>
      <c r="I702" s="173"/>
      <c r="J702" s="173"/>
      <c r="K702" s="173"/>
      <c r="L702" s="194"/>
      <c r="M702" s="173"/>
      <c r="N702" s="194"/>
      <c r="O702" s="173">
        <f t="shared" si="110"/>
        <v>0</v>
      </c>
      <c r="P702" s="100">
        <f t="shared" si="109"/>
        <v>0</v>
      </c>
      <c r="Q702" s="2"/>
      <c r="R702" s="7"/>
      <c r="S702" s="7"/>
      <c r="T702" s="7"/>
      <c r="U702" s="7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</row>
    <row r="703" spans="1:65" ht="40.5" hidden="1" outlineLevel="1">
      <c r="A703" s="1415"/>
      <c r="B703" s="1415"/>
      <c r="C703" s="570"/>
      <c r="D703" s="630" t="s">
        <v>146</v>
      </c>
      <c r="E703" s="173"/>
      <c r="F703" s="173"/>
      <c r="G703" s="173"/>
      <c r="H703" s="173"/>
      <c r="I703" s="169"/>
      <c r="J703" s="173"/>
      <c r="K703" s="173"/>
      <c r="L703" s="194"/>
      <c r="M703" s="173"/>
      <c r="N703" s="194"/>
      <c r="O703" s="169">
        <f t="shared" si="110"/>
        <v>0</v>
      </c>
      <c r="P703" s="100">
        <f t="shared" si="109"/>
        <v>0</v>
      </c>
      <c r="Q703" s="2"/>
      <c r="R703" s="132"/>
      <c r="S703" s="132"/>
      <c r="T703" s="132"/>
      <c r="U703" s="13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</row>
    <row r="704" spans="1:65" ht="30" hidden="1" outlineLevel="1">
      <c r="A704" s="1415"/>
      <c r="B704" s="1415"/>
      <c r="C704" s="550" t="s">
        <v>1410</v>
      </c>
      <c r="D704" s="197" t="s">
        <v>535</v>
      </c>
      <c r="E704" s="180"/>
      <c r="F704" s="180"/>
      <c r="G704" s="180"/>
      <c r="H704" s="180">
        <f t="shared" si="111"/>
        <v>0</v>
      </c>
      <c r="I704" s="180"/>
      <c r="J704" s="180"/>
      <c r="K704" s="180"/>
      <c r="L704" s="180"/>
      <c r="M704" s="180"/>
      <c r="N704" s="180"/>
      <c r="O704" s="180">
        <f t="shared" si="110"/>
        <v>0</v>
      </c>
      <c r="P704" s="100"/>
      <c r="R704" s="71"/>
      <c r="S704" s="71"/>
      <c r="T704" s="71"/>
      <c r="U704" s="71"/>
    </row>
    <row r="705" spans="1:65" ht="39" hidden="1" customHeight="1" outlineLevel="1">
      <c r="A705" s="1415"/>
      <c r="B705" s="1415"/>
      <c r="C705" s="570"/>
      <c r="D705" s="631" t="s">
        <v>982</v>
      </c>
      <c r="E705" s="173"/>
      <c r="F705" s="173"/>
      <c r="G705" s="173"/>
      <c r="H705" s="173">
        <f t="shared" si="111"/>
        <v>0</v>
      </c>
      <c r="I705" s="173"/>
      <c r="J705" s="173"/>
      <c r="K705" s="173"/>
      <c r="L705" s="194"/>
      <c r="M705" s="173"/>
      <c r="N705" s="194"/>
      <c r="O705" s="173">
        <f t="shared" si="110"/>
        <v>0</v>
      </c>
      <c r="P705" s="100">
        <f t="shared" si="109"/>
        <v>0</v>
      </c>
      <c r="Q705" s="2"/>
      <c r="R705" s="7"/>
      <c r="S705" s="7"/>
      <c r="T705" s="7"/>
      <c r="U705" s="7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</row>
    <row r="706" spans="1:65" ht="42.6" hidden="1" customHeight="1" outlineLevel="1">
      <c r="A706" s="1418" t="s">
        <v>634</v>
      </c>
      <c r="B706" s="1419"/>
      <c r="C706" s="569">
        <v>240601</v>
      </c>
      <c r="D706" s="211" t="s">
        <v>979</v>
      </c>
      <c r="E706" s="488"/>
      <c r="F706" s="488"/>
      <c r="G706" s="488"/>
      <c r="H706" s="488">
        <f t="shared" si="111"/>
        <v>0</v>
      </c>
      <c r="I706" s="488"/>
      <c r="J706" s="488"/>
      <c r="K706" s="488"/>
      <c r="L706" s="488"/>
      <c r="M706" s="488"/>
      <c r="N706" s="488"/>
      <c r="O706" s="488">
        <f t="shared" si="110"/>
        <v>0</v>
      </c>
      <c r="P706" s="100">
        <f t="shared" si="109"/>
        <v>0</v>
      </c>
      <c r="R706" s="71"/>
      <c r="S706" s="71"/>
      <c r="T706" s="71"/>
      <c r="U706" s="71"/>
    </row>
    <row r="707" spans="1:65" ht="22.9" hidden="1" customHeight="1" outlineLevel="1">
      <c r="A707" s="1438" t="s">
        <v>439</v>
      </c>
      <c r="B707" s="1438"/>
      <c r="C707" s="550">
        <v>240602</v>
      </c>
      <c r="D707" s="632" t="s">
        <v>1248</v>
      </c>
      <c r="E707" s="169"/>
      <c r="F707" s="169"/>
      <c r="G707" s="169"/>
      <c r="H707" s="170">
        <f t="shared" si="111"/>
        <v>0</v>
      </c>
      <c r="I707" s="170">
        <f>+'видатки_затв '!G317</f>
        <v>0</v>
      </c>
      <c r="J707" s="170">
        <f>+'видатки_затв '!H317</f>
        <v>0</v>
      </c>
      <c r="K707" s="170">
        <f>+'видатки_затв '!I317</f>
        <v>0</v>
      </c>
      <c r="L707" s="488">
        <f>+'видатки_затв '!J312</f>
        <v>0</v>
      </c>
      <c r="M707" s="170">
        <f>+'видатки_затв '!K317</f>
        <v>0</v>
      </c>
      <c r="N707" s="170">
        <f>400000-400000</f>
        <v>0</v>
      </c>
      <c r="O707" s="170">
        <f t="shared" si="110"/>
        <v>0</v>
      </c>
      <c r="P707" s="100">
        <f t="shared" si="109"/>
        <v>0</v>
      </c>
      <c r="R707" s="71"/>
      <c r="S707" s="71"/>
      <c r="T707" s="71"/>
      <c r="U707" s="71"/>
    </row>
    <row r="708" spans="1:65" ht="25.15" hidden="1" customHeight="1" outlineLevel="1">
      <c r="A708" s="1415"/>
      <c r="B708" s="1415"/>
      <c r="C708" s="575">
        <v>240603</v>
      </c>
      <c r="D708" s="632" t="s">
        <v>993</v>
      </c>
      <c r="E708" s="169"/>
      <c r="F708" s="169"/>
      <c r="G708" s="169"/>
      <c r="H708" s="169">
        <f t="shared" si="111"/>
        <v>0</v>
      </c>
      <c r="I708" s="169">
        <f>+'видатки_затв '!G318</f>
        <v>0</v>
      </c>
      <c r="J708" s="169">
        <f>+'видатки_затв '!H318</f>
        <v>0</v>
      </c>
      <c r="K708" s="169">
        <f>+'видатки_затв '!I318</f>
        <v>0</v>
      </c>
      <c r="L708" s="488">
        <f>+'видатки_затв '!J313</f>
        <v>0</v>
      </c>
      <c r="M708" s="169">
        <f>+'видатки_затв '!K318</f>
        <v>0</v>
      </c>
      <c r="N708" s="195">
        <f>+'видатки_затв '!L318</f>
        <v>0</v>
      </c>
      <c r="O708" s="169">
        <f t="shared" si="110"/>
        <v>0</v>
      </c>
      <c r="P708" s="100">
        <f t="shared" si="109"/>
        <v>0</v>
      </c>
      <c r="R708" s="71"/>
      <c r="S708" s="71"/>
      <c r="T708" s="71"/>
      <c r="U708" s="71"/>
    </row>
    <row r="709" spans="1:65" ht="28.9" hidden="1" customHeight="1" outlineLevel="1">
      <c r="A709" s="1438" t="s">
        <v>440</v>
      </c>
      <c r="B709" s="1438"/>
      <c r="C709" s="550">
        <v>240604</v>
      </c>
      <c r="D709" s="208" t="s">
        <v>994</v>
      </c>
      <c r="E709" s="489"/>
      <c r="F709" s="489"/>
      <c r="G709" s="489"/>
      <c r="H709" s="489">
        <f t="shared" si="111"/>
        <v>0</v>
      </c>
      <c r="I709" s="489"/>
      <c r="J709" s="489">
        <f>+'видатки_затв '!H319</f>
        <v>0</v>
      </c>
      <c r="K709" s="489">
        <f>+'видатки_затв '!I319</f>
        <v>0</v>
      </c>
      <c r="L709" s="488">
        <f>+'видатки_затв '!J314</f>
        <v>0</v>
      </c>
      <c r="M709" s="489">
        <f>+'видатки_затв '!K319</f>
        <v>0</v>
      </c>
      <c r="N709" s="489"/>
      <c r="O709" s="489">
        <f t="shared" si="110"/>
        <v>0</v>
      </c>
      <c r="P709" s="162">
        <f t="shared" si="109"/>
        <v>0</v>
      </c>
      <c r="R709" s="71"/>
      <c r="S709" s="71"/>
      <c r="T709" s="71"/>
      <c r="U709" s="71"/>
    </row>
    <row r="710" spans="1:65" ht="27" hidden="1" customHeight="1" outlineLevel="1">
      <c r="A710" s="1438" t="s">
        <v>441</v>
      </c>
      <c r="B710" s="1438"/>
      <c r="C710" s="550">
        <v>240605</v>
      </c>
      <c r="D710" s="208" t="s">
        <v>1249</v>
      </c>
      <c r="E710" s="489"/>
      <c r="F710" s="489"/>
      <c r="G710" s="489"/>
      <c r="H710" s="489">
        <f t="shared" si="111"/>
        <v>0</v>
      </c>
      <c r="I710" s="489"/>
      <c r="J710" s="489">
        <f>+'видатки_затв '!H320</f>
        <v>0</v>
      </c>
      <c r="K710" s="489">
        <f>+'видатки_затв '!I320</f>
        <v>0</v>
      </c>
      <c r="L710" s="488">
        <f>+'видатки_затв '!J315</f>
        <v>0</v>
      </c>
      <c r="M710" s="489"/>
      <c r="N710" s="489"/>
      <c r="O710" s="489">
        <f t="shared" si="110"/>
        <v>0</v>
      </c>
      <c r="P710" s="162">
        <f t="shared" si="109"/>
        <v>0</v>
      </c>
      <c r="R710" s="71"/>
      <c r="S710" s="71"/>
      <c r="T710" s="71"/>
      <c r="U710" s="71"/>
    </row>
    <row r="711" spans="1:65" ht="39.6" customHeight="1" outlineLevel="1">
      <c r="A711" s="1418" t="s">
        <v>553</v>
      </c>
      <c r="B711" s="1419"/>
      <c r="C711" s="569" t="s">
        <v>1247</v>
      </c>
      <c r="D711" s="211" t="s">
        <v>1246</v>
      </c>
      <c r="E711" s="488">
        <f>6000000-6000000</f>
        <v>0</v>
      </c>
      <c r="F711" s="488"/>
      <c r="G711" s="488"/>
      <c r="H711" s="488">
        <f t="shared" si="111"/>
        <v>250000</v>
      </c>
      <c r="I711" s="488"/>
      <c r="J711" s="488"/>
      <c r="K711" s="488"/>
      <c r="L711" s="488">
        <v>250000</v>
      </c>
      <c r="M711" s="488">
        <f>+L711</f>
        <v>250000</v>
      </c>
      <c r="N711" s="488">
        <f>+M711</f>
        <v>250000</v>
      </c>
      <c r="O711" s="488">
        <f t="shared" si="110"/>
        <v>250000</v>
      </c>
      <c r="P711" s="162">
        <f t="shared" si="109"/>
        <v>250000</v>
      </c>
      <c r="R711" s="71"/>
      <c r="S711" s="71"/>
      <c r="T711" s="71"/>
      <c r="U711" s="71"/>
    </row>
    <row r="712" spans="1:65" ht="34.15" hidden="1" customHeight="1" outlineLevel="1">
      <c r="A712" s="1418"/>
      <c r="B712" s="1419"/>
      <c r="C712" s="569"/>
      <c r="D712" s="211" t="s">
        <v>550</v>
      </c>
      <c r="E712" s="488"/>
      <c r="F712" s="488"/>
      <c r="G712" s="488"/>
      <c r="H712" s="488"/>
      <c r="I712" s="488"/>
      <c r="J712" s="488"/>
      <c r="K712" s="488"/>
      <c r="L712" s="488"/>
      <c r="M712" s="488"/>
      <c r="N712" s="488"/>
      <c r="O712" s="488"/>
      <c r="P712" s="162"/>
      <c r="R712" s="71"/>
      <c r="S712" s="71"/>
      <c r="T712" s="71"/>
      <c r="U712" s="71"/>
    </row>
    <row r="713" spans="1:65" ht="81" hidden="1" customHeight="1" outlineLevel="1">
      <c r="A713" s="643"/>
      <c r="B713" s="644"/>
      <c r="C713" s="569"/>
      <c r="D713" s="208" t="s">
        <v>115</v>
      </c>
      <c r="E713" s="488"/>
      <c r="F713" s="488"/>
      <c r="G713" s="488"/>
      <c r="H713" s="488">
        <f t="shared" si="111"/>
        <v>250000</v>
      </c>
      <c r="I713" s="488"/>
      <c r="J713" s="488"/>
      <c r="K713" s="488"/>
      <c r="L713" s="488">
        <v>250000</v>
      </c>
      <c r="M713" s="488">
        <f>+L713</f>
        <v>250000</v>
      </c>
      <c r="N713" s="488">
        <f>+M713</f>
        <v>250000</v>
      </c>
      <c r="O713" s="488">
        <f t="shared" si="110"/>
        <v>250000</v>
      </c>
      <c r="P713" s="162"/>
      <c r="R713" s="71"/>
      <c r="S713" s="71"/>
      <c r="T713" s="71"/>
      <c r="U713" s="71"/>
    </row>
    <row r="714" spans="1:65" ht="58.15" hidden="1" customHeight="1" outlineLevel="1">
      <c r="A714" s="1418"/>
      <c r="B714" s="1419"/>
      <c r="C714" s="569"/>
      <c r="D714" s="370" t="s">
        <v>829</v>
      </c>
      <c r="E714" s="488">
        <f>6000000-6000000</f>
        <v>0</v>
      </c>
      <c r="F714" s="488"/>
      <c r="G714" s="488"/>
      <c r="H714" s="488">
        <f t="shared" si="111"/>
        <v>0</v>
      </c>
      <c r="I714" s="488"/>
      <c r="J714" s="488"/>
      <c r="K714" s="488"/>
      <c r="L714" s="488"/>
      <c r="M714" s="488"/>
      <c r="N714" s="488"/>
      <c r="O714" s="488">
        <f t="shared" si="110"/>
        <v>0</v>
      </c>
      <c r="P714" s="162">
        <f t="shared" si="109"/>
        <v>0</v>
      </c>
      <c r="R714" s="71"/>
      <c r="S714" s="71"/>
      <c r="T714" s="71"/>
      <c r="U714" s="71"/>
    </row>
    <row r="715" spans="1:65" ht="51.6" hidden="1" customHeight="1" outlineLevel="1">
      <c r="A715" s="1415"/>
      <c r="B715" s="1415"/>
      <c r="C715" s="550" t="s">
        <v>1127</v>
      </c>
      <c r="D715" s="221" t="s">
        <v>819</v>
      </c>
      <c r="E715" s="489"/>
      <c r="F715" s="489"/>
      <c r="G715" s="489"/>
      <c r="H715" s="489">
        <f t="shared" si="111"/>
        <v>0</v>
      </c>
      <c r="I715" s="489"/>
      <c r="J715" s="489"/>
      <c r="K715" s="489"/>
      <c r="L715" s="489"/>
      <c r="M715" s="489"/>
      <c r="N715" s="489"/>
      <c r="O715" s="489">
        <f t="shared" si="110"/>
        <v>0</v>
      </c>
      <c r="P715" s="162">
        <f t="shared" si="109"/>
        <v>0</v>
      </c>
      <c r="R715" s="71"/>
      <c r="S715" s="71"/>
      <c r="T715" s="71"/>
      <c r="U715" s="71"/>
    </row>
    <row r="716" spans="1:65" ht="48" hidden="1" customHeight="1" outlineLevel="1">
      <c r="A716" s="1415"/>
      <c r="B716" s="1415"/>
      <c r="C716" s="570" t="s">
        <v>1287</v>
      </c>
      <c r="D716" s="631" t="s">
        <v>967</v>
      </c>
      <c r="E716" s="173"/>
      <c r="F716" s="173"/>
      <c r="G716" s="173"/>
      <c r="H716" s="173"/>
      <c r="I716" s="173"/>
      <c r="J716" s="173"/>
      <c r="K716" s="173"/>
      <c r="L716" s="194"/>
      <c r="M716" s="173"/>
      <c r="N716" s="194"/>
      <c r="O716" s="173">
        <f t="shared" si="110"/>
        <v>0</v>
      </c>
      <c r="P716" s="100">
        <f t="shared" si="109"/>
        <v>0</v>
      </c>
      <c r="Q716" s="2"/>
      <c r="R716" s="7"/>
      <c r="S716" s="7"/>
      <c r="T716" s="7"/>
      <c r="U716" s="7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</row>
    <row r="717" spans="1:65" ht="52.9" hidden="1" customHeight="1" outlineLevel="1">
      <c r="A717" s="1440"/>
      <c r="B717" s="1441"/>
      <c r="C717" s="570"/>
      <c r="D717" s="386" t="s">
        <v>181</v>
      </c>
      <c r="E717" s="173"/>
      <c r="F717" s="173"/>
      <c r="G717" s="173"/>
      <c r="H717" s="489">
        <f t="shared" si="111"/>
        <v>0</v>
      </c>
      <c r="I717" s="173"/>
      <c r="J717" s="173"/>
      <c r="K717" s="173"/>
      <c r="L717" s="488">
        <f>1450000-1450000</f>
        <v>0</v>
      </c>
      <c r="M717" s="490">
        <f>+L717</f>
        <v>0</v>
      </c>
      <c r="N717" s="490">
        <f>+M717</f>
        <v>0</v>
      </c>
      <c r="O717" s="489">
        <f t="shared" si="110"/>
        <v>0</v>
      </c>
      <c r="P717" s="162">
        <f t="shared" si="109"/>
        <v>0</v>
      </c>
      <c r="Q717" s="2"/>
      <c r="R717" s="132"/>
      <c r="S717" s="132"/>
      <c r="T717" s="132"/>
      <c r="U717" s="13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</row>
    <row r="718" spans="1:65" ht="38.450000000000003" customHeight="1" outlineLevel="1">
      <c r="A718" s="359" t="s">
        <v>618</v>
      </c>
      <c r="B718" s="359"/>
      <c r="C718" s="359" t="s">
        <v>1476</v>
      </c>
      <c r="D718" s="220" t="s">
        <v>1184</v>
      </c>
      <c r="E718" s="487">
        <f>+E719+E720+E721+E723+E726+E725</f>
        <v>2100000</v>
      </c>
      <c r="F718" s="487">
        <f t="shared" ref="F718:M718" si="112">+F719+F720+F721+F723+F726+F725</f>
        <v>0</v>
      </c>
      <c r="G718" s="487">
        <f t="shared" si="112"/>
        <v>0</v>
      </c>
      <c r="H718" s="487">
        <f t="shared" si="112"/>
        <v>0</v>
      </c>
      <c r="I718" s="487">
        <f t="shared" si="112"/>
        <v>0</v>
      </c>
      <c r="J718" s="487">
        <f t="shared" si="112"/>
        <v>0</v>
      </c>
      <c r="K718" s="487">
        <f t="shared" si="112"/>
        <v>0</v>
      </c>
      <c r="L718" s="487">
        <f t="shared" si="112"/>
        <v>0</v>
      </c>
      <c r="M718" s="487">
        <f t="shared" si="112"/>
        <v>0</v>
      </c>
      <c r="N718" s="487">
        <f>+N719+N720+N721+N723+N726+N725</f>
        <v>0</v>
      </c>
      <c r="O718" s="487">
        <f t="shared" si="110"/>
        <v>2100000</v>
      </c>
      <c r="P718" s="162">
        <f t="shared" si="109"/>
        <v>2100000</v>
      </c>
      <c r="R718" s="71"/>
      <c r="S718" s="71"/>
      <c r="T718" s="71"/>
      <c r="U718" s="71"/>
    </row>
    <row r="719" spans="1:65" ht="33.75" hidden="1" customHeight="1" outlineLevel="1">
      <c r="A719" s="1415"/>
      <c r="B719" s="1415"/>
      <c r="C719" s="570" t="s">
        <v>1140</v>
      </c>
      <c r="D719" s="171" t="s">
        <v>336</v>
      </c>
      <c r="E719" s="173"/>
      <c r="F719" s="173"/>
      <c r="G719" s="173"/>
      <c r="H719" s="173">
        <f t="shared" si="111"/>
        <v>0</v>
      </c>
      <c r="I719" s="173"/>
      <c r="J719" s="173"/>
      <c r="K719" s="173"/>
      <c r="L719" s="194"/>
      <c r="M719" s="173"/>
      <c r="N719" s="194"/>
      <c r="O719" s="173">
        <f t="shared" si="110"/>
        <v>0</v>
      </c>
      <c r="P719" s="100">
        <f t="shared" si="109"/>
        <v>0</v>
      </c>
      <c r="Q719" s="2"/>
      <c r="R719" s="7"/>
      <c r="S719" s="7"/>
      <c r="T719" s="7"/>
      <c r="U719" s="7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</row>
    <row r="720" spans="1:65" ht="22.5" hidden="1" customHeight="1" outlineLevel="1">
      <c r="A720" s="1415"/>
      <c r="B720" s="1415"/>
      <c r="C720" s="575" t="s">
        <v>1508</v>
      </c>
      <c r="D720" s="170" t="s">
        <v>532</v>
      </c>
      <c r="E720" s="169"/>
      <c r="F720" s="169"/>
      <c r="G720" s="169"/>
      <c r="H720" s="169">
        <f t="shared" si="111"/>
        <v>0</v>
      </c>
      <c r="I720" s="169"/>
      <c r="J720" s="169"/>
      <c r="K720" s="169"/>
      <c r="L720" s="195"/>
      <c r="M720" s="169">
        <f>+L720</f>
        <v>0</v>
      </c>
      <c r="N720" s="195"/>
      <c r="O720" s="169">
        <f t="shared" si="110"/>
        <v>0</v>
      </c>
      <c r="P720" s="100">
        <f t="shared" si="109"/>
        <v>0</v>
      </c>
      <c r="Q720" s="2"/>
      <c r="R720" s="7"/>
      <c r="S720" s="7"/>
      <c r="T720" s="7"/>
      <c r="U720" s="7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</row>
    <row r="721" spans="1:65" ht="74.45" customHeight="1" outlineLevel="1">
      <c r="A721" s="1418" t="s">
        <v>1391</v>
      </c>
      <c r="B721" s="1419"/>
      <c r="C721" s="569" t="s">
        <v>224</v>
      </c>
      <c r="D721" s="364" t="s">
        <v>653</v>
      </c>
      <c r="E721" s="488">
        <v>450000</v>
      </c>
      <c r="F721" s="488"/>
      <c r="G721" s="488"/>
      <c r="H721" s="488">
        <f>+I721+L721</f>
        <v>0</v>
      </c>
      <c r="I721" s="488"/>
      <c r="J721" s="488"/>
      <c r="K721" s="488"/>
      <c r="L721" s="488"/>
      <c r="M721" s="488">
        <f>+L721</f>
        <v>0</v>
      </c>
      <c r="N721" s="488">
        <f>+M721</f>
        <v>0</v>
      </c>
      <c r="O721" s="488">
        <f t="shared" si="110"/>
        <v>450000</v>
      </c>
      <c r="P721" s="162">
        <f t="shared" si="109"/>
        <v>450000</v>
      </c>
      <c r="R721" s="71"/>
      <c r="S721" s="71"/>
      <c r="T721" s="71"/>
      <c r="U721" s="71"/>
    </row>
    <row r="722" spans="1:65" ht="34.15" hidden="1" customHeight="1" outlineLevel="1">
      <c r="A722" s="1415"/>
      <c r="B722" s="1415"/>
      <c r="C722" s="570"/>
      <c r="D722" s="633"/>
      <c r="E722" s="173"/>
      <c r="F722" s="173"/>
      <c r="G722" s="173"/>
      <c r="H722" s="173"/>
      <c r="I722" s="173"/>
      <c r="J722" s="173"/>
      <c r="K722" s="173"/>
      <c r="L722" s="194"/>
      <c r="M722" s="173"/>
      <c r="N722" s="194"/>
      <c r="O722" s="173">
        <f t="shared" si="110"/>
        <v>0</v>
      </c>
      <c r="P722" s="100">
        <f t="shared" si="109"/>
        <v>0</v>
      </c>
      <c r="R722" s="71"/>
      <c r="S722" s="71"/>
      <c r="T722" s="71"/>
      <c r="U722" s="71"/>
    </row>
    <row r="723" spans="1:65" ht="30" customHeight="1" outlineLevel="1">
      <c r="A723" s="1418" t="s">
        <v>1379</v>
      </c>
      <c r="B723" s="1419"/>
      <c r="C723" s="569" t="s">
        <v>1408</v>
      </c>
      <c r="D723" s="364" t="s">
        <v>1409</v>
      </c>
      <c r="E723" s="488">
        <f>+'видатки_затв '!C302</f>
        <v>1650000</v>
      </c>
      <c r="F723" s="488"/>
      <c r="G723" s="488"/>
      <c r="H723" s="488">
        <f>+I723+L723</f>
        <v>0</v>
      </c>
      <c r="I723" s="488"/>
      <c r="J723" s="488"/>
      <c r="K723" s="488"/>
      <c r="L723" s="488"/>
      <c r="M723" s="488">
        <f>+L723</f>
        <v>0</v>
      </c>
      <c r="N723" s="488">
        <f>+M723</f>
        <v>0</v>
      </c>
      <c r="O723" s="488">
        <f t="shared" si="110"/>
        <v>1650000</v>
      </c>
      <c r="P723" s="162">
        <f t="shared" si="109"/>
        <v>1650000</v>
      </c>
      <c r="R723" s="71"/>
      <c r="S723" s="71"/>
      <c r="T723" s="71"/>
      <c r="U723" s="71"/>
    </row>
    <row r="724" spans="1:65" ht="49.9" hidden="1" customHeight="1" outlineLevel="1">
      <c r="A724" s="1415"/>
      <c r="B724" s="1415"/>
      <c r="C724" s="567"/>
      <c r="D724" s="170" t="s">
        <v>662</v>
      </c>
      <c r="E724" s="169"/>
      <c r="F724" s="169"/>
      <c r="G724" s="169"/>
      <c r="H724" s="169">
        <f>+I724+L724</f>
        <v>0</v>
      </c>
      <c r="I724" s="169"/>
      <c r="J724" s="169"/>
      <c r="K724" s="169"/>
      <c r="L724" s="195"/>
      <c r="M724" s="169"/>
      <c r="N724" s="195"/>
      <c r="O724" s="169">
        <f t="shared" si="110"/>
        <v>0</v>
      </c>
      <c r="P724" s="100">
        <f t="shared" si="109"/>
        <v>0</v>
      </c>
      <c r="R724" s="71"/>
      <c r="S724" s="71"/>
      <c r="T724" s="71"/>
      <c r="U724" s="71"/>
    </row>
    <row r="725" spans="1:65" ht="56.45" hidden="1" customHeight="1" outlineLevel="1">
      <c r="A725" s="1415"/>
      <c r="B725" s="1415"/>
      <c r="C725" s="567" t="s">
        <v>1127</v>
      </c>
      <c r="D725" s="605" t="s">
        <v>819</v>
      </c>
      <c r="E725" s="169"/>
      <c r="F725" s="169"/>
      <c r="G725" s="169"/>
      <c r="H725" s="169">
        <f>+I725+L725</f>
        <v>0</v>
      </c>
      <c r="I725" s="169"/>
      <c r="J725" s="169"/>
      <c r="K725" s="169"/>
      <c r="L725" s="195"/>
      <c r="M725" s="169"/>
      <c r="N725" s="195"/>
      <c r="O725" s="169">
        <f t="shared" si="110"/>
        <v>0</v>
      </c>
      <c r="P725" s="100">
        <f t="shared" si="109"/>
        <v>0</v>
      </c>
      <c r="R725" s="71"/>
      <c r="S725" s="71"/>
      <c r="T725" s="71"/>
      <c r="U725" s="71"/>
    </row>
    <row r="726" spans="1:65" ht="25.9" hidden="1" customHeight="1" outlineLevel="1">
      <c r="A726" s="1418" t="s">
        <v>1392</v>
      </c>
      <c r="B726" s="1419"/>
      <c r="C726" s="569" t="s">
        <v>1287</v>
      </c>
      <c r="D726" s="364" t="s">
        <v>866</v>
      </c>
      <c r="E726" s="488"/>
      <c r="F726" s="488"/>
      <c r="G726" s="488"/>
      <c r="H726" s="488">
        <f>+I726+L726</f>
        <v>0</v>
      </c>
      <c r="I726" s="488"/>
      <c r="J726" s="488"/>
      <c r="K726" s="488"/>
      <c r="L726" s="488"/>
      <c r="M726" s="488">
        <f>+L726</f>
        <v>0</v>
      </c>
      <c r="N726" s="488">
        <f>+M726</f>
        <v>0</v>
      </c>
      <c r="O726" s="488">
        <f t="shared" si="110"/>
        <v>0</v>
      </c>
      <c r="P726" s="162">
        <f t="shared" si="109"/>
        <v>0</v>
      </c>
      <c r="R726" s="71"/>
      <c r="S726" s="71"/>
      <c r="T726" s="71"/>
      <c r="U726" s="71"/>
    </row>
    <row r="727" spans="1:65" ht="36.6" customHeight="1" outlineLevel="1">
      <c r="A727" s="359" t="s">
        <v>1592</v>
      </c>
      <c r="B727" s="359"/>
      <c r="C727" s="359" t="s">
        <v>1172</v>
      </c>
      <c r="D727" s="360" t="s">
        <v>1185</v>
      </c>
      <c r="E727" s="487">
        <f t="shared" ref="E727:N727" si="113">+E728</f>
        <v>2300000</v>
      </c>
      <c r="F727" s="487">
        <f t="shared" si="113"/>
        <v>0</v>
      </c>
      <c r="G727" s="487">
        <f t="shared" si="113"/>
        <v>0</v>
      </c>
      <c r="H727" s="487">
        <f t="shared" si="113"/>
        <v>1000000</v>
      </c>
      <c r="I727" s="487">
        <f t="shared" si="113"/>
        <v>0</v>
      </c>
      <c r="J727" s="487">
        <f t="shared" si="113"/>
        <v>0</v>
      </c>
      <c r="K727" s="487">
        <f t="shared" si="113"/>
        <v>0</v>
      </c>
      <c r="L727" s="487">
        <f t="shared" si="113"/>
        <v>1000000</v>
      </c>
      <c r="M727" s="487">
        <f t="shared" si="113"/>
        <v>1000000</v>
      </c>
      <c r="N727" s="487">
        <f t="shared" si="113"/>
        <v>1000000</v>
      </c>
      <c r="O727" s="487">
        <f t="shared" si="110"/>
        <v>3300000</v>
      </c>
      <c r="P727" s="162">
        <f t="shared" si="109"/>
        <v>3300000</v>
      </c>
      <c r="R727" s="71"/>
      <c r="S727" s="71"/>
      <c r="T727" s="71"/>
      <c r="U727" s="71"/>
    </row>
    <row r="728" spans="1:65" ht="34.9" customHeight="1" outlineLevel="1">
      <c r="A728" s="1418" t="s">
        <v>258</v>
      </c>
      <c r="B728" s="1419"/>
      <c r="C728" s="569" t="s">
        <v>1512</v>
      </c>
      <c r="D728" s="364" t="s">
        <v>547</v>
      </c>
      <c r="E728" s="488">
        <f>2900000-500000-100000</f>
        <v>2300000</v>
      </c>
      <c r="F728" s="488"/>
      <c r="G728" s="488"/>
      <c r="H728" s="488">
        <f>+I728+L728</f>
        <v>1000000</v>
      </c>
      <c r="I728" s="488"/>
      <c r="J728" s="488"/>
      <c r="K728" s="488"/>
      <c r="L728" s="488">
        <f>900000+100000</f>
        <v>1000000</v>
      </c>
      <c r="M728" s="488">
        <f>+L728</f>
        <v>1000000</v>
      </c>
      <c r="N728" s="488">
        <f>+M728</f>
        <v>1000000</v>
      </c>
      <c r="O728" s="488">
        <f t="shared" si="110"/>
        <v>3300000</v>
      </c>
      <c r="P728" s="162">
        <f t="shared" si="109"/>
        <v>3300000</v>
      </c>
      <c r="R728" s="71"/>
      <c r="S728" s="71"/>
      <c r="T728" s="71"/>
      <c r="U728" s="71"/>
    </row>
    <row r="729" spans="1:65" ht="17.45" hidden="1" customHeight="1" outlineLevel="1">
      <c r="A729" s="1415"/>
      <c r="B729" s="1415"/>
      <c r="C729" s="570"/>
      <c r="D729" s="634"/>
      <c r="E729" s="173"/>
      <c r="F729" s="173"/>
      <c r="G729" s="173">
        <f t="shared" ref="G729:M729" si="114">+G730+G731</f>
        <v>0</v>
      </c>
      <c r="H729" s="173">
        <f t="shared" si="114"/>
        <v>0</v>
      </c>
      <c r="I729" s="173">
        <f t="shared" si="114"/>
        <v>0</v>
      </c>
      <c r="J729" s="173">
        <f t="shared" si="114"/>
        <v>0</v>
      </c>
      <c r="K729" s="173">
        <f t="shared" si="114"/>
        <v>0</v>
      </c>
      <c r="L729" s="194">
        <f t="shared" si="114"/>
        <v>0</v>
      </c>
      <c r="M729" s="173">
        <f t="shared" si="114"/>
        <v>0</v>
      </c>
      <c r="N729" s="194">
        <f>+N730+N731</f>
        <v>0</v>
      </c>
      <c r="O729" s="173">
        <f t="shared" si="110"/>
        <v>0</v>
      </c>
      <c r="P729" s="100">
        <f t="shared" si="109"/>
        <v>0</v>
      </c>
      <c r="Q729" s="2"/>
      <c r="R729" s="7"/>
      <c r="S729" s="7"/>
      <c r="T729" s="7"/>
      <c r="U729" s="7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</row>
    <row r="730" spans="1:65" ht="44.45" hidden="1" customHeight="1" outlineLevel="1">
      <c r="A730" s="1415"/>
      <c r="B730" s="1415"/>
      <c r="C730" s="570"/>
      <c r="D730" s="171" t="s">
        <v>1008</v>
      </c>
      <c r="E730" s="173"/>
      <c r="F730" s="173"/>
      <c r="G730" s="173"/>
      <c r="H730" s="173">
        <f>+I730+L730</f>
        <v>0</v>
      </c>
      <c r="I730" s="173"/>
      <c r="J730" s="173"/>
      <c r="K730" s="173"/>
      <c r="L730" s="194"/>
      <c r="M730" s="173"/>
      <c r="N730" s="194"/>
      <c r="O730" s="173">
        <f t="shared" si="110"/>
        <v>0</v>
      </c>
      <c r="P730" s="100">
        <f t="shared" si="109"/>
        <v>0</v>
      </c>
      <c r="R730" s="71"/>
      <c r="S730" s="71"/>
      <c r="T730" s="71"/>
      <c r="U730" s="71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</row>
    <row r="731" spans="1:65" ht="19.899999999999999" hidden="1" customHeight="1" outlineLevel="1">
      <c r="A731" s="1415"/>
      <c r="B731" s="1415"/>
      <c r="C731" s="570" t="s">
        <v>1287</v>
      </c>
      <c r="D731" s="171" t="s">
        <v>1288</v>
      </c>
      <c r="E731" s="173"/>
      <c r="F731" s="173"/>
      <c r="G731" s="173"/>
      <c r="H731" s="173"/>
      <c r="I731" s="173"/>
      <c r="J731" s="173"/>
      <c r="K731" s="173"/>
      <c r="L731" s="194"/>
      <c r="M731" s="173"/>
      <c r="N731" s="194"/>
      <c r="O731" s="173">
        <f t="shared" si="110"/>
        <v>0</v>
      </c>
      <c r="P731" s="100">
        <f t="shared" si="109"/>
        <v>0</v>
      </c>
      <c r="Q731" s="2"/>
      <c r="R731" s="7"/>
      <c r="S731" s="7"/>
      <c r="T731" s="7"/>
      <c r="U731" s="7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</row>
    <row r="732" spans="1:65" ht="38.450000000000003" hidden="1" customHeight="1" outlineLevel="1">
      <c r="A732" s="536" t="s">
        <v>1592</v>
      </c>
      <c r="B732" s="536"/>
      <c r="C732" s="536"/>
      <c r="D732" s="562" t="s">
        <v>1593</v>
      </c>
      <c r="E732" s="173">
        <f>+E733+E734</f>
        <v>0</v>
      </c>
      <c r="F732" s="173">
        <f>+F733+F734</f>
        <v>0</v>
      </c>
      <c r="G732" s="173">
        <f>+G733+G734</f>
        <v>0</v>
      </c>
      <c r="H732" s="173">
        <f t="shared" ref="H732:N732" si="115">+H733</f>
        <v>0</v>
      </c>
      <c r="I732" s="173">
        <f t="shared" si="115"/>
        <v>0</v>
      </c>
      <c r="J732" s="173">
        <f t="shared" si="115"/>
        <v>0</v>
      </c>
      <c r="K732" s="173">
        <f t="shared" si="115"/>
        <v>0</v>
      </c>
      <c r="L732" s="194">
        <f t="shared" si="115"/>
        <v>0</v>
      </c>
      <c r="M732" s="173">
        <f t="shared" si="115"/>
        <v>0</v>
      </c>
      <c r="N732" s="194">
        <f t="shared" si="115"/>
        <v>0</v>
      </c>
      <c r="O732" s="173">
        <f t="shared" si="110"/>
        <v>0</v>
      </c>
      <c r="P732" s="100">
        <f t="shared" si="109"/>
        <v>0</v>
      </c>
      <c r="R732" s="71"/>
      <c r="S732" s="71"/>
      <c r="T732" s="71"/>
      <c r="U732" s="71"/>
    </row>
    <row r="733" spans="1:65" ht="51" hidden="1" customHeight="1" outlineLevel="1">
      <c r="A733" s="1415"/>
      <c r="B733" s="1415"/>
      <c r="C733" s="570" t="s">
        <v>501</v>
      </c>
      <c r="D733" s="171" t="s">
        <v>1286</v>
      </c>
      <c r="E733" s="173"/>
      <c r="F733" s="173"/>
      <c r="G733" s="173"/>
      <c r="H733" s="173">
        <f>+I733+L733</f>
        <v>0</v>
      </c>
      <c r="I733" s="173"/>
      <c r="J733" s="173"/>
      <c r="K733" s="173"/>
      <c r="L733" s="194"/>
      <c r="M733" s="173"/>
      <c r="N733" s="194"/>
      <c r="O733" s="173">
        <f t="shared" si="110"/>
        <v>0</v>
      </c>
      <c r="P733" s="100">
        <f t="shared" si="109"/>
        <v>0</v>
      </c>
      <c r="R733" s="71"/>
      <c r="S733" s="71"/>
      <c r="T733" s="71"/>
      <c r="U733" s="71"/>
    </row>
    <row r="734" spans="1:65" ht="28.15" hidden="1" customHeight="1" outlineLevel="1">
      <c r="A734" s="1415"/>
      <c r="B734" s="1415"/>
      <c r="C734" s="570" t="s">
        <v>1512</v>
      </c>
      <c r="D734" s="171" t="s">
        <v>218</v>
      </c>
      <c r="E734" s="173"/>
      <c r="F734" s="173"/>
      <c r="G734" s="173"/>
      <c r="H734" s="173"/>
      <c r="I734" s="173"/>
      <c r="J734" s="173"/>
      <c r="K734" s="173"/>
      <c r="L734" s="194"/>
      <c r="M734" s="173"/>
      <c r="N734" s="194"/>
      <c r="O734" s="173">
        <f t="shared" si="110"/>
        <v>0</v>
      </c>
      <c r="P734" s="100">
        <f t="shared" si="109"/>
        <v>0</v>
      </c>
      <c r="R734" s="71"/>
      <c r="S734" s="71"/>
      <c r="T734" s="71"/>
      <c r="U734" s="71"/>
    </row>
    <row r="735" spans="1:65" ht="16.899999999999999" hidden="1" customHeight="1" outlineLevel="1">
      <c r="A735" s="1415"/>
      <c r="B735" s="1415"/>
      <c r="C735" s="627"/>
      <c r="D735" s="171" t="s">
        <v>1009</v>
      </c>
      <c r="E735" s="173"/>
      <c r="F735" s="173"/>
      <c r="G735" s="173"/>
      <c r="H735" s="173"/>
      <c r="I735" s="173"/>
      <c r="J735" s="173"/>
      <c r="K735" s="173"/>
      <c r="L735" s="194"/>
      <c r="M735" s="173"/>
      <c r="N735" s="194"/>
      <c r="O735" s="173">
        <f t="shared" ref="O735:O757" si="116">+E735+H735</f>
        <v>0</v>
      </c>
      <c r="P735" s="100">
        <f t="shared" si="109"/>
        <v>0</v>
      </c>
      <c r="R735" s="71"/>
      <c r="S735" s="71"/>
      <c r="T735" s="71"/>
      <c r="U735" s="71"/>
    </row>
    <row r="736" spans="1:65" ht="31.9" hidden="1" customHeight="1" outlineLevel="1">
      <c r="A736" s="359" t="s">
        <v>1296</v>
      </c>
      <c r="B736" s="359"/>
      <c r="C736" s="359" t="s">
        <v>1297</v>
      </c>
      <c r="D736" s="360" t="s">
        <v>327</v>
      </c>
      <c r="E736" s="487">
        <f>+E737+E738+E740</f>
        <v>0</v>
      </c>
      <c r="F736" s="487">
        <f t="shared" ref="F736:M736" si="117">+F737+F738+F740</f>
        <v>0</v>
      </c>
      <c r="G736" s="487">
        <f t="shared" si="117"/>
        <v>0</v>
      </c>
      <c r="H736" s="487">
        <f t="shared" si="117"/>
        <v>0</v>
      </c>
      <c r="I736" s="487">
        <f t="shared" si="117"/>
        <v>0</v>
      </c>
      <c r="J736" s="487">
        <f t="shared" si="117"/>
        <v>0</v>
      </c>
      <c r="K736" s="487">
        <f t="shared" si="117"/>
        <v>0</v>
      </c>
      <c r="L736" s="487">
        <f>+L738</f>
        <v>0</v>
      </c>
      <c r="M736" s="487">
        <f t="shared" si="117"/>
        <v>0</v>
      </c>
      <c r="N736" s="487">
        <f>+N738</f>
        <v>0</v>
      </c>
      <c r="O736" s="487">
        <f t="shared" si="116"/>
        <v>0</v>
      </c>
      <c r="P736" s="162">
        <f t="shared" si="109"/>
        <v>0</v>
      </c>
      <c r="R736" s="71"/>
      <c r="S736" s="71"/>
      <c r="T736" s="71"/>
      <c r="U736" s="71"/>
    </row>
    <row r="737" spans="1:43" ht="23.45" hidden="1" customHeight="1" outlineLevel="1">
      <c r="A737" s="1415"/>
      <c r="B737" s="1415"/>
      <c r="C737" s="567" t="s">
        <v>1512</v>
      </c>
      <c r="D737" s="593" t="s">
        <v>268</v>
      </c>
      <c r="E737" s="169"/>
      <c r="F737" s="169"/>
      <c r="G737" s="169"/>
      <c r="H737" s="169">
        <f>+I737+L737</f>
        <v>0</v>
      </c>
      <c r="I737" s="169"/>
      <c r="J737" s="169"/>
      <c r="K737" s="169"/>
      <c r="L737" s="195"/>
      <c r="M737" s="169"/>
      <c r="N737" s="195"/>
      <c r="O737" s="169">
        <f t="shared" si="116"/>
        <v>0</v>
      </c>
      <c r="P737" s="100">
        <f t="shared" si="109"/>
        <v>0</v>
      </c>
      <c r="R737" s="71"/>
      <c r="S737" s="71"/>
      <c r="T737" s="71"/>
      <c r="U737" s="71"/>
    </row>
    <row r="738" spans="1:43" ht="31.15" hidden="1" customHeight="1" outlineLevel="1">
      <c r="A738" s="1415"/>
      <c r="B738" s="1415"/>
      <c r="C738" s="569" t="s">
        <v>1287</v>
      </c>
      <c r="D738" s="364" t="s">
        <v>1288</v>
      </c>
      <c r="E738" s="488"/>
      <c r="F738" s="488"/>
      <c r="G738" s="488"/>
      <c r="H738" s="488">
        <f>+I738+L738</f>
        <v>0</v>
      </c>
      <c r="I738" s="488"/>
      <c r="J738" s="488"/>
      <c r="K738" s="488"/>
      <c r="L738" s="488"/>
      <c r="M738" s="488"/>
      <c r="N738" s="488"/>
      <c r="O738" s="488">
        <f t="shared" si="116"/>
        <v>0</v>
      </c>
      <c r="P738" s="162">
        <f t="shared" si="109"/>
        <v>0</v>
      </c>
      <c r="R738" s="71"/>
      <c r="S738" s="71"/>
      <c r="T738" s="71"/>
      <c r="U738" s="71"/>
    </row>
    <row r="739" spans="1:43" ht="21.6" hidden="1" customHeight="1" outlineLevel="1">
      <c r="A739" s="1415"/>
      <c r="B739" s="1415"/>
      <c r="C739" s="570"/>
      <c r="D739" s="173" t="s">
        <v>680</v>
      </c>
      <c r="E739" s="169"/>
      <c r="F739" s="169"/>
      <c r="G739" s="169"/>
      <c r="H739" s="169">
        <f>+I739+L739</f>
        <v>0</v>
      </c>
      <c r="I739" s="169"/>
      <c r="J739" s="169"/>
      <c r="K739" s="169"/>
      <c r="L739" s="195"/>
      <c r="M739" s="169"/>
      <c r="N739" s="195"/>
      <c r="O739" s="618">
        <f t="shared" si="116"/>
        <v>0</v>
      </c>
      <c r="P739" s="100">
        <f t="shared" si="109"/>
        <v>0</v>
      </c>
      <c r="R739" s="71"/>
      <c r="S739" s="71"/>
      <c r="T739" s="71"/>
      <c r="U739" s="71"/>
    </row>
    <row r="740" spans="1:43" ht="65.45" hidden="1" customHeight="1" outlineLevel="1">
      <c r="A740" s="1415"/>
      <c r="B740" s="1415"/>
      <c r="C740" s="570" t="s">
        <v>1243</v>
      </c>
      <c r="D740" s="589" t="s">
        <v>230</v>
      </c>
      <c r="E740" s="169"/>
      <c r="F740" s="169"/>
      <c r="G740" s="169"/>
      <c r="H740" s="169">
        <f>+I740+L740</f>
        <v>0</v>
      </c>
      <c r="I740" s="169"/>
      <c r="J740" s="169"/>
      <c r="K740" s="169"/>
      <c r="L740" s="195"/>
      <c r="M740" s="169">
        <f>+L740</f>
        <v>0</v>
      </c>
      <c r="N740" s="195"/>
      <c r="O740" s="169">
        <f t="shared" si="116"/>
        <v>0</v>
      </c>
      <c r="P740" s="100">
        <f t="shared" si="109"/>
        <v>0</v>
      </c>
      <c r="R740" s="71"/>
      <c r="S740" s="71"/>
      <c r="T740" s="71"/>
      <c r="U740" s="71"/>
    </row>
    <row r="741" spans="1:43" ht="32.450000000000003" hidden="1" customHeight="1" outlineLevel="1">
      <c r="A741" s="359" t="s">
        <v>1297</v>
      </c>
      <c r="B741" s="359"/>
      <c r="C741" s="359" t="s">
        <v>1071</v>
      </c>
      <c r="D741" s="360" t="s">
        <v>526</v>
      </c>
      <c r="E741" s="487">
        <f>+E742</f>
        <v>0</v>
      </c>
      <c r="F741" s="487"/>
      <c r="G741" s="487"/>
      <c r="H741" s="487"/>
      <c r="I741" s="487"/>
      <c r="J741" s="487"/>
      <c r="K741" s="487"/>
      <c r="L741" s="487"/>
      <c r="M741" s="487"/>
      <c r="N741" s="487"/>
      <c r="O741" s="487">
        <f t="shared" si="116"/>
        <v>0</v>
      </c>
      <c r="P741" s="162">
        <f t="shared" si="109"/>
        <v>0</v>
      </c>
      <c r="Q741" s="2"/>
      <c r="R741" s="7"/>
      <c r="S741" s="7"/>
      <c r="T741" s="7"/>
      <c r="U741" s="7"/>
      <c r="V741" s="2"/>
      <c r="W741" s="2"/>
      <c r="X741" s="2"/>
      <c r="Y741" s="2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</row>
    <row r="742" spans="1:43" ht="30" hidden="1" customHeight="1" outlineLevel="1">
      <c r="A742" s="1415"/>
      <c r="B742" s="1415"/>
      <c r="C742" s="569" t="s">
        <v>719</v>
      </c>
      <c r="D742" s="364" t="s">
        <v>526</v>
      </c>
      <c r="E742" s="488"/>
      <c r="F742" s="488"/>
      <c r="G742" s="488"/>
      <c r="H742" s="488">
        <f>+I742+L742</f>
        <v>0</v>
      </c>
      <c r="I742" s="488"/>
      <c r="J742" s="488"/>
      <c r="K742" s="488"/>
      <c r="L742" s="488"/>
      <c r="M742" s="488"/>
      <c r="N742" s="488"/>
      <c r="O742" s="488">
        <f t="shared" si="116"/>
        <v>0</v>
      </c>
      <c r="P742" s="162">
        <f t="shared" si="109"/>
        <v>0</v>
      </c>
      <c r="Q742" s="2"/>
      <c r="R742" s="7"/>
      <c r="S742" s="7"/>
      <c r="T742" s="7"/>
      <c r="U742" s="7"/>
      <c r="V742" s="2"/>
      <c r="W742" s="2"/>
      <c r="X742" s="2"/>
      <c r="Y742" s="2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</row>
    <row r="743" spans="1:43" ht="52.15" hidden="1" customHeight="1" outlineLevel="1">
      <c r="A743" s="627"/>
      <c r="B743" s="627"/>
      <c r="C743" s="627"/>
      <c r="D743" s="171" t="s">
        <v>738</v>
      </c>
      <c r="E743" s="173"/>
      <c r="F743" s="173"/>
      <c r="G743" s="173"/>
      <c r="H743" s="173"/>
      <c r="I743" s="173"/>
      <c r="J743" s="173"/>
      <c r="K743" s="173"/>
      <c r="L743" s="194"/>
      <c r="M743" s="173"/>
      <c r="N743" s="194"/>
      <c r="O743" s="173">
        <f t="shared" si="116"/>
        <v>0</v>
      </c>
      <c r="P743" s="100">
        <f t="shared" si="109"/>
        <v>0</v>
      </c>
      <c r="Q743" s="2"/>
      <c r="R743" s="7"/>
      <c r="S743" s="7"/>
      <c r="T743" s="7"/>
      <c r="U743" s="7"/>
      <c r="V743" s="2"/>
      <c r="W743" s="2"/>
      <c r="X743" s="2"/>
      <c r="Y743" s="2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</row>
    <row r="744" spans="1:43" ht="32.450000000000003" hidden="1" customHeight="1" outlineLevel="1">
      <c r="A744" s="536" t="s">
        <v>1296</v>
      </c>
      <c r="B744" s="536"/>
      <c r="C744" s="536" t="s">
        <v>877</v>
      </c>
      <c r="D744" s="634" t="s">
        <v>876</v>
      </c>
      <c r="E744" s="173">
        <f t="shared" ref="E744:N744" si="118">+E745</f>
        <v>0</v>
      </c>
      <c r="F744" s="173">
        <f t="shared" si="118"/>
        <v>0</v>
      </c>
      <c r="G744" s="173">
        <f t="shared" si="118"/>
        <v>0</v>
      </c>
      <c r="H744" s="173">
        <f t="shared" si="118"/>
        <v>0</v>
      </c>
      <c r="I744" s="173">
        <f t="shared" si="118"/>
        <v>0</v>
      </c>
      <c r="J744" s="173">
        <f t="shared" si="118"/>
        <v>0</v>
      </c>
      <c r="K744" s="173">
        <f t="shared" si="118"/>
        <v>0</v>
      </c>
      <c r="L744" s="194">
        <f t="shared" si="118"/>
        <v>0</v>
      </c>
      <c r="M744" s="173">
        <f t="shared" si="118"/>
        <v>0</v>
      </c>
      <c r="N744" s="194">
        <f t="shared" si="118"/>
        <v>0</v>
      </c>
      <c r="O744" s="173">
        <f t="shared" si="116"/>
        <v>0</v>
      </c>
      <c r="P744" s="100">
        <f t="shared" si="109"/>
        <v>0</v>
      </c>
      <c r="Q744" s="24"/>
      <c r="R744" s="44"/>
      <c r="S744" s="44"/>
      <c r="T744" s="44"/>
      <c r="U744" s="44"/>
      <c r="V744" s="24"/>
    </row>
    <row r="745" spans="1:43" ht="45.6" hidden="1" customHeight="1" outlineLevel="1">
      <c r="A745" s="1415"/>
      <c r="B745" s="1415"/>
      <c r="C745" s="570" t="s">
        <v>645</v>
      </c>
      <c r="D745" s="171" t="s">
        <v>69</v>
      </c>
      <c r="E745" s="173"/>
      <c r="F745" s="173"/>
      <c r="G745" s="173"/>
      <c r="H745" s="173">
        <f>+I745+L745</f>
        <v>0</v>
      </c>
      <c r="I745" s="173"/>
      <c r="J745" s="173"/>
      <c r="K745" s="173"/>
      <c r="L745" s="194"/>
      <c r="M745" s="173"/>
      <c r="N745" s="194"/>
      <c r="O745" s="173">
        <f t="shared" si="116"/>
        <v>0</v>
      </c>
      <c r="P745" s="100">
        <f t="shared" si="109"/>
        <v>0</v>
      </c>
      <c r="Q745" s="24"/>
      <c r="R745" s="44"/>
      <c r="S745" s="44"/>
      <c r="T745" s="44"/>
      <c r="U745" s="44"/>
      <c r="V745" s="24"/>
    </row>
    <row r="746" spans="1:43" ht="54" hidden="1" customHeight="1" outlineLevel="1">
      <c r="A746" s="372" t="s">
        <v>1299</v>
      </c>
      <c r="B746" s="372"/>
      <c r="C746" s="372" t="s">
        <v>740</v>
      </c>
      <c r="D746" s="360" t="s">
        <v>1465</v>
      </c>
      <c r="E746" s="176">
        <f t="shared" ref="E746:N746" si="119">+E747</f>
        <v>0</v>
      </c>
      <c r="F746" s="176">
        <f t="shared" si="119"/>
        <v>0</v>
      </c>
      <c r="G746" s="176">
        <f t="shared" si="119"/>
        <v>0</v>
      </c>
      <c r="H746" s="176">
        <f t="shared" si="119"/>
        <v>0</v>
      </c>
      <c r="I746" s="176">
        <f t="shared" si="119"/>
        <v>0</v>
      </c>
      <c r="J746" s="176">
        <f t="shared" si="119"/>
        <v>0</v>
      </c>
      <c r="K746" s="176">
        <f t="shared" si="119"/>
        <v>0</v>
      </c>
      <c r="L746" s="373">
        <f t="shared" si="119"/>
        <v>0</v>
      </c>
      <c r="M746" s="176">
        <f t="shared" si="119"/>
        <v>0</v>
      </c>
      <c r="N746" s="373">
        <f t="shared" si="119"/>
        <v>0</v>
      </c>
      <c r="O746" s="176">
        <f t="shared" si="116"/>
        <v>0</v>
      </c>
      <c r="P746" s="100">
        <f t="shared" si="109"/>
        <v>0</v>
      </c>
      <c r="Q746" s="24"/>
      <c r="R746" s="44"/>
      <c r="S746" s="44"/>
      <c r="T746" s="44"/>
      <c r="U746" s="44"/>
      <c r="V746" s="24"/>
    </row>
    <row r="747" spans="1:43" ht="36" hidden="1" customHeight="1" outlineLevel="1">
      <c r="A747" s="1415"/>
      <c r="B747" s="1415"/>
      <c r="C747" s="576" t="s">
        <v>88</v>
      </c>
      <c r="D747" s="214" t="s">
        <v>663</v>
      </c>
      <c r="E747" s="175"/>
      <c r="F747" s="175"/>
      <c r="G747" s="175"/>
      <c r="H747" s="175"/>
      <c r="I747" s="175"/>
      <c r="J747" s="175"/>
      <c r="K747" s="175"/>
      <c r="L747" s="374"/>
      <c r="M747" s="175">
        <f>+L747</f>
        <v>0</v>
      </c>
      <c r="N747" s="374"/>
      <c r="O747" s="364">
        <f t="shared" si="116"/>
        <v>0</v>
      </c>
      <c r="P747" s="100">
        <f t="shared" si="109"/>
        <v>0</v>
      </c>
      <c r="Q747" s="24"/>
      <c r="R747" s="44"/>
      <c r="S747" s="44"/>
      <c r="T747" s="44"/>
      <c r="U747" s="44"/>
      <c r="V747" s="24"/>
    </row>
    <row r="748" spans="1:43" ht="69.75" hidden="1" customHeight="1" outlineLevel="1">
      <c r="A748" s="1415"/>
      <c r="B748" s="1415"/>
      <c r="C748" s="576"/>
      <c r="D748" s="214" t="s">
        <v>399</v>
      </c>
      <c r="E748" s="364"/>
      <c r="F748" s="364"/>
      <c r="G748" s="364"/>
      <c r="H748" s="175"/>
      <c r="I748" s="175"/>
      <c r="J748" s="175"/>
      <c r="K748" s="175"/>
      <c r="L748" s="374"/>
      <c r="M748" s="175"/>
      <c r="N748" s="374"/>
      <c r="O748" s="364">
        <f t="shared" si="116"/>
        <v>0</v>
      </c>
      <c r="P748" s="100">
        <f>+O747</f>
        <v>0</v>
      </c>
      <c r="Q748" s="24"/>
      <c r="R748" s="44"/>
      <c r="S748" s="44"/>
      <c r="T748" s="44"/>
      <c r="U748" s="44"/>
      <c r="V748" s="24"/>
    </row>
    <row r="749" spans="1:43" ht="51.6" customHeight="1" outlineLevel="1">
      <c r="A749" s="359" t="s">
        <v>1289</v>
      </c>
      <c r="B749" s="359"/>
      <c r="C749" s="359" t="s">
        <v>962</v>
      </c>
      <c r="D749" s="360" t="s">
        <v>433</v>
      </c>
      <c r="E749" s="455">
        <f>+E750+E751+E752+E753</f>
        <v>800000</v>
      </c>
      <c r="F749" s="455">
        <f>+F750+F751+F752+F753</f>
        <v>0</v>
      </c>
      <c r="G749" s="455">
        <f>+G750+G751+G752+G753</f>
        <v>0</v>
      </c>
      <c r="H749" s="455">
        <f>+H750+H751+H752+H753</f>
        <v>0</v>
      </c>
      <c r="I749" s="455">
        <f t="shared" ref="I749:N749" si="120">+I750+I751+I752+I753</f>
        <v>0</v>
      </c>
      <c r="J749" s="455">
        <f t="shared" si="120"/>
        <v>0</v>
      </c>
      <c r="K749" s="455">
        <f t="shared" si="120"/>
        <v>0</v>
      </c>
      <c r="L749" s="455">
        <f t="shared" si="120"/>
        <v>0</v>
      </c>
      <c r="M749" s="455">
        <f t="shared" si="120"/>
        <v>0</v>
      </c>
      <c r="N749" s="455">
        <f t="shared" si="120"/>
        <v>0</v>
      </c>
      <c r="O749" s="455">
        <f>+E749+H749</f>
        <v>800000</v>
      </c>
      <c r="P749" s="162">
        <f t="shared" si="109"/>
        <v>800000</v>
      </c>
      <c r="Q749" s="24"/>
      <c r="R749" s="44"/>
      <c r="S749" s="44"/>
      <c r="T749" s="44"/>
      <c r="U749" s="44"/>
      <c r="V749" s="24"/>
    </row>
    <row r="750" spans="1:43" ht="37.9" customHeight="1" outlineLevel="1">
      <c r="A750" s="1418" t="s">
        <v>660</v>
      </c>
      <c r="B750" s="1419"/>
      <c r="C750" s="569" t="s">
        <v>1622</v>
      </c>
      <c r="D750" s="364" t="s">
        <v>1200</v>
      </c>
      <c r="E750" s="456">
        <v>250000</v>
      </c>
      <c r="F750" s="456"/>
      <c r="G750" s="456"/>
      <c r="H750" s="456">
        <f>+I750+L750</f>
        <v>0</v>
      </c>
      <c r="I750" s="456"/>
      <c r="J750" s="456"/>
      <c r="K750" s="456"/>
      <c r="L750" s="456"/>
      <c r="M750" s="456">
        <f>+L750</f>
        <v>0</v>
      </c>
      <c r="N750" s="456"/>
      <c r="O750" s="456">
        <f>+E750+H750</f>
        <v>250000</v>
      </c>
      <c r="P750" s="162">
        <f t="shared" si="109"/>
        <v>250000</v>
      </c>
      <c r="Q750" s="24"/>
      <c r="R750" s="44"/>
      <c r="S750" s="44"/>
      <c r="T750" s="44"/>
      <c r="U750" s="44"/>
      <c r="V750" s="24"/>
    </row>
    <row r="751" spans="1:43" ht="24" customHeight="1" outlineLevel="1">
      <c r="A751" s="1418" t="s">
        <v>657</v>
      </c>
      <c r="B751" s="1419"/>
      <c r="C751" s="569" t="s">
        <v>1287</v>
      </c>
      <c r="D751" s="364" t="s">
        <v>1288</v>
      </c>
      <c r="E751" s="456">
        <v>550000</v>
      </c>
      <c r="F751" s="456"/>
      <c r="G751" s="456"/>
      <c r="H751" s="456">
        <f>+I751+L751</f>
        <v>0</v>
      </c>
      <c r="I751" s="456"/>
      <c r="J751" s="456"/>
      <c r="K751" s="456"/>
      <c r="L751" s="456"/>
      <c r="M751" s="456">
        <f>+L751</f>
        <v>0</v>
      </c>
      <c r="N751" s="456"/>
      <c r="O751" s="456">
        <f>+E751+H751</f>
        <v>550000</v>
      </c>
      <c r="P751" s="162">
        <f t="shared" si="109"/>
        <v>550000</v>
      </c>
      <c r="Q751" s="24"/>
      <c r="R751" s="44"/>
      <c r="S751" s="44"/>
      <c r="T751" s="44"/>
      <c r="U751" s="44"/>
      <c r="V751" s="24"/>
    </row>
    <row r="752" spans="1:43" ht="40.9" hidden="1" customHeight="1" outlineLevel="1">
      <c r="A752" s="1416" t="s">
        <v>658</v>
      </c>
      <c r="B752" s="1416"/>
      <c r="C752" s="636" t="str">
        <f>+'видатки_затв '!A148</f>
        <v>091103</v>
      </c>
      <c r="D752" s="456" t="s">
        <v>1049</v>
      </c>
      <c r="E752" s="456"/>
      <c r="F752" s="456"/>
      <c r="G752" s="456"/>
      <c r="H752" s="456">
        <f>+I752+L752</f>
        <v>0</v>
      </c>
      <c r="I752" s="456"/>
      <c r="J752" s="456"/>
      <c r="K752" s="456"/>
      <c r="L752" s="456"/>
      <c r="M752" s="456"/>
      <c r="N752" s="456"/>
      <c r="O752" s="456">
        <f>+E752+H752</f>
        <v>0</v>
      </c>
      <c r="P752" s="162">
        <f t="shared" si="109"/>
        <v>0</v>
      </c>
      <c r="Q752" s="24"/>
      <c r="R752" s="44"/>
      <c r="S752" s="44"/>
      <c r="T752" s="44"/>
      <c r="U752" s="44"/>
      <c r="V752" s="24"/>
    </row>
    <row r="753" spans="1:65" ht="93.6" hidden="1" customHeight="1" outlineLevel="1">
      <c r="A753" s="1416" t="s">
        <v>659</v>
      </c>
      <c r="B753" s="1416"/>
      <c r="C753" s="569" t="s">
        <v>900</v>
      </c>
      <c r="D753" s="364" t="s">
        <v>62</v>
      </c>
      <c r="E753" s="456"/>
      <c r="F753" s="456">
        <f>+'видатки_затв '!D152</f>
        <v>0</v>
      </c>
      <c r="G753" s="456">
        <f>+'видатки_затв '!E152</f>
        <v>0</v>
      </c>
      <c r="H753" s="456">
        <f>+I753+L753</f>
        <v>0</v>
      </c>
      <c r="I753" s="456"/>
      <c r="J753" s="456"/>
      <c r="K753" s="456"/>
      <c r="L753" s="456"/>
      <c r="M753" s="456"/>
      <c r="N753" s="456"/>
      <c r="O753" s="456">
        <f>+E753+H753</f>
        <v>0</v>
      </c>
      <c r="P753" s="162">
        <f t="shared" si="109"/>
        <v>0</v>
      </c>
      <c r="Q753" s="24"/>
      <c r="R753" s="44"/>
      <c r="S753" s="44"/>
      <c r="T753" s="44"/>
      <c r="U753" s="44"/>
      <c r="V753" s="24"/>
    </row>
    <row r="754" spans="1:65" ht="38.450000000000003" hidden="1" customHeight="1" outlineLevel="1">
      <c r="A754" s="372" t="s">
        <v>1298</v>
      </c>
      <c r="B754" s="372"/>
      <c r="C754" s="372" t="s">
        <v>169</v>
      </c>
      <c r="D754" s="360" t="s">
        <v>236</v>
      </c>
      <c r="E754" s="455">
        <f t="shared" ref="E754:N754" si="121">+E755</f>
        <v>0</v>
      </c>
      <c r="F754" s="455">
        <f t="shared" si="121"/>
        <v>0</v>
      </c>
      <c r="G754" s="455">
        <f t="shared" si="121"/>
        <v>0</v>
      </c>
      <c r="H754" s="455">
        <f t="shared" si="121"/>
        <v>0</v>
      </c>
      <c r="I754" s="455">
        <f t="shared" si="121"/>
        <v>0</v>
      </c>
      <c r="J754" s="455">
        <f t="shared" si="121"/>
        <v>0</v>
      </c>
      <c r="K754" s="455">
        <f t="shared" si="121"/>
        <v>0</v>
      </c>
      <c r="L754" s="455">
        <f t="shared" si="121"/>
        <v>0</v>
      </c>
      <c r="M754" s="455">
        <f t="shared" si="121"/>
        <v>0</v>
      </c>
      <c r="N754" s="455">
        <f t="shared" si="121"/>
        <v>0</v>
      </c>
      <c r="O754" s="455">
        <f t="shared" si="116"/>
        <v>0</v>
      </c>
      <c r="P754" s="162">
        <f t="shared" si="109"/>
        <v>0</v>
      </c>
      <c r="Q754" s="24"/>
      <c r="R754" s="44"/>
      <c r="S754" s="44"/>
      <c r="T754" s="44"/>
      <c r="U754" s="44"/>
      <c r="V754" s="24"/>
    </row>
    <row r="755" spans="1:65" ht="37.15" hidden="1" customHeight="1" outlineLevel="1">
      <c r="A755" s="1415"/>
      <c r="B755" s="1415"/>
      <c r="C755" s="576" t="s">
        <v>1287</v>
      </c>
      <c r="D755" s="364" t="s">
        <v>1288</v>
      </c>
      <c r="E755" s="456">
        <f>300000-300000</f>
        <v>0</v>
      </c>
      <c r="F755" s="519"/>
      <c r="G755" s="519"/>
      <c r="H755" s="519"/>
      <c r="I755" s="519"/>
      <c r="J755" s="519"/>
      <c r="K755" s="519"/>
      <c r="L755" s="519"/>
      <c r="M755" s="519">
        <f>+L755</f>
        <v>0</v>
      </c>
      <c r="N755" s="519"/>
      <c r="O755" s="456">
        <f t="shared" si="116"/>
        <v>0</v>
      </c>
      <c r="P755" s="162">
        <f t="shared" si="109"/>
        <v>0</v>
      </c>
      <c r="Q755" s="24"/>
      <c r="R755" s="44"/>
      <c r="S755" s="44"/>
      <c r="T755" s="44"/>
      <c r="U755" s="44"/>
      <c r="V755" s="24"/>
    </row>
    <row r="756" spans="1:65" ht="27" hidden="1" customHeight="1" outlineLevel="1">
      <c r="A756" s="536" t="s">
        <v>1298</v>
      </c>
      <c r="B756" s="536"/>
      <c r="C756" s="536" t="s">
        <v>1072</v>
      </c>
      <c r="D756" s="635" t="s">
        <v>711</v>
      </c>
      <c r="E756" s="173">
        <f t="shared" ref="E756:N756" si="122">+E757</f>
        <v>0</v>
      </c>
      <c r="F756" s="173">
        <f t="shared" si="122"/>
        <v>0</v>
      </c>
      <c r="G756" s="173">
        <f t="shared" si="122"/>
        <v>0</v>
      </c>
      <c r="H756" s="173">
        <f t="shared" si="122"/>
        <v>0</v>
      </c>
      <c r="I756" s="173">
        <f t="shared" si="122"/>
        <v>0</v>
      </c>
      <c r="J756" s="173">
        <f t="shared" si="122"/>
        <v>0</v>
      </c>
      <c r="K756" s="173">
        <f t="shared" si="122"/>
        <v>0</v>
      </c>
      <c r="L756" s="194">
        <f t="shared" si="122"/>
        <v>0</v>
      </c>
      <c r="M756" s="173">
        <f t="shared" si="122"/>
        <v>0</v>
      </c>
      <c r="N756" s="194">
        <f t="shared" si="122"/>
        <v>0</v>
      </c>
      <c r="O756" s="173">
        <f t="shared" si="116"/>
        <v>0</v>
      </c>
      <c r="P756" s="100">
        <f t="shared" si="109"/>
        <v>0</v>
      </c>
      <c r="R756" s="71"/>
      <c r="S756" s="71"/>
      <c r="T756" s="71"/>
      <c r="U756" s="71"/>
    </row>
    <row r="757" spans="1:65" ht="23.45" hidden="1" customHeight="1" outlineLevel="1">
      <c r="A757" s="1415"/>
      <c r="B757" s="1415"/>
      <c r="C757" s="1415"/>
      <c r="D757" s="171" t="s">
        <v>899</v>
      </c>
      <c r="E757" s="173"/>
      <c r="F757" s="173"/>
      <c r="G757" s="173"/>
      <c r="H757" s="173"/>
      <c r="I757" s="173"/>
      <c r="J757" s="173"/>
      <c r="K757" s="173"/>
      <c r="L757" s="194"/>
      <c r="M757" s="173"/>
      <c r="N757" s="194"/>
      <c r="O757" s="173">
        <f t="shared" si="116"/>
        <v>0</v>
      </c>
      <c r="P757" s="100">
        <f t="shared" si="109"/>
        <v>0</v>
      </c>
      <c r="R757" s="71"/>
      <c r="S757" s="71"/>
      <c r="T757" s="71"/>
      <c r="U757" s="71"/>
    </row>
    <row r="758" spans="1:65" ht="29.45" customHeight="1" collapsed="1">
      <c r="A758" s="1439"/>
      <c r="B758" s="1439"/>
      <c r="C758" s="1439"/>
      <c r="D758" s="503" t="s">
        <v>560</v>
      </c>
      <c r="E758" s="525">
        <f>+E20+E78+E136+E221+E398+E444+E438+E460+E488+E517+E540+E553+E576+E578+E580+E582+E589+E591+E598+E641+E687+E702+E200+E718+E727+E729+E732+E736+E631+E633+E635+E637+E639+E643+E645+E647+E652+E654+E656+E658+E660+E662+E664+E666+E668+E741+E744+E756+E378+E613+E754+E746+E436+E218+E749+E684+E196</f>
        <v>6199324384</v>
      </c>
      <c r="F758" s="525">
        <f>+F20+F78+F136+F221+F398+F444+F438+F460+F488+F517+F540+F553+F576+F578+F580+F582+F589+F591+F598+F641+F687+F702+F200+F718+F727+F729+F732+F736+F631+F633+F635+F637+F639+F643+F645+F647+F652+F654+F656+F658+F660+F662+F664+F666+F668+F741+F744+F756+F378+F613+F754+F746+F436+F218+F749+F684+F196</f>
        <v>926417538</v>
      </c>
      <c r="G758" s="525">
        <f>+G20+G78+G136+G221+G398+G444+G438+G460+G488+G517+G540+G553+G576+G578+G580+G582+G589+G591+G598+G641+G687+G702+G200+G718+G727+G729+G732+G736+G631+G633+G635+G637+G639+G643+G645+G647+G652+G654+G656+G658+G660+G662+G664+G666+G668+G741+G744+G756+G378+G613+G754+G746+G436+G218+G749+G684+G196</f>
        <v>133780100</v>
      </c>
      <c r="H758" s="525">
        <f>+H20+H78+H136+H221+H398+H444+H438+H460+H488+H517+H540+H553+H576+H578+H580+H582+H589+H591+H598+H641+H687+H702+H200+H718+H727+H729+H732+H736+H631+H633+H635+H637+H639+H643+H645+H647+H652+H654+H656+H658+H660+H662+H664+H666+H668+H741+H744+H756+H378+H613+H754+H746+H436+H218+H749+H684+H196</f>
        <v>213698300</v>
      </c>
      <c r="I758" s="525">
        <f>+I20+I78+I136+I221+I398+I444+I438+I460+I488+I517+I540+I553+I576+I578+I580+I582+I589+I591+I598+I641+I687+I702+I200+I718+I727+I729+I732+I736+I631+I633+I635+I637+I639+I643+I645+I647+I652+I654+I656+I658+I660+I662+I664+I666+I668+I741+I744+I756+I378+I613+I754+I746+I436+I218+I749+I684+I196</f>
        <v>82936100</v>
      </c>
      <c r="J758" s="525">
        <f t="shared" ref="J758:O758" si="123">+J20+J78+J136+J221+J398+J444+J438+J460+J488+J517+J540+J553+J576+J578+J580+J582+J589+J591+J598+J641+J687+J702+J200+J718+J727+J729+J732+J736+J631+J633+J635+J637+J639+J643+J645+J647+J652+J654+J656+J658+J660+J662+J664+J666+J668+J741+J744+J756+J378+J613+J754+J746+J436+J218+J749+J684+J196</f>
        <v>6773700</v>
      </c>
      <c r="K758" s="525">
        <f t="shared" si="123"/>
        <v>2925800</v>
      </c>
      <c r="L758" s="525">
        <f t="shared" si="123"/>
        <v>130762200</v>
      </c>
      <c r="M758" s="525">
        <f t="shared" si="123"/>
        <v>60322400</v>
      </c>
      <c r="N758" s="525">
        <f t="shared" si="123"/>
        <v>53322400</v>
      </c>
      <c r="O758" s="525">
        <f t="shared" si="123"/>
        <v>6413022684</v>
      </c>
      <c r="P758" s="162">
        <f t="shared" si="109"/>
        <v>6413022684</v>
      </c>
      <c r="Q758" s="72">
        <f>+Q20+Q78+Q136+Q221+Q398+Q444+Q488+Q517+Q540+Q553+Q576+Q578+Q580+Q582+Q589+Q591+Q598+Q638+Q687+Q702</f>
        <v>0</v>
      </c>
      <c r="R758" s="73"/>
      <c r="S758" s="73"/>
      <c r="T758" s="73"/>
      <c r="U758" s="73"/>
    </row>
    <row r="759" spans="1:65" ht="47.45" hidden="1" customHeight="1">
      <c r="A759" s="1439"/>
      <c r="B759" s="1439"/>
      <c r="C759" s="1439"/>
      <c r="D759" s="539" t="s">
        <v>46</v>
      </c>
      <c r="E759" s="540">
        <f>+E22+E222+E137</f>
        <v>0</v>
      </c>
      <c r="F759" s="540">
        <f t="shared" ref="F759:O759" si="124">+F22+F222+F137</f>
        <v>0</v>
      </c>
      <c r="G759" s="540">
        <f t="shared" si="124"/>
        <v>0</v>
      </c>
      <c r="H759" s="540">
        <f t="shared" si="124"/>
        <v>4200000</v>
      </c>
      <c r="I759" s="540">
        <f t="shared" si="124"/>
        <v>0</v>
      </c>
      <c r="J759" s="540">
        <f t="shared" si="124"/>
        <v>0</v>
      </c>
      <c r="K759" s="540">
        <f t="shared" si="124"/>
        <v>0</v>
      </c>
      <c r="L759" s="540">
        <f t="shared" si="124"/>
        <v>4200000</v>
      </c>
      <c r="M759" s="540">
        <f t="shared" si="124"/>
        <v>4200000</v>
      </c>
      <c r="N759" s="540">
        <f t="shared" si="124"/>
        <v>4200000</v>
      </c>
      <c r="O759" s="540">
        <f t="shared" si="124"/>
        <v>4200000</v>
      </c>
      <c r="P759" s="162"/>
      <c r="Q759" s="72"/>
      <c r="R759" s="73"/>
      <c r="S759" s="73"/>
      <c r="T759" s="73"/>
      <c r="U759" s="73"/>
    </row>
    <row r="760" spans="1:65" ht="15.75">
      <c r="A760" s="150"/>
      <c r="B760" s="150"/>
      <c r="C760" s="150"/>
      <c r="D760" s="134"/>
      <c r="E760" s="168">
        <f>+E758-'видатки_затв '!C473</f>
        <v>0</v>
      </c>
      <c r="F760" s="168">
        <f>+F758-'видатки_затв '!D473</f>
        <v>0</v>
      </c>
      <c r="G760" s="168">
        <f>+G758-'видатки_затв '!E473</f>
        <v>0</v>
      </c>
      <c r="H760" s="168">
        <f>+H758-'видатки_затв '!F473</f>
        <v>0</v>
      </c>
      <c r="I760" s="168">
        <f>+I758-'видатки_затв '!G473</f>
        <v>0</v>
      </c>
      <c r="J760" s="168">
        <f>+J758-'видатки_затв '!H473</f>
        <v>0</v>
      </c>
      <c r="K760" s="168">
        <f>+K758-'видатки_затв '!I473</f>
        <v>0</v>
      </c>
      <c r="L760" s="168">
        <f>+L758-'видатки_затв '!J473</f>
        <v>0</v>
      </c>
      <c r="M760" s="168">
        <f>+M758-'видатки_затв '!K473</f>
        <v>0</v>
      </c>
      <c r="N760" s="168"/>
      <c r="O760" s="168">
        <f>+O758-'видатки_затв '!M473</f>
        <v>0</v>
      </c>
      <c r="P760" s="162">
        <v>1</v>
      </c>
      <c r="Q760" s="72"/>
      <c r="R760" s="73"/>
      <c r="S760" s="73"/>
      <c r="T760" s="73"/>
      <c r="U760" s="73"/>
    </row>
    <row r="761" spans="1:65" s="126" customFormat="1" ht="51.6" customHeight="1">
      <c r="A761" s="872" t="s">
        <v>232</v>
      </c>
      <c r="B761" s="872"/>
      <c r="C761" s="697"/>
      <c r="D761" s="538"/>
      <c r="E761" s="538"/>
      <c r="F761" s="548"/>
      <c r="G761" s="538"/>
      <c r="H761" s="134"/>
      <c r="I761" s="133"/>
      <c r="J761" s="121"/>
      <c r="K761" s="135"/>
      <c r="L761" s="135"/>
      <c r="M761" s="1411" t="s">
        <v>709</v>
      </c>
      <c r="N761" s="1411"/>
      <c r="O761" s="1411"/>
      <c r="P761" s="162">
        <v>1</v>
      </c>
      <c r="Q761" s="102"/>
      <c r="R761" s="102"/>
      <c r="S761" s="102"/>
      <c r="T761" s="102"/>
      <c r="U761" s="102"/>
      <c r="V761" s="102"/>
      <c r="W761" s="103"/>
      <c r="X761" s="103"/>
      <c r="Y761" s="103"/>
      <c r="Z761" s="103"/>
      <c r="AA761" s="103"/>
      <c r="AB761" s="103"/>
      <c r="AC761" s="103"/>
      <c r="AD761" s="103"/>
      <c r="AE761" s="103"/>
      <c r="AF761" s="103"/>
      <c r="AG761" s="103"/>
      <c r="AH761" s="103"/>
      <c r="AI761" s="103"/>
      <c r="AJ761" s="103"/>
      <c r="AK761" s="103"/>
      <c r="AL761" s="103"/>
      <c r="AM761" s="103"/>
      <c r="AN761" s="103"/>
      <c r="AO761" s="103"/>
      <c r="AP761" s="103"/>
      <c r="AQ761" s="103"/>
      <c r="AR761" s="101"/>
      <c r="AS761" s="101"/>
      <c r="AT761" s="101"/>
      <c r="AU761" s="101"/>
      <c r="AV761" s="101"/>
      <c r="AW761" s="101"/>
      <c r="AX761" s="101"/>
      <c r="AY761" s="101"/>
      <c r="AZ761" s="101"/>
      <c r="BA761" s="101"/>
      <c r="BB761" s="101"/>
      <c r="BC761" s="101"/>
      <c r="BD761" s="101"/>
      <c r="BE761" s="101"/>
      <c r="BF761" s="101"/>
      <c r="BG761" s="101"/>
      <c r="BH761" s="101"/>
      <c r="BI761" s="101"/>
      <c r="BJ761" s="101"/>
      <c r="BK761" s="101"/>
      <c r="BL761" s="101"/>
      <c r="BM761" s="101"/>
    </row>
    <row r="762" spans="1:65" s="54" customFormat="1" ht="36" hidden="1" customHeight="1">
      <c r="A762" s="136"/>
      <c r="B762" s="136"/>
      <c r="C762" s="136"/>
      <c r="D762" s="137"/>
      <c r="E762" s="138">
        <f>+E758-'видатки_затв '!C473</f>
        <v>0</v>
      </c>
      <c r="F762" s="138">
        <f>+F758-'видатки_затв '!D473</f>
        <v>0</v>
      </c>
      <c r="G762" s="548"/>
      <c r="H762" s="138">
        <f>+H758-'видатки_затв '!F473</f>
        <v>0</v>
      </c>
      <c r="I762" s="138">
        <f>+I758-'видатки_затв '!G473</f>
        <v>0</v>
      </c>
      <c r="J762" s="138">
        <f>+J758-'видатки_затв '!H473</f>
        <v>0</v>
      </c>
      <c r="K762" s="138">
        <f>+K758-'видатки_затв '!I473</f>
        <v>0</v>
      </c>
      <c r="L762" s="138">
        <f>+L758-'видатки_затв '!J473</f>
        <v>0</v>
      </c>
      <c r="M762" s="138">
        <f>+M758-'видатки_затв '!K473</f>
        <v>0</v>
      </c>
      <c r="N762" s="138"/>
      <c r="O762" s="138">
        <f>+O758-'видатки_затв '!M473</f>
        <v>0</v>
      </c>
      <c r="P762" s="100">
        <f>+O762</f>
        <v>0</v>
      </c>
      <c r="Q762" s="52">
        <v>1110</v>
      </c>
      <c r="R762" s="52">
        <v>1160</v>
      </c>
      <c r="S762" s="50">
        <v>200</v>
      </c>
      <c r="T762" s="50" t="s">
        <v>496</v>
      </c>
      <c r="U762" s="52">
        <v>1000</v>
      </c>
      <c r="V762" s="52">
        <v>1110</v>
      </c>
      <c r="W762" s="52">
        <v>1160</v>
      </c>
      <c r="X762" s="50">
        <v>200</v>
      </c>
      <c r="Y762" s="52" t="s">
        <v>497</v>
      </c>
      <c r="Z762" s="52">
        <v>1000</v>
      </c>
      <c r="AA762" s="52">
        <v>1110</v>
      </c>
      <c r="AB762" s="52">
        <v>1160</v>
      </c>
      <c r="AC762" s="50">
        <v>200</v>
      </c>
      <c r="AD762" s="50" t="s">
        <v>496</v>
      </c>
      <c r="AE762" s="52">
        <v>1000</v>
      </c>
      <c r="AF762" s="52">
        <v>1110</v>
      </c>
      <c r="AG762" s="52">
        <v>1160</v>
      </c>
      <c r="AH762" s="50">
        <v>200</v>
      </c>
      <c r="AI762" s="50"/>
      <c r="AJ762" s="50"/>
      <c r="AK762" s="50"/>
      <c r="AL762" s="50"/>
      <c r="AM762" s="50"/>
      <c r="AN762" s="50"/>
      <c r="AO762" s="50"/>
      <c r="AP762" s="50"/>
      <c r="AQ762" s="50"/>
    </row>
    <row r="763" spans="1:65" s="50" customFormat="1" hidden="1">
      <c r="A763" s="28"/>
      <c r="B763" s="28"/>
      <c r="C763" s="28"/>
      <c r="D763" s="116"/>
      <c r="E763" s="139" t="s">
        <v>1291</v>
      </c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00">
        <f>+O763</f>
        <v>0</v>
      </c>
      <c r="Q763" s="55"/>
      <c r="R763" s="55"/>
      <c r="S763" s="55"/>
      <c r="T763" s="55"/>
      <c r="U763" s="55"/>
      <c r="V763" s="55"/>
      <c r="W763" s="55"/>
      <c r="X763" s="55"/>
      <c r="Y763" s="55"/>
      <c r="Z763" s="52"/>
      <c r="AA763" s="52"/>
      <c r="AB763" s="52"/>
      <c r="AC763" s="52"/>
      <c r="AD763" s="52"/>
      <c r="AE763" s="52"/>
      <c r="AF763" s="52"/>
      <c r="AG763" s="52"/>
      <c r="AH763" s="52"/>
      <c r="AI763" s="1428"/>
      <c r="AJ763" s="1428"/>
      <c r="AK763" s="1428"/>
      <c r="AL763" s="1428"/>
      <c r="AM763" s="1428"/>
      <c r="AN763" s="1428"/>
      <c r="AO763" s="1428"/>
      <c r="AP763" s="1428"/>
    </row>
    <row r="764" spans="1:65" s="50" customFormat="1" hidden="1">
      <c r="A764" s="51"/>
      <c r="B764" s="51"/>
      <c r="C764" s="51"/>
      <c r="D764" s="113" t="s">
        <v>495</v>
      </c>
      <c r="E764" s="56">
        <f t="shared" ref="E764:M764" si="125">+E765-E758</f>
        <v>0</v>
      </c>
      <c r="F764" s="56">
        <f t="shared" si="125"/>
        <v>0</v>
      </c>
      <c r="G764" s="56">
        <f t="shared" si="125"/>
        <v>0</v>
      </c>
      <c r="H764" s="56">
        <f t="shared" si="125"/>
        <v>0</v>
      </c>
      <c r="I764" s="56">
        <f t="shared" si="125"/>
        <v>0</v>
      </c>
      <c r="J764" s="56">
        <f t="shared" si="125"/>
        <v>0</v>
      </c>
      <c r="K764" s="56">
        <f t="shared" si="125"/>
        <v>0</v>
      </c>
      <c r="L764" s="56">
        <f t="shared" si="125"/>
        <v>0</v>
      </c>
      <c r="M764" s="56">
        <f t="shared" si="125"/>
        <v>0</v>
      </c>
      <c r="N764" s="56"/>
      <c r="O764" s="56"/>
      <c r="P764" s="100">
        <f>+O764</f>
        <v>0</v>
      </c>
      <c r="Q764" s="56"/>
      <c r="R764" s="56"/>
      <c r="S764" s="56"/>
      <c r="T764" s="56"/>
      <c r="U764" s="56"/>
      <c r="V764" s="56"/>
      <c r="W764" s="56"/>
      <c r="X764" s="56"/>
      <c r="Y764" s="53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</row>
    <row r="765" spans="1:65" s="50" customFormat="1">
      <c r="A765" s="141"/>
      <c r="B765" s="141"/>
      <c r="C765" s="141"/>
      <c r="D765" s="112"/>
      <c r="E765" s="142">
        <f>+'видатки_затв '!C473</f>
        <v>6199324384</v>
      </c>
      <c r="F765" s="142">
        <f>+'видатки_затв '!D473</f>
        <v>926417538</v>
      </c>
      <c r="G765" s="142">
        <f>+'видатки_затв '!E473</f>
        <v>133780100</v>
      </c>
      <c r="H765" s="142">
        <f>+'видатки_затв '!F473</f>
        <v>213698300</v>
      </c>
      <c r="I765" s="142">
        <f>+'видатки_затв '!G473</f>
        <v>82936100</v>
      </c>
      <c r="J765" s="142">
        <f>+'видатки_затв '!H473</f>
        <v>6773700</v>
      </c>
      <c r="K765" s="142">
        <f>+'видатки_затв '!I473</f>
        <v>2925800</v>
      </c>
      <c r="L765" s="142">
        <f>+'видатки_затв '!J473</f>
        <v>130762200</v>
      </c>
      <c r="M765" s="142">
        <f>+'видатки_затв '!K473</f>
        <v>60322400</v>
      </c>
      <c r="N765" s="142"/>
      <c r="O765" s="142">
        <f>+'видатки_затв '!M473</f>
        <v>6413022684</v>
      </c>
      <c r="P765" s="162">
        <f t="shared" ref="P765:P828" si="126">+O765</f>
        <v>6413022684</v>
      </c>
      <c r="Q765" s="57">
        <f>+F758</f>
        <v>926417538</v>
      </c>
      <c r="R765" s="57">
        <f>+G758</f>
        <v>133780100</v>
      </c>
      <c r="S765" s="57" t="e">
        <f>+#REF!</f>
        <v>#REF!</v>
      </c>
      <c r="T765" s="57">
        <f>+H758</f>
        <v>213698300</v>
      </c>
      <c r="U765" s="57">
        <f>+I758</f>
        <v>82936100</v>
      </c>
      <c r="V765" s="57">
        <f>+J758</f>
        <v>6773700</v>
      </c>
      <c r="W765" s="57">
        <f>+K758</f>
        <v>2925800</v>
      </c>
      <c r="X765" s="57">
        <f>+L758</f>
        <v>130762200</v>
      </c>
      <c r="Z765" s="57"/>
      <c r="AA765" s="52"/>
      <c r="AB765" s="52"/>
      <c r="AC765" s="52"/>
      <c r="AD765" s="52"/>
      <c r="AE765" s="52"/>
      <c r="AF765" s="52"/>
      <c r="AG765" s="52"/>
      <c r="AH765" s="52"/>
      <c r="AI765" s="52"/>
    </row>
    <row r="766" spans="1:65" s="53" customFormat="1" ht="20.25">
      <c r="A766" s="143"/>
      <c r="B766" s="143"/>
      <c r="C766" s="143"/>
      <c r="D766" s="144" t="s">
        <v>742</v>
      </c>
      <c r="E766" s="145">
        <f t="shared" ref="E766:M766" si="127">+E758-E765</f>
        <v>0</v>
      </c>
      <c r="F766" s="145">
        <f t="shared" si="127"/>
        <v>0</v>
      </c>
      <c r="G766" s="145">
        <f t="shared" si="127"/>
        <v>0</v>
      </c>
      <c r="H766" s="145">
        <f t="shared" si="127"/>
        <v>0</v>
      </c>
      <c r="I766" s="145">
        <f t="shared" si="127"/>
        <v>0</v>
      </c>
      <c r="J766" s="145">
        <f t="shared" si="127"/>
        <v>0</v>
      </c>
      <c r="K766" s="145">
        <f t="shared" si="127"/>
        <v>0</v>
      </c>
      <c r="L766" s="145">
        <f t="shared" si="127"/>
        <v>0</v>
      </c>
      <c r="M766" s="145">
        <f t="shared" si="127"/>
        <v>0</v>
      </c>
      <c r="N766" s="145"/>
      <c r="O766" s="145">
        <f>+O765-O787</f>
        <v>1487174800</v>
      </c>
      <c r="P766" s="162">
        <f t="shared" si="126"/>
        <v>1487174800</v>
      </c>
      <c r="Q766" s="56">
        <f t="shared" ref="Q766:X766" si="128">+Q765-Q787</f>
        <v>576923638</v>
      </c>
      <c r="R766" s="56">
        <f t="shared" si="128"/>
        <v>72921900</v>
      </c>
      <c r="S766" s="56" t="e">
        <f t="shared" si="128"/>
        <v>#REF!</v>
      </c>
      <c r="T766" s="56">
        <f t="shared" si="128"/>
        <v>82898200</v>
      </c>
      <c r="U766" s="56">
        <f t="shared" si="128"/>
        <v>9398700</v>
      </c>
      <c r="V766" s="56">
        <f t="shared" si="128"/>
        <v>1879100</v>
      </c>
      <c r="W766" s="56">
        <f t="shared" si="128"/>
        <v>244800</v>
      </c>
      <c r="X766" s="56">
        <f t="shared" si="128"/>
        <v>73499500</v>
      </c>
    </row>
    <row r="767" spans="1:65" s="53" customFormat="1">
      <c r="A767" s="53">
        <v>250313</v>
      </c>
      <c r="C767" s="53">
        <v>250313</v>
      </c>
      <c r="D767" s="115"/>
      <c r="E767" s="58">
        <f>+E258</f>
        <v>62278100</v>
      </c>
      <c r="F767" s="56">
        <f>+F258</f>
        <v>0</v>
      </c>
      <c r="G767" s="56">
        <f>+G258</f>
        <v>0</v>
      </c>
      <c r="H767" s="56">
        <f t="shared" ref="H767:M767" si="129">+H258</f>
        <v>0</v>
      </c>
      <c r="I767" s="56">
        <f t="shared" si="129"/>
        <v>0</v>
      </c>
      <c r="J767" s="56">
        <f t="shared" si="129"/>
        <v>0</v>
      </c>
      <c r="K767" s="56">
        <f t="shared" si="129"/>
        <v>0</v>
      </c>
      <c r="L767" s="56">
        <f t="shared" si="129"/>
        <v>0</v>
      </c>
      <c r="M767" s="56">
        <f t="shared" si="129"/>
        <v>0</v>
      </c>
      <c r="N767" s="56"/>
      <c r="O767" s="58">
        <f>+'видатки_затв '!C348</f>
        <v>3939442100</v>
      </c>
      <c r="P767" s="162">
        <f t="shared" si="126"/>
        <v>3939442100</v>
      </c>
      <c r="Q767" s="58">
        <f>+'видатки_затв '!D348</f>
        <v>0</v>
      </c>
      <c r="R767" s="58">
        <f>+'видатки_затв '!E348</f>
        <v>0</v>
      </c>
      <c r="S767" s="58" t="e">
        <f>+'видатки_затв '!#REF!</f>
        <v>#REF!</v>
      </c>
      <c r="T767" s="58">
        <f>+'видатки_затв '!F348</f>
        <v>53447500</v>
      </c>
      <c r="U767" s="58">
        <f>+'видатки_затв '!G348</f>
        <v>16799200</v>
      </c>
      <c r="V767" s="58">
        <f>+'видатки_затв '!H348</f>
        <v>0</v>
      </c>
      <c r="W767" s="58">
        <f>+'видатки_затв '!I348</f>
        <v>0</v>
      </c>
      <c r="X767" s="58">
        <f>+'видатки_затв '!J348</f>
        <v>36648300</v>
      </c>
      <c r="Y767" s="58">
        <f t="shared" ref="Y767:Y786" si="130">+E767-O767</f>
        <v>-3877164000</v>
      </c>
      <c r="Z767" s="58" t="e">
        <f>+#REF!-P767</f>
        <v>#REF!</v>
      </c>
      <c r="AA767" s="58">
        <f t="shared" ref="AA767:AA786" si="131">+F767-Q767</f>
        <v>0</v>
      </c>
      <c r="AB767" s="58">
        <f t="shared" ref="AB767:AB786" si="132">+G767-R767</f>
        <v>0</v>
      </c>
      <c r="AC767" s="58" t="e">
        <f>+#REF!-S767</f>
        <v>#REF!</v>
      </c>
      <c r="AD767" s="58">
        <f t="shared" ref="AD767:AD786" si="133">+H767-T767</f>
        <v>-53447500</v>
      </c>
      <c r="AE767" s="58">
        <f t="shared" ref="AE767:AE786" si="134">+I767-U767</f>
        <v>-16799200</v>
      </c>
      <c r="AF767" s="58">
        <f t="shared" ref="AF767:AF786" si="135">+J767-V767</f>
        <v>0</v>
      </c>
      <c r="AG767" s="58">
        <f t="shared" ref="AG767:AG786" si="136">+K767-W767</f>
        <v>0</v>
      </c>
      <c r="AH767" s="58">
        <f t="shared" ref="AH767:AH786" si="137">+L767-X767</f>
        <v>-36648300</v>
      </c>
      <c r="AI767" s="58">
        <f t="shared" ref="AI767:AI786" si="138">+M767-Y767</f>
        <v>3877164000</v>
      </c>
      <c r="AJ767" s="58" t="e">
        <f t="shared" ref="AJ767:AO782" si="139">+O767-Z767</f>
        <v>#REF!</v>
      </c>
      <c r="AK767" s="58">
        <f t="shared" si="139"/>
        <v>3939442100</v>
      </c>
      <c r="AL767" s="58">
        <f t="shared" si="139"/>
        <v>0</v>
      </c>
      <c r="AM767" s="58" t="e">
        <f t="shared" si="139"/>
        <v>#REF!</v>
      </c>
      <c r="AN767" s="58" t="e">
        <f t="shared" si="139"/>
        <v>#REF!</v>
      </c>
      <c r="AO767" s="58">
        <f t="shared" si="139"/>
        <v>70246700</v>
      </c>
    </row>
    <row r="768" spans="1:65" ht="15.75" hidden="1">
      <c r="A768" s="27">
        <v>240000</v>
      </c>
      <c r="B768" s="27"/>
      <c r="C768" s="27">
        <v>240000</v>
      </c>
      <c r="D768" s="112"/>
      <c r="E768" s="163">
        <f>+E704</f>
        <v>0</v>
      </c>
      <c r="F768" s="163">
        <f t="shared" ref="F768:M768" si="140">+F704</f>
        <v>0</v>
      </c>
      <c r="G768" s="163">
        <f t="shared" si="140"/>
        <v>0</v>
      </c>
      <c r="H768" s="163">
        <f t="shared" si="140"/>
        <v>0</v>
      </c>
      <c r="I768" s="163">
        <f t="shared" si="140"/>
        <v>0</v>
      </c>
      <c r="J768" s="163">
        <f t="shared" si="140"/>
        <v>0</v>
      </c>
      <c r="K768" s="163">
        <f t="shared" si="140"/>
        <v>0</v>
      </c>
      <c r="L768" s="163">
        <f t="shared" si="140"/>
        <v>0</v>
      </c>
      <c r="M768" s="163">
        <f t="shared" si="140"/>
        <v>0</v>
      </c>
      <c r="N768" s="163"/>
      <c r="O768" s="163">
        <f>+'видатки_затв '!C314</f>
        <v>0</v>
      </c>
      <c r="P768" s="100">
        <f t="shared" si="126"/>
        <v>0</v>
      </c>
      <c r="Q768" s="163">
        <f>+'видатки_затв '!D314</f>
        <v>0</v>
      </c>
      <c r="R768" s="163">
        <f>+'видатки_затв '!E314</f>
        <v>0</v>
      </c>
      <c r="S768" s="163" t="e">
        <f>+'видатки_затв '!#REF!</f>
        <v>#REF!</v>
      </c>
      <c r="T768" s="163">
        <f>+'видатки_затв '!F314</f>
        <v>0</v>
      </c>
      <c r="U768" s="163">
        <f>+'видатки_затв '!G314</f>
        <v>0</v>
      </c>
      <c r="V768" s="163">
        <f>+'видатки_затв '!H314</f>
        <v>0</v>
      </c>
      <c r="W768" s="163">
        <f>+'видатки_затв '!I314</f>
        <v>0</v>
      </c>
      <c r="X768" s="163">
        <f>+'видатки_затв '!J314</f>
        <v>0</v>
      </c>
      <c r="Y768" s="29">
        <f t="shared" si="130"/>
        <v>0</v>
      </c>
      <c r="Z768" s="29" t="e">
        <f>+#REF!-P768</f>
        <v>#REF!</v>
      </c>
      <c r="AA768" s="29">
        <f t="shared" si="131"/>
        <v>0</v>
      </c>
      <c r="AB768" s="29">
        <f t="shared" si="132"/>
        <v>0</v>
      </c>
      <c r="AC768" s="29" t="e">
        <f>+#REF!-S768</f>
        <v>#REF!</v>
      </c>
      <c r="AD768" s="29">
        <f t="shared" si="133"/>
        <v>0</v>
      </c>
      <c r="AE768" s="29">
        <f t="shared" si="134"/>
        <v>0</v>
      </c>
      <c r="AF768" s="29">
        <f t="shared" si="135"/>
        <v>0</v>
      </c>
      <c r="AG768" s="29">
        <f t="shared" si="136"/>
        <v>0</v>
      </c>
      <c r="AH768" s="29">
        <f t="shared" si="137"/>
        <v>0</v>
      </c>
      <c r="AI768" s="29">
        <f t="shared" si="138"/>
        <v>0</v>
      </c>
      <c r="AJ768" s="29" t="e">
        <f t="shared" si="139"/>
        <v>#REF!</v>
      </c>
      <c r="AK768" s="29">
        <f t="shared" si="139"/>
        <v>0</v>
      </c>
      <c r="AL768" s="29">
        <f t="shared" si="139"/>
        <v>0</v>
      </c>
      <c r="AM768" s="29" t="e">
        <f t="shared" si="139"/>
        <v>#REF!</v>
      </c>
      <c r="AN768" s="29" t="e">
        <f t="shared" si="139"/>
        <v>#REF!</v>
      </c>
      <c r="AO768" s="29">
        <f t="shared" si="139"/>
        <v>0</v>
      </c>
      <c r="AP768" s="28"/>
    </row>
    <row r="769" spans="1:43" s="54" customFormat="1" ht="15.75">
      <c r="A769" s="27">
        <v>10000</v>
      </c>
      <c r="B769" s="27"/>
      <c r="C769" s="27">
        <v>10000</v>
      </c>
      <c r="D769" s="112"/>
      <c r="E769" s="146">
        <f t="shared" ref="E769:M769" si="141">+E554+E577</f>
        <v>16011400</v>
      </c>
      <c r="F769" s="146">
        <f t="shared" si="141"/>
        <v>7327200</v>
      </c>
      <c r="G769" s="146">
        <f t="shared" si="141"/>
        <v>1016500</v>
      </c>
      <c r="H769" s="146">
        <f t="shared" si="141"/>
        <v>3631400</v>
      </c>
      <c r="I769" s="146">
        <f t="shared" si="141"/>
        <v>2034000</v>
      </c>
      <c r="J769" s="146">
        <f t="shared" si="141"/>
        <v>0</v>
      </c>
      <c r="K769" s="146">
        <f t="shared" si="141"/>
        <v>1264000</v>
      </c>
      <c r="L769" s="146">
        <f t="shared" si="141"/>
        <v>1597400</v>
      </c>
      <c r="M769" s="146">
        <f t="shared" si="141"/>
        <v>1597400</v>
      </c>
      <c r="N769" s="146"/>
      <c r="O769" s="146">
        <f>+'видатки_затв '!C19</f>
        <v>16011400</v>
      </c>
      <c r="P769" s="162">
        <f t="shared" si="126"/>
        <v>16011400</v>
      </c>
      <c r="Q769" s="60">
        <f>+'видатки_затв '!D19</f>
        <v>7327200</v>
      </c>
      <c r="R769" s="60">
        <f>+'видатки_затв '!E19</f>
        <v>1016500</v>
      </c>
      <c r="S769" s="60" t="e">
        <f>+'видатки_затв '!#REF!</f>
        <v>#REF!</v>
      </c>
      <c r="T769" s="60">
        <f>+'видатки_затв '!F19</f>
        <v>3631400</v>
      </c>
      <c r="U769" s="60">
        <f>+'видатки_затв '!G19</f>
        <v>2034000</v>
      </c>
      <c r="V769" s="60">
        <f>+'видатки_затв '!H19</f>
        <v>0</v>
      </c>
      <c r="W769" s="60">
        <f>+'видатки_затв '!I19</f>
        <v>1264000</v>
      </c>
      <c r="X769" s="60">
        <f>+'видатки_затв '!J19</f>
        <v>1597400</v>
      </c>
      <c r="Y769" s="58">
        <f t="shared" si="130"/>
        <v>0</v>
      </c>
      <c r="Z769" s="58" t="e">
        <f>+#REF!-P769</f>
        <v>#REF!</v>
      </c>
      <c r="AA769" s="58">
        <f t="shared" si="131"/>
        <v>0</v>
      </c>
      <c r="AB769" s="58">
        <f t="shared" si="132"/>
        <v>0</v>
      </c>
      <c r="AC769" s="58" t="e">
        <f>+#REF!-S769</f>
        <v>#REF!</v>
      </c>
      <c r="AD769" s="58">
        <f t="shared" si="133"/>
        <v>0</v>
      </c>
      <c r="AE769" s="58">
        <f t="shared" si="134"/>
        <v>0</v>
      </c>
      <c r="AF769" s="58">
        <f t="shared" si="135"/>
        <v>0</v>
      </c>
      <c r="AG769" s="58">
        <f t="shared" si="136"/>
        <v>0</v>
      </c>
      <c r="AH769" s="58">
        <f t="shared" si="137"/>
        <v>0</v>
      </c>
      <c r="AI769" s="58">
        <f t="shared" si="138"/>
        <v>1597400</v>
      </c>
      <c r="AJ769" s="58" t="e">
        <f t="shared" si="139"/>
        <v>#REF!</v>
      </c>
      <c r="AK769" s="58">
        <f t="shared" si="139"/>
        <v>16011400</v>
      </c>
      <c r="AL769" s="58">
        <f t="shared" si="139"/>
        <v>7327200</v>
      </c>
      <c r="AM769" s="58" t="e">
        <f t="shared" si="139"/>
        <v>#REF!</v>
      </c>
      <c r="AN769" s="58" t="e">
        <f t="shared" si="139"/>
        <v>#REF!</v>
      </c>
      <c r="AO769" s="58">
        <f t="shared" si="139"/>
        <v>3631400</v>
      </c>
      <c r="AP769" s="50"/>
      <c r="AQ769" s="50"/>
    </row>
    <row r="770" spans="1:43" ht="15.75" hidden="1">
      <c r="A770" s="27">
        <v>60000</v>
      </c>
      <c r="B770" s="27"/>
      <c r="C770" s="27">
        <v>60000</v>
      </c>
      <c r="D770" s="116"/>
      <c r="E770" s="148">
        <f>+E745</f>
        <v>0</v>
      </c>
      <c r="F770" s="148">
        <f t="shared" ref="F770:M770" si="142">+F745</f>
        <v>0</v>
      </c>
      <c r="G770" s="148">
        <f t="shared" si="142"/>
        <v>0</v>
      </c>
      <c r="H770" s="148">
        <f t="shared" si="142"/>
        <v>0</v>
      </c>
      <c r="I770" s="148">
        <f t="shared" si="142"/>
        <v>0</v>
      </c>
      <c r="J770" s="148">
        <f t="shared" si="142"/>
        <v>0</v>
      </c>
      <c r="K770" s="148">
        <f t="shared" si="142"/>
        <v>0</v>
      </c>
      <c r="L770" s="148">
        <f t="shared" si="142"/>
        <v>0</v>
      </c>
      <c r="M770" s="148">
        <f t="shared" si="142"/>
        <v>0</v>
      </c>
      <c r="N770" s="148"/>
      <c r="O770" s="146">
        <f>+'видатки_затв '!C38</f>
        <v>0</v>
      </c>
      <c r="P770" s="100">
        <f t="shared" si="126"/>
        <v>0</v>
      </c>
      <c r="Q770" s="146">
        <f>+'видатки_затв '!D38</f>
        <v>0</v>
      </c>
      <c r="R770" s="146">
        <f>+'видатки_затв '!E38</f>
        <v>0</v>
      </c>
      <c r="S770" s="146" t="e">
        <f>+'видатки_затв '!#REF!</f>
        <v>#REF!</v>
      </c>
      <c r="T770" s="146">
        <f>+'видатки_затв '!F38</f>
        <v>0</v>
      </c>
      <c r="U770" s="146">
        <f>+'видатки_затв '!G38</f>
        <v>0</v>
      </c>
      <c r="V770" s="146">
        <f>+'видатки_затв '!H38</f>
        <v>0</v>
      </c>
      <c r="W770" s="146">
        <f>+'видатки_затв '!I38</f>
        <v>0</v>
      </c>
      <c r="X770" s="146">
        <f>+'видатки_затв '!J38</f>
        <v>0</v>
      </c>
      <c r="Y770" s="29">
        <f t="shared" si="130"/>
        <v>0</v>
      </c>
      <c r="Z770" s="29" t="e">
        <f>+#REF!-P770</f>
        <v>#REF!</v>
      </c>
      <c r="AA770" s="29">
        <f t="shared" si="131"/>
        <v>0</v>
      </c>
      <c r="AB770" s="29">
        <f t="shared" si="132"/>
        <v>0</v>
      </c>
      <c r="AC770" s="29" t="e">
        <f>+#REF!-S770</f>
        <v>#REF!</v>
      </c>
      <c r="AD770" s="29">
        <f t="shared" si="133"/>
        <v>0</v>
      </c>
      <c r="AE770" s="29">
        <f t="shared" si="134"/>
        <v>0</v>
      </c>
      <c r="AF770" s="29">
        <f t="shared" si="135"/>
        <v>0</v>
      </c>
      <c r="AG770" s="29">
        <f t="shared" si="136"/>
        <v>0</v>
      </c>
      <c r="AH770" s="29">
        <f t="shared" si="137"/>
        <v>0</v>
      </c>
      <c r="AI770" s="29">
        <f t="shared" si="138"/>
        <v>0</v>
      </c>
      <c r="AJ770" s="29" t="e">
        <f t="shared" si="139"/>
        <v>#REF!</v>
      </c>
      <c r="AK770" s="29">
        <f t="shared" si="139"/>
        <v>0</v>
      </c>
      <c r="AL770" s="29">
        <f t="shared" si="139"/>
        <v>0</v>
      </c>
      <c r="AM770" s="29" t="e">
        <f t="shared" si="139"/>
        <v>#REF!</v>
      </c>
      <c r="AN770" s="29" t="e">
        <f t="shared" si="139"/>
        <v>#REF!</v>
      </c>
      <c r="AO770" s="29">
        <f t="shared" si="139"/>
        <v>0</v>
      </c>
      <c r="AP770" s="28"/>
    </row>
    <row r="771" spans="1:43" s="54" customFormat="1" ht="15.75">
      <c r="A771" s="27">
        <v>70000</v>
      </c>
      <c r="B771" s="27"/>
      <c r="C771" s="27">
        <v>70000</v>
      </c>
      <c r="D771" s="147" t="e">
        <f>+#REF!-E771</f>
        <v>#REF!</v>
      </c>
      <c r="E771" s="148">
        <f>+E21+E23+E24+E26+E28++E29+E33+E35+E36+E37+E39+E40+E41+E42++E46+E79+E80+E401++E495+E496+E497++E498+E34</f>
        <v>377798184</v>
      </c>
      <c r="F771" s="148">
        <f>+F21+F23+F24+F26+F28++F29+F33+F35+F36+F37+F39+F40+F41+F42++F79+F80+F401++F495+F496+F497++F498+F34</f>
        <v>111109100</v>
      </c>
      <c r="G771" s="148">
        <f>+G21+G23+G24+G26+G28++G29+G33+G35+G36+G37+G39+G40+G41+G42++G79+G80+G401++G495+G496+G497++G498+G34</f>
        <v>15615300</v>
      </c>
      <c r="H771" s="148" t="e">
        <f>+H21+H23+H24+H26+#REF!++H29+H33+H35+H36+H37+H39+H40+H41+H42++H79+H80+H401++H495+H496+H497++H498+H34</f>
        <v>#REF!</v>
      </c>
      <c r="I771" s="148">
        <f>+I21+I23+I24+I26+I28++I29+I33+I35+I36+I37+I39+I40+I41+I42++I79+I80+I401++I495+I496+I497++I498+I34</f>
        <v>13336100</v>
      </c>
      <c r="J771" s="148">
        <f>+J21+J23+J24+J26+J28++J29+J33+J35+J36+J37+J39+J40+J41+J42++J79+J80+J401++J495+J496+J497++J498+J34</f>
        <v>584600</v>
      </c>
      <c r="K771" s="148">
        <f>+K21+K23+K24+K26+K28++K29+K33+K35+K36+K37+K39+K40+K41+K42++K79+K80+K401++K495+K496+K497++K498+K34</f>
        <v>49000</v>
      </c>
      <c r="L771" s="148">
        <f>+L21+L23+L24+L26+L28++L29+L33+L35+L36+L37+L39+L40+L41+L42++L79+L80+L401++L495+L496+L497++L498+L34</f>
        <v>4332600</v>
      </c>
      <c r="M771" s="148">
        <f>+M21+M23+M24+M26+M28++M29+M33+M35+M36+M37+M39+M40+M41+M42++M79+M80+M401++M495+M496+M497++M498+M34</f>
        <v>3785000</v>
      </c>
      <c r="N771" s="148"/>
      <c r="O771" s="146">
        <f>+'видатки_затв '!C39</f>
        <v>789851584</v>
      </c>
      <c r="P771" s="162">
        <f t="shared" si="126"/>
        <v>789851584</v>
      </c>
      <c r="Q771" s="60">
        <f>+'видатки_затв '!D39</f>
        <v>302146600</v>
      </c>
      <c r="R771" s="60">
        <f>+'видатки_затв '!E39</f>
        <v>49812900</v>
      </c>
      <c r="S771" s="60" t="e">
        <f>+'видатки_затв '!#REF!</f>
        <v>#REF!</v>
      </c>
      <c r="T771" s="60">
        <f>+'видатки_затв '!F39</f>
        <v>49989200</v>
      </c>
      <c r="U771" s="60">
        <f>+'видатки_затв '!G39</f>
        <v>33354200</v>
      </c>
      <c r="V771" s="60">
        <f>+'видатки_затв '!H39</f>
        <v>4894600</v>
      </c>
      <c r="W771" s="60">
        <f>+'видатки_затв '!I39</f>
        <v>1349000</v>
      </c>
      <c r="X771" s="60">
        <f>+'видатки_затв '!J39</f>
        <v>16635000</v>
      </c>
      <c r="Y771" s="58">
        <f t="shared" si="130"/>
        <v>-412053400</v>
      </c>
      <c r="Z771" s="58" t="e">
        <f>+#REF!-P771</f>
        <v>#REF!</v>
      </c>
      <c r="AA771" s="58">
        <f t="shared" si="131"/>
        <v>-191037500</v>
      </c>
      <c r="AB771" s="58">
        <f t="shared" si="132"/>
        <v>-34197600</v>
      </c>
      <c r="AC771" s="58" t="e">
        <f>+#REF!-S771</f>
        <v>#REF!</v>
      </c>
      <c r="AD771" s="58" t="e">
        <f t="shared" si="133"/>
        <v>#REF!</v>
      </c>
      <c r="AE771" s="58">
        <f t="shared" si="134"/>
        <v>-20018100</v>
      </c>
      <c r="AF771" s="58">
        <f t="shared" si="135"/>
        <v>-4310000</v>
      </c>
      <c r="AG771" s="58">
        <f t="shared" si="136"/>
        <v>-1300000</v>
      </c>
      <c r="AH771" s="58">
        <f t="shared" si="137"/>
        <v>-12302400</v>
      </c>
      <c r="AI771" s="58">
        <f t="shared" si="138"/>
        <v>415838400</v>
      </c>
      <c r="AJ771" s="58" t="e">
        <f t="shared" si="139"/>
        <v>#REF!</v>
      </c>
      <c r="AK771" s="58">
        <f t="shared" si="139"/>
        <v>980889084</v>
      </c>
      <c r="AL771" s="58">
        <f t="shared" si="139"/>
        <v>336344200</v>
      </c>
      <c r="AM771" s="58" t="e">
        <f t="shared" si="139"/>
        <v>#REF!</v>
      </c>
      <c r="AN771" s="58" t="e">
        <f t="shared" si="139"/>
        <v>#REF!</v>
      </c>
      <c r="AO771" s="58">
        <f t="shared" si="139"/>
        <v>70007300</v>
      </c>
      <c r="AP771" s="50"/>
      <c r="AQ771" s="50"/>
    </row>
    <row r="772" spans="1:43" s="54" customFormat="1" ht="15.75">
      <c r="A772" s="27">
        <v>80000</v>
      </c>
      <c r="B772" s="27"/>
      <c r="C772" s="27">
        <v>80000</v>
      </c>
      <c r="D772" s="116"/>
      <c r="E772" s="148">
        <f>+E82+E88+E98+E99+E100+E101+E104+E108+E109+E111+E112+E120+E121</f>
        <v>863318200</v>
      </c>
      <c r="F772" s="148">
        <f>+F82+F88+F98+F99+F100+F101+F104+F108+F109+F111+F112+F120+F121</f>
        <v>427116000</v>
      </c>
      <c r="G772" s="148">
        <f>+G82+G88+G98+G99+G100+G101+G104+G108+G109+G111+G112+G120+G121</f>
        <v>67553300</v>
      </c>
      <c r="H772" s="148">
        <f t="shared" ref="H772:M772" si="143">+H82+H88+H98+H99+H100+H101+H104+H108+H109+H111+H112+H120+H121</f>
        <v>15922200</v>
      </c>
      <c r="I772" s="148">
        <f t="shared" si="143"/>
        <v>6983800</v>
      </c>
      <c r="J772" s="148">
        <f t="shared" si="143"/>
        <v>1465500</v>
      </c>
      <c r="K772" s="148">
        <f t="shared" si="143"/>
        <v>198100</v>
      </c>
      <c r="L772" s="148">
        <f t="shared" si="143"/>
        <v>8938400</v>
      </c>
      <c r="M772" s="148">
        <f t="shared" si="143"/>
        <v>7260000</v>
      </c>
      <c r="N772" s="148"/>
      <c r="O772" s="146">
        <f>+'видатки_затв '!C111</f>
        <v>112951300</v>
      </c>
      <c r="P772" s="162">
        <f t="shared" si="126"/>
        <v>112951300</v>
      </c>
      <c r="Q772" s="60">
        <f>+'видатки_затв '!D111</f>
        <v>40020100</v>
      </c>
      <c r="R772" s="60">
        <f>+'видатки_затв '!E111</f>
        <v>10028800</v>
      </c>
      <c r="S772" s="60" t="e">
        <f>+'видатки_затв '!#REF!</f>
        <v>#REF!</v>
      </c>
      <c r="T772" s="60">
        <f>+'видатки_затв '!F111</f>
        <v>23732000</v>
      </c>
      <c r="U772" s="60">
        <f>+'видатки_затв '!G111</f>
        <v>21350000</v>
      </c>
      <c r="V772" s="60">
        <f>+'видатки_затв '!H111</f>
        <v>0</v>
      </c>
      <c r="W772" s="60">
        <f>+'видатки_затв '!I111</f>
        <v>68000</v>
      </c>
      <c r="X772" s="60">
        <f>+'видатки_затв '!J111</f>
        <v>2382000</v>
      </c>
      <c r="Y772" s="58">
        <f t="shared" si="130"/>
        <v>750366900</v>
      </c>
      <c r="Z772" s="58" t="e">
        <f>+#REF!-P772</f>
        <v>#REF!</v>
      </c>
      <c r="AA772" s="58">
        <f t="shared" si="131"/>
        <v>387095900</v>
      </c>
      <c r="AB772" s="58">
        <f t="shared" si="132"/>
        <v>57524500</v>
      </c>
      <c r="AC772" s="58" t="e">
        <f>+#REF!-S772</f>
        <v>#REF!</v>
      </c>
      <c r="AD772" s="58">
        <f t="shared" si="133"/>
        <v>-7809800</v>
      </c>
      <c r="AE772" s="58">
        <f t="shared" si="134"/>
        <v>-14366200</v>
      </c>
      <c r="AF772" s="58">
        <f t="shared" si="135"/>
        <v>1465500</v>
      </c>
      <c r="AG772" s="58">
        <f t="shared" si="136"/>
        <v>130100</v>
      </c>
      <c r="AH772" s="58">
        <f t="shared" si="137"/>
        <v>6556400</v>
      </c>
      <c r="AI772" s="58">
        <f t="shared" si="138"/>
        <v>-743106900</v>
      </c>
      <c r="AJ772" s="58" t="e">
        <f t="shared" si="139"/>
        <v>#REF!</v>
      </c>
      <c r="AK772" s="58">
        <f t="shared" si="139"/>
        <v>-274144600</v>
      </c>
      <c r="AL772" s="58">
        <f t="shared" si="139"/>
        <v>-17504400</v>
      </c>
      <c r="AM772" s="58" t="e">
        <f t="shared" si="139"/>
        <v>#REF!</v>
      </c>
      <c r="AN772" s="58" t="e">
        <f t="shared" si="139"/>
        <v>#REF!</v>
      </c>
      <c r="AO772" s="58">
        <f t="shared" si="139"/>
        <v>38098200</v>
      </c>
      <c r="AP772" s="50"/>
      <c r="AQ772" s="50"/>
    </row>
    <row r="773" spans="1:43" s="54" customFormat="1" ht="15.75" hidden="1">
      <c r="A773" s="27">
        <v>90000</v>
      </c>
      <c r="B773" s="27"/>
      <c r="C773" s="27">
        <v>90000</v>
      </c>
      <c r="D773" s="112"/>
      <c r="E773" s="146">
        <f t="shared" ref="E773:M773" si="144">+E154+E156+E158+E165+E169+E171+E174+E175+E226+E227+E439+E440+E447+E448+E450+E454+E499+E559+E737</f>
        <v>76341500</v>
      </c>
      <c r="F773" s="146">
        <f t="shared" si="144"/>
        <v>37329600</v>
      </c>
      <c r="G773" s="146">
        <f t="shared" si="144"/>
        <v>9721800</v>
      </c>
      <c r="H773" s="146">
        <f t="shared" si="144"/>
        <v>23007000</v>
      </c>
      <c r="I773" s="146">
        <f t="shared" si="144"/>
        <v>20765000</v>
      </c>
      <c r="J773" s="146">
        <f t="shared" si="144"/>
        <v>0</v>
      </c>
      <c r="K773" s="146">
        <f t="shared" si="144"/>
        <v>68000</v>
      </c>
      <c r="L773" s="146">
        <f t="shared" si="144"/>
        <v>2242000</v>
      </c>
      <c r="M773" s="146">
        <f t="shared" si="144"/>
        <v>1140000</v>
      </c>
      <c r="N773" s="146"/>
      <c r="O773" s="146">
        <f>+'видатки_затв '!C117</f>
        <v>0</v>
      </c>
      <c r="P773" s="100">
        <f t="shared" si="126"/>
        <v>0</v>
      </c>
      <c r="Q773" s="60">
        <f>+'видатки_затв '!D117</f>
        <v>0</v>
      </c>
      <c r="R773" s="60">
        <f>+'видатки_затв '!E117</f>
        <v>0</v>
      </c>
      <c r="S773" s="60" t="e">
        <f>+'видатки_затв '!#REF!</f>
        <v>#REF!</v>
      </c>
      <c r="T773" s="60">
        <f>+'видатки_затв '!F117</f>
        <v>0</v>
      </c>
      <c r="U773" s="60">
        <f>+'видатки_затв '!G117</f>
        <v>0</v>
      </c>
      <c r="V773" s="60">
        <f>+'видатки_затв '!H117</f>
        <v>0</v>
      </c>
      <c r="W773" s="60">
        <f>+'видатки_затв '!I117</f>
        <v>0</v>
      </c>
      <c r="X773" s="60">
        <f>+'видатки_затв '!J117</f>
        <v>0</v>
      </c>
      <c r="Y773" s="58">
        <f t="shared" si="130"/>
        <v>76341500</v>
      </c>
      <c r="Z773" s="58" t="e">
        <f>+#REF!-P773</f>
        <v>#REF!</v>
      </c>
      <c r="AA773" s="58">
        <f t="shared" si="131"/>
        <v>37329600</v>
      </c>
      <c r="AB773" s="58">
        <f t="shared" si="132"/>
        <v>9721800</v>
      </c>
      <c r="AC773" s="58" t="e">
        <f>+#REF!-S773</f>
        <v>#REF!</v>
      </c>
      <c r="AD773" s="58">
        <f t="shared" si="133"/>
        <v>23007000</v>
      </c>
      <c r="AE773" s="58">
        <f t="shared" si="134"/>
        <v>20765000</v>
      </c>
      <c r="AF773" s="58">
        <f t="shared" si="135"/>
        <v>0</v>
      </c>
      <c r="AG773" s="58">
        <f t="shared" si="136"/>
        <v>68000</v>
      </c>
      <c r="AH773" s="58">
        <f t="shared" si="137"/>
        <v>2242000</v>
      </c>
      <c r="AI773" s="58">
        <f t="shared" si="138"/>
        <v>-75201500</v>
      </c>
      <c r="AJ773" s="58" t="e">
        <f t="shared" si="139"/>
        <v>#REF!</v>
      </c>
      <c r="AK773" s="58">
        <f t="shared" si="139"/>
        <v>-37329600</v>
      </c>
      <c r="AL773" s="58">
        <f t="shared" si="139"/>
        <v>-9721800</v>
      </c>
      <c r="AM773" s="58" t="e">
        <f t="shared" si="139"/>
        <v>#REF!</v>
      </c>
      <c r="AN773" s="58" t="e">
        <f t="shared" si="139"/>
        <v>#REF!</v>
      </c>
      <c r="AO773" s="58">
        <f t="shared" si="139"/>
        <v>-20765000</v>
      </c>
      <c r="AP773" s="50"/>
      <c r="AQ773" s="50"/>
    </row>
    <row r="774" spans="1:43" s="54" customFormat="1" ht="15.75" hidden="1">
      <c r="A774" s="27">
        <v>10000</v>
      </c>
      <c r="B774" s="27"/>
      <c r="C774" s="27">
        <v>10000</v>
      </c>
      <c r="D774" s="112"/>
      <c r="E774" s="146">
        <f t="shared" ref="E774:M774" si="145">+E670+E671+E672+E675+E676+E733</f>
        <v>0</v>
      </c>
      <c r="F774" s="146">
        <f t="shared" si="145"/>
        <v>0</v>
      </c>
      <c r="G774" s="146">
        <f t="shared" si="145"/>
        <v>0</v>
      </c>
      <c r="H774" s="146">
        <f t="shared" si="145"/>
        <v>0</v>
      </c>
      <c r="I774" s="146">
        <f t="shared" si="145"/>
        <v>0</v>
      </c>
      <c r="J774" s="146">
        <f t="shared" si="145"/>
        <v>0</v>
      </c>
      <c r="K774" s="146">
        <f t="shared" si="145"/>
        <v>0</v>
      </c>
      <c r="L774" s="146">
        <f t="shared" si="145"/>
        <v>0</v>
      </c>
      <c r="M774" s="146">
        <f t="shared" si="145"/>
        <v>0</v>
      </c>
      <c r="N774" s="146"/>
      <c r="O774" s="146">
        <f>+'видатки_затв '!C175</f>
        <v>0</v>
      </c>
      <c r="P774" s="100">
        <f t="shared" si="126"/>
        <v>0</v>
      </c>
      <c r="Q774" s="60">
        <f>+'видатки_затв '!D175</f>
        <v>0</v>
      </c>
      <c r="R774" s="60">
        <f>+'видатки_затв '!E175</f>
        <v>0</v>
      </c>
      <c r="S774" s="60" t="e">
        <f>+'видатки_затв '!#REF!</f>
        <v>#REF!</v>
      </c>
      <c r="T774" s="60">
        <f>+'видатки_затв '!F175</f>
        <v>0</v>
      </c>
      <c r="U774" s="60">
        <f>+'видатки_затв '!G175</f>
        <v>0</v>
      </c>
      <c r="V774" s="60">
        <f>+'видатки_затв '!H175</f>
        <v>0</v>
      </c>
      <c r="W774" s="60">
        <f>+'видатки_затв '!I175</f>
        <v>0</v>
      </c>
      <c r="X774" s="60">
        <f>+'видатки_затв '!J175</f>
        <v>0</v>
      </c>
      <c r="Y774" s="58">
        <f t="shared" si="130"/>
        <v>0</v>
      </c>
      <c r="Z774" s="58" t="e">
        <f>+#REF!-P774</f>
        <v>#REF!</v>
      </c>
      <c r="AA774" s="58">
        <f t="shared" si="131"/>
        <v>0</v>
      </c>
      <c r="AB774" s="58">
        <f t="shared" si="132"/>
        <v>0</v>
      </c>
      <c r="AC774" s="58" t="e">
        <f>+#REF!-S774</f>
        <v>#REF!</v>
      </c>
      <c r="AD774" s="58">
        <f t="shared" si="133"/>
        <v>0</v>
      </c>
      <c r="AE774" s="58">
        <f t="shared" si="134"/>
        <v>0</v>
      </c>
      <c r="AF774" s="58">
        <f t="shared" si="135"/>
        <v>0</v>
      </c>
      <c r="AG774" s="58">
        <f t="shared" si="136"/>
        <v>0</v>
      </c>
      <c r="AH774" s="58">
        <f t="shared" si="137"/>
        <v>0</v>
      </c>
      <c r="AI774" s="58">
        <f t="shared" si="138"/>
        <v>0</v>
      </c>
      <c r="AJ774" s="58" t="e">
        <f t="shared" si="139"/>
        <v>#REF!</v>
      </c>
      <c r="AK774" s="58">
        <f t="shared" si="139"/>
        <v>0</v>
      </c>
      <c r="AL774" s="58">
        <f t="shared" si="139"/>
        <v>0</v>
      </c>
      <c r="AM774" s="58" t="e">
        <f t="shared" si="139"/>
        <v>#REF!</v>
      </c>
      <c r="AN774" s="58" t="e">
        <f t="shared" si="139"/>
        <v>#REF!</v>
      </c>
      <c r="AO774" s="58">
        <f t="shared" si="139"/>
        <v>0</v>
      </c>
      <c r="AP774" s="50"/>
      <c r="AQ774" s="50"/>
    </row>
    <row r="775" spans="1:43" s="54" customFormat="1" ht="15.75" hidden="1">
      <c r="A775" s="27">
        <v>120000</v>
      </c>
      <c r="B775" s="27"/>
      <c r="C775" s="27">
        <v>120000</v>
      </c>
      <c r="D775" s="112"/>
      <c r="E775" s="146">
        <f>+E518+E523+E524</f>
        <v>6431000</v>
      </c>
      <c r="F775" s="146">
        <f>+F518+F523+F524</f>
        <v>0</v>
      </c>
      <c r="G775" s="146">
        <f>+G518+G523+G524</f>
        <v>0</v>
      </c>
      <c r="H775" s="146">
        <f t="shared" ref="H775:M775" si="146">+H518+H523+H524</f>
        <v>2900000</v>
      </c>
      <c r="I775" s="146">
        <f t="shared" si="146"/>
        <v>0</v>
      </c>
      <c r="J775" s="146">
        <f t="shared" si="146"/>
        <v>0</v>
      </c>
      <c r="K775" s="146">
        <f t="shared" si="146"/>
        <v>0</v>
      </c>
      <c r="L775" s="146">
        <f t="shared" si="146"/>
        <v>2900000</v>
      </c>
      <c r="M775" s="146">
        <f t="shared" si="146"/>
        <v>2900000</v>
      </c>
      <c r="N775" s="146"/>
      <c r="O775" s="146">
        <f>+'видатки_затв '!C210</f>
        <v>0</v>
      </c>
      <c r="P775" s="162">
        <f t="shared" si="126"/>
        <v>0</v>
      </c>
      <c r="Q775" s="60">
        <f>+'видатки_затв '!D210</f>
        <v>0</v>
      </c>
      <c r="R775" s="60">
        <f>+'видатки_затв '!E210</f>
        <v>0</v>
      </c>
      <c r="S775" s="60" t="e">
        <f>+'видатки_затв '!#REF!</f>
        <v>#REF!</v>
      </c>
      <c r="T775" s="60">
        <f>+'видатки_затв '!F210</f>
        <v>0</v>
      </c>
      <c r="U775" s="60">
        <f>+'видатки_затв '!G210</f>
        <v>0</v>
      </c>
      <c r="V775" s="60">
        <f>+'видатки_затв '!H210</f>
        <v>0</v>
      </c>
      <c r="W775" s="60">
        <f>+'видатки_затв '!I210</f>
        <v>0</v>
      </c>
      <c r="X775" s="60">
        <f>+'видатки_затв '!J210</f>
        <v>0</v>
      </c>
      <c r="Y775" s="58">
        <f t="shared" si="130"/>
        <v>6431000</v>
      </c>
      <c r="Z775" s="58" t="e">
        <f>+#REF!-P775</f>
        <v>#REF!</v>
      </c>
      <c r="AA775" s="58">
        <f t="shared" si="131"/>
        <v>0</v>
      </c>
      <c r="AB775" s="58">
        <f t="shared" si="132"/>
        <v>0</v>
      </c>
      <c r="AC775" s="58" t="e">
        <f>+#REF!-S775</f>
        <v>#REF!</v>
      </c>
      <c r="AD775" s="58">
        <f t="shared" si="133"/>
        <v>2900000</v>
      </c>
      <c r="AE775" s="58">
        <f t="shared" si="134"/>
        <v>0</v>
      </c>
      <c r="AF775" s="58">
        <f t="shared" si="135"/>
        <v>0</v>
      </c>
      <c r="AG775" s="58">
        <f t="shared" si="136"/>
        <v>0</v>
      </c>
      <c r="AH775" s="58">
        <f t="shared" si="137"/>
        <v>2900000</v>
      </c>
      <c r="AI775" s="58">
        <f t="shared" si="138"/>
        <v>-3531000</v>
      </c>
      <c r="AJ775" s="58" t="e">
        <f t="shared" si="139"/>
        <v>#REF!</v>
      </c>
      <c r="AK775" s="58">
        <f t="shared" si="139"/>
        <v>0</v>
      </c>
      <c r="AL775" s="58">
        <f t="shared" si="139"/>
        <v>0</v>
      </c>
      <c r="AM775" s="58" t="e">
        <f t="shared" si="139"/>
        <v>#REF!</v>
      </c>
      <c r="AN775" s="58" t="e">
        <f t="shared" si="139"/>
        <v>#REF!</v>
      </c>
      <c r="AO775" s="58">
        <f t="shared" si="139"/>
        <v>0</v>
      </c>
      <c r="AP775" s="50"/>
      <c r="AQ775" s="50"/>
    </row>
    <row r="776" spans="1:43" s="54" customFormat="1" ht="15.75" hidden="1">
      <c r="A776" s="27">
        <v>130000</v>
      </c>
      <c r="B776" s="27"/>
      <c r="C776" s="27">
        <v>130000</v>
      </c>
      <c r="D776" s="149" t="e">
        <f>+#REF!-E776</f>
        <v>#REF!</v>
      </c>
      <c r="E776" s="146">
        <f t="shared" ref="E776:L776" si="147">+E69+E70+E464+E472+E473+E475+E478+E479+E480+E481+E474</f>
        <v>34392500</v>
      </c>
      <c r="F776" s="146">
        <f t="shared" si="147"/>
        <v>4012300</v>
      </c>
      <c r="G776" s="146">
        <f t="shared" si="147"/>
        <v>227200</v>
      </c>
      <c r="H776" s="146">
        <f t="shared" si="147"/>
        <v>273500</v>
      </c>
      <c r="I776" s="146">
        <f t="shared" si="147"/>
        <v>253500</v>
      </c>
      <c r="J776" s="146">
        <f t="shared" si="147"/>
        <v>177500</v>
      </c>
      <c r="K776" s="146">
        <f t="shared" si="147"/>
        <v>10000</v>
      </c>
      <c r="L776" s="146">
        <f t="shared" si="147"/>
        <v>20000</v>
      </c>
      <c r="M776" s="146">
        <f>+M69+M70+M464+M472+M473+M475+M478+M479+M480+M481</f>
        <v>20000</v>
      </c>
      <c r="N776" s="146"/>
      <c r="O776" s="146">
        <f>+'видатки_затв '!C229</f>
        <v>0</v>
      </c>
      <c r="P776" s="100">
        <f t="shared" si="126"/>
        <v>0</v>
      </c>
      <c r="Q776" s="60">
        <f>+'видатки_затв '!D229</f>
        <v>0</v>
      </c>
      <c r="R776" s="60">
        <f>+'видатки_затв '!E229</f>
        <v>0</v>
      </c>
      <c r="S776" s="60" t="e">
        <f>+'видатки_затв '!#REF!</f>
        <v>#REF!</v>
      </c>
      <c r="T776" s="60">
        <f>+'видатки_затв '!F229</f>
        <v>18047800</v>
      </c>
      <c r="U776" s="60">
        <f>+'видатки_затв '!G229</f>
        <v>0</v>
      </c>
      <c r="V776" s="60">
        <f>+'видатки_затв '!H229</f>
        <v>0</v>
      </c>
      <c r="W776" s="60">
        <f>+'видатки_затв '!I229</f>
        <v>0</v>
      </c>
      <c r="X776" s="60">
        <f>+'видатки_затв '!J229</f>
        <v>18047800</v>
      </c>
      <c r="Y776" s="58">
        <f t="shared" si="130"/>
        <v>34392500</v>
      </c>
      <c r="Z776" s="58" t="e">
        <f>+#REF!-P776</f>
        <v>#REF!</v>
      </c>
      <c r="AA776" s="58">
        <f t="shared" si="131"/>
        <v>4012300</v>
      </c>
      <c r="AB776" s="58">
        <f t="shared" si="132"/>
        <v>227200</v>
      </c>
      <c r="AC776" s="58" t="e">
        <f>+#REF!-S776</f>
        <v>#REF!</v>
      </c>
      <c r="AD776" s="58">
        <f t="shared" si="133"/>
        <v>-17774300</v>
      </c>
      <c r="AE776" s="58">
        <f t="shared" si="134"/>
        <v>253500</v>
      </c>
      <c r="AF776" s="58">
        <f t="shared" si="135"/>
        <v>177500</v>
      </c>
      <c r="AG776" s="58">
        <f t="shared" si="136"/>
        <v>10000</v>
      </c>
      <c r="AH776" s="58">
        <f t="shared" si="137"/>
        <v>-18027800</v>
      </c>
      <c r="AI776" s="58">
        <f t="shared" si="138"/>
        <v>-34372500</v>
      </c>
      <c r="AJ776" s="58" t="e">
        <f t="shared" si="139"/>
        <v>#REF!</v>
      </c>
      <c r="AK776" s="58">
        <f t="shared" si="139"/>
        <v>-4012300</v>
      </c>
      <c r="AL776" s="58">
        <f t="shared" si="139"/>
        <v>-227200</v>
      </c>
      <c r="AM776" s="58" t="e">
        <f t="shared" si="139"/>
        <v>#REF!</v>
      </c>
      <c r="AN776" s="58" t="e">
        <f t="shared" si="139"/>
        <v>#REF!</v>
      </c>
      <c r="AO776" s="58">
        <f t="shared" si="139"/>
        <v>17794300</v>
      </c>
      <c r="AP776" s="50"/>
      <c r="AQ776" s="50"/>
    </row>
    <row r="777" spans="1:43" s="54" customFormat="1" ht="15.75" hidden="1">
      <c r="A777" s="27">
        <v>110000</v>
      </c>
      <c r="B777" s="27"/>
      <c r="C777" s="27">
        <v>110000</v>
      </c>
      <c r="D777" s="112"/>
      <c r="E777" s="146">
        <f t="shared" ref="E777:M777" si="148">+E68+E126+E404+E406+E414+E416+E420+E422+E424+E425</f>
        <v>98236100</v>
      </c>
      <c r="F777" s="146">
        <f t="shared" si="148"/>
        <v>29000300</v>
      </c>
      <c r="G777" s="146">
        <f t="shared" si="148"/>
        <v>2987900</v>
      </c>
      <c r="H777" s="146">
        <f t="shared" si="148"/>
        <v>3678300</v>
      </c>
      <c r="I777" s="146">
        <f t="shared" si="148"/>
        <v>1957200</v>
      </c>
      <c r="J777" s="146">
        <f t="shared" si="148"/>
        <v>236100</v>
      </c>
      <c r="K777" s="146">
        <f t="shared" si="148"/>
        <v>30700</v>
      </c>
      <c r="L777" s="146">
        <f t="shared" si="148"/>
        <v>1721100</v>
      </c>
      <c r="M777" s="146">
        <f t="shared" si="148"/>
        <v>1035000</v>
      </c>
      <c r="N777" s="146"/>
      <c r="O777" s="146">
        <f>+'видатки_затв '!C187</f>
        <v>0</v>
      </c>
      <c r="P777" s="162">
        <f t="shared" si="126"/>
        <v>0</v>
      </c>
      <c r="Q777" s="60">
        <f>+'видатки_затв '!D187</f>
        <v>0</v>
      </c>
      <c r="R777" s="60">
        <f>+'видатки_затв '!E187</f>
        <v>0</v>
      </c>
      <c r="S777" s="60" t="e">
        <f>+'видатки_затв '!#REF!</f>
        <v>#REF!</v>
      </c>
      <c r="T777" s="60">
        <f>+'видатки_затв '!F187</f>
        <v>0</v>
      </c>
      <c r="U777" s="60">
        <f>+'видатки_затв '!G187</f>
        <v>0</v>
      </c>
      <c r="V777" s="60">
        <f>+'видатки_затв '!H187</f>
        <v>0</v>
      </c>
      <c r="W777" s="60">
        <f>+'видатки_затв '!I187</f>
        <v>0</v>
      </c>
      <c r="X777" s="60">
        <f>+'видатки_затв '!J187</f>
        <v>0</v>
      </c>
      <c r="Y777" s="58">
        <f t="shared" si="130"/>
        <v>98236100</v>
      </c>
      <c r="Z777" s="58" t="e">
        <f>+#REF!-P777</f>
        <v>#REF!</v>
      </c>
      <c r="AA777" s="58">
        <f t="shared" si="131"/>
        <v>29000300</v>
      </c>
      <c r="AB777" s="58">
        <f t="shared" si="132"/>
        <v>2987900</v>
      </c>
      <c r="AC777" s="58" t="e">
        <f>+#REF!-S777</f>
        <v>#REF!</v>
      </c>
      <c r="AD777" s="58">
        <f t="shared" si="133"/>
        <v>3678300</v>
      </c>
      <c r="AE777" s="58">
        <f t="shared" si="134"/>
        <v>1957200</v>
      </c>
      <c r="AF777" s="58">
        <f t="shared" si="135"/>
        <v>236100</v>
      </c>
      <c r="AG777" s="58">
        <f t="shared" si="136"/>
        <v>30700</v>
      </c>
      <c r="AH777" s="58">
        <f t="shared" si="137"/>
        <v>1721100</v>
      </c>
      <c r="AI777" s="58">
        <f t="shared" si="138"/>
        <v>-97201100</v>
      </c>
      <c r="AJ777" s="58" t="e">
        <f t="shared" si="139"/>
        <v>#REF!</v>
      </c>
      <c r="AK777" s="58">
        <f t="shared" si="139"/>
        <v>-29000300</v>
      </c>
      <c r="AL777" s="58">
        <f t="shared" si="139"/>
        <v>-2987900</v>
      </c>
      <c r="AM777" s="58" t="e">
        <f t="shared" si="139"/>
        <v>#REF!</v>
      </c>
      <c r="AN777" s="58" t="e">
        <f t="shared" si="139"/>
        <v>#REF!</v>
      </c>
      <c r="AO777" s="58">
        <f t="shared" si="139"/>
        <v>-1957200</v>
      </c>
      <c r="AP777" s="50"/>
      <c r="AQ777" s="50"/>
    </row>
    <row r="778" spans="1:43" s="54" customFormat="1" ht="15.75" hidden="1">
      <c r="A778" s="59">
        <v>150000</v>
      </c>
      <c r="B778" s="59"/>
      <c r="C778" s="59">
        <v>150000</v>
      </c>
      <c r="D778" s="114"/>
      <c r="E778" s="167">
        <f>+E231+E605+E602+E127+E599</f>
        <v>0</v>
      </c>
      <c r="F778" s="60">
        <f>+F231+F605+F602</f>
        <v>0</v>
      </c>
      <c r="G778" s="60">
        <f>+G231+G605+G602</f>
        <v>0</v>
      </c>
      <c r="H778" s="60">
        <f t="shared" ref="H778:M778" si="149">+H231+H605+H602+H599</f>
        <v>0</v>
      </c>
      <c r="I778" s="60">
        <f t="shared" si="149"/>
        <v>0</v>
      </c>
      <c r="J778" s="60">
        <f t="shared" si="149"/>
        <v>0</v>
      </c>
      <c r="K778" s="60">
        <f t="shared" si="149"/>
        <v>0</v>
      </c>
      <c r="L778" s="60">
        <f t="shared" si="149"/>
        <v>0</v>
      </c>
      <c r="M778" s="60">
        <f t="shared" si="149"/>
        <v>0</v>
      </c>
      <c r="N778" s="60"/>
      <c r="O778" s="60">
        <f>+'видатки_затв '!C233</f>
        <v>0</v>
      </c>
      <c r="P778" s="100">
        <f t="shared" si="126"/>
        <v>0</v>
      </c>
      <c r="Q778" s="60">
        <f>+'видатки_затв '!D233</f>
        <v>0</v>
      </c>
      <c r="R778" s="60">
        <f>+'видатки_затв '!E233</f>
        <v>0</v>
      </c>
      <c r="S778" s="60" t="e">
        <f>+'видатки_затв '!#REF!</f>
        <v>#REF!</v>
      </c>
      <c r="T778" s="60">
        <f>+'видатки_затв '!F233</f>
        <v>0</v>
      </c>
      <c r="U778" s="60">
        <f>+'видатки_затв '!G233</f>
        <v>0</v>
      </c>
      <c r="V778" s="60">
        <f>+'видатки_затв '!H233</f>
        <v>0</v>
      </c>
      <c r="W778" s="60">
        <f>+'видатки_затв '!I233</f>
        <v>0</v>
      </c>
      <c r="X778" s="60">
        <f>+'видатки_затв '!J233</f>
        <v>0</v>
      </c>
      <c r="Y778" s="58">
        <f t="shared" si="130"/>
        <v>0</v>
      </c>
      <c r="Z778" s="58" t="e">
        <f>+#REF!-P778</f>
        <v>#REF!</v>
      </c>
      <c r="AA778" s="58">
        <f t="shared" si="131"/>
        <v>0</v>
      </c>
      <c r="AB778" s="58">
        <f t="shared" si="132"/>
        <v>0</v>
      </c>
      <c r="AC778" s="58" t="e">
        <f>+#REF!-S778</f>
        <v>#REF!</v>
      </c>
      <c r="AD778" s="58">
        <f t="shared" si="133"/>
        <v>0</v>
      </c>
      <c r="AE778" s="58">
        <f t="shared" si="134"/>
        <v>0</v>
      </c>
      <c r="AF778" s="58">
        <f t="shared" si="135"/>
        <v>0</v>
      </c>
      <c r="AG778" s="58">
        <f t="shared" si="136"/>
        <v>0</v>
      </c>
      <c r="AH778" s="58">
        <f t="shared" si="137"/>
        <v>0</v>
      </c>
      <c r="AI778" s="58">
        <f t="shared" si="138"/>
        <v>0</v>
      </c>
      <c r="AJ778" s="58" t="e">
        <f t="shared" si="139"/>
        <v>#REF!</v>
      </c>
      <c r="AK778" s="58">
        <f t="shared" si="139"/>
        <v>0</v>
      </c>
      <c r="AL778" s="58">
        <f t="shared" si="139"/>
        <v>0</v>
      </c>
      <c r="AM778" s="58" t="e">
        <f t="shared" si="139"/>
        <v>#REF!</v>
      </c>
      <c r="AN778" s="58" t="e">
        <f t="shared" si="139"/>
        <v>#REF!</v>
      </c>
      <c r="AO778" s="58">
        <f t="shared" si="139"/>
        <v>0</v>
      </c>
      <c r="AP778" s="50"/>
      <c r="AQ778" s="50"/>
    </row>
    <row r="779" spans="1:43" s="54" customFormat="1" ht="15.75" hidden="1">
      <c r="A779" s="27">
        <v>160000</v>
      </c>
      <c r="B779" s="27"/>
      <c r="C779" s="27">
        <v>160000</v>
      </c>
      <c r="D779" s="112"/>
      <c r="E779" s="146">
        <f>+E542</f>
        <v>7100000</v>
      </c>
      <c r="F779" s="146">
        <f>+F542</f>
        <v>0</v>
      </c>
      <c r="G779" s="146">
        <f>+G542</f>
        <v>0</v>
      </c>
      <c r="H779" s="146">
        <f t="shared" ref="H779:M779" si="150">+H542</f>
        <v>3000000</v>
      </c>
      <c r="I779" s="146">
        <f t="shared" si="150"/>
        <v>0</v>
      </c>
      <c r="J779" s="146">
        <f t="shared" si="150"/>
        <v>0</v>
      </c>
      <c r="K779" s="146">
        <f t="shared" si="150"/>
        <v>0</v>
      </c>
      <c r="L779" s="146">
        <f t="shared" si="150"/>
        <v>3000000</v>
      </c>
      <c r="M779" s="146">
        <f t="shared" si="150"/>
        <v>0</v>
      </c>
      <c r="N779" s="146"/>
      <c r="O779" s="146">
        <f>+'видатки_затв '!C253</f>
        <v>0</v>
      </c>
      <c r="P779" s="100">
        <f t="shared" si="126"/>
        <v>0</v>
      </c>
      <c r="Q779" s="60">
        <f>+'видатки_затв '!D253</f>
        <v>0</v>
      </c>
      <c r="R779" s="60">
        <f>+'видатки_затв '!E253</f>
        <v>0</v>
      </c>
      <c r="S779" s="60" t="e">
        <f>+'видатки_затв '!#REF!</f>
        <v>#REF!</v>
      </c>
      <c r="T779" s="60">
        <f>+'видатки_затв '!F253</f>
        <v>0</v>
      </c>
      <c r="U779" s="60">
        <f>+'видатки_затв '!G253</f>
        <v>0</v>
      </c>
      <c r="V779" s="60">
        <f>+'видатки_затв '!H253</f>
        <v>0</v>
      </c>
      <c r="W779" s="60">
        <f>+'видатки_затв '!I253</f>
        <v>0</v>
      </c>
      <c r="X779" s="60">
        <f>+'видатки_затв '!J253</f>
        <v>0</v>
      </c>
      <c r="Y779" s="58">
        <f t="shared" si="130"/>
        <v>7100000</v>
      </c>
      <c r="Z779" s="58" t="e">
        <f>+#REF!-P779</f>
        <v>#REF!</v>
      </c>
      <c r="AA779" s="58">
        <f t="shared" si="131"/>
        <v>0</v>
      </c>
      <c r="AB779" s="58">
        <f t="shared" si="132"/>
        <v>0</v>
      </c>
      <c r="AC779" s="58" t="e">
        <f>+#REF!-S779</f>
        <v>#REF!</v>
      </c>
      <c r="AD779" s="58">
        <f t="shared" si="133"/>
        <v>3000000</v>
      </c>
      <c r="AE779" s="58">
        <f t="shared" si="134"/>
        <v>0</v>
      </c>
      <c r="AF779" s="58">
        <f t="shared" si="135"/>
        <v>0</v>
      </c>
      <c r="AG779" s="58">
        <f t="shared" si="136"/>
        <v>0</v>
      </c>
      <c r="AH779" s="58">
        <f t="shared" si="137"/>
        <v>3000000</v>
      </c>
      <c r="AI779" s="58">
        <f t="shared" si="138"/>
        <v>-7100000</v>
      </c>
      <c r="AJ779" s="58" t="e">
        <f t="shared" si="139"/>
        <v>#REF!</v>
      </c>
      <c r="AK779" s="58">
        <f t="shared" si="139"/>
        <v>0</v>
      </c>
      <c r="AL779" s="58">
        <f t="shared" si="139"/>
        <v>0</v>
      </c>
      <c r="AM779" s="58" t="e">
        <f t="shared" si="139"/>
        <v>#REF!</v>
      </c>
      <c r="AN779" s="58" t="e">
        <f t="shared" si="139"/>
        <v>#REF!</v>
      </c>
      <c r="AO779" s="58">
        <f t="shared" si="139"/>
        <v>0</v>
      </c>
      <c r="AP779" s="50"/>
      <c r="AQ779" s="50"/>
    </row>
    <row r="780" spans="1:43" s="54" customFormat="1" ht="15.75" hidden="1">
      <c r="A780" s="27">
        <v>170000</v>
      </c>
      <c r="B780" s="27"/>
      <c r="C780" s="27">
        <v>170000</v>
      </c>
      <c r="D780" s="112"/>
      <c r="E780" s="146">
        <f t="shared" ref="E780:M780" si="151">+E204+E206+E207</f>
        <v>0</v>
      </c>
      <c r="F780" s="146">
        <f t="shared" si="151"/>
        <v>0</v>
      </c>
      <c r="G780" s="146">
        <f t="shared" si="151"/>
        <v>0</v>
      </c>
      <c r="H780" s="146">
        <f t="shared" si="151"/>
        <v>18000000</v>
      </c>
      <c r="I780" s="146">
        <f t="shared" si="151"/>
        <v>0</v>
      </c>
      <c r="J780" s="146">
        <f t="shared" si="151"/>
        <v>0</v>
      </c>
      <c r="K780" s="146">
        <f t="shared" si="151"/>
        <v>0</v>
      </c>
      <c r="L780" s="146">
        <f t="shared" si="151"/>
        <v>18000000</v>
      </c>
      <c r="M780" s="146">
        <f t="shared" si="151"/>
        <v>0</v>
      </c>
      <c r="N780" s="146"/>
      <c r="O780" s="146">
        <f>+'видатки_затв '!C265</f>
        <v>0</v>
      </c>
      <c r="P780" s="100">
        <f t="shared" si="126"/>
        <v>0</v>
      </c>
      <c r="Q780" s="60">
        <f>+'видатки_затв '!D265</f>
        <v>0</v>
      </c>
      <c r="R780" s="60">
        <f>+'видатки_затв '!E265</f>
        <v>0</v>
      </c>
      <c r="S780" s="60" t="e">
        <f>+'видатки_затв '!#REF!</f>
        <v>#REF!</v>
      </c>
      <c r="T780" s="60">
        <f>+'видатки_затв '!F265</f>
        <v>0</v>
      </c>
      <c r="U780" s="60">
        <f>+'видатки_затв '!G265</f>
        <v>0</v>
      </c>
      <c r="V780" s="60">
        <f>+'видатки_затв '!H265</f>
        <v>0</v>
      </c>
      <c r="W780" s="60">
        <f>+'видатки_затв '!I265</f>
        <v>0</v>
      </c>
      <c r="X780" s="60">
        <f>+'видатки_затв '!J265</f>
        <v>0</v>
      </c>
      <c r="Y780" s="58">
        <f t="shared" si="130"/>
        <v>0</v>
      </c>
      <c r="Z780" s="58" t="e">
        <f>+#REF!-P780</f>
        <v>#REF!</v>
      </c>
      <c r="AA780" s="58">
        <f t="shared" si="131"/>
        <v>0</v>
      </c>
      <c r="AB780" s="58">
        <f t="shared" si="132"/>
        <v>0</v>
      </c>
      <c r="AC780" s="58" t="e">
        <f>+#REF!-S780</f>
        <v>#REF!</v>
      </c>
      <c r="AD780" s="58">
        <f t="shared" si="133"/>
        <v>18000000</v>
      </c>
      <c r="AE780" s="58">
        <f t="shared" si="134"/>
        <v>0</v>
      </c>
      <c r="AF780" s="58">
        <f t="shared" si="135"/>
        <v>0</v>
      </c>
      <c r="AG780" s="58">
        <f t="shared" si="136"/>
        <v>0</v>
      </c>
      <c r="AH780" s="58">
        <f t="shared" si="137"/>
        <v>18000000</v>
      </c>
      <c r="AI780" s="58">
        <f t="shared" si="138"/>
        <v>0</v>
      </c>
      <c r="AJ780" s="58" t="e">
        <f t="shared" si="139"/>
        <v>#REF!</v>
      </c>
      <c r="AK780" s="58">
        <f t="shared" si="139"/>
        <v>0</v>
      </c>
      <c r="AL780" s="58">
        <f t="shared" si="139"/>
        <v>0</v>
      </c>
      <c r="AM780" s="58" t="e">
        <f t="shared" si="139"/>
        <v>#REF!</v>
      </c>
      <c r="AN780" s="58" t="e">
        <f t="shared" si="139"/>
        <v>#REF!</v>
      </c>
      <c r="AO780" s="58">
        <f t="shared" si="139"/>
        <v>0</v>
      </c>
      <c r="AP780" s="50"/>
      <c r="AQ780" s="50"/>
    </row>
    <row r="781" spans="1:43" s="54" customFormat="1" ht="15.75" hidden="1">
      <c r="A781" s="27">
        <v>180000</v>
      </c>
      <c r="B781" s="27"/>
      <c r="C781" s="27">
        <v>180000</v>
      </c>
      <c r="D781" s="112"/>
      <c r="E781" s="146">
        <f t="shared" ref="E781:M781" si="152">+E688+E691+E728+E734</f>
        <v>4000000</v>
      </c>
      <c r="F781" s="146">
        <f t="shared" si="152"/>
        <v>0</v>
      </c>
      <c r="G781" s="146">
        <f t="shared" si="152"/>
        <v>0</v>
      </c>
      <c r="H781" s="146">
        <f t="shared" si="152"/>
        <v>1000000</v>
      </c>
      <c r="I781" s="146">
        <f t="shared" si="152"/>
        <v>0</v>
      </c>
      <c r="J781" s="146">
        <f t="shared" si="152"/>
        <v>0</v>
      </c>
      <c r="K781" s="146">
        <f t="shared" si="152"/>
        <v>0</v>
      </c>
      <c r="L781" s="146">
        <f t="shared" si="152"/>
        <v>1000000</v>
      </c>
      <c r="M781" s="146">
        <f t="shared" si="152"/>
        <v>1000000</v>
      </c>
      <c r="N781" s="146"/>
      <c r="O781" s="146">
        <f>+'видатки_затв '!C276</f>
        <v>0</v>
      </c>
      <c r="P781" s="100">
        <f t="shared" si="126"/>
        <v>0</v>
      </c>
      <c r="Q781" s="60">
        <f>+'видатки_затв '!D276</f>
        <v>0</v>
      </c>
      <c r="R781" s="60">
        <f>+'видатки_затв '!E276</f>
        <v>0</v>
      </c>
      <c r="S781" s="60" t="e">
        <f>+'видатки_затв '!#REF!</f>
        <v>#REF!</v>
      </c>
      <c r="T781" s="60">
        <f>+'видатки_затв '!F276</f>
        <v>0</v>
      </c>
      <c r="U781" s="60">
        <f>+'видатки_затв '!G276</f>
        <v>0</v>
      </c>
      <c r="V781" s="60">
        <f>+'видатки_затв '!H276</f>
        <v>0</v>
      </c>
      <c r="W781" s="60">
        <f>+'видатки_затв '!I276</f>
        <v>0</v>
      </c>
      <c r="X781" s="60">
        <f>+'видатки_затв '!J276</f>
        <v>0</v>
      </c>
      <c r="Y781" s="58">
        <f t="shared" si="130"/>
        <v>4000000</v>
      </c>
      <c r="Z781" s="58" t="e">
        <f>+#REF!-P781</f>
        <v>#REF!</v>
      </c>
      <c r="AA781" s="58">
        <f t="shared" si="131"/>
        <v>0</v>
      </c>
      <c r="AB781" s="58">
        <f t="shared" si="132"/>
        <v>0</v>
      </c>
      <c r="AC781" s="58" t="e">
        <f>+#REF!-S781</f>
        <v>#REF!</v>
      </c>
      <c r="AD781" s="58">
        <f t="shared" si="133"/>
        <v>1000000</v>
      </c>
      <c r="AE781" s="58">
        <f t="shared" si="134"/>
        <v>0</v>
      </c>
      <c r="AF781" s="58">
        <f t="shared" si="135"/>
        <v>0</v>
      </c>
      <c r="AG781" s="58">
        <f t="shared" si="136"/>
        <v>0</v>
      </c>
      <c r="AH781" s="58">
        <f t="shared" si="137"/>
        <v>1000000</v>
      </c>
      <c r="AI781" s="58">
        <f t="shared" si="138"/>
        <v>-3000000</v>
      </c>
      <c r="AJ781" s="58" t="e">
        <f t="shared" si="139"/>
        <v>#REF!</v>
      </c>
      <c r="AK781" s="58">
        <f t="shared" si="139"/>
        <v>0</v>
      </c>
      <c r="AL781" s="58">
        <f t="shared" si="139"/>
        <v>0</v>
      </c>
      <c r="AM781" s="58" t="e">
        <f t="shared" si="139"/>
        <v>#REF!</v>
      </c>
      <c r="AN781" s="58" t="e">
        <f t="shared" si="139"/>
        <v>#REF!</v>
      </c>
      <c r="AO781" s="58">
        <f t="shared" si="139"/>
        <v>0</v>
      </c>
      <c r="AP781" s="50"/>
      <c r="AQ781" s="50"/>
    </row>
    <row r="782" spans="1:43" s="54" customFormat="1" ht="15.75" hidden="1">
      <c r="A782" s="27">
        <v>210000</v>
      </c>
      <c r="B782" s="27"/>
      <c r="C782" s="27">
        <v>210000</v>
      </c>
      <c r="D782" s="112"/>
      <c r="E782" s="146">
        <f>+E721+E723</f>
        <v>2100000</v>
      </c>
      <c r="F782" s="146">
        <f>+F721+F723</f>
        <v>0</v>
      </c>
      <c r="G782" s="146">
        <f>+G721+G723</f>
        <v>0</v>
      </c>
      <c r="H782" s="146">
        <f t="shared" ref="H782:M782" si="153">+H721+H723</f>
        <v>0</v>
      </c>
      <c r="I782" s="146">
        <f t="shared" si="153"/>
        <v>0</v>
      </c>
      <c r="J782" s="146">
        <f t="shared" si="153"/>
        <v>0</v>
      </c>
      <c r="K782" s="146">
        <f t="shared" si="153"/>
        <v>0</v>
      </c>
      <c r="L782" s="146">
        <f t="shared" si="153"/>
        <v>0</v>
      </c>
      <c r="M782" s="146">
        <f t="shared" si="153"/>
        <v>0</v>
      </c>
      <c r="N782" s="146"/>
      <c r="O782" s="146">
        <f>+'видатки_затв '!C303</f>
        <v>0</v>
      </c>
      <c r="P782" s="100">
        <f t="shared" si="126"/>
        <v>0</v>
      </c>
      <c r="Q782" s="60">
        <f>+'видатки_затв '!D303</f>
        <v>0</v>
      </c>
      <c r="R782" s="60">
        <f>+'видатки_затв '!E303</f>
        <v>0</v>
      </c>
      <c r="S782" s="60" t="e">
        <f>+'видатки_затв '!#REF!</f>
        <v>#REF!</v>
      </c>
      <c r="T782" s="60">
        <f>+'видатки_затв '!F303</f>
        <v>0</v>
      </c>
      <c r="U782" s="60">
        <f>+'видатки_затв '!G303</f>
        <v>0</v>
      </c>
      <c r="V782" s="60">
        <f>+'видатки_затв '!H303</f>
        <v>0</v>
      </c>
      <c r="W782" s="60">
        <f>+'видатки_затв '!I303</f>
        <v>0</v>
      </c>
      <c r="X782" s="60">
        <f>+'видатки_затв '!J303</f>
        <v>0</v>
      </c>
      <c r="Y782" s="58">
        <f t="shared" si="130"/>
        <v>2100000</v>
      </c>
      <c r="Z782" s="58" t="e">
        <f>+#REF!-P782</f>
        <v>#REF!</v>
      </c>
      <c r="AA782" s="58">
        <f t="shared" si="131"/>
        <v>0</v>
      </c>
      <c r="AB782" s="58">
        <f t="shared" si="132"/>
        <v>0</v>
      </c>
      <c r="AC782" s="58" t="e">
        <f>+#REF!-S782</f>
        <v>#REF!</v>
      </c>
      <c r="AD782" s="58">
        <f t="shared" si="133"/>
        <v>0</v>
      </c>
      <c r="AE782" s="58">
        <f t="shared" si="134"/>
        <v>0</v>
      </c>
      <c r="AF782" s="58">
        <f t="shared" si="135"/>
        <v>0</v>
      </c>
      <c r="AG782" s="58">
        <f t="shared" si="136"/>
        <v>0</v>
      </c>
      <c r="AH782" s="58">
        <f t="shared" si="137"/>
        <v>0</v>
      </c>
      <c r="AI782" s="58">
        <f t="shared" si="138"/>
        <v>-2100000</v>
      </c>
      <c r="AJ782" s="58" t="e">
        <f t="shared" si="139"/>
        <v>#REF!</v>
      </c>
      <c r="AK782" s="58">
        <f t="shared" si="139"/>
        <v>0</v>
      </c>
      <c r="AL782" s="58">
        <f t="shared" si="139"/>
        <v>0</v>
      </c>
      <c r="AM782" s="58" t="e">
        <f t="shared" si="139"/>
        <v>#REF!</v>
      </c>
      <c r="AN782" s="58" t="e">
        <f t="shared" si="139"/>
        <v>#REF!</v>
      </c>
      <c r="AO782" s="58">
        <f t="shared" ref="AO782:AO787" si="154">+T782-AE782</f>
        <v>0</v>
      </c>
      <c r="AP782" s="50"/>
      <c r="AQ782" s="50"/>
    </row>
    <row r="783" spans="1:43" s="54" customFormat="1" ht="15.75" hidden="1">
      <c r="A783" s="27">
        <v>250404</v>
      </c>
      <c r="B783" s="27"/>
      <c r="C783" s="27">
        <v>250404</v>
      </c>
      <c r="D783" s="150"/>
      <c r="E783" s="146">
        <f>+E245+E507</f>
        <v>0</v>
      </c>
      <c r="F783" s="146">
        <f>+'видатки по розпорядниках'!F250+'видатки по розпорядниках'!F507+'видатки по розпорядниках'!F742</f>
        <v>0</v>
      </c>
      <c r="G783" s="146">
        <f>+'видатки по розпорядниках'!G250+'видатки по розпорядниках'!G507+'видатки по розпорядниках'!G742</f>
        <v>0</v>
      </c>
      <c r="H783" s="146">
        <f>+'видатки по розпорядниках'!H250+'видатки по розпорядниках'!H507+'видатки по розпорядниках'!H742</f>
        <v>0</v>
      </c>
      <c r="I783" s="146">
        <f>+'видатки по розпорядниках'!I250+'видатки по розпорядниках'!I507+'видатки по розпорядниках'!I742</f>
        <v>0</v>
      </c>
      <c r="J783" s="146">
        <f>+'видатки по розпорядниках'!J250+'видатки по розпорядниках'!J507+'видатки по розпорядниках'!J742</f>
        <v>0</v>
      </c>
      <c r="K783" s="146">
        <f>+'видатки по розпорядниках'!K250+'видатки по розпорядниках'!K507+'видатки по розпорядниках'!K742</f>
        <v>0</v>
      </c>
      <c r="L783" s="146">
        <f>+'видатки по розпорядниках'!L250+'видатки по розпорядниках'!L507+'видатки по розпорядниках'!L742</f>
        <v>0</v>
      </c>
      <c r="M783" s="146">
        <f>+'видатки по розпорядниках'!M250+'видатки по розпорядниках'!M507+'видатки по розпорядниках'!M742</f>
        <v>0</v>
      </c>
      <c r="N783" s="146"/>
      <c r="O783" s="146">
        <f>+'видатки_затв '!C325</f>
        <v>0</v>
      </c>
      <c r="P783" s="100">
        <f t="shared" si="126"/>
        <v>0</v>
      </c>
      <c r="Q783" s="60">
        <f>+'видатки_затв '!D325</f>
        <v>0</v>
      </c>
      <c r="R783" s="60">
        <f>+'видатки_затв '!E325</f>
        <v>0</v>
      </c>
      <c r="S783" s="60" t="e">
        <f>+'видатки_затв '!#REF!</f>
        <v>#REF!</v>
      </c>
      <c r="T783" s="60">
        <f>+'видатки_затв '!F325</f>
        <v>-147800</v>
      </c>
      <c r="U783" s="60">
        <f>+'видатки_затв '!G325</f>
        <v>0</v>
      </c>
      <c r="V783" s="60">
        <f>+'видатки_затв '!H325</f>
        <v>0</v>
      </c>
      <c r="W783" s="60">
        <f>+'видатки_затв '!I325</f>
        <v>0</v>
      </c>
      <c r="X783" s="60">
        <f>+'видатки_затв '!J325</f>
        <v>-147800</v>
      </c>
      <c r="Y783" s="58">
        <f t="shared" si="130"/>
        <v>0</v>
      </c>
      <c r="Z783" s="58" t="e">
        <f>+#REF!-P783</f>
        <v>#REF!</v>
      </c>
      <c r="AA783" s="58">
        <f t="shared" si="131"/>
        <v>0</v>
      </c>
      <c r="AB783" s="58">
        <f t="shared" si="132"/>
        <v>0</v>
      </c>
      <c r="AC783" s="58" t="e">
        <f>+#REF!-S783</f>
        <v>#REF!</v>
      </c>
      <c r="AD783" s="58">
        <f t="shared" si="133"/>
        <v>147800</v>
      </c>
      <c r="AE783" s="58">
        <f t="shared" si="134"/>
        <v>0</v>
      </c>
      <c r="AF783" s="58">
        <f t="shared" si="135"/>
        <v>0</v>
      </c>
      <c r="AG783" s="58">
        <f t="shared" si="136"/>
        <v>0</v>
      </c>
      <c r="AH783" s="58">
        <f t="shared" si="137"/>
        <v>147800</v>
      </c>
      <c r="AI783" s="58">
        <f t="shared" si="138"/>
        <v>0</v>
      </c>
      <c r="AJ783" s="58" t="e">
        <f t="shared" ref="AJ783:AN786" si="155">+O783-Z783</f>
        <v>#REF!</v>
      </c>
      <c r="AK783" s="58">
        <f t="shared" si="155"/>
        <v>0</v>
      </c>
      <c r="AL783" s="58">
        <f t="shared" si="155"/>
        <v>0</v>
      </c>
      <c r="AM783" s="58" t="e">
        <f t="shared" si="155"/>
        <v>#REF!</v>
      </c>
      <c r="AN783" s="58" t="e">
        <f t="shared" si="155"/>
        <v>#REF!</v>
      </c>
      <c r="AO783" s="58">
        <f t="shared" si="154"/>
        <v>-147800</v>
      </c>
      <c r="AP783" s="50"/>
      <c r="AQ783" s="50"/>
    </row>
    <row r="784" spans="1:43" ht="15.75" hidden="1">
      <c r="A784" s="27">
        <v>250102</v>
      </c>
      <c r="B784" s="27"/>
      <c r="C784" s="27">
        <v>250102</v>
      </c>
      <c r="D784" s="112"/>
      <c r="E784" s="151">
        <f>+E248</f>
        <v>0</v>
      </c>
      <c r="F784" s="151">
        <f>+F248</f>
        <v>0</v>
      </c>
      <c r="G784" s="151">
        <f>+G248</f>
        <v>0</v>
      </c>
      <c r="H784" s="151">
        <f t="shared" ref="H784:M784" si="156">+H248</f>
        <v>0</v>
      </c>
      <c r="I784" s="151">
        <f t="shared" si="156"/>
        <v>0</v>
      </c>
      <c r="J784" s="151">
        <f t="shared" si="156"/>
        <v>0</v>
      </c>
      <c r="K784" s="151">
        <f t="shared" si="156"/>
        <v>0</v>
      </c>
      <c r="L784" s="151">
        <f t="shared" si="156"/>
        <v>0</v>
      </c>
      <c r="M784" s="151">
        <f t="shared" si="156"/>
        <v>0</v>
      </c>
      <c r="N784" s="151"/>
      <c r="O784" s="146">
        <f>+'видатки_затв '!C322</f>
        <v>0</v>
      </c>
      <c r="P784" s="100">
        <f t="shared" si="126"/>
        <v>0</v>
      </c>
      <c r="Q784" s="146">
        <f>+'видатки_затв '!D322</f>
        <v>0</v>
      </c>
      <c r="R784" s="146">
        <f>+'видатки_затв '!E322</f>
        <v>0</v>
      </c>
      <c r="S784" s="146" t="e">
        <f>+'видатки_затв '!#REF!</f>
        <v>#REF!</v>
      </c>
      <c r="T784" s="146">
        <f>+'видатки_затв '!F322</f>
        <v>0</v>
      </c>
      <c r="U784" s="146">
        <f>+'видатки_затв '!G322</f>
        <v>0</v>
      </c>
      <c r="V784" s="146">
        <f>+'видатки_затв '!H322</f>
        <v>0</v>
      </c>
      <c r="W784" s="146">
        <f>+'видатки_затв '!I322</f>
        <v>0</v>
      </c>
      <c r="X784" s="146">
        <f>+'видатки_затв '!J322</f>
        <v>0</v>
      </c>
      <c r="Y784" s="29">
        <f t="shared" si="130"/>
        <v>0</v>
      </c>
      <c r="Z784" s="29" t="e">
        <f>+#REF!-P784</f>
        <v>#REF!</v>
      </c>
      <c r="AA784" s="29">
        <f t="shared" si="131"/>
        <v>0</v>
      </c>
      <c r="AB784" s="29">
        <f t="shared" si="132"/>
        <v>0</v>
      </c>
      <c r="AC784" s="29" t="e">
        <f>+#REF!-S784</f>
        <v>#REF!</v>
      </c>
      <c r="AD784" s="29">
        <f t="shared" si="133"/>
        <v>0</v>
      </c>
      <c r="AE784" s="29">
        <f t="shared" si="134"/>
        <v>0</v>
      </c>
      <c r="AF784" s="29">
        <f t="shared" si="135"/>
        <v>0</v>
      </c>
      <c r="AG784" s="29">
        <f t="shared" si="136"/>
        <v>0</v>
      </c>
      <c r="AH784" s="29">
        <f t="shared" si="137"/>
        <v>0</v>
      </c>
      <c r="AI784" s="29">
        <f t="shared" si="138"/>
        <v>0</v>
      </c>
      <c r="AJ784" s="29" t="e">
        <f t="shared" si="155"/>
        <v>#REF!</v>
      </c>
      <c r="AK784" s="29">
        <f t="shared" si="155"/>
        <v>0</v>
      </c>
      <c r="AL784" s="29">
        <f t="shared" si="155"/>
        <v>0</v>
      </c>
      <c r="AM784" s="29" t="e">
        <f t="shared" si="155"/>
        <v>#REF!</v>
      </c>
      <c r="AN784" s="29" t="e">
        <f t="shared" si="155"/>
        <v>#REF!</v>
      </c>
      <c r="AO784" s="29">
        <f t="shared" si="154"/>
        <v>0</v>
      </c>
      <c r="AP784" s="28"/>
    </row>
    <row r="785" spans="1:43" s="54" customFormat="1" ht="15.75">
      <c r="A785" s="27">
        <v>250300</v>
      </c>
      <c r="B785" s="27"/>
      <c r="C785" s="27">
        <v>250300</v>
      </c>
      <c r="D785" s="150"/>
      <c r="E785" s="151">
        <f t="shared" ref="E785:M785" si="157">+E268+E332+E340+E345</f>
        <v>3278419700</v>
      </c>
      <c r="F785" s="151">
        <f t="shared" si="157"/>
        <v>0</v>
      </c>
      <c r="G785" s="151">
        <f t="shared" si="157"/>
        <v>0</v>
      </c>
      <c r="H785" s="151">
        <f t="shared" si="157"/>
        <v>0</v>
      </c>
      <c r="I785" s="151">
        <f t="shared" si="157"/>
        <v>0</v>
      </c>
      <c r="J785" s="151">
        <f t="shared" si="157"/>
        <v>0</v>
      </c>
      <c r="K785" s="151">
        <f t="shared" si="157"/>
        <v>0</v>
      </c>
      <c r="L785" s="151">
        <f t="shared" si="157"/>
        <v>0</v>
      </c>
      <c r="M785" s="151">
        <f t="shared" si="157"/>
        <v>0</v>
      </c>
      <c r="N785" s="151"/>
      <c r="O785" s="146">
        <f>+'видатки_затв '!C353+'видатки_затв '!C418</f>
        <v>67591500</v>
      </c>
      <c r="P785" s="162">
        <f t="shared" si="126"/>
        <v>67591500</v>
      </c>
      <c r="Q785" s="60">
        <f>+'видатки_затв '!D353+'видатки_затв '!D418</f>
        <v>0</v>
      </c>
      <c r="R785" s="60">
        <f>+'видатки_затв '!E353+'видатки_затв '!E418</f>
        <v>0</v>
      </c>
      <c r="S785" s="60" t="e">
        <f>+'видатки_затв '!#REF!+'видатки_затв '!#REF!</f>
        <v>#REF!</v>
      </c>
      <c r="T785" s="60">
        <f>+'видатки_затв '!F353+'видатки_затв '!F418</f>
        <v>0</v>
      </c>
      <c r="U785" s="60">
        <f>+'видатки_затв '!G353+'видатки_затв '!G418</f>
        <v>0</v>
      </c>
      <c r="V785" s="60">
        <f>+'видатки_затв '!H353+'видатки_затв '!H418</f>
        <v>0</v>
      </c>
      <c r="W785" s="60">
        <f>+'видатки_затв '!I353+'видатки_затв '!I418</f>
        <v>0</v>
      </c>
      <c r="X785" s="60">
        <f>+'видатки_затв '!J353+'видатки_затв '!J418</f>
        <v>0</v>
      </c>
      <c r="Y785" s="58">
        <f t="shared" si="130"/>
        <v>3210828200</v>
      </c>
      <c r="Z785" s="58" t="e">
        <f>+#REF!-P785</f>
        <v>#REF!</v>
      </c>
      <c r="AA785" s="58">
        <f t="shared" si="131"/>
        <v>0</v>
      </c>
      <c r="AB785" s="58">
        <f t="shared" si="132"/>
        <v>0</v>
      </c>
      <c r="AC785" s="58" t="e">
        <f>+#REF!-S785</f>
        <v>#REF!</v>
      </c>
      <c r="AD785" s="58">
        <f t="shared" si="133"/>
        <v>0</v>
      </c>
      <c r="AE785" s="58">
        <f t="shared" si="134"/>
        <v>0</v>
      </c>
      <c r="AF785" s="58">
        <f t="shared" si="135"/>
        <v>0</v>
      </c>
      <c r="AG785" s="58">
        <f t="shared" si="136"/>
        <v>0</v>
      </c>
      <c r="AH785" s="58">
        <f t="shared" si="137"/>
        <v>0</v>
      </c>
      <c r="AI785" s="58">
        <f t="shared" si="138"/>
        <v>-3210828200</v>
      </c>
      <c r="AJ785" s="58" t="e">
        <f t="shared" si="155"/>
        <v>#REF!</v>
      </c>
      <c r="AK785" s="58">
        <f t="shared" si="155"/>
        <v>67591500</v>
      </c>
      <c r="AL785" s="58">
        <f t="shared" si="155"/>
        <v>0</v>
      </c>
      <c r="AM785" s="58" t="e">
        <f t="shared" si="155"/>
        <v>#REF!</v>
      </c>
      <c r="AN785" s="58" t="e">
        <f t="shared" si="155"/>
        <v>#REF!</v>
      </c>
      <c r="AO785" s="58">
        <f t="shared" si="154"/>
        <v>0</v>
      </c>
      <c r="AP785" s="50"/>
      <c r="AQ785" s="50"/>
    </row>
    <row r="786" spans="1:43" ht="15.75" hidden="1">
      <c r="A786" s="27">
        <v>250904</v>
      </c>
      <c r="B786" s="27"/>
      <c r="C786" s="27">
        <v>250904</v>
      </c>
      <c r="D786" s="112"/>
      <c r="E786" s="151">
        <f>+E253</f>
        <v>0</v>
      </c>
      <c r="F786" s="151">
        <f>+F253</f>
        <v>0</v>
      </c>
      <c r="G786" s="151">
        <f>+G253</f>
        <v>0</v>
      </c>
      <c r="H786" s="151">
        <f t="shared" ref="H786:M786" si="158">+H253</f>
        <v>0</v>
      </c>
      <c r="I786" s="151">
        <f t="shared" si="158"/>
        <v>0</v>
      </c>
      <c r="J786" s="151">
        <f t="shared" si="158"/>
        <v>0</v>
      </c>
      <c r="K786" s="151">
        <f t="shared" si="158"/>
        <v>0</v>
      </c>
      <c r="L786" s="151">
        <f t="shared" si="158"/>
        <v>0</v>
      </c>
      <c r="M786" s="151">
        <f t="shared" si="158"/>
        <v>0</v>
      </c>
      <c r="N786" s="151"/>
      <c r="O786" s="146">
        <f>+'видатки_затв '!C330</f>
        <v>0</v>
      </c>
      <c r="P786" s="162">
        <f t="shared" si="126"/>
        <v>0</v>
      </c>
      <c r="Q786" s="146">
        <f>+'видатки_затв '!D330</f>
        <v>0</v>
      </c>
      <c r="R786" s="146">
        <f>+'видатки_затв '!E330</f>
        <v>0</v>
      </c>
      <c r="S786" s="146" t="e">
        <f>+'видатки_затв '!#REF!</f>
        <v>#REF!</v>
      </c>
      <c r="T786" s="146">
        <f>+'видатки_затв '!F330</f>
        <v>0</v>
      </c>
      <c r="U786" s="146">
        <f>+'видатки_затв '!G330</f>
        <v>0</v>
      </c>
      <c r="V786" s="146">
        <f>+'видатки_затв '!H330</f>
        <v>0</v>
      </c>
      <c r="W786" s="146">
        <f>+'видатки_затв '!I330</f>
        <v>0</v>
      </c>
      <c r="X786" s="146">
        <f>+'видатки_затв '!J330</f>
        <v>0</v>
      </c>
      <c r="Y786" s="29">
        <f t="shared" si="130"/>
        <v>0</v>
      </c>
      <c r="Z786" s="29" t="e">
        <f>+#REF!-P786</f>
        <v>#REF!</v>
      </c>
      <c r="AA786" s="29">
        <f t="shared" si="131"/>
        <v>0</v>
      </c>
      <c r="AB786" s="29">
        <f t="shared" si="132"/>
        <v>0</v>
      </c>
      <c r="AC786" s="29" t="e">
        <f>+#REF!-S786</f>
        <v>#REF!</v>
      </c>
      <c r="AD786" s="29">
        <f t="shared" si="133"/>
        <v>0</v>
      </c>
      <c r="AE786" s="29">
        <f t="shared" si="134"/>
        <v>0</v>
      </c>
      <c r="AF786" s="29">
        <f t="shared" si="135"/>
        <v>0</v>
      </c>
      <c r="AG786" s="29">
        <f t="shared" si="136"/>
        <v>0</v>
      </c>
      <c r="AH786" s="29">
        <f t="shared" si="137"/>
        <v>0</v>
      </c>
      <c r="AI786" s="29">
        <f t="shared" si="138"/>
        <v>0</v>
      </c>
      <c r="AJ786" s="29" t="e">
        <f t="shared" si="155"/>
        <v>#REF!</v>
      </c>
      <c r="AK786" s="29">
        <f t="shared" si="155"/>
        <v>0</v>
      </c>
      <c r="AL786" s="29">
        <f t="shared" si="155"/>
        <v>0</v>
      </c>
      <c r="AM786" s="29" t="e">
        <f t="shared" si="155"/>
        <v>#REF!</v>
      </c>
      <c r="AN786" s="29" t="e">
        <f t="shared" si="155"/>
        <v>#REF!</v>
      </c>
      <c r="AO786" s="29">
        <f t="shared" si="154"/>
        <v>0</v>
      </c>
      <c r="AP786" s="28"/>
    </row>
    <row r="787" spans="1:43" s="54" customFormat="1" ht="15.75">
      <c r="A787" s="27" t="s">
        <v>452</v>
      </c>
      <c r="B787" s="27"/>
      <c r="C787" s="27" t="s">
        <v>452</v>
      </c>
      <c r="D787" s="149"/>
      <c r="E787" s="152">
        <f>SUBTOTAL(9,E767:E786)</f>
        <v>4597825584</v>
      </c>
      <c r="F787" s="152">
        <f t="shared" ref="F787:AJ787" si="159">SUBTOTAL(9,F767:F786)</f>
        <v>545552300</v>
      </c>
      <c r="G787" s="152">
        <f t="shared" si="159"/>
        <v>84185100</v>
      </c>
      <c r="H787" s="152" t="e">
        <f t="shared" si="159"/>
        <v>#REF!</v>
      </c>
      <c r="I787" s="152">
        <f t="shared" si="159"/>
        <v>22353900</v>
      </c>
      <c r="J787" s="152">
        <f t="shared" si="159"/>
        <v>2050100</v>
      </c>
      <c r="K787" s="152">
        <f t="shared" si="159"/>
        <v>1511100</v>
      </c>
      <c r="L787" s="152">
        <f t="shared" si="159"/>
        <v>14868400</v>
      </c>
      <c r="M787" s="152">
        <f t="shared" si="159"/>
        <v>12642400</v>
      </c>
      <c r="N787" s="152"/>
      <c r="O787" s="152">
        <f t="shared" si="159"/>
        <v>4925847884</v>
      </c>
      <c r="P787" s="162">
        <f t="shared" si="126"/>
        <v>4925847884</v>
      </c>
      <c r="Q787" s="63">
        <f t="shared" si="159"/>
        <v>349493900</v>
      </c>
      <c r="R787" s="63">
        <f t="shared" si="159"/>
        <v>60858200</v>
      </c>
      <c r="S787" s="63" t="e">
        <f t="shared" si="159"/>
        <v>#REF!</v>
      </c>
      <c r="T787" s="63">
        <f t="shared" si="159"/>
        <v>130800100</v>
      </c>
      <c r="U787" s="63">
        <f t="shared" si="159"/>
        <v>73537400</v>
      </c>
      <c r="V787" s="63">
        <f t="shared" si="159"/>
        <v>4894600</v>
      </c>
      <c r="W787" s="63">
        <f t="shared" si="159"/>
        <v>2681000</v>
      </c>
      <c r="X787" s="63">
        <f t="shared" si="159"/>
        <v>57262700</v>
      </c>
      <c r="Y787" s="63">
        <f t="shared" si="159"/>
        <v>-328022300</v>
      </c>
      <c r="Z787" s="63" t="e">
        <f t="shared" si="159"/>
        <v>#REF!</v>
      </c>
      <c r="AA787" s="63">
        <f t="shared" si="159"/>
        <v>196058400</v>
      </c>
      <c r="AB787" s="63">
        <f t="shared" si="159"/>
        <v>23326900</v>
      </c>
      <c r="AC787" s="63" t="e">
        <f t="shared" si="159"/>
        <v>#REF!</v>
      </c>
      <c r="AD787" s="63" t="e">
        <f t="shared" si="159"/>
        <v>#REF!</v>
      </c>
      <c r="AE787" s="63">
        <f t="shared" si="159"/>
        <v>-51183500</v>
      </c>
      <c r="AF787" s="63">
        <f t="shared" si="159"/>
        <v>-2844500</v>
      </c>
      <c r="AG787" s="63">
        <f t="shared" si="159"/>
        <v>-1169900</v>
      </c>
      <c r="AH787" s="63">
        <f t="shared" si="159"/>
        <v>-42394300</v>
      </c>
      <c r="AI787" s="63">
        <f t="shared" si="159"/>
        <v>340664700</v>
      </c>
      <c r="AJ787" s="63" t="e">
        <f t="shared" si="159"/>
        <v>#REF!</v>
      </c>
      <c r="AK787" s="58">
        <f>+P787-AA787</f>
        <v>4729789484</v>
      </c>
      <c r="AL787" s="58">
        <f>+Q787-AB787</f>
        <v>326167000</v>
      </c>
      <c r="AM787" s="58" t="e">
        <f>+R787-AC787</f>
        <v>#REF!</v>
      </c>
      <c r="AN787" s="58" t="e">
        <f>+S787-AD787</f>
        <v>#REF!</v>
      </c>
      <c r="AO787" s="58">
        <f t="shared" si="154"/>
        <v>181983600</v>
      </c>
      <c r="AP787" s="50"/>
      <c r="AQ787" s="50"/>
    </row>
    <row r="788" spans="1:43" s="54" customFormat="1" ht="15.75">
      <c r="A788" s="28"/>
      <c r="B788" s="28"/>
      <c r="C788" s="28"/>
      <c r="D788" s="112"/>
      <c r="E788" s="153">
        <f>+E787-'видатки_затв '!C478</f>
        <v>4597825584</v>
      </c>
      <c r="F788" s="155" t="s">
        <v>1291</v>
      </c>
      <c r="G788" s="154" t="s">
        <v>1292</v>
      </c>
      <c r="H788" s="154" t="s">
        <v>1292</v>
      </c>
      <c r="I788" s="155" t="s">
        <v>1291</v>
      </c>
      <c r="J788" s="154" t="s">
        <v>1292</v>
      </c>
      <c r="K788" s="155" t="s">
        <v>1291</v>
      </c>
      <c r="L788" s="154" t="s">
        <v>1292</v>
      </c>
      <c r="M788" s="155" t="s">
        <v>1291</v>
      </c>
      <c r="N788" s="155"/>
      <c r="O788" s="154" t="s">
        <v>1292</v>
      </c>
      <c r="P788" s="162" t="str">
        <f t="shared" si="126"/>
        <v>дод №2</v>
      </c>
      <c r="Q788" s="64" t="s">
        <v>1292</v>
      </c>
      <c r="R788" s="66"/>
      <c r="S788" s="66"/>
      <c r="T788" s="66"/>
      <c r="U788" s="66"/>
      <c r="V788" s="66"/>
      <c r="W788" s="66"/>
      <c r="X788" s="66"/>
      <c r="Y788" s="66"/>
      <c r="Z788" s="64"/>
      <c r="AA788" s="65"/>
      <c r="AB788" s="64"/>
      <c r="AC788" s="65"/>
      <c r="AD788" s="64"/>
      <c r="AE788" s="65"/>
      <c r="AF788" s="64"/>
      <c r="AG788" s="65"/>
      <c r="AH788" s="64"/>
      <c r="AI788" s="50"/>
      <c r="AJ788" s="50"/>
      <c r="AK788" s="50"/>
      <c r="AL788" s="50"/>
      <c r="AM788" s="50"/>
      <c r="AN788" s="50"/>
      <c r="AO788" s="50"/>
      <c r="AP788" s="50"/>
      <c r="AQ788" s="50"/>
    </row>
    <row r="789" spans="1:43" s="54" customFormat="1" hidden="1">
      <c r="A789" s="28"/>
      <c r="B789" s="28"/>
      <c r="C789" s="28"/>
      <c r="D789" s="150" t="e">
        <f>+#REF!-E789</f>
        <v>#REF!</v>
      </c>
      <c r="E789" s="151">
        <f>+E758</f>
        <v>6199324384</v>
      </c>
      <c r="F789" s="151" t="e">
        <f>+#REF!</f>
        <v>#REF!</v>
      </c>
      <c r="G789" s="164" t="e">
        <f>+'видатки_затв '!#REF!</f>
        <v>#REF!</v>
      </c>
      <c r="H789" s="164">
        <v>57400.7</v>
      </c>
      <c r="I789" s="151">
        <f>+G758</f>
        <v>133780100</v>
      </c>
      <c r="J789" s="164">
        <v>12347.4</v>
      </c>
      <c r="K789" s="151" t="e">
        <f>+#REF!</f>
        <v>#REF!</v>
      </c>
      <c r="L789" s="164">
        <v>6900.2</v>
      </c>
      <c r="M789" s="151">
        <f>+H758</f>
        <v>213698300</v>
      </c>
      <c r="N789" s="151"/>
      <c r="O789" s="165">
        <f>+'видатки_затв '!$F$361</f>
        <v>0</v>
      </c>
      <c r="P789" s="100">
        <f t="shared" si="126"/>
        <v>0</v>
      </c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1"/>
      <c r="AB789" s="66"/>
      <c r="AC789" s="61"/>
      <c r="AD789" s="66"/>
      <c r="AE789" s="61"/>
      <c r="AF789" s="66"/>
      <c r="AG789" s="61"/>
      <c r="AH789" s="66"/>
      <c r="AI789" s="50"/>
      <c r="AJ789" s="50"/>
      <c r="AK789" s="50"/>
      <c r="AL789" s="50"/>
      <c r="AM789" s="50"/>
      <c r="AN789" s="50"/>
      <c r="AO789" s="50"/>
      <c r="AP789" s="50"/>
      <c r="AQ789" s="50"/>
    </row>
    <row r="790" spans="1:43" s="62" customFormat="1">
      <c r="A790" s="156"/>
      <c r="B790" s="156"/>
      <c r="C790" s="156"/>
      <c r="D790" s="157" t="e">
        <f>+D789-1900</f>
        <v>#REF!</v>
      </c>
      <c r="E790" s="158" t="s">
        <v>452</v>
      </c>
      <c r="F790" s="159">
        <v>1000</v>
      </c>
      <c r="G790" s="159">
        <v>1000</v>
      </c>
      <c r="H790" s="159">
        <v>1110</v>
      </c>
      <c r="I790" s="159">
        <v>1160</v>
      </c>
      <c r="J790" s="159">
        <v>1160</v>
      </c>
      <c r="K790" s="159">
        <v>2000</v>
      </c>
      <c r="L790" s="159">
        <v>2000</v>
      </c>
      <c r="M790" s="159" t="s">
        <v>1293</v>
      </c>
      <c r="N790" s="159"/>
      <c r="O790" s="159" t="s">
        <v>1293</v>
      </c>
      <c r="P790" s="162" t="str">
        <f t="shared" si="126"/>
        <v>СПЕЦ Ф</v>
      </c>
      <c r="Q790" s="67">
        <v>1000</v>
      </c>
      <c r="R790" s="67">
        <v>1110</v>
      </c>
      <c r="S790" s="67">
        <v>1110</v>
      </c>
      <c r="T790" s="67">
        <v>1160</v>
      </c>
      <c r="U790" s="67">
        <v>1160</v>
      </c>
      <c r="V790" s="67">
        <v>2000</v>
      </c>
      <c r="W790" s="67">
        <v>2000</v>
      </c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</row>
    <row r="791" spans="1:43" s="59" customFormat="1" ht="15.75">
      <c r="A791" s="27"/>
      <c r="B791" s="27"/>
      <c r="C791" s="27"/>
      <c r="D791" s="160"/>
      <c r="E791" s="161">
        <f>+E789-E787</f>
        <v>1601498800</v>
      </c>
      <c r="F791" s="161" t="e">
        <f>+#REF!-#REF!</f>
        <v>#REF!</v>
      </c>
      <c r="G791" s="161" t="e">
        <f>+G789-F789</f>
        <v>#REF!</v>
      </c>
      <c r="H791" s="161" t="e">
        <f t="shared" ref="H791:X791" si="160">+H789-H787</f>
        <v>#REF!</v>
      </c>
      <c r="I791" s="161">
        <f t="shared" si="160"/>
        <v>111426200</v>
      </c>
      <c r="J791" s="161">
        <f t="shared" si="160"/>
        <v>-2037752.6</v>
      </c>
      <c r="K791" s="161" t="e">
        <f t="shared" si="160"/>
        <v>#REF!</v>
      </c>
      <c r="L791" s="161">
        <f t="shared" si="160"/>
        <v>-14861499.800000001</v>
      </c>
      <c r="M791" s="161">
        <f t="shared" si="160"/>
        <v>201055900</v>
      </c>
      <c r="N791" s="161"/>
      <c r="O791" s="161">
        <f>+O789-M789</f>
        <v>-213698300</v>
      </c>
      <c r="P791" s="162">
        <f t="shared" si="126"/>
        <v>-213698300</v>
      </c>
      <c r="Q791" s="68">
        <f t="shared" si="160"/>
        <v>-349493900</v>
      </c>
      <c r="R791" s="68">
        <f t="shared" si="160"/>
        <v>-60858200</v>
      </c>
      <c r="S791" s="68" t="e">
        <f t="shared" si="160"/>
        <v>#REF!</v>
      </c>
      <c r="T791" s="68">
        <f t="shared" si="160"/>
        <v>-130800100</v>
      </c>
      <c r="U791" s="68">
        <f t="shared" si="160"/>
        <v>-73537400</v>
      </c>
      <c r="V791" s="68">
        <f t="shared" si="160"/>
        <v>-4894600</v>
      </c>
      <c r="W791" s="68">
        <f t="shared" si="160"/>
        <v>-2681000</v>
      </c>
      <c r="X791" s="68">
        <f t="shared" si="160"/>
        <v>-57262700</v>
      </c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</row>
    <row r="792" spans="1:43" s="54" customFormat="1" hidden="1">
      <c r="A792" s="28"/>
      <c r="B792" s="28"/>
      <c r="C792" s="28"/>
      <c r="D792" s="112"/>
      <c r="E792" s="162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100">
        <f t="shared" si="126"/>
        <v>0</v>
      </c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</row>
    <row r="793" spans="1:43" s="54" customFormat="1" hidden="1">
      <c r="A793" s="28"/>
      <c r="B793" s="28"/>
      <c r="C793" s="28"/>
      <c r="D793" s="112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100">
        <f t="shared" si="126"/>
        <v>0</v>
      </c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</row>
    <row r="794" spans="1:43" s="54" customFormat="1" hidden="1">
      <c r="A794" s="28"/>
      <c r="B794" s="28"/>
      <c r="C794" s="28"/>
      <c r="D794" s="112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100">
        <f t="shared" si="126"/>
        <v>0</v>
      </c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</row>
    <row r="795" spans="1:43" s="54" customFormat="1" hidden="1">
      <c r="A795" s="28"/>
      <c r="B795" s="28"/>
      <c r="C795" s="28"/>
      <c r="D795" s="112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100">
        <f t="shared" si="126"/>
        <v>0</v>
      </c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</row>
    <row r="796" spans="1:43" s="54" customFormat="1" hidden="1">
      <c r="A796" s="28"/>
      <c r="B796" s="28"/>
      <c r="C796" s="28"/>
      <c r="D796" s="112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100">
        <f t="shared" si="126"/>
        <v>0</v>
      </c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</row>
    <row r="797" spans="1:43" s="54" customFormat="1" hidden="1">
      <c r="A797" s="28"/>
      <c r="B797" s="28"/>
      <c r="C797" s="28"/>
      <c r="D797" s="112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100">
        <f t="shared" si="126"/>
        <v>0</v>
      </c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</row>
    <row r="798" spans="1:43" s="50" customFormat="1" hidden="1">
      <c r="A798" s="28"/>
      <c r="B798" s="28"/>
      <c r="C798" s="28"/>
      <c r="D798" s="112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100">
        <f t="shared" si="126"/>
        <v>0</v>
      </c>
    </row>
    <row r="799" spans="1:43" s="50" customFormat="1" hidden="1">
      <c r="A799" s="28"/>
      <c r="B799" s="28"/>
      <c r="C799" s="28"/>
      <c r="D799" s="112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100">
        <f t="shared" si="126"/>
        <v>0</v>
      </c>
    </row>
    <row r="800" spans="1:43" s="50" customFormat="1" hidden="1">
      <c r="A800" s="28"/>
      <c r="B800" s="28"/>
      <c r="C800" s="28"/>
      <c r="D800" s="112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100">
        <f t="shared" si="126"/>
        <v>0</v>
      </c>
    </row>
    <row r="801" spans="1:65" s="50" customFormat="1" hidden="1">
      <c r="A801" s="28"/>
      <c r="B801" s="28"/>
      <c r="C801" s="28"/>
      <c r="D801" s="112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100">
        <f t="shared" si="126"/>
        <v>0</v>
      </c>
    </row>
    <row r="802" spans="1:65" s="50" customFormat="1" hidden="1">
      <c r="A802" s="28"/>
      <c r="B802" s="28"/>
      <c r="C802" s="28"/>
      <c r="D802" s="112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100">
        <f t="shared" si="126"/>
        <v>0</v>
      </c>
    </row>
    <row r="803" spans="1:65" s="50" customFormat="1" hidden="1">
      <c r="A803" s="28"/>
      <c r="B803" s="28"/>
      <c r="C803" s="28"/>
      <c r="D803" s="112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100">
        <f t="shared" si="126"/>
        <v>0</v>
      </c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</row>
    <row r="804" spans="1:65" s="50" customFormat="1" hidden="1">
      <c r="A804" s="28"/>
      <c r="B804" s="28"/>
      <c r="C804" s="28"/>
      <c r="D804" s="112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100">
        <f t="shared" si="126"/>
        <v>0</v>
      </c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</row>
    <row r="805" spans="1:65" s="50" customFormat="1" hidden="1">
      <c r="A805" s="28"/>
      <c r="B805" s="28"/>
      <c r="C805" s="28"/>
      <c r="D805" s="112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100">
        <f t="shared" si="126"/>
        <v>0</v>
      </c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</row>
    <row r="806" spans="1:65" s="50" customFormat="1" hidden="1">
      <c r="A806" s="28"/>
      <c r="B806" s="28"/>
      <c r="C806" s="28"/>
      <c r="D806" s="112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100">
        <f t="shared" si="126"/>
        <v>0</v>
      </c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</row>
    <row r="807" spans="1:65" s="50" customFormat="1" hidden="1">
      <c r="A807" s="28"/>
      <c r="B807" s="28"/>
      <c r="C807" s="28"/>
      <c r="D807" s="112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100">
        <f t="shared" si="126"/>
        <v>0</v>
      </c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</row>
    <row r="808" spans="1:65" s="50" customFormat="1" hidden="1">
      <c r="A808" s="28"/>
      <c r="B808" s="28"/>
      <c r="C808" s="28"/>
      <c r="D808" s="112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100">
        <f t="shared" si="126"/>
        <v>0</v>
      </c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</row>
    <row r="809" spans="1:65" s="50" customFormat="1" hidden="1">
      <c r="A809" s="28"/>
      <c r="B809" s="28"/>
      <c r="C809" s="28"/>
      <c r="D809" s="112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100">
        <f t="shared" si="126"/>
        <v>0</v>
      </c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</row>
    <row r="810" spans="1:65" s="50" customFormat="1" hidden="1">
      <c r="A810" s="28"/>
      <c r="B810" s="28"/>
      <c r="C810" s="28"/>
      <c r="D810" s="112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100">
        <f t="shared" si="126"/>
        <v>0</v>
      </c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</row>
    <row r="811" spans="1:65" s="50" customFormat="1" hidden="1">
      <c r="A811" s="28"/>
      <c r="B811" s="28"/>
      <c r="C811" s="28"/>
      <c r="D811" s="112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100">
        <f t="shared" si="126"/>
        <v>0</v>
      </c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</row>
    <row r="812" spans="1:65" s="50" customFormat="1" hidden="1">
      <c r="A812" s="28"/>
      <c r="B812" s="28"/>
      <c r="C812" s="28"/>
      <c r="D812" s="112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100">
        <f t="shared" si="126"/>
        <v>0</v>
      </c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</row>
    <row r="813" spans="1:65" s="50" customFormat="1" hidden="1">
      <c r="A813" s="28"/>
      <c r="B813" s="28"/>
      <c r="C813" s="28"/>
      <c r="D813" s="112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100">
        <f t="shared" si="126"/>
        <v>0</v>
      </c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</row>
    <row r="814" spans="1:65" s="50" customFormat="1" hidden="1">
      <c r="A814" s="28"/>
      <c r="B814" s="28"/>
      <c r="C814" s="28"/>
      <c r="D814" s="112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100">
        <f t="shared" si="126"/>
        <v>0</v>
      </c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</row>
    <row r="815" spans="1:65" s="50" customFormat="1" hidden="1">
      <c r="A815" s="28"/>
      <c r="B815" s="28"/>
      <c r="C815" s="28"/>
      <c r="D815" s="112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100">
        <f t="shared" si="126"/>
        <v>0</v>
      </c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</row>
    <row r="816" spans="1:65" s="50" customFormat="1" hidden="1">
      <c r="A816" s="28"/>
      <c r="B816" s="28"/>
      <c r="C816" s="28"/>
      <c r="D816" s="112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100">
        <f t="shared" si="126"/>
        <v>0</v>
      </c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</row>
    <row r="817" spans="1:65" s="50" customFormat="1" hidden="1">
      <c r="A817" s="28"/>
      <c r="B817" s="28"/>
      <c r="C817" s="28"/>
      <c r="D817" s="112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100">
        <f t="shared" si="126"/>
        <v>0</v>
      </c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</row>
    <row r="818" spans="1:65" s="50" customFormat="1" hidden="1">
      <c r="A818" s="28"/>
      <c r="B818" s="28"/>
      <c r="C818" s="28"/>
      <c r="D818" s="112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100">
        <f t="shared" si="126"/>
        <v>0</v>
      </c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</row>
    <row r="819" spans="1:65" s="50" customFormat="1" hidden="1">
      <c r="A819" s="28"/>
      <c r="B819" s="28"/>
      <c r="C819" s="28"/>
      <c r="D819" s="112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100">
        <f t="shared" si="126"/>
        <v>0</v>
      </c>
    </row>
    <row r="820" spans="1:65" s="50" customFormat="1" hidden="1">
      <c r="A820" s="28"/>
      <c r="B820" s="28"/>
      <c r="C820" s="28"/>
      <c r="D820" s="112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100">
        <f t="shared" si="126"/>
        <v>0</v>
      </c>
    </row>
    <row r="821" spans="1:65" s="50" customFormat="1" hidden="1">
      <c r="A821" s="28"/>
      <c r="B821" s="28"/>
      <c r="C821" s="28"/>
      <c r="D821" s="112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100">
        <f t="shared" si="126"/>
        <v>0</v>
      </c>
    </row>
    <row r="822" spans="1:65" s="50" customFormat="1" hidden="1">
      <c r="A822" s="28"/>
      <c r="B822" s="28"/>
      <c r="C822" s="28"/>
      <c r="D822" s="112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100">
        <f t="shared" si="126"/>
        <v>0</v>
      </c>
    </row>
    <row r="823" spans="1:65" s="50" customFormat="1" hidden="1">
      <c r="A823" s="28"/>
      <c r="B823" s="28"/>
      <c r="C823" s="28"/>
      <c r="D823" s="112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100">
        <f t="shared" si="126"/>
        <v>0</v>
      </c>
    </row>
    <row r="824" spans="1:65" s="50" customFormat="1" hidden="1">
      <c r="A824" s="28"/>
      <c r="B824" s="28"/>
      <c r="C824" s="28"/>
      <c r="D824" s="112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100">
        <f t="shared" si="126"/>
        <v>0</v>
      </c>
    </row>
    <row r="825" spans="1:65" s="54" customFormat="1" hidden="1">
      <c r="A825" s="2"/>
      <c r="B825" s="2"/>
      <c r="C825" s="2"/>
      <c r="D825" s="11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100">
        <f t="shared" si="126"/>
        <v>0</v>
      </c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</row>
    <row r="826" spans="1:65" s="54" customFormat="1" hidden="1">
      <c r="A826" s="2"/>
      <c r="B826" s="2"/>
      <c r="C826" s="2"/>
      <c r="D826" s="11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100">
        <f t="shared" si="126"/>
        <v>0</v>
      </c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</row>
    <row r="827" spans="1:65" s="54" customFormat="1" hidden="1">
      <c r="A827" s="2"/>
      <c r="B827" s="2"/>
      <c r="C827" s="2"/>
      <c r="D827" s="11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100">
        <f t="shared" si="126"/>
        <v>0</v>
      </c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</row>
    <row r="828" spans="1:65" s="54" customFormat="1" hidden="1">
      <c r="A828" s="2"/>
      <c r="B828" s="2"/>
      <c r="C828" s="2"/>
      <c r="D828" s="11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100">
        <f t="shared" si="126"/>
        <v>0</v>
      </c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</row>
    <row r="829" spans="1:65" s="54" customFormat="1" hidden="1">
      <c r="A829" s="2"/>
      <c r="B829" s="2"/>
      <c r="C829" s="2"/>
      <c r="D829" s="11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100">
        <f t="shared" ref="P829:P890" si="161">+O829</f>
        <v>0</v>
      </c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</row>
    <row r="830" spans="1:65" s="54" customFormat="1" hidden="1">
      <c r="A830" s="2"/>
      <c r="B830" s="2"/>
      <c r="C830" s="2"/>
      <c r="D830" s="11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100">
        <f t="shared" si="161"/>
        <v>0</v>
      </c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</row>
    <row r="831" spans="1:65" s="54" customFormat="1" hidden="1">
      <c r="A831" s="2"/>
      <c r="B831" s="2"/>
      <c r="C831" s="2"/>
      <c r="D831" s="11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100">
        <f t="shared" si="161"/>
        <v>0</v>
      </c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</row>
    <row r="832" spans="1:65" s="54" customFormat="1" hidden="1">
      <c r="A832" s="2"/>
      <c r="B832" s="2"/>
      <c r="C832" s="2"/>
      <c r="D832" s="11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100">
        <f t="shared" si="161"/>
        <v>0</v>
      </c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</row>
    <row r="833" spans="1:43" s="54" customFormat="1" hidden="1">
      <c r="A833" s="2"/>
      <c r="B833" s="2"/>
      <c r="C833" s="2"/>
      <c r="D833" s="11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100">
        <f t="shared" si="161"/>
        <v>0</v>
      </c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</row>
    <row r="834" spans="1:43" s="54" customFormat="1" hidden="1">
      <c r="A834" s="2"/>
      <c r="B834" s="2"/>
      <c r="C834" s="2"/>
      <c r="D834" s="11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100">
        <f t="shared" si="161"/>
        <v>0</v>
      </c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</row>
    <row r="835" spans="1:43" s="54" customFormat="1" hidden="1">
      <c r="A835" s="2"/>
      <c r="B835" s="2"/>
      <c r="C835" s="2"/>
      <c r="D835" s="11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100">
        <f t="shared" si="161"/>
        <v>0</v>
      </c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</row>
    <row r="836" spans="1:43" s="54" customFormat="1" hidden="1">
      <c r="A836" s="2"/>
      <c r="B836" s="2"/>
      <c r="C836" s="2"/>
      <c r="D836" s="11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100">
        <f t="shared" si="161"/>
        <v>0</v>
      </c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</row>
    <row r="837" spans="1:43" s="54" customFormat="1" hidden="1">
      <c r="A837" s="2"/>
      <c r="B837" s="2"/>
      <c r="C837" s="2"/>
      <c r="D837" s="11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100">
        <f t="shared" si="161"/>
        <v>0</v>
      </c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</row>
    <row r="838" spans="1:43" s="54" customFormat="1" hidden="1">
      <c r="A838" s="2"/>
      <c r="B838" s="2"/>
      <c r="C838" s="2"/>
      <c r="D838" s="11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100">
        <f t="shared" si="161"/>
        <v>0</v>
      </c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</row>
    <row r="839" spans="1:43" s="54" customFormat="1" hidden="1">
      <c r="A839" s="2"/>
      <c r="B839" s="2"/>
      <c r="C839" s="2"/>
      <c r="D839" s="11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100">
        <f t="shared" si="161"/>
        <v>0</v>
      </c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</row>
    <row r="840" spans="1:43" s="54" customFormat="1" hidden="1">
      <c r="A840" s="2"/>
      <c r="B840" s="2"/>
      <c r="C840" s="2"/>
      <c r="D840" s="11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100">
        <f t="shared" si="161"/>
        <v>0</v>
      </c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</row>
    <row r="841" spans="1:43" s="54" customFormat="1" hidden="1">
      <c r="A841" s="2"/>
      <c r="B841" s="2"/>
      <c r="C841" s="2"/>
      <c r="D841" s="11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100">
        <f t="shared" si="161"/>
        <v>0</v>
      </c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</row>
    <row r="842" spans="1:43" s="54" customFormat="1" hidden="1">
      <c r="A842" s="2"/>
      <c r="B842" s="2"/>
      <c r="C842" s="2"/>
      <c r="D842" s="11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100">
        <f t="shared" si="161"/>
        <v>0</v>
      </c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</row>
    <row r="843" spans="1:43" s="54" customFormat="1" hidden="1">
      <c r="A843" s="2"/>
      <c r="B843" s="2"/>
      <c r="C843" s="2"/>
      <c r="D843" s="11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100">
        <f t="shared" si="161"/>
        <v>0</v>
      </c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</row>
    <row r="844" spans="1:43" s="54" customFormat="1" hidden="1">
      <c r="A844" s="2"/>
      <c r="B844" s="2"/>
      <c r="C844" s="2"/>
      <c r="D844" s="11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100">
        <f t="shared" si="161"/>
        <v>0</v>
      </c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</row>
    <row r="845" spans="1:43" s="48" customFormat="1" hidden="1">
      <c r="A845" s="2"/>
      <c r="B845" s="2"/>
      <c r="C845" s="2"/>
      <c r="D845" s="11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100">
        <f t="shared" si="161"/>
        <v>0</v>
      </c>
      <c r="Q845" s="50"/>
      <c r="R845" s="50"/>
      <c r="S845" s="50"/>
      <c r="T845" s="50"/>
      <c r="U845" s="50"/>
      <c r="V845" s="50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</row>
    <row r="846" spans="1:43" s="48" customFormat="1" hidden="1">
      <c r="A846" s="2"/>
      <c r="B846" s="2"/>
      <c r="C846" s="2"/>
      <c r="D846" s="11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100">
        <f t="shared" si="161"/>
        <v>0</v>
      </c>
      <c r="Q846" s="50"/>
      <c r="R846" s="50"/>
      <c r="S846" s="50"/>
      <c r="T846" s="50"/>
      <c r="U846" s="50"/>
      <c r="V846" s="50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</row>
    <row r="847" spans="1:43" s="48" customFormat="1" hidden="1">
      <c r="A847" s="2"/>
      <c r="B847" s="2"/>
      <c r="C847" s="2"/>
      <c r="D847" s="11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100">
        <f t="shared" si="161"/>
        <v>0</v>
      </c>
      <c r="Q847" s="50"/>
      <c r="R847" s="50"/>
      <c r="S847" s="50"/>
      <c r="T847" s="50"/>
      <c r="U847" s="50"/>
      <c r="V847" s="50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</row>
    <row r="848" spans="1:43" s="48" customFormat="1" hidden="1">
      <c r="A848" s="2"/>
      <c r="B848" s="2"/>
      <c r="C848" s="2"/>
      <c r="D848" s="11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100">
        <f t="shared" si="161"/>
        <v>0</v>
      </c>
      <c r="Q848" s="50"/>
      <c r="R848" s="50"/>
      <c r="S848" s="50"/>
      <c r="T848" s="50"/>
      <c r="U848" s="50"/>
      <c r="V848" s="50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</row>
    <row r="849" spans="1:43" s="48" customFormat="1" hidden="1">
      <c r="A849" s="2"/>
      <c r="B849" s="2"/>
      <c r="C849" s="2"/>
      <c r="D849" s="11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100">
        <f t="shared" si="161"/>
        <v>0</v>
      </c>
      <c r="Q849" s="50"/>
      <c r="R849" s="50"/>
      <c r="S849" s="50"/>
      <c r="T849" s="50"/>
      <c r="U849" s="50"/>
      <c r="V849" s="50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</row>
    <row r="850" spans="1:43" s="48" customFormat="1" hidden="1">
      <c r="A850" s="2"/>
      <c r="B850" s="2"/>
      <c r="C850" s="2"/>
      <c r="D850" s="11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100">
        <f t="shared" si="161"/>
        <v>0</v>
      </c>
      <c r="Q850" s="50"/>
      <c r="R850" s="50"/>
      <c r="S850" s="50"/>
      <c r="T850" s="50"/>
      <c r="U850" s="50"/>
      <c r="V850" s="50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</row>
    <row r="851" spans="1:43" s="48" customFormat="1" hidden="1">
      <c r="A851" s="2"/>
      <c r="B851" s="2"/>
      <c r="C851" s="2"/>
      <c r="D851" s="11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100">
        <f t="shared" si="161"/>
        <v>0</v>
      </c>
      <c r="Q851" s="50"/>
      <c r="R851" s="50"/>
      <c r="S851" s="50"/>
      <c r="T851" s="50"/>
      <c r="U851" s="50"/>
      <c r="V851" s="50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</row>
    <row r="852" spans="1:43" s="48" customFormat="1" hidden="1">
      <c r="A852" s="2"/>
      <c r="B852" s="2"/>
      <c r="C852" s="2"/>
      <c r="D852" s="11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100">
        <f t="shared" si="161"/>
        <v>0</v>
      </c>
      <c r="Q852" s="50"/>
      <c r="R852" s="50"/>
      <c r="S852" s="50"/>
      <c r="T852" s="50"/>
      <c r="U852" s="50"/>
      <c r="V852" s="50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</row>
    <row r="853" spans="1:43" s="48" customFormat="1" hidden="1">
      <c r="A853" s="2"/>
      <c r="B853" s="2"/>
      <c r="C853" s="2"/>
      <c r="D853" s="11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100">
        <f t="shared" si="161"/>
        <v>0</v>
      </c>
      <c r="Q853" s="50"/>
      <c r="R853" s="50"/>
      <c r="S853" s="50"/>
      <c r="T853" s="50"/>
      <c r="U853" s="50"/>
      <c r="V853" s="50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</row>
    <row r="854" spans="1:43" s="48" customFormat="1" hidden="1">
      <c r="A854" s="2"/>
      <c r="B854" s="2"/>
      <c r="C854" s="2"/>
      <c r="D854" s="11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100">
        <f t="shared" si="161"/>
        <v>0</v>
      </c>
      <c r="Q854" s="50"/>
      <c r="R854" s="50"/>
      <c r="S854" s="50"/>
      <c r="T854" s="50"/>
      <c r="U854" s="50"/>
      <c r="V854" s="50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</row>
    <row r="855" spans="1:43" s="48" customFormat="1" hidden="1">
      <c r="A855" s="2"/>
      <c r="B855" s="2"/>
      <c r="C855" s="2"/>
      <c r="D855" s="11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100">
        <f t="shared" si="161"/>
        <v>0</v>
      </c>
      <c r="Q855" s="50"/>
      <c r="R855" s="50"/>
      <c r="S855" s="50"/>
      <c r="T855" s="50"/>
      <c r="U855" s="50"/>
      <c r="V855" s="50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</row>
    <row r="856" spans="1:43" s="48" customFormat="1" hidden="1">
      <c r="A856" s="2"/>
      <c r="B856" s="2"/>
      <c r="C856" s="2"/>
      <c r="D856" s="11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100">
        <f t="shared" si="161"/>
        <v>0</v>
      </c>
      <c r="Q856" s="50"/>
      <c r="R856" s="50"/>
      <c r="S856" s="50"/>
      <c r="T856" s="50"/>
      <c r="U856" s="50"/>
      <c r="V856" s="50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</row>
    <row r="857" spans="1:43" s="48" customFormat="1" hidden="1">
      <c r="A857" s="2"/>
      <c r="B857" s="2"/>
      <c r="C857" s="2"/>
      <c r="D857" s="11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100">
        <f t="shared" si="161"/>
        <v>0</v>
      </c>
      <c r="Q857" s="50"/>
      <c r="R857" s="50"/>
      <c r="S857" s="50"/>
      <c r="T857" s="50"/>
      <c r="U857" s="50"/>
      <c r="V857" s="50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</row>
    <row r="858" spans="1:43" s="48" customFormat="1" hidden="1">
      <c r="A858" s="2"/>
      <c r="B858" s="2"/>
      <c r="C858" s="2"/>
      <c r="D858" s="11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100">
        <f t="shared" si="161"/>
        <v>0</v>
      </c>
      <c r="Q858" s="50"/>
      <c r="R858" s="50"/>
      <c r="S858" s="50"/>
      <c r="T858" s="50"/>
      <c r="U858" s="50"/>
      <c r="V858" s="50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</row>
    <row r="859" spans="1:43" s="48" customFormat="1" hidden="1">
      <c r="A859" s="2"/>
      <c r="B859" s="2"/>
      <c r="C859" s="2"/>
      <c r="D859" s="11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100">
        <f t="shared" si="161"/>
        <v>0</v>
      </c>
      <c r="Q859" s="50"/>
      <c r="R859" s="50"/>
      <c r="S859" s="50"/>
      <c r="T859" s="50"/>
      <c r="U859" s="50"/>
      <c r="V859" s="50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</row>
    <row r="860" spans="1:43" s="48" customFormat="1" hidden="1">
      <c r="A860" s="2"/>
      <c r="B860" s="2"/>
      <c r="C860" s="2"/>
      <c r="D860" s="11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100">
        <f t="shared" si="161"/>
        <v>0</v>
      </c>
      <c r="Q860" s="50"/>
      <c r="R860" s="50"/>
      <c r="S860" s="50"/>
      <c r="T860" s="50"/>
      <c r="U860" s="50"/>
      <c r="V860" s="50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</row>
    <row r="861" spans="1:43" s="48" customFormat="1" hidden="1">
      <c r="A861" s="2"/>
      <c r="B861" s="2"/>
      <c r="C861" s="2"/>
      <c r="D861" s="11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100">
        <f t="shared" si="161"/>
        <v>0</v>
      </c>
      <c r="Q861" s="50"/>
      <c r="R861" s="50"/>
      <c r="S861" s="50"/>
      <c r="T861" s="50"/>
      <c r="U861" s="50"/>
      <c r="V861" s="50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</row>
    <row r="862" spans="1:43" s="48" customFormat="1" hidden="1">
      <c r="A862" s="2"/>
      <c r="B862" s="2"/>
      <c r="C862" s="2"/>
      <c r="D862" s="11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100">
        <f t="shared" si="161"/>
        <v>0</v>
      </c>
      <c r="Q862" s="50"/>
      <c r="R862" s="50"/>
      <c r="S862" s="50"/>
      <c r="T862" s="50"/>
      <c r="U862" s="50"/>
      <c r="V862" s="50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</row>
    <row r="863" spans="1:43" s="48" customFormat="1" hidden="1">
      <c r="A863" s="2"/>
      <c r="B863" s="2"/>
      <c r="C863" s="2"/>
      <c r="D863" s="11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100">
        <f t="shared" si="161"/>
        <v>0</v>
      </c>
      <c r="Q863" s="50"/>
      <c r="R863" s="50"/>
      <c r="S863" s="50"/>
      <c r="T863" s="50"/>
      <c r="U863" s="50"/>
      <c r="V863" s="50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</row>
    <row r="864" spans="1:43" s="48" customFormat="1" hidden="1">
      <c r="A864" s="2"/>
      <c r="B864" s="2"/>
      <c r="C864" s="2"/>
      <c r="D864" s="11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100">
        <f t="shared" si="161"/>
        <v>0</v>
      </c>
      <c r="Q864" s="50"/>
      <c r="R864" s="50"/>
      <c r="S864" s="50"/>
      <c r="T864" s="50"/>
      <c r="U864" s="50"/>
      <c r="V864" s="50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</row>
    <row r="865" spans="1:43" s="48" customFormat="1" hidden="1">
      <c r="A865" s="2"/>
      <c r="B865" s="2"/>
      <c r="C865" s="2"/>
      <c r="D865" s="11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100">
        <f t="shared" si="161"/>
        <v>0</v>
      </c>
      <c r="Q865" s="50"/>
      <c r="R865" s="50"/>
      <c r="S865" s="50"/>
      <c r="T865" s="50"/>
      <c r="U865" s="50"/>
      <c r="V865" s="50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</row>
    <row r="866" spans="1:43" s="48" customFormat="1" hidden="1">
      <c r="A866" s="2"/>
      <c r="B866" s="2"/>
      <c r="C866" s="2"/>
      <c r="D866" s="11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100">
        <f t="shared" si="161"/>
        <v>0</v>
      </c>
      <c r="Q866" s="50"/>
      <c r="R866" s="50"/>
      <c r="S866" s="50"/>
      <c r="T866" s="50"/>
      <c r="U866" s="50"/>
      <c r="V866" s="50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</row>
    <row r="867" spans="1:43" s="48" customFormat="1" hidden="1">
      <c r="A867" s="2"/>
      <c r="B867" s="2"/>
      <c r="C867" s="2"/>
      <c r="D867" s="11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100">
        <f t="shared" si="161"/>
        <v>0</v>
      </c>
      <c r="Q867" s="50"/>
      <c r="R867" s="50"/>
      <c r="S867" s="50"/>
      <c r="T867" s="50"/>
      <c r="U867" s="50"/>
      <c r="V867" s="50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</row>
    <row r="868" spans="1:43" s="48" customFormat="1" hidden="1">
      <c r="A868" s="2"/>
      <c r="B868" s="2"/>
      <c r="C868" s="2"/>
      <c r="D868" s="11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100">
        <f t="shared" si="161"/>
        <v>0</v>
      </c>
      <c r="Q868" s="50"/>
      <c r="R868" s="50"/>
      <c r="S868" s="50"/>
      <c r="T868" s="50"/>
      <c r="U868" s="50"/>
      <c r="V868" s="50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</row>
    <row r="869" spans="1:43" s="48" customFormat="1" hidden="1">
      <c r="A869" s="2"/>
      <c r="B869" s="2"/>
      <c r="C869" s="2"/>
      <c r="D869" s="11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100">
        <f t="shared" si="161"/>
        <v>0</v>
      </c>
      <c r="Q869" s="50"/>
      <c r="R869" s="50"/>
      <c r="S869" s="50"/>
      <c r="T869" s="50"/>
      <c r="U869" s="50"/>
      <c r="V869" s="50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</row>
    <row r="870" spans="1:43" s="48" customFormat="1" hidden="1">
      <c r="A870" s="2"/>
      <c r="B870" s="2"/>
      <c r="C870" s="2"/>
      <c r="D870" s="11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100">
        <f t="shared" si="161"/>
        <v>0</v>
      </c>
      <c r="Q870" s="50"/>
      <c r="R870" s="50"/>
      <c r="S870" s="50"/>
      <c r="T870" s="50"/>
      <c r="U870" s="50"/>
      <c r="V870" s="50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</row>
    <row r="871" spans="1:43" s="48" customFormat="1" hidden="1">
      <c r="A871" s="2"/>
      <c r="B871" s="2"/>
      <c r="C871" s="2"/>
      <c r="D871" s="11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100">
        <f t="shared" si="161"/>
        <v>0</v>
      </c>
      <c r="Q871" s="50"/>
      <c r="R871" s="50"/>
      <c r="S871" s="50"/>
      <c r="T871" s="50"/>
      <c r="U871" s="50"/>
      <c r="V871" s="50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</row>
    <row r="872" spans="1:43" s="48" customFormat="1" hidden="1">
      <c r="A872" s="2"/>
      <c r="B872" s="2"/>
      <c r="C872" s="2"/>
      <c r="D872" s="11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100">
        <f t="shared" si="161"/>
        <v>0</v>
      </c>
      <c r="Q872" s="50"/>
      <c r="R872" s="50"/>
      <c r="S872" s="50"/>
      <c r="T872" s="50"/>
      <c r="U872" s="50"/>
      <c r="V872" s="50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</row>
    <row r="873" spans="1:43" s="48" customFormat="1" hidden="1">
      <c r="A873" s="2"/>
      <c r="B873" s="2"/>
      <c r="C873" s="2"/>
      <c r="D873" s="11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100">
        <f t="shared" si="161"/>
        <v>0</v>
      </c>
      <c r="Q873" s="50"/>
      <c r="R873" s="50"/>
      <c r="S873" s="50"/>
      <c r="T873" s="50"/>
      <c r="U873" s="50"/>
      <c r="V873" s="50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</row>
    <row r="874" spans="1:43" s="48" customFormat="1" hidden="1">
      <c r="A874" s="2"/>
      <c r="B874" s="2"/>
      <c r="C874" s="2"/>
      <c r="D874" s="11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100">
        <f t="shared" si="161"/>
        <v>0</v>
      </c>
      <c r="Q874" s="50"/>
      <c r="R874" s="50"/>
      <c r="S874" s="50"/>
      <c r="T874" s="50"/>
      <c r="U874" s="50"/>
      <c r="V874" s="50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</row>
    <row r="875" spans="1:43" s="48" customFormat="1" hidden="1">
      <c r="A875" s="2"/>
      <c r="B875" s="2"/>
      <c r="C875" s="2"/>
      <c r="D875" s="11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100">
        <f t="shared" si="161"/>
        <v>0</v>
      </c>
      <c r="Q875" s="50"/>
      <c r="R875" s="50"/>
      <c r="S875" s="50"/>
      <c r="T875" s="50"/>
      <c r="U875" s="50"/>
      <c r="V875" s="50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</row>
    <row r="876" spans="1:43" s="48" customFormat="1" hidden="1">
      <c r="A876" s="2"/>
      <c r="B876" s="2"/>
      <c r="C876" s="2"/>
      <c r="D876" s="11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100">
        <f t="shared" si="161"/>
        <v>0</v>
      </c>
      <c r="Q876" s="50"/>
      <c r="R876" s="50"/>
      <c r="S876" s="50"/>
      <c r="T876" s="50"/>
      <c r="U876" s="50"/>
      <c r="V876" s="50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</row>
    <row r="877" spans="1:43" s="48" customFormat="1" hidden="1">
      <c r="A877" s="2"/>
      <c r="B877" s="2"/>
      <c r="C877" s="2"/>
      <c r="D877" s="11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100">
        <f t="shared" si="161"/>
        <v>0</v>
      </c>
      <c r="Q877" s="50"/>
      <c r="R877" s="50"/>
      <c r="S877" s="50"/>
      <c r="T877" s="50"/>
      <c r="U877" s="50"/>
      <c r="V877" s="50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</row>
    <row r="878" spans="1:43" s="48" customFormat="1" hidden="1">
      <c r="A878" s="2"/>
      <c r="B878" s="2"/>
      <c r="C878" s="2"/>
      <c r="D878" s="11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100">
        <f t="shared" si="161"/>
        <v>0</v>
      </c>
      <c r="Q878" s="50"/>
      <c r="R878" s="50"/>
      <c r="S878" s="50"/>
      <c r="T878" s="50"/>
      <c r="U878" s="50"/>
      <c r="V878" s="50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</row>
    <row r="879" spans="1:43" s="48" customFormat="1" hidden="1">
      <c r="A879" s="2"/>
      <c r="B879" s="2"/>
      <c r="C879" s="2"/>
      <c r="D879" s="11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100">
        <f t="shared" si="161"/>
        <v>0</v>
      </c>
      <c r="Q879" s="50"/>
      <c r="R879" s="50"/>
      <c r="S879" s="50"/>
      <c r="T879" s="50"/>
      <c r="U879" s="50"/>
      <c r="V879" s="50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</row>
    <row r="880" spans="1:43" s="48" customFormat="1" hidden="1">
      <c r="A880" s="2"/>
      <c r="B880" s="2"/>
      <c r="C880" s="2"/>
      <c r="D880" s="11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100">
        <f t="shared" si="161"/>
        <v>0</v>
      </c>
      <c r="Q880" s="50"/>
      <c r="R880" s="50"/>
      <c r="S880" s="50"/>
      <c r="T880" s="50"/>
      <c r="U880" s="50"/>
      <c r="V880" s="50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</row>
    <row r="881" spans="1:43" s="48" customFormat="1" hidden="1">
      <c r="A881" s="2"/>
      <c r="B881" s="2"/>
      <c r="C881" s="2"/>
      <c r="D881" s="11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100">
        <f t="shared" si="161"/>
        <v>0</v>
      </c>
      <c r="Q881" s="50"/>
      <c r="R881" s="50"/>
      <c r="S881" s="50"/>
      <c r="T881" s="50"/>
      <c r="U881" s="50"/>
      <c r="V881" s="50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</row>
    <row r="882" spans="1:43" s="48" customFormat="1" hidden="1">
      <c r="A882" s="2"/>
      <c r="B882" s="2"/>
      <c r="C882" s="2"/>
      <c r="D882" s="11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100">
        <f t="shared" si="161"/>
        <v>0</v>
      </c>
      <c r="Q882" s="50"/>
      <c r="R882" s="50"/>
      <c r="S882" s="50"/>
      <c r="T882" s="50"/>
      <c r="U882" s="50"/>
      <c r="V882" s="50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</row>
    <row r="883" spans="1:43" s="48" customFormat="1" hidden="1">
      <c r="A883" s="2"/>
      <c r="B883" s="2"/>
      <c r="C883" s="2"/>
      <c r="D883" s="11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100">
        <f t="shared" si="161"/>
        <v>0</v>
      </c>
      <c r="Q883" s="50"/>
      <c r="R883" s="50"/>
      <c r="S883" s="50"/>
      <c r="T883" s="50"/>
      <c r="U883" s="50"/>
      <c r="V883" s="50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</row>
    <row r="884" spans="1:43" s="48" customFormat="1" hidden="1">
      <c r="A884" s="2"/>
      <c r="B884" s="2"/>
      <c r="C884" s="2"/>
      <c r="D884" s="11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100">
        <f t="shared" si="161"/>
        <v>0</v>
      </c>
      <c r="Q884" s="50"/>
      <c r="R884" s="50"/>
      <c r="S884" s="50"/>
      <c r="T884" s="50"/>
      <c r="U884" s="50"/>
      <c r="V884" s="50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</row>
    <row r="885" spans="1:43" s="48" customFormat="1" hidden="1">
      <c r="A885" s="2"/>
      <c r="B885" s="2"/>
      <c r="C885" s="2"/>
      <c r="D885" s="11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100">
        <f t="shared" si="161"/>
        <v>0</v>
      </c>
      <c r="Q885" s="50"/>
      <c r="R885" s="50"/>
      <c r="S885" s="50"/>
      <c r="T885" s="50"/>
      <c r="U885" s="50"/>
      <c r="V885" s="50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</row>
    <row r="886" spans="1:43" s="48" customFormat="1" hidden="1">
      <c r="A886" s="2"/>
      <c r="B886" s="2"/>
      <c r="C886" s="2"/>
      <c r="D886" s="11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100">
        <f t="shared" si="161"/>
        <v>0</v>
      </c>
      <c r="Q886" s="50"/>
      <c r="R886" s="50"/>
      <c r="S886" s="50"/>
      <c r="T886" s="50"/>
      <c r="U886" s="50"/>
      <c r="V886" s="50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</row>
    <row r="887" spans="1:43" s="48" customFormat="1" hidden="1">
      <c r="A887" s="2"/>
      <c r="B887" s="2"/>
      <c r="C887" s="2"/>
      <c r="D887" s="11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100">
        <f t="shared" si="161"/>
        <v>0</v>
      </c>
      <c r="Q887" s="50"/>
      <c r="R887" s="50"/>
      <c r="S887" s="50"/>
      <c r="T887" s="50"/>
      <c r="U887" s="50"/>
      <c r="V887" s="50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</row>
    <row r="888" spans="1:43" s="48" customFormat="1" hidden="1">
      <c r="A888" s="2"/>
      <c r="B888" s="2"/>
      <c r="C888" s="2"/>
      <c r="D888" s="11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100">
        <f t="shared" si="161"/>
        <v>0</v>
      </c>
      <c r="Q888" s="50"/>
      <c r="R888" s="50"/>
      <c r="S888" s="50"/>
      <c r="T888" s="50"/>
      <c r="U888" s="50"/>
      <c r="V888" s="50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</row>
    <row r="889" spans="1:43" s="48" customFormat="1" hidden="1">
      <c r="A889" s="2"/>
      <c r="B889" s="2"/>
      <c r="C889" s="2"/>
      <c r="D889" s="11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100">
        <f t="shared" si="161"/>
        <v>0</v>
      </c>
      <c r="Q889" s="50"/>
      <c r="R889" s="50"/>
      <c r="S889" s="50"/>
      <c r="T889" s="50"/>
      <c r="U889" s="50"/>
      <c r="V889" s="50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</row>
    <row r="890" spans="1:43" s="48" customFormat="1" hidden="1">
      <c r="A890" s="2"/>
      <c r="B890" s="2"/>
      <c r="C890" s="2"/>
      <c r="D890" s="11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100">
        <f t="shared" si="161"/>
        <v>0</v>
      </c>
      <c r="Q890" s="50"/>
      <c r="R890" s="50"/>
      <c r="S890" s="50"/>
      <c r="T890" s="50"/>
      <c r="U890" s="50"/>
      <c r="V890" s="50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</row>
    <row r="891" spans="1:43" s="48" customFormat="1" hidden="1">
      <c r="A891" s="2"/>
      <c r="B891" s="2"/>
      <c r="C891" s="2"/>
      <c r="D891" s="11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100">
        <f t="shared" ref="P891:P914" si="162">+O891</f>
        <v>0</v>
      </c>
      <c r="Q891" s="50"/>
      <c r="R891" s="50"/>
      <c r="S891" s="50"/>
      <c r="T891" s="50"/>
      <c r="U891" s="50"/>
      <c r="V891" s="50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</row>
    <row r="892" spans="1:43" s="48" customFormat="1" hidden="1">
      <c r="A892" s="2"/>
      <c r="B892" s="2"/>
      <c r="C892" s="2"/>
      <c r="D892" s="11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100">
        <f t="shared" si="162"/>
        <v>0</v>
      </c>
      <c r="Q892" s="50"/>
      <c r="R892" s="50"/>
      <c r="S892" s="50"/>
      <c r="T892" s="50"/>
      <c r="U892" s="50"/>
      <c r="V892" s="50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</row>
    <row r="893" spans="1:43" s="48" customFormat="1" hidden="1">
      <c r="A893" s="2"/>
      <c r="B893" s="2"/>
      <c r="C893" s="2"/>
      <c r="D893" s="11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100">
        <f t="shared" si="162"/>
        <v>0</v>
      </c>
      <c r="Q893" s="50"/>
      <c r="R893" s="50"/>
      <c r="S893" s="50"/>
      <c r="T893" s="50"/>
      <c r="U893" s="50"/>
      <c r="V893" s="50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</row>
    <row r="894" spans="1:43" s="48" customFormat="1" hidden="1">
      <c r="A894" s="2"/>
      <c r="B894" s="2"/>
      <c r="C894" s="2"/>
      <c r="D894" s="11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100">
        <f t="shared" si="162"/>
        <v>0</v>
      </c>
      <c r="Q894" s="50"/>
      <c r="R894" s="50"/>
      <c r="S894" s="50"/>
      <c r="T894" s="50"/>
      <c r="U894" s="50"/>
      <c r="V894" s="50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</row>
    <row r="895" spans="1:43" s="48" customFormat="1" hidden="1">
      <c r="A895" s="2"/>
      <c r="B895" s="2"/>
      <c r="C895" s="2"/>
      <c r="D895" s="11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100">
        <f t="shared" si="162"/>
        <v>0</v>
      </c>
      <c r="Q895" s="50"/>
      <c r="R895" s="50"/>
      <c r="S895" s="50"/>
      <c r="T895" s="50"/>
      <c r="U895" s="50"/>
      <c r="V895" s="50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</row>
    <row r="896" spans="1:43" s="48" customFormat="1" hidden="1">
      <c r="A896" s="2"/>
      <c r="B896" s="2"/>
      <c r="C896" s="2"/>
      <c r="D896" s="11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100">
        <f t="shared" si="162"/>
        <v>0</v>
      </c>
      <c r="Q896" s="50"/>
      <c r="R896" s="50"/>
      <c r="S896" s="50"/>
      <c r="T896" s="50"/>
      <c r="U896" s="50"/>
      <c r="V896" s="50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</row>
    <row r="897" spans="1:43" s="48" customFormat="1" hidden="1">
      <c r="A897" s="2"/>
      <c r="B897" s="2"/>
      <c r="C897" s="2"/>
      <c r="D897" s="11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100">
        <f t="shared" si="162"/>
        <v>0</v>
      </c>
      <c r="Q897" s="50"/>
      <c r="R897" s="50"/>
      <c r="S897" s="50"/>
      <c r="T897" s="50"/>
      <c r="U897" s="50"/>
      <c r="V897" s="50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</row>
    <row r="898" spans="1:43" s="48" customFormat="1" hidden="1">
      <c r="A898" s="2"/>
      <c r="B898" s="2"/>
      <c r="C898" s="2"/>
      <c r="D898" s="11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100">
        <f t="shared" si="162"/>
        <v>0</v>
      </c>
      <c r="Q898" s="50"/>
      <c r="R898" s="50"/>
      <c r="S898" s="50"/>
      <c r="T898" s="50"/>
      <c r="U898" s="50"/>
      <c r="V898" s="50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</row>
    <row r="899" spans="1:43" s="48" customFormat="1" hidden="1">
      <c r="A899" s="2"/>
      <c r="B899" s="2"/>
      <c r="C899" s="2"/>
      <c r="D899" s="11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100">
        <f t="shared" si="162"/>
        <v>0</v>
      </c>
      <c r="Q899" s="50"/>
      <c r="R899" s="50"/>
      <c r="S899" s="50"/>
      <c r="T899" s="50"/>
      <c r="U899" s="50"/>
      <c r="V899" s="50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</row>
    <row r="900" spans="1:43" s="48" customFormat="1" hidden="1">
      <c r="A900" s="2"/>
      <c r="B900" s="2"/>
      <c r="C900" s="2"/>
      <c r="D900" s="11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100">
        <f t="shared" si="162"/>
        <v>0</v>
      </c>
      <c r="Q900" s="50"/>
      <c r="R900" s="50"/>
      <c r="S900" s="50"/>
      <c r="T900" s="50"/>
      <c r="U900" s="50"/>
      <c r="V900" s="50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</row>
    <row r="901" spans="1:43" s="48" customFormat="1" hidden="1">
      <c r="A901" s="2"/>
      <c r="B901" s="2"/>
      <c r="C901" s="2"/>
      <c r="D901" s="11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100">
        <f t="shared" si="162"/>
        <v>0</v>
      </c>
      <c r="Q901" s="50"/>
      <c r="R901" s="50"/>
      <c r="S901" s="50"/>
      <c r="T901" s="50"/>
      <c r="U901" s="50"/>
      <c r="V901" s="50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</row>
    <row r="902" spans="1:43" s="48" customFormat="1" hidden="1">
      <c r="A902" s="2"/>
      <c r="B902" s="2"/>
      <c r="C902" s="2"/>
      <c r="D902" s="11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100">
        <f t="shared" si="162"/>
        <v>0</v>
      </c>
      <c r="Q902" s="50"/>
      <c r="R902" s="50"/>
      <c r="S902" s="50"/>
      <c r="T902" s="50"/>
      <c r="U902" s="50"/>
      <c r="V902" s="50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</row>
    <row r="903" spans="1:43" s="48" customFormat="1" hidden="1">
      <c r="A903" s="2"/>
      <c r="B903" s="2"/>
      <c r="C903" s="2"/>
      <c r="D903" s="11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100">
        <f t="shared" si="162"/>
        <v>0</v>
      </c>
      <c r="Q903" s="50"/>
      <c r="R903" s="50"/>
      <c r="S903" s="50"/>
      <c r="T903" s="50"/>
      <c r="U903" s="50"/>
      <c r="V903" s="50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</row>
    <row r="904" spans="1:43" s="48" customFormat="1" hidden="1">
      <c r="A904" s="2"/>
      <c r="B904" s="2"/>
      <c r="C904" s="2"/>
      <c r="D904" s="11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100">
        <f t="shared" si="162"/>
        <v>0</v>
      </c>
      <c r="Q904" s="50"/>
      <c r="R904" s="50"/>
      <c r="S904" s="50"/>
      <c r="T904" s="50"/>
      <c r="U904" s="50"/>
      <c r="V904" s="50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</row>
    <row r="905" spans="1:43" s="48" customFormat="1" hidden="1">
      <c r="A905" s="2"/>
      <c r="B905" s="2"/>
      <c r="C905" s="2"/>
      <c r="D905" s="11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100">
        <f t="shared" si="162"/>
        <v>0</v>
      </c>
      <c r="Q905" s="50"/>
      <c r="R905" s="50"/>
      <c r="S905" s="50"/>
      <c r="T905" s="50"/>
      <c r="U905" s="50"/>
      <c r="V905" s="50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</row>
    <row r="906" spans="1:43" s="48" customFormat="1" hidden="1">
      <c r="A906" s="2"/>
      <c r="B906" s="2"/>
      <c r="C906" s="2"/>
      <c r="D906" s="11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100">
        <f t="shared" si="162"/>
        <v>0</v>
      </c>
      <c r="Q906" s="50"/>
      <c r="R906" s="50"/>
      <c r="S906" s="50"/>
      <c r="T906" s="50"/>
      <c r="U906" s="50"/>
      <c r="V906" s="50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</row>
    <row r="907" spans="1:43" s="48" customFormat="1" hidden="1">
      <c r="A907" s="2"/>
      <c r="B907" s="2"/>
      <c r="C907" s="2"/>
      <c r="D907" s="11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100">
        <f t="shared" si="162"/>
        <v>0</v>
      </c>
      <c r="Q907" s="50"/>
      <c r="R907" s="50"/>
      <c r="S907" s="50"/>
      <c r="T907" s="50"/>
      <c r="U907" s="50"/>
      <c r="V907" s="50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</row>
    <row r="908" spans="1:43" s="48" customFormat="1" hidden="1">
      <c r="A908" s="2"/>
      <c r="B908" s="2"/>
      <c r="C908" s="2"/>
      <c r="D908" s="11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100">
        <f t="shared" si="162"/>
        <v>0</v>
      </c>
      <c r="Q908" s="50"/>
      <c r="R908" s="50"/>
      <c r="S908" s="50"/>
      <c r="T908" s="50"/>
      <c r="U908" s="50"/>
      <c r="V908" s="50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</row>
    <row r="909" spans="1:43" s="48" customFormat="1" hidden="1">
      <c r="A909" s="2"/>
      <c r="B909" s="2"/>
      <c r="C909" s="2"/>
      <c r="D909" s="11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100">
        <f t="shared" si="162"/>
        <v>0</v>
      </c>
      <c r="Q909" s="50"/>
      <c r="R909" s="50"/>
      <c r="S909" s="50"/>
      <c r="T909" s="50"/>
      <c r="U909" s="50"/>
      <c r="V909" s="50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</row>
    <row r="910" spans="1:43" s="48" customFormat="1" hidden="1">
      <c r="A910" s="2"/>
      <c r="B910" s="2"/>
      <c r="C910" s="2"/>
      <c r="D910" s="11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100">
        <f t="shared" si="162"/>
        <v>0</v>
      </c>
      <c r="Q910" s="50"/>
      <c r="R910" s="50"/>
      <c r="S910" s="50"/>
      <c r="T910" s="50"/>
      <c r="U910" s="50"/>
      <c r="V910" s="50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</row>
    <row r="911" spans="1:43" s="48" customFormat="1" hidden="1">
      <c r="A911" s="2"/>
      <c r="B911" s="2"/>
      <c r="C911" s="2"/>
      <c r="D911" s="11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100">
        <f t="shared" si="162"/>
        <v>0</v>
      </c>
      <c r="Q911" s="50"/>
      <c r="R911" s="50"/>
      <c r="S911" s="50"/>
      <c r="T911" s="50"/>
      <c r="U911" s="50"/>
      <c r="V911" s="50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</row>
    <row r="912" spans="1:43" s="48" customFormat="1" hidden="1">
      <c r="A912" s="2"/>
      <c r="B912" s="2"/>
      <c r="C912" s="2"/>
      <c r="D912" s="11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100">
        <f t="shared" si="162"/>
        <v>0</v>
      </c>
      <c r="Q912" s="50"/>
      <c r="R912" s="50"/>
      <c r="S912" s="50"/>
      <c r="T912" s="50"/>
      <c r="U912" s="50"/>
      <c r="V912" s="50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</row>
    <row r="913" spans="1:43" s="48" customFormat="1" hidden="1">
      <c r="A913" s="2"/>
      <c r="B913" s="2"/>
      <c r="C913" s="2"/>
      <c r="D913" s="11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100">
        <f t="shared" si="162"/>
        <v>0</v>
      </c>
      <c r="Q913" s="50"/>
      <c r="R913" s="50"/>
      <c r="S913" s="50"/>
      <c r="T913" s="50"/>
      <c r="U913" s="50"/>
      <c r="V913" s="50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</row>
    <row r="914" spans="1:43" s="48" customFormat="1" hidden="1">
      <c r="A914" s="2"/>
      <c r="B914" s="2"/>
      <c r="C914" s="2"/>
      <c r="D914" s="11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100">
        <f t="shared" si="162"/>
        <v>0</v>
      </c>
      <c r="Q914" s="50"/>
      <c r="R914" s="50"/>
      <c r="S914" s="50"/>
      <c r="T914" s="50"/>
      <c r="U914" s="50"/>
      <c r="V914" s="50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</row>
    <row r="915" spans="1:43" s="48" customFormat="1" hidden="1">
      <c r="A915" s="2"/>
      <c r="B915" s="2"/>
      <c r="C915" s="2"/>
      <c r="D915" s="11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100">
        <f t="shared" ref="P915:P978" si="163">+O915</f>
        <v>0</v>
      </c>
      <c r="Q915" s="50"/>
      <c r="R915" s="50"/>
      <c r="S915" s="50"/>
      <c r="T915" s="50"/>
      <c r="U915" s="50"/>
      <c r="V915" s="50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</row>
    <row r="916" spans="1:43" s="48" customFormat="1" hidden="1">
      <c r="A916" s="2"/>
      <c r="B916" s="2"/>
      <c r="C916" s="2"/>
      <c r="D916" s="11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100">
        <f t="shared" si="163"/>
        <v>0</v>
      </c>
      <c r="Q916" s="50"/>
      <c r="R916" s="50"/>
      <c r="S916" s="50"/>
      <c r="T916" s="50"/>
      <c r="U916" s="50"/>
      <c r="V916" s="50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</row>
    <row r="917" spans="1:43" s="48" customFormat="1" hidden="1">
      <c r="A917" s="2"/>
      <c r="B917" s="2"/>
      <c r="C917" s="2"/>
      <c r="D917" s="11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100">
        <f t="shared" si="163"/>
        <v>0</v>
      </c>
      <c r="Q917" s="50"/>
      <c r="R917" s="50"/>
      <c r="S917" s="50"/>
      <c r="T917" s="50"/>
      <c r="U917" s="50"/>
      <c r="V917" s="50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</row>
    <row r="918" spans="1:43" s="48" customFormat="1" hidden="1">
      <c r="A918" s="2"/>
      <c r="B918" s="2"/>
      <c r="C918" s="2"/>
      <c r="D918" s="11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100">
        <f t="shared" si="163"/>
        <v>0</v>
      </c>
      <c r="Q918" s="50"/>
      <c r="R918" s="50"/>
      <c r="S918" s="50"/>
      <c r="T918" s="50"/>
      <c r="U918" s="50"/>
      <c r="V918" s="50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</row>
    <row r="919" spans="1:43" s="48" customFormat="1" hidden="1">
      <c r="A919" s="2"/>
      <c r="B919" s="2"/>
      <c r="C919" s="2"/>
      <c r="D919" s="11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100">
        <f t="shared" si="163"/>
        <v>0</v>
      </c>
      <c r="Q919" s="50"/>
      <c r="R919" s="50"/>
      <c r="S919" s="50"/>
      <c r="T919" s="50"/>
      <c r="U919" s="50"/>
      <c r="V919" s="50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</row>
    <row r="920" spans="1:43" s="48" customFormat="1" hidden="1">
      <c r="A920" s="2"/>
      <c r="B920" s="2"/>
      <c r="C920" s="2"/>
      <c r="D920" s="11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100">
        <f t="shared" si="163"/>
        <v>0</v>
      </c>
      <c r="Q920" s="50"/>
      <c r="R920" s="50"/>
      <c r="S920" s="50"/>
      <c r="T920" s="50"/>
      <c r="U920" s="50"/>
      <c r="V920" s="50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</row>
    <row r="921" spans="1:43" s="48" customFormat="1" hidden="1">
      <c r="A921" s="2"/>
      <c r="B921" s="2"/>
      <c r="C921" s="2"/>
      <c r="D921" s="11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100">
        <f t="shared" si="163"/>
        <v>0</v>
      </c>
      <c r="Q921" s="50"/>
      <c r="R921" s="50"/>
      <c r="S921" s="50"/>
      <c r="T921" s="50"/>
      <c r="U921" s="50"/>
      <c r="V921" s="50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</row>
    <row r="922" spans="1:43" s="48" customFormat="1" hidden="1">
      <c r="A922" s="2"/>
      <c r="B922" s="2"/>
      <c r="C922" s="2"/>
      <c r="D922" s="11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100">
        <f t="shared" si="163"/>
        <v>0</v>
      </c>
      <c r="Q922" s="50"/>
      <c r="R922" s="50"/>
      <c r="S922" s="50"/>
      <c r="T922" s="50"/>
      <c r="U922" s="50"/>
      <c r="V922" s="50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</row>
    <row r="923" spans="1:43" s="48" customFormat="1" hidden="1">
      <c r="A923" s="2"/>
      <c r="B923" s="2"/>
      <c r="C923" s="2"/>
      <c r="D923" s="11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100">
        <f t="shared" si="163"/>
        <v>0</v>
      </c>
      <c r="Q923" s="50"/>
      <c r="R923" s="50"/>
      <c r="S923" s="50"/>
      <c r="T923" s="50"/>
      <c r="U923" s="50"/>
      <c r="V923" s="50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</row>
    <row r="924" spans="1:43" s="48" customFormat="1" hidden="1">
      <c r="A924" s="2"/>
      <c r="B924" s="2"/>
      <c r="C924" s="2"/>
      <c r="D924" s="11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100">
        <f t="shared" si="163"/>
        <v>0</v>
      </c>
      <c r="Q924" s="50"/>
      <c r="R924" s="50"/>
      <c r="S924" s="50"/>
      <c r="T924" s="50"/>
      <c r="U924" s="50"/>
      <c r="V924" s="50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</row>
    <row r="925" spans="1:43" s="48" customFormat="1" hidden="1">
      <c r="A925" s="2"/>
      <c r="B925" s="2"/>
      <c r="C925" s="2"/>
      <c r="D925" s="11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100">
        <f t="shared" si="163"/>
        <v>0</v>
      </c>
      <c r="Q925" s="50"/>
      <c r="R925" s="50"/>
      <c r="S925" s="50"/>
      <c r="T925" s="50"/>
      <c r="U925" s="50"/>
      <c r="V925" s="50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</row>
    <row r="926" spans="1:43" s="48" customFormat="1" hidden="1">
      <c r="A926" s="2"/>
      <c r="B926" s="2"/>
      <c r="C926" s="2"/>
      <c r="D926" s="11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100">
        <f t="shared" si="163"/>
        <v>0</v>
      </c>
      <c r="Q926" s="50"/>
      <c r="R926" s="50"/>
      <c r="S926" s="50"/>
      <c r="T926" s="50"/>
      <c r="U926" s="50"/>
      <c r="V926" s="50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</row>
    <row r="927" spans="1:43" s="48" customFormat="1" hidden="1">
      <c r="A927" s="2"/>
      <c r="B927" s="2"/>
      <c r="C927" s="2"/>
      <c r="D927" s="11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100">
        <f t="shared" si="163"/>
        <v>0</v>
      </c>
      <c r="Q927" s="50"/>
      <c r="R927" s="50"/>
      <c r="S927" s="50"/>
      <c r="T927" s="50"/>
      <c r="U927" s="50"/>
      <c r="V927" s="50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</row>
    <row r="928" spans="1:43" s="48" customFormat="1" hidden="1">
      <c r="A928" s="2"/>
      <c r="B928" s="2"/>
      <c r="C928" s="2"/>
      <c r="D928" s="11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100">
        <f t="shared" si="163"/>
        <v>0</v>
      </c>
      <c r="Q928" s="50"/>
      <c r="R928" s="50"/>
      <c r="S928" s="50"/>
      <c r="T928" s="50"/>
      <c r="U928" s="50"/>
      <c r="V928" s="50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</row>
    <row r="929" spans="1:43" s="48" customFormat="1" hidden="1">
      <c r="A929" s="2"/>
      <c r="B929" s="2"/>
      <c r="C929" s="2"/>
      <c r="D929" s="11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100">
        <f t="shared" si="163"/>
        <v>0</v>
      </c>
      <c r="Q929" s="50"/>
      <c r="R929" s="50"/>
      <c r="S929" s="50"/>
      <c r="T929" s="50"/>
      <c r="U929" s="50"/>
      <c r="V929" s="50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</row>
    <row r="930" spans="1:43" s="48" customFormat="1" hidden="1">
      <c r="A930" s="2"/>
      <c r="B930" s="2"/>
      <c r="C930" s="2"/>
      <c r="D930" s="11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100">
        <f t="shared" si="163"/>
        <v>0</v>
      </c>
      <c r="Q930" s="50"/>
      <c r="R930" s="50"/>
      <c r="S930" s="50"/>
      <c r="T930" s="50"/>
      <c r="U930" s="50"/>
      <c r="V930" s="50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</row>
    <row r="931" spans="1:43" s="48" customFormat="1" hidden="1">
      <c r="A931" s="2"/>
      <c r="B931" s="2"/>
      <c r="C931" s="2"/>
      <c r="D931" s="11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100">
        <f t="shared" si="163"/>
        <v>0</v>
      </c>
      <c r="Q931" s="50"/>
      <c r="R931" s="50"/>
      <c r="S931" s="50"/>
      <c r="T931" s="50"/>
      <c r="U931" s="50"/>
      <c r="V931" s="50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</row>
    <row r="932" spans="1:43" s="48" customFormat="1" hidden="1">
      <c r="A932" s="2"/>
      <c r="B932" s="2"/>
      <c r="C932" s="2"/>
      <c r="D932" s="11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100">
        <f t="shared" si="163"/>
        <v>0</v>
      </c>
      <c r="Q932" s="50"/>
      <c r="R932" s="50"/>
      <c r="S932" s="50"/>
      <c r="T932" s="50"/>
      <c r="U932" s="50"/>
      <c r="V932" s="50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</row>
    <row r="933" spans="1:43" s="48" customFormat="1" hidden="1">
      <c r="A933" s="2"/>
      <c r="B933" s="2"/>
      <c r="C933" s="2"/>
      <c r="D933" s="11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100">
        <f t="shared" si="163"/>
        <v>0</v>
      </c>
      <c r="Q933" s="50"/>
      <c r="R933" s="50"/>
      <c r="S933" s="50"/>
      <c r="T933" s="50"/>
      <c r="U933" s="50"/>
      <c r="V933" s="50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</row>
    <row r="934" spans="1:43" s="48" customFormat="1" hidden="1">
      <c r="A934" s="2"/>
      <c r="B934" s="2"/>
      <c r="C934" s="2"/>
      <c r="D934" s="11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100">
        <f t="shared" si="163"/>
        <v>0</v>
      </c>
      <c r="Q934" s="50"/>
      <c r="R934" s="50"/>
      <c r="S934" s="50"/>
      <c r="T934" s="50"/>
      <c r="U934" s="50"/>
      <c r="V934" s="50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</row>
    <row r="935" spans="1:43" s="48" customFormat="1" hidden="1">
      <c r="A935" s="2"/>
      <c r="B935" s="2"/>
      <c r="C935" s="2"/>
      <c r="D935" s="11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100">
        <f t="shared" si="163"/>
        <v>0</v>
      </c>
      <c r="Q935" s="50"/>
      <c r="R935" s="50"/>
      <c r="S935" s="50"/>
      <c r="T935" s="50"/>
      <c r="U935" s="50"/>
      <c r="V935" s="50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</row>
    <row r="936" spans="1:43" s="48" customFormat="1" hidden="1">
      <c r="A936" s="2"/>
      <c r="B936" s="2"/>
      <c r="C936" s="2"/>
      <c r="D936" s="11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100">
        <f t="shared" si="163"/>
        <v>0</v>
      </c>
      <c r="Q936" s="50"/>
      <c r="R936" s="50"/>
      <c r="S936" s="50"/>
      <c r="T936" s="50"/>
      <c r="U936" s="50"/>
      <c r="V936" s="50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</row>
    <row r="937" spans="1:43" hidden="1">
      <c r="P937" s="100">
        <f t="shared" si="163"/>
        <v>0</v>
      </c>
    </row>
    <row r="938" spans="1:43" hidden="1">
      <c r="P938" s="100">
        <f t="shared" si="163"/>
        <v>0</v>
      </c>
    </row>
    <row r="939" spans="1:43" hidden="1">
      <c r="P939" s="100">
        <f t="shared" si="163"/>
        <v>0</v>
      </c>
    </row>
    <row r="940" spans="1:43" hidden="1">
      <c r="P940" s="100">
        <f t="shared" si="163"/>
        <v>0</v>
      </c>
    </row>
    <row r="941" spans="1:43" hidden="1">
      <c r="P941" s="100">
        <f t="shared" si="163"/>
        <v>0</v>
      </c>
    </row>
    <row r="942" spans="1:43" hidden="1">
      <c r="P942" s="100">
        <f t="shared" si="163"/>
        <v>0</v>
      </c>
    </row>
    <row r="943" spans="1:43" hidden="1">
      <c r="P943" s="100">
        <f t="shared" si="163"/>
        <v>0</v>
      </c>
    </row>
    <row r="944" spans="1:43" hidden="1">
      <c r="P944" s="100">
        <f t="shared" si="163"/>
        <v>0</v>
      </c>
    </row>
    <row r="945" spans="16:16" hidden="1">
      <c r="P945" s="100">
        <f t="shared" si="163"/>
        <v>0</v>
      </c>
    </row>
    <row r="946" spans="16:16" hidden="1">
      <c r="P946" s="100">
        <f t="shared" si="163"/>
        <v>0</v>
      </c>
    </row>
    <row r="947" spans="16:16" hidden="1">
      <c r="P947" s="100">
        <f t="shared" si="163"/>
        <v>0</v>
      </c>
    </row>
    <row r="948" spans="16:16" hidden="1">
      <c r="P948" s="100">
        <f t="shared" si="163"/>
        <v>0</v>
      </c>
    </row>
    <row r="949" spans="16:16" hidden="1">
      <c r="P949" s="100">
        <f t="shared" si="163"/>
        <v>0</v>
      </c>
    </row>
    <row r="950" spans="16:16" hidden="1">
      <c r="P950" s="100">
        <f t="shared" si="163"/>
        <v>0</v>
      </c>
    </row>
    <row r="951" spans="16:16" hidden="1">
      <c r="P951" s="100">
        <f t="shared" si="163"/>
        <v>0</v>
      </c>
    </row>
    <row r="952" spans="16:16" hidden="1">
      <c r="P952" s="100">
        <f t="shared" si="163"/>
        <v>0</v>
      </c>
    </row>
    <row r="953" spans="16:16" hidden="1">
      <c r="P953" s="100">
        <f t="shared" si="163"/>
        <v>0</v>
      </c>
    </row>
    <row r="954" spans="16:16" hidden="1">
      <c r="P954" s="100">
        <f t="shared" si="163"/>
        <v>0</v>
      </c>
    </row>
    <row r="955" spans="16:16" hidden="1">
      <c r="P955" s="100">
        <f t="shared" si="163"/>
        <v>0</v>
      </c>
    </row>
    <row r="956" spans="16:16" hidden="1">
      <c r="P956" s="100">
        <f t="shared" si="163"/>
        <v>0</v>
      </c>
    </row>
    <row r="957" spans="16:16" hidden="1">
      <c r="P957" s="100">
        <f t="shared" si="163"/>
        <v>0</v>
      </c>
    </row>
    <row r="958" spans="16:16" hidden="1">
      <c r="P958" s="100">
        <f t="shared" si="163"/>
        <v>0</v>
      </c>
    </row>
    <row r="959" spans="16:16" hidden="1">
      <c r="P959" s="100">
        <f t="shared" si="163"/>
        <v>0</v>
      </c>
    </row>
    <row r="960" spans="16:16" hidden="1">
      <c r="P960" s="100">
        <f t="shared" si="163"/>
        <v>0</v>
      </c>
    </row>
    <row r="961" spans="16:16" hidden="1">
      <c r="P961" s="100">
        <f t="shared" si="163"/>
        <v>0</v>
      </c>
    </row>
    <row r="962" spans="16:16" hidden="1">
      <c r="P962" s="100">
        <f t="shared" si="163"/>
        <v>0</v>
      </c>
    </row>
    <row r="963" spans="16:16" hidden="1">
      <c r="P963" s="100">
        <f t="shared" si="163"/>
        <v>0</v>
      </c>
    </row>
    <row r="964" spans="16:16" hidden="1">
      <c r="P964" s="100">
        <f t="shared" si="163"/>
        <v>0</v>
      </c>
    </row>
    <row r="965" spans="16:16" hidden="1">
      <c r="P965" s="100">
        <f t="shared" si="163"/>
        <v>0</v>
      </c>
    </row>
    <row r="966" spans="16:16" hidden="1">
      <c r="P966" s="100">
        <f t="shared" si="163"/>
        <v>0</v>
      </c>
    </row>
    <row r="967" spans="16:16" hidden="1">
      <c r="P967" s="100">
        <f t="shared" si="163"/>
        <v>0</v>
      </c>
    </row>
    <row r="968" spans="16:16" hidden="1">
      <c r="P968" s="100">
        <f t="shared" si="163"/>
        <v>0</v>
      </c>
    </row>
    <row r="969" spans="16:16" hidden="1">
      <c r="P969" s="100">
        <f t="shared" si="163"/>
        <v>0</v>
      </c>
    </row>
    <row r="970" spans="16:16" hidden="1">
      <c r="P970" s="100">
        <f t="shared" si="163"/>
        <v>0</v>
      </c>
    </row>
    <row r="971" spans="16:16" hidden="1">
      <c r="P971" s="100">
        <f t="shared" si="163"/>
        <v>0</v>
      </c>
    </row>
    <row r="972" spans="16:16" hidden="1">
      <c r="P972" s="100">
        <f t="shared" si="163"/>
        <v>0</v>
      </c>
    </row>
    <row r="973" spans="16:16" hidden="1">
      <c r="P973" s="100">
        <f t="shared" si="163"/>
        <v>0</v>
      </c>
    </row>
    <row r="974" spans="16:16" hidden="1">
      <c r="P974" s="100">
        <f t="shared" si="163"/>
        <v>0</v>
      </c>
    </row>
    <row r="975" spans="16:16" hidden="1">
      <c r="P975" s="100">
        <f t="shared" si="163"/>
        <v>0</v>
      </c>
    </row>
    <row r="976" spans="16:16" hidden="1">
      <c r="P976" s="100">
        <f t="shared" si="163"/>
        <v>0</v>
      </c>
    </row>
    <row r="977" spans="16:16" hidden="1">
      <c r="P977" s="100">
        <f t="shared" si="163"/>
        <v>0</v>
      </c>
    </row>
    <row r="978" spans="16:16" hidden="1">
      <c r="P978" s="100">
        <f t="shared" si="163"/>
        <v>0</v>
      </c>
    </row>
    <row r="979" spans="16:16" hidden="1">
      <c r="P979" s="100">
        <f t="shared" ref="P979:P1040" si="164">+O979</f>
        <v>0</v>
      </c>
    </row>
    <row r="980" spans="16:16" hidden="1">
      <c r="P980" s="100">
        <f t="shared" si="164"/>
        <v>0</v>
      </c>
    </row>
    <row r="981" spans="16:16" hidden="1">
      <c r="P981" s="100">
        <f t="shared" si="164"/>
        <v>0</v>
      </c>
    </row>
    <row r="982" spans="16:16" hidden="1">
      <c r="P982" s="100">
        <f t="shared" si="164"/>
        <v>0</v>
      </c>
    </row>
    <row r="983" spans="16:16" hidden="1">
      <c r="P983" s="100">
        <f t="shared" si="164"/>
        <v>0</v>
      </c>
    </row>
    <row r="984" spans="16:16" hidden="1">
      <c r="P984" s="100">
        <f t="shared" si="164"/>
        <v>0</v>
      </c>
    </row>
    <row r="985" spans="16:16" hidden="1">
      <c r="P985" s="100">
        <f t="shared" si="164"/>
        <v>0</v>
      </c>
    </row>
    <row r="986" spans="16:16" hidden="1">
      <c r="P986" s="100">
        <f t="shared" si="164"/>
        <v>0</v>
      </c>
    </row>
    <row r="987" spans="16:16" hidden="1">
      <c r="P987" s="100">
        <f t="shared" si="164"/>
        <v>0</v>
      </c>
    </row>
    <row r="988" spans="16:16" hidden="1">
      <c r="P988" s="100">
        <f t="shared" si="164"/>
        <v>0</v>
      </c>
    </row>
    <row r="989" spans="16:16" hidden="1">
      <c r="P989" s="100">
        <f t="shared" si="164"/>
        <v>0</v>
      </c>
    </row>
    <row r="990" spans="16:16" hidden="1">
      <c r="P990" s="100">
        <f t="shared" si="164"/>
        <v>0</v>
      </c>
    </row>
    <row r="991" spans="16:16" hidden="1">
      <c r="P991" s="100">
        <f t="shared" si="164"/>
        <v>0</v>
      </c>
    </row>
    <row r="992" spans="16:16" hidden="1">
      <c r="P992" s="100">
        <f t="shared" si="164"/>
        <v>0</v>
      </c>
    </row>
    <row r="993" spans="16:16" hidden="1">
      <c r="P993" s="100">
        <f t="shared" si="164"/>
        <v>0</v>
      </c>
    </row>
    <row r="994" spans="16:16" hidden="1">
      <c r="P994" s="100">
        <f t="shared" si="164"/>
        <v>0</v>
      </c>
    </row>
    <row r="995" spans="16:16" hidden="1">
      <c r="P995" s="100">
        <f t="shared" si="164"/>
        <v>0</v>
      </c>
    </row>
    <row r="996" spans="16:16" hidden="1">
      <c r="P996" s="100">
        <f t="shared" si="164"/>
        <v>0</v>
      </c>
    </row>
    <row r="997" spans="16:16" hidden="1">
      <c r="P997" s="100">
        <f t="shared" si="164"/>
        <v>0</v>
      </c>
    </row>
    <row r="998" spans="16:16" hidden="1">
      <c r="P998" s="100">
        <f t="shared" si="164"/>
        <v>0</v>
      </c>
    </row>
    <row r="999" spans="16:16" hidden="1">
      <c r="P999" s="100">
        <f t="shared" si="164"/>
        <v>0</v>
      </c>
    </row>
    <row r="1000" spans="16:16" hidden="1">
      <c r="P1000" s="100">
        <f t="shared" si="164"/>
        <v>0</v>
      </c>
    </row>
    <row r="1001" spans="16:16" hidden="1">
      <c r="P1001" s="100">
        <f t="shared" si="164"/>
        <v>0</v>
      </c>
    </row>
    <row r="1002" spans="16:16" hidden="1">
      <c r="P1002" s="100">
        <f t="shared" si="164"/>
        <v>0</v>
      </c>
    </row>
    <row r="1003" spans="16:16" hidden="1">
      <c r="P1003" s="100">
        <f t="shared" si="164"/>
        <v>0</v>
      </c>
    </row>
    <row r="1004" spans="16:16" hidden="1">
      <c r="P1004" s="100">
        <f t="shared" si="164"/>
        <v>0</v>
      </c>
    </row>
    <row r="1005" spans="16:16" hidden="1">
      <c r="P1005" s="100">
        <f t="shared" si="164"/>
        <v>0</v>
      </c>
    </row>
    <row r="1006" spans="16:16" hidden="1">
      <c r="P1006" s="100">
        <f t="shared" si="164"/>
        <v>0</v>
      </c>
    </row>
    <row r="1007" spans="16:16" hidden="1">
      <c r="P1007" s="100">
        <f t="shared" si="164"/>
        <v>0</v>
      </c>
    </row>
    <row r="1008" spans="16:16" hidden="1">
      <c r="P1008" s="100">
        <f t="shared" si="164"/>
        <v>0</v>
      </c>
    </row>
    <row r="1009" spans="16:16" hidden="1">
      <c r="P1009" s="100">
        <f t="shared" si="164"/>
        <v>0</v>
      </c>
    </row>
    <row r="1010" spans="16:16" hidden="1">
      <c r="P1010" s="100">
        <f t="shared" si="164"/>
        <v>0</v>
      </c>
    </row>
    <row r="1011" spans="16:16" hidden="1">
      <c r="P1011" s="100">
        <f t="shared" si="164"/>
        <v>0</v>
      </c>
    </row>
    <row r="1012" spans="16:16" hidden="1">
      <c r="P1012" s="100">
        <f t="shared" si="164"/>
        <v>0</v>
      </c>
    </row>
    <row r="1013" spans="16:16" hidden="1">
      <c r="P1013" s="100">
        <f t="shared" si="164"/>
        <v>0</v>
      </c>
    </row>
    <row r="1014" spans="16:16" hidden="1">
      <c r="P1014" s="100">
        <f t="shared" si="164"/>
        <v>0</v>
      </c>
    </row>
    <row r="1015" spans="16:16" hidden="1">
      <c r="P1015" s="100">
        <f t="shared" si="164"/>
        <v>0</v>
      </c>
    </row>
    <row r="1016" spans="16:16" hidden="1">
      <c r="P1016" s="100">
        <f t="shared" si="164"/>
        <v>0</v>
      </c>
    </row>
    <row r="1017" spans="16:16" hidden="1">
      <c r="P1017" s="100">
        <f t="shared" si="164"/>
        <v>0</v>
      </c>
    </row>
    <row r="1018" spans="16:16" hidden="1">
      <c r="P1018" s="100">
        <f t="shared" si="164"/>
        <v>0</v>
      </c>
    </row>
    <row r="1019" spans="16:16" hidden="1">
      <c r="P1019" s="100">
        <f t="shared" si="164"/>
        <v>0</v>
      </c>
    </row>
    <row r="1020" spans="16:16" hidden="1">
      <c r="P1020" s="100">
        <f t="shared" si="164"/>
        <v>0</v>
      </c>
    </row>
    <row r="1021" spans="16:16" hidden="1">
      <c r="P1021" s="100">
        <f t="shared" si="164"/>
        <v>0</v>
      </c>
    </row>
    <row r="1022" spans="16:16" hidden="1">
      <c r="P1022" s="100">
        <f t="shared" si="164"/>
        <v>0</v>
      </c>
    </row>
    <row r="1023" spans="16:16" hidden="1">
      <c r="P1023" s="100">
        <f t="shared" si="164"/>
        <v>0</v>
      </c>
    </row>
    <row r="1024" spans="16:16" hidden="1">
      <c r="P1024" s="100">
        <f t="shared" si="164"/>
        <v>0</v>
      </c>
    </row>
    <row r="1025" spans="16:16" hidden="1">
      <c r="P1025" s="100">
        <f t="shared" si="164"/>
        <v>0</v>
      </c>
    </row>
    <row r="1026" spans="16:16" hidden="1">
      <c r="P1026" s="100">
        <f t="shared" si="164"/>
        <v>0</v>
      </c>
    </row>
    <row r="1027" spans="16:16" hidden="1">
      <c r="P1027" s="100">
        <f t="shared" si="164"/>
        <v>0</v>
      </c>
    </row>
    <row r="1028" spans="16:16" hidden="1">
      <c r="P1028" s="100">
        <f t="shared" si="164"/>
        <v>0</v>
      </c>
    </row>
    <row r="1029" spans="16:16" hidden="1">
      <c r="P1029" s="100">
        <f t="shared" si="164"/>
        <v>0</v>
      </c>
    </row>
    <row r="1030" spans="16:16" hidden="1">
      <c r="P1030" s="100">
        <f t="shared" si="164"/>
        <v>0</v>
      </c>
    </row>
    <row r="1031" spans="16:16" hidden="1">
      <c r="P1031" s="100">
        <f t="shared" si="164"/>
        <v>0</v>
      </c>
    </row>
    <row r="1032" spans="16:16" hidden="1">
      <c r="P1032" s="100">
        <f t="shared" si="164"/>
        <v>0</v>
      </c>
    </row>
    <row r="1033" spans="16:16" hidden="1">
      <c r="P1033" s="100">
        <f t="shared" si="164"/>
        <v>0</v>
      </c>
    </row>
    <row r="1034" spans="16:16" hidden="1">
      <c r="P1034" s="100">
        <f t="shared" si="164"/>
        <v>0</v>
      </c>
    </row>
    <row r="1035" spans="16:16" hidden="1">
      <c r="P1035" s="100">
        <f t="shared" si="164"/>
        <v>0</v>
      </c>
    </row>
    <row r="1036" spans="16:16" hidden="1">
      <c r="P1036" s="100">
        <f t="shared" si="164"/>
        <v>0</v>
      </c>
    </row>
    <row r="1037" spans="16:16" hidden="1">
      <c r="P1037" s="100">
        <f t="shared" si="164"/>
        <v>0</v>
      </c>
    </row>
    <row r="1038" spans="16:16" hidden="1">
      <c r="P1038" s="100">
        <f t="shared" si="164"/>
        <v>0</v>
      </c>
    </row>
    <row r="1039" spans="16:16" hidden="1">
      <c r="P1039" s="100">
        <f t="shared" si="164"/>
        <v>0</v>
      </c>
    </row>
    <row r="1040" spans="16:16" hidden="1">
      <c r="P1040" s="100">
        <f t="shared" si="164"/>
        <v>0</v>
      </c>
    </row>
    <row r="1041" spans="16:16">
      <c r="P1041" s="28"/>
    </row>
    <row r="1042" spans="16:16">
      <c r="P1042" s="28"/>
    </row>
    <row r="1043" spans="16:16">
      <c r="P1043" s="28"/>
    </row>
    <row r="1044" spans="16:16">
      <c r="P1044" s="28"/>
    </row>
    <row r="1045" spans="16:16">
      <c r="P1045" s="28"/>
    </row>
    <row r="1046" spans="16:16">
      <c r="P1046" s="28"/>
    </row>
    <row r="1047" spans="16:16">
      <c r="P1047" s="28"/>
    </row>
    <row r="1048" spans="16:16">
      <c r="P1048" s="28"/>
    </row>
    <row r="1049" spans="16:16">
      <c r="P1049" s="28"/>
    </row>
    <row r="1050" spans="16:16">
      <c r="P1050" s="28"/>
    </row>
    <row r="1051" spans="16:16">
      <c r="P1051" s="28"/>
    </row>
    <row r="1052" spans="16:16">
      <c r="P1052" s="28"/>
    </row>
    <row r="1053" spans="16:16">
      <c r="P1053" s="28"/>
    </row>
    <row r="1054" spans="16:16">
      <c r="P1054" s="28"/>
    </row>
    <row r="1055" spans="16:16">
      <c r="P1055" s="28"/>
    </row>
    <row r="1056" spans="16:16">
      <c r="P1056" s="28"/>
    </row>
    <row r="1057" spans="16:16">
      <c r="P1057" s="28"/>
    </row>
    <row r="1058" spans="16:16">
      <c r="P1058" s="28"/>
    </row>
    <row r="1059" spans="16:16">
      <c r="P1059" s="28"/>
    </row>
    <row r="1060" spans="16:16">
      <c r="P1060" s="28"/>
    </row>
    <row r="1061" spans="16:16">
      <c r="P1061" s="28"/>
    </row>
    <row r="1062" spans="16:16">
      <c r="P1062" s="28"/>
    </row>
    <row r="1063" spans="16:16">
      <c r="P1063" s="28"/>
    </row>
    <row r="1064" spans="16:16">
      <c r="P1064" s="28"/>
    </row>
    <row r="1065" spans="16:16">
      <c r="P1065" s="28"/>
    </row>
    <row r="1066" spans="16:16">
      <c r="P1066" s="28"/>
    </row>
    <row r="1067" spans="16:16">
      <c r="P1067" s="28"/>
    </row>
    <row r="1068" spans="16:16">
      <c r="P1068" s="28"/>
    </row>
    <row r="1069" spans="16:16">
      <c r="P1069" s="28"/>
    </row>
    <row r="1070" spans="16:16">
      <c r="P1070" s="28"/>
    </row>
    <row r="1071" spans="16:16">
      <c r="P1071" s="28"/>
    </row>
    <row r="1072" spans="16:16">
      <c r="P1072" s="28"/>
    </row>
    <row r="1073" spans="16:16">
      <c r="P1073" s="28"/>
    </row>
    <row r="1074" spans="16:16">
      <c r="P1074" s="28"/>
    </row>
    <row r="1075" spans="16:16">
      <c r="P1075" s="28"/>
    </row>
    <row r="1076" spans="16:16">
      <c r="P1076" s="28"/>
    </row>
    <row r="1077" spans="16:16">
      <c r="P1077" s="28"/>
    </row>
    <row r="1078" spans="16:16">
      <c r="P1078" s="28"/>
    </row>
    <row r="1079" spans="16:16">
      <c r="P1079" s="28"/>
    </row>
    <row r="1080" spans="16:16">
      <c r="P1080" s="28"/>
    </row>
    <row r="1081" spans="16:16">
      <c r="P1081" s="28"/>
    </row>
    <row r="1082" spans="16:16">
      <c r="P1082" s="28"/>
    </row>
    <row r="1083" spans="16:16">
      <c r="P1083" s="28"/>
    </row>
    <row r="1084" spans="16:16">
      <c r="P1084" s="28"/>
    </row>
    <row r="1085" spans="16:16">
      <c r="P1085" s="28"/>
    </row>
    <row r="1086" spans="16:16">
      <c r="P1086" s="28"/>
    </row>
    <row r="1087" spans="16:16">
      <c r="P1087" s="28"/>
    </row>
    <row r="1088" spans="16:16">
      <c r="P1088" s="28"/>
    </row>
    <row r="1089" spans="16:16">
      <c r="P1089" s="28"/>
    </row>
    <row r="1090" spans="16:16">
      <c r="P1090" s="28"/>
    </row>
    <row r="1091" spans="16:16">
      <c r="P1091" s="28"/>
    </row>
    <row r="1092" spans="16:16">
      <c r="P1092" s="28"/>
    </row>
    <row r="1093" spans="16:16">
      <c r="P1093" s="28"/>
    </row>
    <row r="1094" spans="16:16">
      <c r="P1094" s="28"/>
    </row>
    <row r="1095" spans="16:16">
      <c r="P1095" s="28"/>
    </row>
    <row r="1096" spans="16:16">
      <c r="P1096" s="28"/>
    </row>
    <row r="1097" spans="16:16">
      <c r="P1097" s="28"/>
    </row>
    <row r="1098" spans="16:16">
      <c r="P1098" s="28"/>
    </row>
    <row r="1099" spans="16:16">
      <c r="P1099" s="28"/>
    </row>
    <row r="1100" spans="16:16">
      <c r="P1100" s="28"/>
    </row>
    <row r="1101" spans="16:16">
      <c r="P1101" s="28"/>
    </row>
    <row r="1102" spans="16:16">
      <c r="P1102" s="28"/>
    </row>
    <row r="1103" spans="16:16">
      <c r="P1103" s="28"/>
    </row>
    <row r="1104" spans="16:16">
      <c r="P1104" s="28"/>
    </row>
    <row r="1105" spans="16:16">
      <c r="P1105" s="28"/>
    </row>
    <row r="1106" spans="16:16">
      <c r="P1106" s="28"/>
    </row>
    <row r="1107" spans="16:16">
      <c r="P1107" s="28"/>
    </row>
    <row r="1108" spans="16:16">
      <c r="P1108" s="28"/>
    </row>
    <row r="1109" spans="16:16">
      <c r="P1109" s="28"/>
    </row>
    <row r="1110" spans="16:16">
      <c r="P1110" s="28"/>
    </row>
    <row r="1111" spans="16:16">
      <c r="P1111" s="28"/>
    </row>
    <row r="1112" spans="16:16">
      <c r="P1112" s="28"/>
    </row>
    <row r="1113" spans="16:16">
      <c r="P1113" s="28"/>
    </row>
    <row r="1114" spans="16:16">
      <c r="P1114" s="28"/>
    </row>
    <row r="1115" spans="16:16">
      <c r="P1115" s="28"/>
    </row>
    <row r="1116" spans="16:16">
      <c r="P1116" s="28"/>
    </row>
    <row r="1117" spans="16:16">
      <c r="P1117" s="28"/>
    </row>
    <row r="1118" spans="16:16">
      <c r="P1118" s="28"/>
    </row>
    <row r="1119" spans="16:16">
      <c r="P1119" s="28"/>
    </row>
    <row r="1120" spans="16:16">
      <c r="P1120" s="28"/>
    </row>
    <row r="1121" spans="16:16">
      <c r="P1121" s="28"/>
    </row>
    <row r="1122" spans="16:16">
      <c r="P1122" s="28"/>
    </row>
    <row r="1123" spans="16:16">
      <c r="P1123" s="28"/>
    </row>
    <row r="1124" spans="16:16">
      <c r="P1124" s="28"/>
    </row>
    <row r="1125" spans="16:16">
      <c r="P1125" s="28"/>
    </row>
    <row r="1126" spans="16:16">
      <c r="P1126" s="28"/>
    </row>
    <row r="1127" spans="16:16">
      <c r="P1127" s="28"/>
    </row>
    <row r="1128" spans="16:16">
      <c r="P1128" s="28"/>
    </row>
    <row r="1129" spans="16:16">
      <c r="P1129" s="28"/>
    </row>
    <row r="1130" spans="16:16">
      <c r="P1130" s="28"/>
    </row>
    <row r="1131" spans="16:16">
      <c r="P1131" s="28"/>
    </row>
    <row r="1132" spans="16:16">
      <c r="P1132" s="28"/>
    </row>
    <row r="1133" spans="16:16">
      <c r="P1133" s="28"/>
    </row>
    <row r="1134" spans="16:16">
      <c r="P1134" s="28"/>
    </row>
    <row r="1135" spans="16:16">
      <c r="P1135" s="28"/>
    </row>
    <row r="1136" spans="16:16">
      <c r="P1136" s="28"/>
    </row>
    <row r="1137" spans="16:16">
      <c r="P1137" s="28"/>
    </row>
    <row r="1138" spans="16:16">
      <c r="P1138" s="28"/>
    </row>
    <row r="1139" spans="16:16">
      <c r="P1139" s="28"/>
    </row>
    <row r="1140" spans="16:16">
      <c r="P1140" s="28"/>
    </row>
    <row r="1141" spans="16:16">
      <c r="P1141" s="28"/>
    </row>
    <row r="1142" spans="16:16">
      <c r="P1142" s="28"/>
    </row>
    <row r="1143" spans="16:16">
      <c r="P1143" s="28"/>
    </row>
    <row r="1144" spans="16:16">
      <c r="P1144" s="28"/>
    </row>
    <row r="1145" spans="16:16">
      <c r="P1145" s="28"/>
    </row>
    <row r="1146" spans="16:16">
      <c r="P1146" s="28"/>
    </row>
    <row r="1147" spans="16:16">
      <c r="P1147" s="28"/>
    </row>
    <row r="1148" spans="16:16">
      <c r="P1148" s="28"/>
    </row>
    <row r="1149" spans="16:16">
      <c r="P1149" s="28"/>
    </row>
    <row r="1150" spans="16:16">
      <c r="P1150" s="28"/>
    </row>
    <row r="1151" spans="16:16">
      <c r="P1151" s="28"/>
    </row>
    <row r="1152" spans="16:16">
      <c r="P1152" s="28"/>
    </row>
    <row r="1153" spans="16:16">
      <c r="P1153" s="28"/>
    </row>
    <row r="1154" spans="16:16">
      <c r="P1154" s="28"/>
    </row>
    <row r="1155" spans="16:16">
      <c r="P1155" s="28"/>
    </row>
    <row r="1156" spans="16:16">
      <c r="P1156" s="28"/>
    </row>
    <row r="1157" spans="16:16">
      <c r="P1157" s="28"/>
    </row>
    <row r="1158" spans="16:16">
      <c r="P1158" s="28"/>
    </row>
    <row r="1159" spans="16:16">
      <c r="P1159" s="28"/>
    </row>
    <row r="1160" spans="16:16">
      <c r="P1160" s="28"/>
    </row>
    <row r="1161" spans="16:16">
      <c r="P1161" s="28"/>
    </row>
    <row r="1162" spans="16:16">
      <c r="P1162" s="28"/>
    </row>
    <row r="1163" spans="16:16">
      <c r="P1163" s="28"/>
    </row>
    <row r="1164" spans="16:16">
      <c r="P1164" s="28"/>
    </row>
    <row r="1165" spans="16:16">
      <c r="P1165" s="28"/>
    </row>
    <row r="1166" spans="16:16">
      <c r="P1166" s="28"/>
    </row>
    <row r="1167" spans="16:16">
      <c r="P1167" s="28"/>
    </row>
    <row r="1168" spans="16:16">
      <c r="P1168" s="28"/>
    </row>
    <row r="1169" spans="16:16">
      <c r="P1169" s="28"/>
    </row>
    <row r="1170" spans="16:16">
      <c r="P1170" s="28"/>
    </row>
    <row r="1171" spans="16:16">
      <c r="P1171" s="28"/>
    </row>
    <row r="1172" spans="16:16">
      <c r="P1172" s="28"/>
    </row>
    <row r="1173" spans="16:16">
      <c r="P1173" s="28"/>
    </row>
    <row r="1174" spans="16:16">
      <c r="P1174" s="28"/>
    </row>
    <row r="1175" spans="16:16">
      <c r="P1175" s="28"/>
    </row>
    <row r="1176" spans="16:16">
      <c r="P1176" s="28"/>
    </row>
    <row r="1177" spans="16:16">
      <c r="P1177" s="28"/>
    </row>
    <row r="1178" spans="16:16">
      <c r="P1178" s="28"/>
    </row>
    <row r="1179" spans="16:16">
      <c r="P1179" s="28"/>
    </row>
    <row r="1180" spans="16:16">
      <c r="P1180" s="28"/>
    </row>
    <row r="1181" spans="16:16">
      <c r="P1181" s="28"/>
    </row>
    <row r="1182" spans="16:16">
      <c r="P1182" s="28"/>
    </row>
    <row r="1183" spans="16:16">
      <c r="P1183" s="28"/>
    </row>
    <row r="1184" spans="16:16">
      <c r="P1184" s="28"/>
    </row>
    <row r="1185" spans="16:16">
      <c r="P1185" s="28"/>
    </row>
    <row r="1186" spans="16:16">
      <c r="P1186" s="28"/>
    </row>
    <row r="1187" spans="16:16">
      <c r="P1187" s="28"/>
    </row>
    <row r="1188" spans="16:16">
      <c r="P1188" s="28"/>
    </row>
    <row r="1189" spans="16:16">
      <c r="P1189" s="28"/>
    </row>
    <row r="1190" spans="16:16">
      <c r="P1190" s="28"/>
    </row>
    <row r="1191" spans="16:16">
      <c r="P1191" s="28"/>
    </row>
    <row r="1192" spans="16:16">
      <c r="P1192" s="28"/>
    </row>
    <row r="1193" spans="16:16">
      <c r="P1193" s="28"/>
    </row>
    <row r="1194" spans="16:16">
      <c r="P1194" s="28"/>
    </row>
    <row r="1195" spans="16:16">
      <c r="P1195" s="28"/>
    </row>
    <row r="1196" spans="16:16">
      <c r="P1196" s="28"/>
    </row>
    <row r="1197" spans="16:16">
      <c r="P1197" s="28"/>
    </row>
    <row r="1198" spans="16:16">
      <c r="P1198" s="28"/>
    </row>
    <row r="1199" spans="16:16">
      <c r="P1199" s="28"/>
    </row>
    <row r="1200" spans="16:16">
      <c r="P1200" s="28"/>
    </row>
    <row r="1201" spans="16:16">
      <c r="P1201" s="28"/>
    </row>
    <row r="1202" spans="16:16">
      <c r="P1202" s="28"/>
    </row>
    <row r="1203" spans="16:16">
      <c r="P1203" s="28"/>
    </row>
    <row r="1204" spans="16:16">
      <c r="P1204" s="28"/>
    </row>
    <row r="1205" spans="16:16">
      <c r="P1205" s="28"/>
    </row>
    <row r="1206" spans="16:16">
      <c r="P1206" s="28"/>
    </row>
    <row r="1207" spans="16:16">
      <c r="P1207" s="28"/>
    </row>
    <row r="1208" spans="16:16">
      <c r="P1208" s="28"/>
    </row>
    <row r="1209" spans="16:16">
      <c r="P1209" s="28"/>
    </row>
    <row r="1210" spans="16:16">
      <c r="P1210" s="28"/>
    </row>
    <row r="1211" spans="16:16">
      <c r="P1211" s="28"/>
    </row>
    <row r="1212" spans="16:16">
      <c r="P1212" s="28"/>
    </row>
    <row r="1213" spans="16:16">
      <c r="P1213" s="28"/>
    </row>
    <row r="1214" spans="16:16">
      <c r="P1214" s="28"/>
    </row>
    <row r="1215" spans="16:16">
      <c r="P1215" s="28"/>
    </row>
    <row r="1216" spans="16:16">
      <c r="P1216" s="28"/>
    </row>
    <row r="1217" spans="16:16">
      <c r="P1217" s="28"/>
    </row>
    <row r="1218" spans="16:16">
      <c r="P1218" s="28"/>
    </row>
    <row r="1219" spans="16:16">
      <c r="P1219" s="28"/>
    </row>
    <row r="1220" spans="16:16">
      <c r="P1220" s="28"/>
    </row>
    <row r="1221" spans="16:16">
      <c r="P1221" s="28"/>
    </row>
    <row r="1222" spans="16:16">
      <c r="P1222" s="28"/>
    </row>
    <row r="1223" spans="16:16">
      <c r="P1223" s="28"/>
    </row>
    <row r="1224" spans="16:16">
      <c r="P1224" s="28"/>
    </row>
    <row r="1225" spans="16:16">
      <c r="P1225" s="28"/>
    </row>
    <row r="1226" spans="16:16">
      <c r="P1226" s="28"/>
    </row>
    <row r="1227" spans="16:16">
      <c r="P1227" s="28"/>
    </row>
    <row r="1228" spans="16:16">
      <c r="P1228" s="28"/>
    </row>
    <row r="1229" spans="16:16">
      <c r="P1229" s="28"/>
    </row>
    <row r="1230" spans="16:16">
      <c r="P1230" s="28"/>
    </row>
    <row r="1231" spans="16:16">
      <c r="P1231" s="28"/>
    </row>
    <row r="1232" spans="16:16">
      <c r="P1232" s="28"/>
    </row>
    <row r="1233" spans="16:16">
      <c r="P1233" s="28"/>
    </row>
    <row r="1234" spans="16:16">
      <c r="P1234" s="28"/>
    </row>
    <row r="1235" spans="16:16">
      <c r="P1235" s="28"/>
    </row>
    <row r="1236" spans="16:16">
      <c r="P1236" s="28"/>
    </row>
    <row r="1237" spans="16:16">
      <c r="P1237" s="28"/>
    </row>
    <row r="1238" spans="16:16">
      <c r="P1238" s="28"/>
    </row>
    <row r="1239" spans="16:16">
      <c r="P1239" s="28"/>
    </row>
    <row r="1240" spans="16:16">
      <c r="P1240" s="28"/>
    </row>
    <row r="1241" spans="16:16">
      <c r="P1241" s="28"/>
    </row>
    <row r="1242" spans="16:16">
      <c r="P1242" s="28"/>
    </row>
    <row r="1243" spans="16:16">
      <c r="P1243" s="28"/>
    </row>
  </sheetData>
  <autoFilter ref="A20:P1040">
    <filterColumn colId="15">
      <customFilters and="1">
        <customFilter operator="notEqual" val=" "/>
        <customFilter operator="notEqual" val="0"/>
      </customFilters>
    </filterColumn>
  </autoFilter>
  <mergeCells count="712">
    <mergeCell ref="A686:B686"/>
    <mergeCell ref="A751:B751"/>
    <mergeCell ref="A755:B755"/>
    <mergeCell ref="A752:B752"/>
    <mergeCell ref="A753:B753"/>
    <mergeCell ref="A750:B750"/>
    <mergeCell ref="A735:B735"/>
    <mergeCell ref="A737:B737"/>
    <mergeCell ref="A738:B738"/>
    <mergeCell ref="A739:B739"/>
    <mergeCell ref="A748:B748"/>
    <mergeCell ref="A730:B730"/>
    <mergeCell ref="A731:B731"/>
    <mergeCell ref="A733:B733"/>
    <mergeCell ref="A734:B734"/>
    <mergeCell ref="A740:B740"/>
    <mergeCell ref="A742:B742"/>
    <mergeCell ref="A745:B745"/>
    <mergeCell ref="A747:B747"/>
    <mergeCell ref="A729:B729"/>
    <mergeCell ref="A722:B722"/>
    <mergeCell ref="A723:B723"/>
    <mergeCell ref="A724:B724"/>
    <mergeCell ref="A725:B725"/>
    <mergeCell ref="A726:B726"/>
    <mergeCell ref="A714:B714"/>
    <mergeCell ref="A715:B715"/>
    <mergeCell ref="A716:B716"/>
    <mergeCell ref="A728:B728"/>
    <mergeCell ref="A717:B717"/>
    <mergeCell ref="A719:B719"/>
    <mergeCell ref="A720:B720"/>
    <mergeCell ref="A721:B721"/>
    <mergeCell ref="A680:B680"/>
    <mergeCell ref="A681:B681"/>
    <mergeCell ref="A682:B682"/>
    <mergeCell ref="A683:B683"/>
    <mergeCell ref="A676:B676"/>
    <mergeCell ref="A677:B677"/>
    <mergeCell ref="A678:B678"/>
    <mergeCell ref="A679:B679"/>
    <mergeCell ref="A672:B672"/>
    <mergeCell ref="A673:B673"/>
    <mergeCell ref="A674:B674"/>
    <mergeCell ref="A675:B675"/>
    <mergeCell ref="A667:B667"/>
    <mergeCell ref="A669:B669"/>
    <mergeCell ref="A670:B670"/>
    <mergeCell ref="A671:B671"/>
    <mergeCell ref="A659:B659"/>
    <mergeCell ref="A661:B661"/>
    <mergeCell ref="A663:B663"/>
    <mergeCell ref="A665:B665"/>
    <mergeCell ref="A655:B655"/>
    <mergeCell ref="A657:B657"/>
    <mergeCell ref="A648:B648"/>
    <mergeCell ref="A651:B651"/>
    <mergeCell ref="A650:B650"/>
    <mergeCell ref="A636:B636"/>
    <mergeCell ref="A653:B653"/>
    <mergeCell ref="A646:B646"/>
    <mergeCell ref="A638:B638"/>
    <mergeCell ref="A642:B642"/>
    <mergeCell ref="A644:B644"/>
    <mergeCell ref="A634:B634"/>
    <mergeCell ref="A622:B622"/>
    <mergeCell ref="A623:B623"/>
    <mergeCell ref="A624:B624"/>
    <mergeCell ref="A625:B625"/>
    <mergeCell ref="A626:B626"/>
    <mergeCell ref="A629:B629"/>
    <mergeCell ref="A630:B630"/>
    <mergeCell ref="A632:B632"/>
    <mergeCell ref="A627:B627"/>
    <mergeCell ref="A618:B618"/>
    <mergeCell ref="A619:B619"/>
    <mergeCell ref="A620:B620"/>
    <mergeCell ref="A621:B621"/>
    <mergeCell ref="A614:B614"/>
    <mergeCell ref="A615:B615"/>
    <mergeCell ref="A616:B616"/>
    <mergeCell ref="A617:B617"/>
    <mergeCell ref="A595:B595"/>
    <mergeCell ref="A604:B604"/>
    <mergeCell ref="A611:B611"/>
    <mergeCell ref="A612:B612"/>
    <mergeCell ref="A609:B609"/>
    <mergeCell ref="A610:B610"/>
    <mergeCell ref="A596:B596"/>
    <mergeCell ref="A597:B597"/>
    <mergeCell ref="A607:B607"/>
    <mergeCell ref="A608:B608"/>
    <mergeCell ref="A591:B591"/>
    <mergeCell ref="A592:B592"/>
    <mergeCell ref="A593:B593"/>
    <mergeCell ref="A594:B594"/>
    <mergeCell ref="A429:B429"/>
    <mergeCell ref="A430:B430"/>
    <mergeCell ref="A587:B587"/>
    <mergeCell ref="A588:B588"/>
    <mergeCell ref="A437:B437"/>
    <mergeCell ref="A439:B439"/>
    <mergeCell ref="A440:B440"/>
    <mergeCell ref="A442:B442"/>
    <mergeCell ref="A443:B443"/>
    <mergeCell ref="A445:B445"/>
    <mergeCell ref="A425:B425"/>
    <mergeCell ref="A426:B426"/>
    <mergeCell ref="A427:B427"/>
    <mergeCell ref="A428:B428"/>
    <mergeCell ref="A432:B432"/>
    <mergeCell ref="A433:B433"/>
    <mergeCell ref="A421:B421"/>
    <mergeCell ref="A422:B422"/>
    <mergeCell ref="A423:B423"/>
    <mergeCell ref="A424:B424"/>
    <mergeCell ref="A417:B417"/>
    <mergeCell ref="A418:B418"/>
    <mergeCell ref="A419:B419"/>
    <mergeCell ref="A420:B420"/>
    <mergeCell ref="A413:B413"/>
    <mergeCell ref="A414:B414"/>
    <mergeCell ref="A415:B415"/>
    <mergeCell ref="A416:B416"/>
    <mergeCell ref="A409:B409"/>
    <mergeCell ref="A410:B410"/>
    <mergeCell ref="A411:B411"/>
    <mergeCell ref="A412:B412"/>
    <mergeCell ref="A402:B402"/>
    <mergeCell ref="A403:B403"/>
    <mergeCell ref="A407:B407"/>
    <mergeCell ref="A408:B408"/>
    <mergeCell ref="A396:B396"/>
    <mergeCell ref="A397:B397"/>
    <mergeCell ref="A399:B399"/>
    <mergeCell ref="A401:B401"/>
    <mergeCell ref="A391:B391"/>
    <mergeCell ref="A393:B393"/>
    <mergeCell ref="A394:B394"/>
    <mergeCell ref="A395:B395"/>
    <mergeCell ref="A392:B392"/>
    <mergeCell ref="A385:B385"/>
    <mergeCell ref="A386:B386"/>
    <mergeCell ref="A387:B387"/>
    <mergeCell ref="A390:B390"/>
    <mergeCell ref="A388:B388"/>
    <mergeCell ref="A389:B389"/>
    <mergeCell ref="A380:B380"/>
    <mergeCell ref="A381:B381"/>
    <mergeCell ref="A383:B383"/>
    <mergeCell ref="A384:B384"/>
    <mergeCell ref="A382:B382"/>
    <mergeCell ref="A375:B375"/>
    <mergeCell ref="A376:B376"/>
    <mergeCell ref="A377:B377"/>
    <mergeCell ref="A379:B379"/>
    <mergeCell ref="A371:B371"/>
    <mergeCell ref="A372:B372"/>
    <mergeCell ref="A373:B373"/>
    <mergeCell ref="A374:B374"/>
    <mergeCell ref="A367:B367"/>
    <mergeCell ref="A368:B368"/>
    <mergeCell ref="A369:B369"/>
    <mergeCell ref="A370:B370"/>
    <mergeCell ref="A363:B363"/>
    <mergeCell ref="A364:B364"/>
    <mergeCell ref="A365:B365"/>
    <mergeCell ref="A366:B366"/>
    <mergeCell ref="A351:B351"/>
    <mergeCell ref="A352:B352"/>
    <mergeCell ref="A353:B353"/>
    <mergeCell ref="A354:B354"/>
    <mergeCell ref="A347:B347"/>
    <mergeCell ref="A348:B348"/>
    <mergeCell ref="A349:B349"/>
    <mergeCell ref="A350:B350"/>
    <mergeCell ref="A343:B343"/>
    <mergeCell ref="A344:B344"/>
    <mergeCell ref="A345:B345"/>
    <mergeCell ref="A346:B346"/>
    <mergeCell ref="A339:B339"/>
    <mergeCell ref="A340:B340"/>
    <mergeCell ref="A341:B341"/>
    <mergeCell ref="A342:B342"/>
    <mergeCell ref="A335:B335"/>
    <mergeCell ref="A336:B336"/>
    <mergeCell ref="A337:B337"/>
    <mergeCell ref="A338:B338"/>
    <mergeCell ref="A331:B331"/>
    <mergeCell ref="A332:B332"/>
    <mergeCell ref="A333:B333"/>
    <mergeCell ref="A334:B334"/>
    <mergeCell ref="A327:B327"/>
    <mergeCell ref="A328:B328"/>
    <mergeCell ref="A329:B329"/>
    <mergeCell ref="A330:B330"/>
    <mergeCell ref="A323:B323"/>
    <mergeCell ref="A324:B324"/>
    <mergeCell ref="A325:B325"/>
    <mergeCell ref="A326:B326"/>
    <mergeCell ref="A319:B319"/>
    <mergeCell ref="A320:B320"/>
    <mergeCell ref="A321:B321"/>
    <mergeCell ref="A322:B322"/>
    <mergeCell ref="A315:B315"/>
    <mergeCell ref="A316:B316"/>
    <mergeCell ref="A317:B317"/>
    <mergeCell ref="A318:B318"/>
    <mergeCell ref="A311:B311"/>
    <mergeCell ref="A312:B312"/>
    <mergeCell ref="A313:B313"/>
    <mergeCell ref="A314:B314"/>
    <mergeCell ref="A304:B304"/>
    <mergeCell ref="A305:B305"/>
    <mergeCell ref="A306:B306"/>
    <mergeCell ref="A307:B307"/>
    <mergeCell ref="A300:B300"/>
    <mergeCell ref="A301:B301"/>
    <mergeCell ref="A302:B302"/>
    <mergeCell ref="A303:B303"/>
    <mergeCell ref="A296:B296"/>
    <mergeCell ref="A297:B297"/>
    <mergeCell ref="A298:B298"/>
    <mergeCell ref="A299:B299"/>
    <mergeCell ref="A292:B292"/>
    <mergeCell ref="A293:B293"/>
    <mergeCell ref="A294:B294"/>
    <mergeCell ref="A295:B295"/>
    <mergeCell ref="A288:B288"/>
    <mergeCell ref="A289:B289"/>
    <mergeCell ref="A290:B290"/>
    <mergeCell ref="A291:B291"/>
    <mergeCell ref="A282:B282"/>
    <mergeCell ref="A283:B283"/>
    <mergeCell ref="A284:B284"/>
    <mergeCell ref="A285:B285"/>
    <mergeCell ref="A278:B278"/>
    <mergeCell ref="A279:B279"/>
    <mergeCell ref="A280:B280"/>
    <mergeCell ref="A281:B281"/>
    <mergeCell ref="A274:B274"/>
    <mergeCell ref="A275:B275"/>
    <mergeCell ref="A276:B276"/>
    <mergeCell ref="A277:B277"/>
    <mergeCell ref="A270:B270"/>
    <mergeCell ref="A271:B271"/>
    <mergeCell ref="A272:B272"/>
    <mergeCell ref="A273:B273"/>
    <mergeCell ref="A266:B266"/>
    <mergeCell ref="A267:B267"/>
    <mergeCell ref="A268:B268"/>
    <mergeCell ref="A269:B269"/>
    <mergeCell ref="A262:B262"/>
    <mergeCell ref="A263:B263"/>
    <mergeCell ref="A264:B264"/>
    <mergeCell ref="A265:B265"/>
    <mergeCell ref="A258:B258"/>
    <mergeCell ref="A259:B259"/>
    <mergeCell ref="A260:B260"/>
    <mergeCell ref="A261:B261"/>
    <mergeCell ref="A254:B254"/>
    <mergeCell ref="A255:B255"/>
    <mergeCell ref="A256:B256"/>
    <mergeCell ref="A257:B257"/>
    <mergeCell ref="A250:B250"/>
    <mergeCell ref="A251:B251"/>
    <mergeCell ref="A252:B252"/>
    <mergeCell ref="A253:B253"/>
    <mergeCell ref="A246:B246"/>
    <mergeCell ref="A247:B247"/>
    <mergeCell ref="A248:B248"/>
    <mergeCell ref="A249:B249"/>
    <mergeCell ref="A240:B240"/>
    <mergeCell ref="A243:B243"/>
    <mergeCell ref="A244:B244"/>
    <mergeCell ref="A245:B245"/>
    <mergeCell ref="A231:B231"/>
    <mergeCell ref="A232:B232"/>
    <mergeCell ref="A233:B233"/>
    <mergeCell ref="A239:B239"/>
    <mergeCell ref="A234:B234"/>
    <mergeCell ref="A235:B235"/>
    <mergeCell ref="A236:B236"/>
    <mergeCell ref="A237:B237"/>
    <mergeCell ref="A238:B238"/>
    <mergeCell ref="A223:B223"/>
    <mergeCell ref="A224:B224"/>
    <mergeCell ref="A225:B225"/>
    <mergeCell ref="A226:B226"/>
    <mergeCell ref="A217:B217"/>
    <mergeCell ref="A219:B219"/>
    <mergeCell ref="A220:B220"/>
    <mergeCell ref="A222:B222"/>
    <mergeCell ref="A213:B213"/>
    <mergeCell ref="A214:B214"/>
    <mergeCell ref="A215:B215"/>
    <mergeCell ref="A216:B216"/>
    <mergeCell ref="A206:B206"/>
    <mergeCell ref="A207:B207"/>
    <mergeCell ref="A211:B211"/>
    <mergeCell ref="A212:B212"/>
    <mergeCell ref="A208:B208"/>
    <mergeCell ref="A210:B210"/>
    <mergeCell ref="A203:B203"/>
    <mergeCell ref="A192:B192"/>
    <mergeCell ref="A193:B193"/>
    <mergeCell ref="A195:B195"/>
    <mergeCell ref="A194:B194"/>
    <mergeCell ref="A197:B197"/>
    <mergeCell ref="A198:B198"/>
    <mergeCell ref="A199:B199"/>
    <mergeCell ref="A182:B182"/>
    <mergeCell ref="A183:B183"/>
    <mergeCell ref="A184:B184"/>
    <mergeCell ref="A185:B185"/>
    <mergeCell ref="A178:B178"/>
    <mergeCell ref="A179:B179"/>
    <mergeCell ref="A180:B180"/>
    <mergeCell ref="A181:B181"/>
    <mergeCell ref="A174:B174"/>
    <mergeCell ref="A175:B175"/>
    <mergeCell ref="A176:B176"/>
    <mergeCell ref="A177:B177"/>
    <mergeCell ref="A170:B170"/>
    <mergeCell ref="A171:B171"/>
    <mergeCell ref="A172:B172"/>
    <mergeCell ref="A173:B173"/>
    <mergeCell ref="A166:B166"/>
    <mergeCell ref="A167:B167"/>
    <mergeCell ref="A168:B168"/>
    <mergeCell ref="A169:B169"/>
    <mergeCell ref="A156:B156"/>
    <mergeCell ref="A158:B158"/>
    <mergeCell ref="A165:B165"/>
    <mergeCell ref="A157:B157"/>
    <mergeCell ref="A159:B159"/>
    <mergeCell ref="A160:B160"/>
    <mergeCell ref="A163:B163"/>
    <mergeCell ref="A164:B164"/>
    <mergeCell ref="A161:B161"/>
    <mergeCell ref="A162:B162"/>
    <mergeCell ref="A152:B152"/>
    <mergeCell ref="A153:B153"/>
    <mergeCell ref="A154:B154"/>
    <mergeCell ref="A155:B155"/>
    <mergeCell ref="A148:B148"/>
    <mergeCell ref="A149:B149"/>
    <mergeCell ref="A150:B150"/>
    <mergeCell ref="A151:B151"/>
    <mergeCell ref="A144:B144"/>
    <mergeCell ref="A145:B145"/>
    <mergeCell ref="A146:B146"/>
    <mergeCell ref="A147:B147"/>
    <mergeCell ref="A140:B140"/>
    <mergeCell ref="A141:B141"/>
    <mergeCell ref="A142:B142"/>
    <mergeCell ref="A143:B143"/>
    <mergeCell ref="A135:B135"/>
    <mergeCell ref="A137:B137"/>
    <mergeCell ref="A138:B138"/>
    <mergeCell ref="A139:B139"/>
    <mergeCell ref="A131:B131"/>
    <mergeCell ref="A133:B133"/>
    <mergeCell ref="A130:B130"/>
    <mergeCell ref="A134:B134"/>
    <mergeCell ref="A132:B132"/>
    <mergeCell ref="A126:B126"/>
    <mergeCell ref="A127:B127"/>
    <mergeCell ref="A128:B128"/>
    <mergeCell ref="A129:B129"/>
    <mergeCell ref="A122:B122"/>
    <mergeCell ref="A123:B123"/>
    <mergeCell ref="A124:B124"/>
    <mergeCell ref="A125:B125"/>
    <mergeCell ref="A117:B117"/>
    <mergeCell ref="A118:B118"/>
    <mergeCell ref="A120:B120"/>
    <mergeCell ref="A121:B121"/>
    <mergeCell ref="A113:B113"/>
    <mergeCell ref="A114:B114"/>
    <mergeCell ref="A115:B115"/>
    <mergeCell ref="A116:B116"/>
    <mergeCell ref="A109:B109"/>
    <mergeCell ref="A110:B110"/>
    <mergeCell ref="A111:B111"/>
    <mergeCell ref="A112:B112"/>
    <mergeCell ref="A79:B79"/>
    <mergeCell ref="A80:B80"/>
    <mergeCell ref="A81:B81"/>
    <mergeCell ref="A94:B94"/>
    <mergeCell ref="A107:B107"/>
    <mergeCell ref="A108:B108"/>
    <mergeCell ref="A83:B83"/>
    <mergeCell ref="A84:B84"/>
    <mergeCell ref="A85:B85"/>
    <mergeCell ref="A95:B95"/>
    <mergeCell ref="A73:B73"/>
    <mergeCell ref="A74:B74"/>
    <mergeCell ref="A75:B75"/>
    <mergeCell ref="A77:B77"/>
    <mergeCell ref="A76:B76"/>
    <mergeCell ref="A69:B69"/>
    <mergeCell ref="A70:B70"/>
    <mergeCell ref="A71:B71"/>
    <mergeCell ref="A72:B72"/>
    <mergeCell ref="A65:B65"/>
    <mergeCell ref="A66:B66"/>
    <mergeCell ref="A67:B67"/>
    <mergeCell ref="A68:B68"/>
    <mergeCell ref="A61:B61"/>
    <mergeCell ref="A62:B62"/>
    <mergeCell ref="A63:B63"/>
    <mergeCell ref="A64:B64"/>
    <mergeCell ref="A57:B57"/>
    <mergeCell ref="A58:B58"/>
    <mergeCell ref="A59:B59"/>
    <mergeCell ref="A60:B60"/>
    <mergeCell ref="A53:B53"/>
    <mergeCell ref="A54:B54"/>
    <mergeCell ref="A55:B55"/>
    <mergeCell ref="A56:B56"/>
    <mergeCell ref="A49:B49"/>
    <mergeCell ref="A50:B50"/>
    <mergeCell ref="A51:B51"/>
    <mergeCell ref="A52:B52"/>
    <mergeCell ref="A45:B45"/>
    <mergeCell ref="A46:B46"/>
    <mergeCell ref="A47:B47"/>
    <mergeCell ref="A48:B48"/>
    <mergeCell ref="A41:B41"/>
    <mergeCell ref="A42:B42"/>
    <mergeCell ref="A43:B43"/>
    <mergeCell ref="A44:B44"/>
    <mergeCell ref="A37:B37"/>
    <mergeCell ref="A38:B38"/>
    <mergeCell ref="A39:B39"/>
    <mergeCell ref="A40:B40"/>
    <mergeCell ref="A33:B33"/>
    <mergeCell ref="A34:B34"/>
    <mergeCell ref="A35:B35"/>
    <mergeCell ref="A36:B36"/>
    <mergeCell ref="A286:B286"/>
    <mergeCell ref="A287:B287"/>
    <mergeCell ref="A186:B186"/>
    <mergeCell ref="A187:B187"/>
    <mergeCell ref="A188:B188"/>
    <mergeCell ref="A191:B191"/>
    <mergeCell ref="A204:B204"/>
    <mergeCell ref="A201:B201"/>
    <mergeCell ref="A205:B205"/>
    <mergeCell ref="A202:B202"/>
    <mergeCell ref="A355:B355"/>
    <mergeCell ref="A357:B357"/>
    <mergeCell ref="A308:B308"/>
    <mergeCell ref="A309:B309"/>
    <mergeCell ref="A310:B310"/>
    <mergeCell ref="A228:B228"/>
    <mergeCell ref="A358:B358"/>
    <mergeCell ref="A359:B359"/>
    <mergeCell ref="A360:B360"/>
    <mergeCell ref="A361:B361"/>
    <mergeCell ref="A362:B362"/>
    <mergeCell ref="A441:B441"/>
    <mergeCell ref="A404:B404"/>
    <mergeCell ref="A405:B405"/>
    <mergeCell ref="A406:B406"/>
    <mergeCell ref="A431:B431"/>
    <mergeCell ref="A759:C75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71:B471"/>
    <mergeCell ref="A483:B483"/>
    <mergeCell ref="A479:B479"/>
    <mergeCell ref="A480:B480"/>
    <mergeCell ref="A481:B481"/>
    <mergeCell ref="A482:B482"/>
    <mergeCell ref="A476:B476"/>
    <mergeCell ref="A474:B474"/>
    <mergeCell ref="A475:B475"/>
    <mergeCell ref="A435:B435"/>
    <mergeCell ref="A467:B467"/>
    <mergeCell ref="A468:B468"/>
    <mergeCell ref="A469:B469"/>
    <mergeCell ref="A459:B459"/>
    <mergeCell ref="A464:B464"/>
    <mergeCell ref="A446:B446"/>
    <mergeCell ref="A447:B447"/>
    <mergeCell ref="A448:B448"/>
    <mergeCell ref="A449:B449"/>
    <mergeCell ref="A461:B461"/>
    <mergeCell ref="A516:B516"/>
    <mergeCell ref="A518:B518"/>
    <mergeCell ref="A498:B498"/>
    <mergeCell ref="A484:B484"/>
    <mergeCell ref="A485:B485"/>
    <mergeCell ref="A491:B491"/>
    <mergeCell ref="A470:B470"/>
    <mergeCell ref="A472:B472"/>
    <mergeCell ref="A473:B473"/>
    <mergeCell ref="A523:B523"/>
    <mergeCell ref="A514:B514"/>
    <mergeCell ref="A515:B515"/>
    <mergeCell ref="A465:B465"/>
    <mergeCell ref="A466:B466"/>
    <mergeCell ref="A462:B462"/>
    <mergeCell ref="A463:B463"/>
    <mergeCell ref="A487:B487"/>
    <mergeCell ref="A477:B477"/>
    <mergeCell ref="A478:B478"/>
    <mergeCell ref="A504:B504"/>
    <mergeCell ref="A505:B505"/>
    <mergeCell ref="A506:B506"/>
    <mergeCell ref="A507:B507"/>
    <mergeCell ref="A508:B508"/>
    <mergeCell ref="A509:B509"/>
    <mergeCell ref="A758:C758"/>
    <mergeCell ref="A492:B492"/>
    <mergeCell ref="A493:B493"/>
    <mergeCell ref="A494:B494"/>
    <mergeCell ref="A495:B495"/>
    <mergeCell ref="A496:B496"/>
    <mergeCell ref="A497:B497"/>
    <mergeCell ref="A501:B501"/>
    <mergeCell ref="A589:B589"/>
    <mergeCell ref="A590:B590"/>
    <mergeCell ref="C6:O6"/>
    <mergeCell ref="C7:O7"/>
    <mergeCell ref="E16:E18"/>
    <mergeCell ref="A82:B82"/>
    <mergeCell ref="A21:B21"/>
    <mergeCell ref="A22:B22"/>
    <mergeCell ref="A23:B23"/>
    <mergeCell ref="A24:B24"/>
    <mergeCell ref="A25:B25"/>
    <mergeCell ref="A26:B26"/>
    <mergeCell ref="A489:B489"/>
    <mergeCell ref="A490:B490"/>
    <mergeCell ref="A486:B486"/>
    <mergeCell ref="A562:B562"/>
    <mergeCell ref="A554:B554"/>
    <mergeCell ref="A555:B555"/>
    <mergeCell ref="A556:B556"/>
    <mergeCell ref="A558:B558"/>
    <mergeCell ref="A520:B520"/>
    <mergeCell ref="A559:B559"/>
    <mergeCell ref="A569:B569"/>
    <mergeCell ref="A564:B564"/>
    <mergeCell ref="A565:B565"/>
    <mergeCell ref="A566:B566"/>
    <mergeCell ref="A568:B568"/>
    <mergeCell ref="A560:B560"/>
    <mergeCell ref="A561:B561"/>
    <mergeCell ref="A535:B535"/>
    <mergeCell ref="A529:B529"/>
    <mergeCell ref="A530:B530"/>
    <mergeCell ref="A532:B532"/>
    <mergeCell ref="A533:B533"/>
    <mergeCell ref="A531:B531"/>
    <mergeCell ref="A534:B534"/>
    <mergeCell ref="A688:B688"/>
    <mergeCell ref="A689:B689"/>
    <mergeCell ref="A557:B557"/>
    <mergeCell ref="A599:B599"/>
    <mergeCell ref="A602:B602"/>
    <mergeCell ref="A603:B603"/>
    <mergeCell ref="A578:B578"/>
    <mergeCell ref="A571:B571"/>
    <mergeCell ref="A572:B572"/>
    <mergeCell ref="A573:B573"/>
    <mergeCell ref="A691:B691"/>
    <mergeCell ref="A692:B692"/>
    <mergeCell ref="A693:B693"/>
    <mergeCell ref="A697:B697"/>
    <mergeCell ref="A696:B696"/>
    <mergeCell ref="A695:B695"/>
    <mergeCell ref="A709:B709"/>
    <mergeCell ref="A711:B711"/>
    <mergeCell ref="A712:B712"/>
    <mergeCell ref="A701:B701"/>
    <mergeCell ref="A702:B702"/>
    <mergeCell ref="A703:B703"/>
    <mergeCell ref="A704:B704"/>
    <mergeCell ref="A757:C757"/>
    <mergeCell ref="A705:B705"/>
    <mergeCell ref="A700:B700"/>
    <mergeCell ref="A694:B694"/>
    <mergeCell ref="A710:B710"/>
    <mergeCell ref="A707:B707"/>
    <mergeCell ref="A698:B698"/>
    <mergeCell ref="A699:B699"/>
    <mergeCell ref="A706:B706"/>
    <mergeCell ref="A708:B708"/>
    <mergeCell ref="O10:O18"/>
    <mergeCell ref="L16:L18"/>
    <mergeCell ref="H10:N15"/>
    <mergeCell ref="M16:N16"/>
    <mergeCell ref="M17:M18"/>
    <mergeCell ref="I16:I18"/>
    <mergeCell ref="J16:K16"/>
    <mergeCell ref="J17:J18"/>
    <mergeCell ref="AM763:AN763"/>
    <mergeCell ref="AO763:AP763"/>
    <mergeCell ref="AI763:AJ763"/>
    <mergeCell ref="AK763:AL763"/>
    <mergeCell ref="M761:O761"/>
    <mergeCell ref="E10:G15"/>
    <mergeCell ref="K17:K18"/>
    <mergeCell ref="H16:H18"/>
    <mergeCell ref="R10:U10"/>
    <mergeCell ref="T16:U16"/>
    <mergeCell ref="A10:A18"/>
    <mergeCell ref="F16:G16"/>
    <mergeCell ref="B10:B18"/>
    <mergeCell ref="F17:F18"/>
    <mergeCell ref="C10:C18"/>
    <mergeCell ref="D10:D18"/>
    <mergeCell ref="G17:G18"/>
    <mergeCell ref="A92:B92"/>
    <mergeCell ref="A690:B690"/>
    <mergeCell ref="A522:B522"/>
    <mergeCell ref="A96:B96"/>
    <mergeCell ref="A98:B98"/>
    <mergeCell ref="A99:B99"/>
    <mergeCell ref="A103:B103"/>
    <mergeCell ref="A104:B104"/>
    <mergeCell ref="A105:B105"/>
    <mergeCell ref="A521:B521"/>
    <mergeCell ref="A502:B502"/>
    <mergeCell ref="A503:B503"/>
    <mergeCell ref="A100:B100"/>
    <mergeCell ref="A189:B189"/>
    <mergeCell ref="A119:B119"/>
    <mergeCell ref="A227:B227"/>
    <mergeCell ref="A190:B190"/>
    <mergeCell ref="A434:B434"/>
    <mergeCell ref="A499:B499"/>
    <mergeCell ref="A500:B500"/>
    <mergeCell ref="A510:B510"/>
    <mergeCell ref="A511:B511"/>
    <mergeCell ref="A512:B512"/>
    <mergeCell ref="A513:B513"/>
    <mergeCell ref="A605:B605"/>
    <mergeCell ref="A606:B606"/>
    <mergeCell ref="A525:B525"/>
    <mergeCell ref="A526:B526"/>
    <mergeCell ref="A527:B527"/>
    <mergeCell ref="A528:B528"/>
    <mergeCell ref="A537:B537"/>
    <mergeCell ref="A563:B563"/>
    <mergeCell ref="A575:B575"/>
    <mergeCell ref="A577:B577"/>
    <mergeCell ref="A545:B545"/>
    <mergeCell ref="A538:B538"/>
    <mergeCell ref="A539:B539"/>
    <mergeCell ref="A541:B541"/>
    <mergeCell ref="A542:B542"/>
    <mergeCell ref="A543:B543"/>
    <mergeCell ref="A544:B544"/>
    <mergeCell ref="A536:B536"/>
    <mergeCell ref="A101:B101"/>
    <mergeCell ref="C5:O5"/>
    <mergeCell ref="A524:B524"/>
    <mergeCell ref="A519:B519"/>
    <mergeCell ref="A356:B356"/>
    <mergeCell ref="A106:B106"/>
    <mergeCell ref="A229:B229"/>
    <mergeCell ref="A230:B230"/>
    <mergeCell ref="A546:B546"/>
    <mergeCell ref="A548:B548"/>
    <mergeCell ref="A552:B552"/>
    <mergeCell ref="A549:B549"/>
    <mergeCell ref="A550:B550"/>
    <mergeCell ref="A551:B551"/>
    <mergeCell ref="A585:B585"/>
    <mergeCell ref="A580:B580"/>
    <mergeCell ref="A581:B581"/>
    <mergeCell ref="A582:B582"/>
    <mergeCell ref="A583:B583"/>
    <mergeCell ref="A584:B584"/>
    <mergeCell ref="A685:B685"/>
    <mergeCell ref="A97:B97"/>
    <mergeCell ref="A102:B102"/>
    <mergeCell ref="A400:B400"/>
    <mergeCell ref="A579:B579"/>
    <mergeCell ref="A570:B570"/>
    <mergeCell ref="A567:B567"/>
    <mergeCell ref="A574:B574"/>
    <mergeCell ref="A586:B586"/>
    <mergeCell ref="A547:B547"/>
    <mergeCell ref="L1:O1"/>
    <mergeCell ref="L2:O3"/>
    <mergeCell ref="L4:O4"/>
    <mergeCell ref="A93:B93"/>
    <mergeCell ref="A88:B88"/>
    <mergeCell ref="A89:B89"/>
    <mergeCell ref="A90:B90"/>
    <mergeCell ref="A91:B91"/>
    <mergeCell ref="A86:B86"/>
    <mergeCell ref="A87:B87"/>
    <mergeCell ref="A27:B27"/>
    <mergeCell ref="A32:B32"/>
    <mergeCell ref="A28:B28"/>
    <mergeCell ref="A29:B29"/>
    <mergeCell ref="A30:B30"/>
    <mergeCell ref="A31:B31"/>
  </mergeCells>
  <phoneticPr fontId="0" type="noConversion"/>
  <printOptions horizontalCentered="1"/>
  <pageMargins left="0.19685039370078741" right="0.15748031496062992" top="0.19685039370078741" bottom="0.15748031496062992" header="0.19685039370078741" footer="0.15748031496062992"/>
  <pageSetup paperSize="9" scale="53" fitToHeight="1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458"/>
  <sheetViews>
    <sheetView showZeros="0" zoomScale="70" zoomScaleNormal="75" zoomScaleSheetLayoutView="65" workbookViewId="0">
      <pane xSplit="2" ySplit="10" topLeftCell="C11" activePane="bottomRight" state="frozen"/>
      <selection activeCell="J41" sqref="J41:L41"/>
      <selection pane="topRight" activeCell="J41" sqref="J41:L41"/>
      <selection pane="bottomLeft" activeCell="J41" sqref="J41:L41"/>
      <selection pane="bottomRight"/>
    </sheetView>
  </sheetViews>
  <sheetFormatPr defaultColWidth="8.85546875" defaultRowHeight="12.75"/>
  <cols>
    <col min="1" max="1" width="24.85546875" style="35" customWidth="1"/>
    <col min="2" max="2" width="38.85546875" style="35" customWidth="1"/>
    <col min="3" max="3" width="15.42578125" style="35" customWidth="1"/>
    <col min="4" max="4" width="16.7109375" style="35" customWidth="1"/>
    <col min="5" max="5" width="11.7109375" style="35" customWidth="1"/>
    <col min="6" max="6" width="17.7109375" style="35" customWidth="1"/>
    <col min="7" max="7" width="13" style="35" customWidth="1"/>
    <col min="8" max="8" width="18" style="35" customWidth="1"/>
    <col min="9" max="9" width="12.140625" style="35" customWidth="1"/>
    <col min="10" max="10" width="17" style="35" customWidth="1"/>
    <col min="11" max="11" width="15.140625" style="35" customWidth="1"/>
    <col min="12" max="12" width="14.85546875" style="35" customWidth="1"/>
    <col min="13" max="13" width="10.85546875" style="35" customWidth="1"/>
    <col min="14" max="14" width="16.28515625" style="35" customWidth="1"/>
    <col min="15" max="15" width="13" style="97" customWidth="1"/>
    <col min="16" max="16384" width="8.85546875" style="35"/>
  </cols>
  <sheetData>
    <row r="1" spans="1:32" ht="18.75">
      <c r="A1" s="707"/>
      <c r="K1" s="1383" t="s">
        <v>411</v>
      </c>
      <c r="L1" s="1383"/>
      <c r="M1" s="1383"/>
    </row>
    <row r="2" spans="1:32" ht="18.75">
      <c r="A2" s="708"/>
      <c r="K2" s="1383" t="s">
        <v>1448</v>
      </c>
      <c r="L2" s="1383"/>
      <c r="M2" s="1383"/>
    </row>
    <row r="3" spans="1:32" ht="16.149999999999999" customHeight="1">
      <c r="A3" s="709"/>
      <c r="K3" s="1384" t="s">
        <v>239</v>
      </c>
      <c r="L3" s="1384"/>
      <c r="M3" s="1384"/>
      <c r="N3" s="710"/>
    </row>
    <row r="4" spans="1:32" ht="52.9" customHeight="1">
      <c r="A4" s="1448" t="s">
        <v>1120</v>
      </c>
      <c r="B4" s="1448"/>
      <c r="C4" s="1448"/>
      <c r="D4" s="1448"/>
      <c r="E4" s="1448"/>
      <c r="F4" s="1448"/>
      <c r="G4" s="1448"/>
      <c r="H4" s="1448"/>
      <c r="I4" s="1448"/>
      <c r="J4" s="1448"/>
      <c r="K4" s="1448"/>
      <c r="L4" s="1448"/>
      <c r="M4" s="1448"/>
      <c r="N4" s="1448"/>
    </row>
    <row r="5" spans="1:32" ht="18.75">
      <c r="M5" s="192" t="s">
        <v>561</v>
      </c>
      <c r="AF5" s="711" t="s">
        <v>354</v>
      </c>
    </row>
    <row r="6" spans="1:32" s="712" customFormat="1" ht="27.6" customHeight="1">
      <c r="A6" s="1449" t="s">
        <v>412</v>
      </c>
      <c r="B6" s="1449" t="s">
        <v>233</v>
      </c>
      <c r="C6" s="1450" t="s">
        <v>413</v>
      </c>
      <c r="D6" s="1450"/>
      <c r="E6" s="1450"/>
      <c r="F6" s="1450"/>
      <c r="G6" s="1450" t="s">
        <v>414</v>
      </c>
      <c r="H6" s="1450"/>
      <c r="I6" s="1450"/>
      <c r="J6" s="1450"/>
      <c r="K6" s="1450" t="s">
        <v>415</v>
      </c>
      <c r="L6" s="1450"/>
      <c r="M6" s="1450"/>
      <c r="N6" s="1450"/>
      <c r="O6" s="97"/>
    </row>
    <row r="7" spans="1:32" s="712" customFormat="1" ht="18.600000000000001" customHeight="1">
      <c r="A7" s="1449"/>
      <c r="B7" s="1449"/>
      <c r="C7" s="1449" t="s">
        <v>416</v>
      </c>
      <c r="D7" s="1449" t="s">
        <v>417</v>
      </c>
      <c r="E7" s="1449"/>
      <c r="F7" s="1449" t="s">
        <v>269</v>
      </c>
      <c r="G7" s="1449" t="s">
        <v>416</v>
      </c>
      <c r="H7" s="1449" t="s">
        <v>417</v>
      </c>
      <c r="I7" s="1449"/>
      <c r="J7" s="1449" t="s">
        <v>269</v>
      </c>
      <c r="K7" s="1449" t="s">
        <v>416</v>
      </c>
      <c r="L7" s="1449" t="s">
        <v>417</v>
      </c>
      <c r="M7" s="1449"/>
      <c r="N7" s="1449" t="s">
        <v>269</v>
      </c>
      <c r="O7" s="97"/>
    </row>
    <row r="8" spans="1:32" s="712" customFormat="1">
      <c r="A8" s="1449"/>
      <c r="B8" s="1449"/>
      <c r="C8" s="1449"/>
      <c r="D8" s="1449"/>
      <c r="E8" s="1449"/>
      <c r="F8" s="1449"/>
      <c r="G8" s="1449"/>
      <c r="H8" s="1449"/>
      <c r="I8" s="1449"/>
      <c r="J8" s="1449"/>
      <c r="K8" s="1449"/>
      <c r="L8" s="1449"/>
      <c r="M8" s="1449"/>
      <c r="N8" s="1449"/>
      <c r="O8" s="97"/>
    </row>
    <row r="9" spans="1:32" s="712" customFormat="1" ht="28.9" customHeight="1">
      <c r="A9" s="1449"/>
      <c r="B9" s="1449"/>
      <c r="C9" s="1449"/>
      <c r="D9" s="1449" t="s">
        <v>1251</v>
      </c>
      <c r="E9" s="1449" t="s">
        <v>418</v>
      </c>
      <c r="F9" s="1449"/>
      <c r="G9" s="1449"/>
      <c r="H9" s="1449" t="s">
        <v>1251</v>
      </c>
      <c r="I9" s="1449" t="s">
        <v>418</v>
      </c>
      <c r="J9" s="1449"/>
      <c r="K9" s="1449"/>
      <c r="L9" s="1449" t="s">
        <v>1251</v>
      </c>
      <c r="M9" s="1449" t="s">
        <v>418</v>
      </c>
      <c r="N9" s="1449"/>
      <c r="O9" s="97"/>
    </row>
    <row r="10" spans="1:32" s="712" customFormat="1" ht="40.9" customHeight="1">
      <c r="A10" s="1449"/>
      <c r="B10" s="1449"/>
      <c r="C10" s="1449"/>
      <c r="D10" s="1449"/>
      <c r="E10" s="1449"/>
      <c r="F10" s="1449"/>
      <c r="G10" s="1449"/>
      <c r="H10" s="1449"/>
      <c r="I10" s="1449"/>
      <c r="J10" s="1449"/>
      <c r="K10" s="1449"/>
      <c r="L10" s="1449"/>
      <c r="M10" s="1449"/>
      <c r="N10" s="1449"/>
      <c r="O10" s="97"/>
    </row>
    <row r="11" spans="1:32" s="712" customFormat="1" ht="27" customHeight="1">
      <c r="A11" s="437">
        <v>1</v>
      </c>
      <c r="B11" s="437">
        <v>2</v>
      </c>
      <c r="C11" s="437">
        <v>3</v>
      </c>
      <c r="D11" s="437">
        <v>4</v>
      </c>
      <c r="E11" s="437">
        <v>5</v>
      </c>
      <c r="F11" s="437">
        <v>6</v>
      </c>
      <c r="G11" s="437">
        <v>7</v>
      </c>
      <c r="H11" s="437">
        <v>8</v>
      </c>
      <c r="I11" s="437">
        <v>9</v>
      </c>
      <c r="J11" s="437">
        <v>10</v>
      </c>
      <c r="K11" s="437">
        <v>11</v>
      </c>
      <c r="L11" s="437">
        <v>12</v>
      </c>
      <c r="M11" s="437">
        <v>13</v>
      </c>
      <c r="N11" s="437">
        <v>14</v>
      </c>
      <c r="O11" s="97">
        <v>1</v>
      </c>
    </row>
    <row r="12" spans="1:32" s="712" customFormat="1" ht="15.75" hidden="1">
      <c r="A12" s="713">
        <v>220</v>
      </c>
      <c r="B12" s="714" t="s">
        <v>711</v>
      </c>
      <c r="C12" s="715"/>
      <c r="D12" s="715"/>
      <c r="E12" s="715"/>
      <c r="F12" s="715"/>
      <c r="G12" s="715"/>
      <c r="H12" s="715">
        <f>+H13</f>
        <v>0</v>
      </c>
      <c r="I12" s="715">
        <f>+I13</f>
        <v>0</v>
      </c>
      <c r="J12" s="715">
        <f>+G12+H12</f>
        <v>0</v>
      </c>
      <c r="K12" s="716">
        <f t="shared" ref="K12:N15" si="0">+C12+G12</f>
        <v>0</v>
      </c>
      <c r="L12" s="716">
        <f t="shared" si="0"/>
        <v>0</v>
      </c>
      <c r="M12" s="716">
        <f t="shared" si="0"/>
        <v>0</v>
      </c>
      <c r="N12" s="716">
        <f t="shared" si="0"/>
        <v>0</v>
      </c>
      <c r="O12" s="717">
        <f t="shared" ref="O12:O18" si="1">+N12</f>
        <v>0</v>
      </c>
    </row>
    <row r="13" spans="1:32" s="712" customFormat="1" ht="15.75" hidden="1">
      <c r="A13" s="718">
        <v>250904</v>
      </c>
      <c r="B13" s="173" t="s">
        <v>419</v>
      </c>
      <c r="C13" s="715"/>
      <c r="D13" s="715"/>
      <c r="E13" s="715"/>
      <c r="F13" s="715"/>
      <c r="G13" s="715"/>
      <c r="H13" s="715">
        <f>+H14+H15</f>
        <v>0</v>
      </c>
      <c r="I13" s="715">
        <f>+H13</f>
        <v>0</v>
      </c>
      <c r="J13" s="715">
        <f>+G13+H13</f>
        <v>0</v>
      </c>
      <c r="K13" s="716">
        <f t="shared" si="0"/>
        <v>0</v>
      </c>
      <c r="L13" s="716">
        <f t="shared" si="0"/>
        <v>0</v>
      </c>
      <c r="M13" s="716">
        <f t="shared" si="0"/>
        <v>0</v>
      </c>
      <c r="N13" s="716">
        <f t="shared" si="0"/>
        <v>0</v>
      </c>
      <c r="O13" s="717">
        <f t="shared" si="1"/>
        <v>0</v>
      </c>
    </row>
    <row r="14" spans="1:32" s="712" customFormat="1" ht="25.5" hidden="1">
      <c r="A14" s="718">
        <v>4121</v>
      </c>
      <c r="B14" s="719" t="s">
        <v>1102</v>
      </c>
      <c r="C14" s="715"/>
      <c r="D14" s="715"/>
      <c r="E14" s="715"/>
      <c r="F14" s="715"/>
      <c r="G14" s="715"/>
      <c r="H14" s="715"/>
      <c r="I14" s="715">
        <f>+H14</f>
        <v>0</v>
      </c>
      <c r="J14" s="715">
        <f>+G14+H14</f>
        <v>0</v>
      </c>
      <c r="K14" s="716">
        <f t="shared" si="0"/>
        <v>0</v>
      </c>
      <c r="L14" s="716">
        <f t="shared" si="0"/>
        <v>0</v>
      </c>
      <c r="M14" s="716">
        <f t="shared" si="0"/>
        <v>0</v>
      </c>
      <c r="N14" s="716">
        <f t="shared" si="0"/>
        <v>0</v>
      </c>
      <c r="O14" s="717">
        <f t="shared" si="1"/>
        <v>0</v>
      </c>
    </row>
    <row r="15" spans="1:32" s="712" customFormat="1" ht="25.5" hidden="1">
      <c r="A15" s="704">
        <v>4122</v>
      </c>
      <c r="B15" s="720" t="s">
        <v>1103</v>
      </c>
      <c r="C15" s="721"/>
      <c r="D15" s="721"/>
      <c r="E15" s="721"/>
      <c r="F15" s="721"/>
      <c r="G15" s="721"/>
      <c r="H15" s="721"/>
      <c r="I15" s="721">
        <f>+H15</f>
        <v>0</v>
      </c>
      <c r="J15" s="721">
        <f>+G15+H15</f>
        <v>0</v>
      </c>
      <c r="K15" s="722">
        <f t="shared" si="0"/>
        <v>0</v>
      </c>
      <c r="L15" s="722">
        <f t="shared" si="0"/>
        <v>0</v>
      </c>
      <c r="M15" s="722">
        <f t="shared" si="0"/>
        <v>0</v>
      </c>
      <c r="N15" s="722">
        <f t="shared" si="0"/>
        <v>0</v>
      </c>
      <c r="O15" s="717">
        <f t="shared" si="1"/>
        <v>0</v>
      </c>
    </row>
    <row r="16" spans="1:32" s="712" customFormat="1" ht="15.75" hidden="1">
      <c r="A16" s="723" t="s">
        <v>1104</v>
      </c>
      <c r="B16" s="724" t="s">
        <v>726</v>
      </c>
      <c r="C16" s="725">
        <f>+C17</f>
        <v>0</v>
      </c>
      <c r="D16" s="725"/>
      <c r="E16" s="725"/>
      <c r="F16" s="725"/>
      <c r="G16" s="725"/>
      <c r="H16" s="725">
        <f t="shared" ref="H16:N17" si="2">+H17</f>
        <v>0</v>
      </c>
      <c r="I16" s="725">
        <f t="shared" si="2"/>
        <v>0</v>
      </c>
      <c r="J16" s="725">
        <f t="shared" si="2"/>
        <v>0</v>
      </c>
      <c r="K16" s="725">
        <f t="shared" si="2"/>
        <v>0</v>
      </c>
      <c r="L16" s="725">
        <f t="shared" si="2"/>
        <v>0</v>
      </c>
      <c r="M16" s="725">
        <f t="shared" si="2"/>
        <v>0</v>
      </c>
      <c r="N16" s="725">
        <f t="shared" si="2"/>
        <v>0</v>
      </c>
      <c r="O16" s="717">
        <f t="shared" si="1"/>
        <v>0</v>
      </c>
    </row>
    <row r="17" spans="1:15" s="712" customFormat="1" ht="15.75" hidden="1">
      <c r="A17" s="726">
        <v>250904</v>
      </c>
      <c r="B17" s="727" t="s">
        <v>1105</v>
      </c>
      <c r="C17" s="728">
        <f>+C18</f>
        <v>0</v>
      </c>
      <c r="D17" s="728">
        <f>+D18</f>
        <v>0</v>
      </c>
      <c r="E17" s="728">
        <f>+E18</f>
        <v>0</v>
      </c>
      <c r="F17" s="728">
        <f>+F18</f>
        <v>0</v>
      </c>
      <c r="G17" s="725">
        <f>+G18</f>
        <v>0</v>
      </c>
      <c r="H17" s="725">
        <f t="shared" si="2"/>
        <v>0</v>
      </c>
      <c r="I17" s="725">
        <f t="shared" si="2"/>
        <v>0</v>
      </c>
      <c r="J17" s="725">
        <f t="shared" si="2"/>
        <v>0</v>
      </c>
      <c r="K17" s="725">
        <f t="shared" si="2"/>
        <v>0</v>
      </c>
      <c r="L17" s="725">
        <f t="shared" si="2"/>
        <v>0</v>
      </c>
      <c r="M17" s="725">
        <f t="shared" si="2"/>
        <v>0</v>
      </c>
      <c r="N17" s="725">
        <f t="shared" si="2"/>
        <v>0</v>
      </c>
      <c r="O17" s="717">
        <f t="shared" si="1"/>
        <v>0</v>
      </c>
    </row>
    <row r="18" spans="1:15" s="712" customFormat="1" ht="25.5" hidden="1">
      <c r="A18" s="729">
        <v>4122</v>
      </c>
      <c r="B18" s="730" t="s">
        <v>1103</v>
      </c>
      <c r="C18" s="731"/>
      <c r="D18" s="732"/>
      <c r="E18" s="732"/>
      <c r="F18" s="733">
        <f>+C18+D18</f>
        <v>0</v>
      </c>
      <c r="G18" s="731"/>
      <c r="H18" s="731"/>
      <c r="I18" s="731">
        <f>+H18</f>
        <v>0</v>
      </c>
      <c r="J18" s="733">
        <f>+H18</f>
        <v>0</v>
      </c>
      <c r="K18" s="731">
        <f>+C18+G18</f>
        <v>0</v>
      </c>
      <c r="L18" s="733">
        <f>+D18+H18</f>
        <v>0</v>
      </c>
      <c r="M18" s="733">
        <f>+E18+I18</f>
        <v>0</v>
      </c>
      <c r="N18" s="733">
        <f>+K18+L18</f>
        <v>0</v>
      </c>
      <c r="O18" s="717">
        <f t="shared" si="1"/>
        <v>0</v>
      </c>
    </row>
    <row r="19" spans="1:15" s="311" customFormat="1" ht="58.9" customHeight="1">
      <c r="A19" s="734" t="s">
        <v>1180</v>
      </c>
      <c r="B19" s="735" t="s">
        <v>1181</v>
      </c>
      <c r="C19" s="736">
        <f t="shared" ref="C19:N19" si="3">+C20+C22+C24+C26</f>
        <v>600000</v>
      </c>
      <c r="D19" s="736">
        <f t="shared" si="3"/>
        <v>1115000</v>
      </c>
      <c r="E19" s="736">
        <f t="shared" si="3"/>
        <v>0</v>
      </c>
      <c r="F19" s="736">
        <f t="shared" si="3"/>
        <v>1715000</v>
      </c>
      <c r="G19" s="736">
        <f t="shared" si="3"/>
        <v>0</v>
      </c>
      <c r="H19" s="736">
        <f t="shared" si="3"/>
        <v>-1115000</v>
      </c>
      <c r="I19" s="736">
        <f t="shared" si="3"/>
        <v>0</v>
      </c>
      <c r="J19" s="736">
        <f t="shared" si="3"/>
        <v>-1115000</v>
      </c>
      <c r="K19" s="736">
        <f t="shared" si="3"/>
        <v>600000</v>
      </c>
      <c r="L19" s="736">
        <f t="shared" si="3"/>
        <v>0</v>
      </c>
      <c r="M19" s="736">
        <f t="shared" si="3"/>
        <v>0</v>
      </c>
      <c r="N19" s="736">
        <f t="shared" si="3"/>
        <v>600000</v>
      </c>
      <c r="O19" s="737">
        <v>1</v>
      </c>
    </row>
    <row r="20" spans="1:15" s="311" customFormat="1" ht="93.75">
      <c r="A20" s="738">
        <v>250908</v>
      </c>
      <c r="B20" s="739" t="s">
        <v>1106</v>
      </c>
      <c r="C20" s="740">
        <f>+C21</f>
        <v>200000</v>
      </c>
      <c r="D20" s="740">
        <f>+D21</f>
        <v>215000</v>
      </c>
      <c r="E20" s="740"/>
      <c r="F20" s="736">
        <f t="shared" ref="F20:F25" si="4">+C20+D20</f>
        <v>415000</v>
      </c>
      <c r="G20" s="740"/>
      <c r="H20" s="740">
        <f>+H21</f>
        <v>0</v>
      </c>
      <c r="I20" s="740"/>
      <c r="J20" s="736"/>
      <c r="K20" s="740">
        <f t="shared" ref="K20:M23" si="5">+C20+G20</f>
        <v>200000</v>
      </c>
      <c r="L20" s="736">
        <f t="shared" si="5"/>
        <v>215000</v>
      </c>
      <c r="M20" s="736">
        <f t="shared" si="5"/>
        <v>0</v>
      </c>
      <c r="N20" s="736">
        <f t="shared" ref="N20:N25" si="6">+K20+L20</f>
        <v>415000</v>
      </c>
      <c r="O20" s="737">
        <f t="shared" ref="O20:O27" si="7">+N20</f>
        <v>415000</v>
      </c>
    </row>
    <row r="21" spans="1:15" s="311" customFormat="1" ht="37.5">
      <c r="A21" s="738">
        <v>4113</v>
      </c>
      <c r="B21" s="741" t="s">
        <v>1107</v>
      </c>
      <c r="C21" s="740">
        <v>200000</v>
      </c>
      <c r="D21" s="740">
        <v>215000</v>
      </c>
      <c r="E21" s="740"/>
      <c r="F21" s="736">
        <f t="shared" si="4"/>
        <v>415000</v>
      </c>
      <c r="G21" s="740"/>
      <c r="H21" s="740"/>
      <c r="I21" s="740"/>
      <c r="J21" s="736"/>
      <c r="K21" s="740">
        <f t="shared" si="5"/>
        <v>200000</v>
      </c>
      <c r="L21" s="736">
        <f t="shared" si="5"/>
        <v>215000</v>
      </c>
      <c r="M21" s="736">
        <f t="shared" si="5"/>
        <v>0</v>
      </c>
      <c r="N21" s="736">
        <f t="shared" si="6"/>
        <v>415000</v>
      </c>
      <c r="O21" s="737">
        <f t="shared" si="7"/>
        <v>415000</v>
      </c>
    </row>
    <row r="22" spans="1:15" s="311" customFormat="1" ht="75">
      <c r="A22" s="738">
        <v>250909</v>
      </c>
      <c r="B22" s="742" t="s">
        <v>1108</v>
      </c>
      <c r="C22" s="740"/>
      <c r="D22" s="740">
        <f>+D23</f>
        <v>0</v>
      </c>
      <c r="E22" s="740"/>
      <c r="F22" s="736">
        <f t="shared" si="4"/>
        <v>0</v>
      </c>
      <c r="G22" s="740"/>
      <c r="H22" s="740">
        <f>+H23</f>
        <v>-215000</v>
      </c>
      <c r="I22" s="740"/>
      <c r="J22" s="736">
        <f>+G22+H22</f>
        <v>-215000</v>
      </c>
      <c r="K22" s="740">
        <f t="shared" si="5"/>
        <v>0</v>
      </c>
      <c r="L22" s="736">
        <f t="shared" si="5"/>
        <v>-215000</v>
      </c>
      <c r="M22" s="736">
        <f t="shared" si="5"/>
        <v>0</v>
      </c>
      <c r="N22" s="736">
        <f t="shared" si="6"/>
        <v>-215000</v>
      </c>
      <c r="O22" s="737">
        <v>1</v>
      </c>
    </row>
    <row r="23" spans="1:15" s="311" customFormat="1" ht="37.5">
      <c r="A23" s="738">
        <v>4123</v>
      </c>
      <c r="B23" s="260" t="s">
        <v>240</v>
      </c>
      <c r="C23" s="740"/>
      <c r="D23" s="740"/>
      <c r="E23" s="740"/>
      <c r="F23" s="736">
        <f t="shared" si="4"/>
        <v>0</v>
      </c>
      <c r="G23" s="740"/>
      <c r="H23" s="740">
        <v>-215000</v>
      </c>
      <c r="I23" s="740"/>
      <c r="J23" s="736">
        <f>+G23+H23</f>
        <v>-215000</v>
      </c>
      <c r="K23" s="740">
        <f t="shared" si="5"/>
        <v>0</v>
      </c>
      <c r="L23" s="736">
        <f t="shared" si="5"/>
        <v>-215000</v>
      </c>
      <c r="M23" s="736">
        <f t="shared" si="5"/>
        <v>0</v>
      </c>
      <c r="N23" s="736">
        <f t="shared" si="6"/>
        <v>-215000</v>
      </c>
      <c r="O23" s="737">
        <v>1</v>
      </c>
    </row>
    <row r="24" spans="1:15" s="311" customFormat="1" ht="75">
      <c r="A24" s="738">
        <v>250911</v>
      </c>
      <c r="B24" s="260" t="s">
        <v>241</v>
      </c>
      <c r="C24" s="740">
        <f>+C25</f>
        <v>400000</v>
      </c>
      <c r="D24" s="740">
        <f>+D25</f>
        <v>900000</v>
      </c>
      <c r="E24" s="740"/>
      <c r="F24" s="736">
        <f t="shared" si="4"/>
        <v>1300000</v>
      </c>
      <c r="G24" s="740"/>
      <c r="H24" s="740"/>
      <c r="I24" s="740"/>
      <c r="J24" s="736"/>
      <c r="K24" s="736">
        <f>+C24+G24</f>
        <v>400000</v>
      </c>
      <c r="L24" s="736">
        <f>+D24+H24</f>
        <v>900000</v>
      </c>
      <c r="M24" s="736"/>
      <c r="N24" s="736">
        <f t="shared" si="6"/>
        <v>1300000</v>
      </c>
      <c r="O24" s="737">
        <f t="shared" si="7"/>
        <v>1300000</v>
      </c>
    </row>
    <row r="25" spans="1:15" s="311" customFormat="1" ht="37.5">
      <c r="A25" s="738">
        <v>4113</v>
      </c>
      <c r="B25" s="741" t="s">
        <v>1107</v>
      </c>
      <c r="C25" s="740">
        <v>400000</v>
      </c>
      <c r="D25" s="740">
        <v>900000</v>
      </c>
      <c r="E25" s="740"/>
      <c r="F25" s="740">
        <f t="shared" si="4"/>
        <v>1300000</v>
      </c>
      <c r="G25" s="740"/>
      <c r="H25" s="740"/>
      <c r="I25" s="740"/>
      <c r="J25" s="736"/>
      <c r="K25" s="740">
        <f>+C25+G25</f>
        <v>400000</v>
      </c>
      <c r="L25" s="736">
        <f>+D25+H25</f>
        <v>900000</v>
      </c>
      <c r="M25" s="736"/>
      <c r="N25" s="736">
        <f t="shared" si="6"/>
        <v>1300000</v>
      </c>
      <c r="O25" s="737">
        <f t="shared" si="7"/>
        <v>1300000</v>
      </c>
    </row>
    <row r="26" spans="1:15" s="311" customFormat="1" ht="75">
      <c r="A26" s="738">
        <v>250912</v>
      </c>
      <c r="B26" s="743" t="s">
        <v>242</v>
      </c>
      <c r="C26" s="740"/>
      <c r="D26" s="740"/>
      <c r="E26" s="740"/>
      <c r="F26" s="736"/>
      <c r="G26" s="740">
        <f t="shared" ref="G26:N26" si="8">+G27</f>
        <v>0</v>
      </c>
      <c r="H26" s="740">
        <f t="shared" si="8"/>
        <v>-900000</v>
      </c>
      <c r="I26" s="740">
        <f t="shared" si="8"/>
        <v>0</v>
      </c>
      <c r="J26" s="740">
        <f t="shared" si="8"/>
        <v>-900000</v>
      </c>
      <c r="K26" s="740">
        <f t="shared" si="8"/>
        <v>0</v>
      </c>
      <c r="L26" s="740">
        <f t="shared" si="8"/>
        <v>-900000</v>
      </c>
      <c r="M26" s="740">
        <f t="shared" si="8"/>
        <v>0</v>
      </c>
      <c r="N26" s="740">
        <f t="shared" si="8"/>
        <v>-900000</v>
      </c>
      <c r="O26" s="737">
        <f t="shared" si="7"/>
        <v>-900000</v>
      </c>
    </row>
    <row r="27" spans="1:15" s="311" customFormat="1" ht="37.5">
      <c r="A27" s="738">
        <v>4123</v>
      </c>
      <c r="B27" s="260" t="s">
        <v>240</v>
      </c>
      <c r="C27" s="736"/>
      <c r="D27" s="736"/>
      <c r="E27" s="736"/>
      <c r="F27" s="736"/>
      <c r="G27" s="740"/>
      <c r="H27" s="740">
        <v>-900000</v>
      </c>
      <c r="I27" s="736"/>
      <c r="J27" s="736">
        <f>+G27+H27</f>
        <v>-900000</v>
      </c>
      <c r="K27" s="740">
        <f>+C27+G27</f>
        <v>0</v>
      </c>
      <c r="L27" s="736">
        <f>+D27+H27</f>
        <v>-900000</v>
      </c>
      <c r="M27" s="736">
        <f>+E27+I27</f>
        <v>0</v>
      </c>
      <c r="N27" s="736">
        <f>+K27+L27</f>
        <v>-900000</v>
      </c>
      <c r="O27" s="737">
        <f t="shared" si="7"/>
        <v>-900000</v>
      </c>
    </row>
    <row r="28" spans="1:15" s="311" customFormat="1" ht="37.5" hidden="1">
      <c r="A28" s="744" t="s">
        <v>1479</v>
      </c>
      <c r="B28" s="745" t="s">
        <v>1189</v>
      </c>
      <c r="C28" s="736">
        <f t="shared" ref="C28:N28" si="9">+C29+C32</f>
        <v>0</v>
      </c>
      <c r="D28" s="736">
        <f t="shared" si="9"/>
        <v>0</v>
      </c>
      <c r="E28" s="736">
        <f t="shared" si="9"/>
        <v>0</v>
      </c>
      <c r="F28" s="736">
        <f t="shared" si="9"/>
        <v>0</v>
      </c>
      <c r="G28" s="736">
        <f t="shared" si="9"/>
        <v>0</v>
      </c>
      <c r="H28" s="736">
        <f t="shared" si="9"/>
        <v>0</v>
      </c>
      <c r="I28" s="736">
        <f t="shared" si="9"/>
        <v>0</v>
      </c>
      <c r="J28" s="736">
        <f t="shared" si="9"/>
        <v>0</v>
      </c>
      <c r="K28" s="736">
        <f t="shared" si="9"/>
        <v>0</v>
      </c>
      <c r="L28" s="736">
        <f t="shared" si="9"/>
        <v>0</v>
      </c>
      <c r="M28" s="736">
        <f t="shared" si="9"/>
        <v>0</v>
      </c>
      <c r="N28" s="736">
        <f t="shared" si="9"/>
        <v>0</v>
      </c>
      <c r="O28" s="737"/>
    </row>
    <row r="29" spans="1:15" s="311" customFormat="1" ht="75" hidden="1">
      <c r="A29" s="738">
        <v>250911</v>
      </c>
      <c r="B29" s="260" t="s">
        <v>241</v>
      </c>
      <c r="C29" s="740">
        <f>+C31</f>
        <v>0</v>
      </c>
      <c r="D29" s="740">
        <f>+D31</f>
        <v>0</v>
      </c>
      <c r="E29" s="740">
        <f>+E31</f>
        <v>0</v>
      </c>
      <c r="F29" s="736">
        <f>+C29+D29</f>
        <v>0</v>
      </c>
      <c r="G29" s="740">
        <f t="shared" ref="G29:N29" si="10">+G31</f>
        <v>0</v>
      </c>
      <c r="H29" s="740">
        <f t="shared" si="10"/>
        <v>0</v>
      </c>
      <c r="I29" s="740">
        <f t="shared" si="10"/>
        <v>0</v>
      </c>
      <c r="J29" s="740">
        <f t="shared" si="10"/>
        <v>0</v>
      </c>
      <c r="K29" s="740">
        <f t="shared" si="10"/>
        <v>0</v>
      </c>
      <c r="L29" s="740">
        <f t="shared" si="10"/>
        <v>0</v>
      </c>
      <c r="M29" s="740">
        <f t="shared" si="10"/>
        <v>0</v>
      </c>
      <c r="N29" s="740">
        <f t="shared" si="10"/>
        <v>0</v>
      </c>
      <c r="O29" s="737">
        <f>+N29</f>
        <v>0</v>
      </c>
    </row>
    <row r="30" spans="1:15" s="311" customFormat="1" ht="56.25" hidden="1">
      <c r="A30" s="738"/>
      <c r="B30" s="260" t="s">
        <v>944</v>
      </c>
      <c r="C30" s="740"/>
      <c r="D30" s="740"/>
      <c r="E30" s="740"/>
      <c r="F30" s="736">
        <f>+D30+C30</f>
        <v>0</v>
      </c>
      <c r="G30" s="740"/>
      <c r="H30" s="740"/>
      <c r="I30" s="740"/>
      <c r="J30" s="740"/>
      <c r="K30" s="740"/>
      <c r="L30" s="740">
        <f>+D30</f>
        <v>0</v>
      </c>
      <c r="M30" s="740"/>
      <c r="N30" s="740">
        <f>+L30+K30</f>
        <v>0</v>
      </c>
      <c r="O30" s="737"/>
    </row>
    <row r="31" spans="1:15" s="311" customFormat="1" ht="37.5" hidden="1">
      <c r="A31" s="738">
        <v>4113</v>
      </c>
      <c r="B31" s="741" t="s">
        <v>1107</v>
      </c>
      <c r="C31" s="740">
        <f>400000-400000</f>
        <v>0</v>
      </c>
      <c r="D31" s="740">
        <f>800000-800000</f>
        <v>0</v>
      </c>
      <c r="E31" s="740"/>
      <c r="F31" s="736">
        <f>+C31+D31</f>
        <v>0</v>
      </c>
      <c r="G31" s="740"/>
      <c r="H31" s="740"/>
      <c r="I31" s="740"/>
      <c r="J31" s="736"/>
      <c r="K31" s="740">
        <f>+C31+G31</f>
        <v>0</v>
      </c>
      <c r="L31" s="736">
        <f>+D31+H31</f>
        <v>0</v>
      </c>
      <c r="M31" s="736">
        <f>+E31+I31</f>
        <v>0</v>
      </c>
      <c r="N31" s="736">
        <f>+K31+L31</f>
        <v>0</v>
      </c>
      <c r="O31" s="737">
        <f>+N31</f>
        <v>0</v>
      </c>
    </row>
    <row r="32" spans="1:15" s="311" customFormat="1" ht="75" hidden="1">
      <c r="A32" s="738">
        <v>250912</v>
      </c>
      <c r="B32" s="743" t="s">
        <v>242</v>
      </c>
      <c r="C32" s="740"/>
      <c r="D32" s="740"/>
      <c r="E32" s="740"/>
      <c r="F32" s="736"/>
      <c r="G32" s="740">
        <f t="shared" ref="G32:N32" si="11">+G33</f>
        <v>0</v>
      </c>
      <c r="H32" s="740">
        <f t="shared" si="11"/>
        <v>0</v>
      </c>
      <c r="I32" s="740">
        <f t="shared" si="11"/>
        <v>0</v>
      </c>
      <c r="J32" s="740">
        <f t="shared" si="11"/>
        <v>0</v>
      </c>
      <c r="K32" s="740">
        <f t="shared" si="11"/>
        <v>0</v>
      </c>
      <c r="L32" s="740">
        <f t="shared" si="11"/>
        <v>0</v>
      </c>
      <c r="M32" s="740">
        <f t="shared" si="11"/>
        <v>0</v>
      </c>
      <c r="N32" s="740">
        <f t="shared" si="11"/>
        <v>0</v>
      </c>
      <c r="O32" s="737">
        <f>+N32</f>
        <v>0</v>
      </c>
    </row>
    <row r="33" spans="1:19" s="303" customFormat="1" ht="37.5" hidden="1">
      <c r="A33" s="738">
        <v>4123</v>
      </c>
      <c r="B33" s="260" t="s">
        <v>240</v>
      </c>
      <c r="C33" s="736"/>
      <c r="D33" s="736"/>
      <c r="E33" s="736"/>
      <c r="F33" s="736"/>
      <c r="G33" s="740"/>
      <c r="H33" s="740">
        <f>-800000+800000</f>
        <v>0</v>
      </c>
      <c r="I33" s="736"/>
      <c r="J33" s="736">
        <f>+G33+H33</f>
        <v>0</v>
      </c>
      <c r="K33" s="740">
        <f t="shared" ref="K33:M35" si="12">+C33+G33</f>
        <v>0</v>
      </c>
      <c r="L33" s="736">
        <f t="shared" si="12"/>
        <v>0</v>
      </c>
      <c r="M33" s="736">
        <f t="shared" si="12"/>
        <v>0</v>
      </c>
      <c r="N33" s="736">
        <f>+K33+L33</f>
        <v>0</v>
      </c>
      <c r="O33" s="737">
        <f>+N33</f>
        <v>0</v>
      </c>
    </row>
    <row r="34" spans="1:19" s="311" customFormat="1" ht="36" hidden="1">
      <c r="A34" s="746">
        <v>250909</v>
      </c>
      <c r="B34" s="747" t="s">
        <v>1126</v>
      </c>
      <c r="C34" s="748"/>
      <c r="D34" s="748"/>
      <c r="E34" s="748"/>
      <c r="F34" s="749"/>
      <c r="G34" s="748"/>
      <c r="H34" s="748">
        <f>+H35</f>
        <v>0</v>
      </c>
      <c r="I34" s="748"/>
      <c r="J34" s="749">
        <f>+G34+H34</f>
        <v>0</v>
      </c>
      <c r="K34" s="748">
        <f t="shared" si="12"/>
        <v>0</v>
      </c>
      <c r="L34" s="749">
        <f t="shared" si="12"/>
        <v>0</v>
      </c>
      <c r="M34" s="749">
        <f t="shared" si="12"/>
        <v>0</v>
      </c>
      <c r="N34" s="749">
        <f>+K34+L34</f>
        <v>0</v>
      </c>
      <c r="O34" s="737">
        <f>+N34</f>
        <v>0</v>
      </c>
    </row>
    <row r="35" spans="1:19" s="311" customFormat="1" hidden="1">
      <c r="A35" s="750">
        <v>4123</v>
      </c>
      <c r="B35" s="751" t="s">
        <v>240</v>
      </c>
      <c r="C35" s="752"/>
      <c r="D35" s="752"/>
      <c r="E35" s="752"/>
      <c r="F35" s="753"/>
      <c r="G35" s="752"/>
      <c r="H35" s="752"/>
      <c r="I35" s="752">
        <v>0</v>
      </c>
      <c r="J35" s="753">
        <f>+G35+H35</f>
        <v>0</v>
      </c>
      <c r="K35" s="752">
        <f t="shared" si="12"/>
        <v>0</v>
      </c>
      <c r="L35" s="753">
        <f t="shared" si="12"/>
        <v>0</v>
      </c>
      <c r="M35" s="753">
        <f t="shared" si="12"/>
        <v>0</v>
      </c>
      <c r="N35" s="753">
        <f>+K35+L35</f>
        <v>0</v>
      </c>
      <c r="O35" s="737">
        <f>+N35</f>
        <v>0</v>
      </c>
    </row>
    <row r="36" spans="1:19" s="756" customFormat="1" ht="23.45" customHeight="1">
      <c r="A36" s="549"/>
      <c r="B36" s="754" t="s">
        <v>1251</v>
      </c>
      <c r="C36" s="755">
        <f t="shared" ref="C36:N36" si="13">+C19+C12+C28+C16</f>
        <v>600000</v>
      </c>
      <c r="D36" s="755">
        <f>+D19+D12+D28+D16</f>
        <v>1115000</v>
      </c>
      <c r="E36" s="755">
        <f t="shared" si="13"/>
        <v>0</v>
      </c>
      <c r="F36" s="755">
        <f t="shared" si="13"/>
        <v>1715000</v>
      </c>
      <c r="G36" s="755">
        <f t="shared" si="13"/>
        <v>0</v>
      </c>
      <c r="H36" s="755">
        <f t="shared" si="13"/>
        <v>-1115000</v>
      </c>
      <c r="I36" s="755">
        <f t="shared" si="13"/>
        <v>0</v>
      </c>
      <c r="J36" s="755">
        <f t="shared" si="13"/>
        <v>-1115000</v>
      </c>
      <c r="K36" s="755">
        <f t="shared" si="13"/>
        <v>600000</v>
      </c>
      <c r="L36" s="755">
        <f t="shared" si="13"/>
        <v>0</v>
      </c>
      <c r="M36" s="755">
        <f t="shared" si="13"/>
        <v>0</v>
      </c>
      <c r="N36" s="755">
        <f t="shared" si="13"/>
        <v>600000</v>
      </c>
      <c r="O36" s="717">
        <v>1</v>
      </c>
      <c r="P36" s="712"/>
      <c r="Q36" s="712"/>
      <c r="R36" s="712"/>
      <c r="S36" s="712"/>
    </row>
    <row r="37" spans="1:19" s="756" customFormat="1" ht="15.75" hidden="1">
      <c r="A37" s="757"/>
      <c r="B37" s="758" t="s">
        <v>945</v>
      </c>
      <c r="C37" s="759">
        <f t="shared" ref="C37:N37" si="14">C36</f>
        <v>600000</v>
      </c>
      <c r="D37" s="759">
        <f t="shared" si="14"/>
        <v>1115000</v>
      </c>
      <c r="E37" s="759">
        <f t="shared" si="14"/>
        <v>0</v>
      </c>
      <c r="F37" s="759">
        <f t="shared" si="14"/>
        <v>1715000</v>
      </c>
      <c r="G37" s="759">
        <f t="shared" si="14"/>
        <v>0</v>
      </c>
      <c r="H37" s="759">
        <f t="shared" si="14"/>
        <v>-1115000</v>
      </c>
      <c r="I37" s="759">
        <f t="shared" si="14"/>
        <v>0</v>
      </c>
      <c r="J37" s="759">
        <f t="shared" si="14"/>
        <v>-1115000</v>
      </c>
      <c r="K37" s="759">
        <f t="shared" si="14"/>
        <v>600000</v>
      </c>
      <c r="L37" s="759">
        <f t="shared" si="14"/>
        <v>0</v>
      </c>
      <c r="M37" s="759">
        <f t="shared" si="14"/>
        <v>0</v>
      </c>
      <c r="N37" s="759">
        <f t="shared" si="14"/>
        <v>600000</v>
      </c>
      <c r="O37" s="717"/>
      <c r="P37" s="712"/>
      <c r="Q37" s="712"/>
      <c r="R37" s="712"/>
      <c r="S37" s="712"/>
    </row>
    <row r="38" spans="1:19" s="756" customFormat="1" ht="15.75" hidden="1">
      <c r="A38" s="760"/>
      <c r="B38" s="761"/>
      <c r="C38" s="762"/>
      <c r="D38" s="762"/>
      <c r="E38" s="762"/>
      <c r="F38" s="762"/>
      <c r="G38" s="762"/>
      <c r="H38" s="762"/>
      <c r="I38" s="762"/>
      <c r="J38" s="762"/>
      <c r="K38" s="762"/>
      <c r="L38" s="762"/>
      <c r="M38" s="762"/>
      <c r="N38" s="762"/>
      <c r="O38" s="717"/>
      <c r="P38" s="712"/>
      <c r="Q38" s="712"/>
      <c r="R38" s="712"/>
      <c r="S38" s="712"/>
    </row>
    <row r="39" spans="1:19">
      <c r="A39" s="763"/>
      <c r="O39" s="97">
        <v>1</v>
      </c>
    </row>
    <row r="40" spans="1:19">
      <c r="A40" s="763"/>
      <c r="I40" s="764"/>
      <c r="O40" s="97">
        <v>1</v>
      </c>
    </row>
    <row r="41" spans="1:19" ht="20.45" customHeight="1">
      <c r="A41" s="1451" t="s">
        <v>232</v>
      </c>
      <c r="B41" s="1451"/>
      <c r="C41" s="538"/>
      <c r="D41" s="765"/>
      <c r="E41" s="766"/>
      <c r="J41" s="1411" t="s">
        <v>709</v>
      </c>
      <c r="K41" s="1411"/>
      <c r="L41" s="1411"/>
      <c r="O41" s="97">
        <v>1</v>
      </c>
    </row>
    <row r="42" spans="1:19">
      <c r="A42" s="763"/>
    </row>
    <row r="43" spans="1:19">
      <c r="A43" s="763"/>
    </row>
    <row r="44" spans="1:19">
      <c r="A44" s="763"/>
    </row>
    <row r="45" spans="1:19">
      <c r="A45" s="763"/>
    </row>
    <row r="46" spans="1:19">
      <c r="A46" s="763"/>
    </row>
    <row r="47" spans="1:19">
      <c r="A47" s="763"/>
    </row>
    <row r="48" spans="1:19">
      <c r="A48" s="763"/>
    </row>
    <row r="49" spans="1:1">
      <c r="A49" s="763"/>
    </row>
    <row r="50" spans="1:1">
      <c r="A50" s="763"/>
    </row>
    <row r="51" spans="1:1">
      <c r="A51" s="763"/>
    </row>
    <row r="52" spans="1:1">
      <c r="A52" s="763"/>
    </row>
    <row r="53" spans="1:1">
      <c r="A53" s="763"/>
    </row>
    <row r="54" spans="1:1">
      <c r="A54" s="763"/>
    </row>
    <row r="55" spans="1:1">
      <c r="A55" s="763"/>
    </row>
    <row r="56" spans="1:1">
      <c r="A56" s="763"/>
    </row>
    <row r="57" spans="1:1">
      <c r="A57" s="763"/>
    </row>
    <row r="58" spans="1:1">
      <c r="A58" s="763"/>
    </row>
    <row r="59" spans="1:1">
      <c r="A59" s="763"/>
    </row>
    <row r="60" spans="1:1">
      <c r="A60" s="763"/>
    </row>
    <row r="61" spans="1:1">
      <c r="A61" s="763"/>
    </row>
    <row r="62" spans="1:1">
      <c r="A62" s="763"/>
    </row>
    <row r="63" spans="1:1">
      <c r="A63" s="763"/>
    </row>
    <row r="64" spans="1:1">
      <c r="A64" s="763"/>
    </row>
    <row r="65" spans="1:1">
      <c r="A65" s="763"/>
    </row>
    <row r="66" spans="1:1">
      <c r="A66" s="763"/>
    </row>
    <row r="67" spans="1:1">
      <c r="A67" s="763"/>
    </row>
    <row r="68" spans="1:1">
      <c r="A68" s="763"/>
    </row>
    <row r="69" spans="1:1">
      <c r="A69" s="763"/>
    </row>
    <row r="70" spans="1:1">
      <c r="A70" s="763"/>
    </row>
    <row r="71" spans="1:1">
      <c r="A71" s="763"/>
    </row>
    <row r="72" spans="1:1">
      <c r="A72" s="763"/>
    </row>
    <row r="73" spans="1:1">
      <c r="A73" s="763"/>
    </row>
    <row r="74" spans="1:1">
      <c r="A74" s="763"/>
    </row>
    <row r="75" spans="1:1">
      <c r="A75" s="763"/>
    </row>
    <row r="76" spans="1:1">
      <c r="A76" s="763"/>
    </row>
    <row r="77" spans="1:1">
      <c r="A77" s="763"/>
    </row>
    <row r="78" spans="1:1">
      <c r="A78" s="763"/>
    </row>
    <row r="79" spans="1:1">
      <c r="A79" s="763"/>
    </row>
    <row r="80" spans="1:1">
      <c r="A80" s="763"/>
    </row>
    <row r="81" spans="1:1">
      <c r="A81" s="763"/>
    </row>
    <row r="82" spans="1:1">
      <c r="A82" s="763"/>
    </row>
    <row r="83" spans="1:1">
      <c r="A83" s="763"/>
    </row>
    <row r="84" spans="1:1">
      <c r="A84" s="763"/>
    </row>
    <row r="85" spans="1:1">
      <c r="A85" s="763"/>
    </row>
    <row r="86" spans="1:1">
      <c r="A86" s="763"/>
    </row>
    <row r="87" spans="1:1">
      <c r="A87" s="763"/>
    </row>
    <row r="88" spans="1:1">
      <c r="A88" s="763"/>
    </row>
    <row r="89" spans="1:1">
      <c r="A89" s="763"/>
    </row>
    <row r="90" spans="1:1">
      <c r="A90" s="763"/>
    </row>
    <row r="91" spans="1:1">
      <c r="A91" s="763"/>
    </row>
    <row r="92" spans="1:1">
      <c r="A92" s="763"/>
    </row>
    <row r="93" spans="1:1">
      <c r="A93" s="763"/>
    </row>
    <row r="94" spans="1:1">
      <c r="A94" s="763"/>
    </row>
    <row r="95" spans="1:1">
      <c r="A95" s="763"/>
    </row>
    <row r="96" spans="1:1">
      <c r="A96" s="763"/>
    </row>
    <row r="97" spans="1:1">
      <c r="A97" s="763"/>
    </row>
    <row r="98" spans="1:1">
      <c r="A98" s="763"/>
    </row>
    <row r="99" spans="1:1">
      <c r="A99" s="763"/>
    </row>
    <row r="100" spans="1:1">
      <c r="A100" s="763"/>
    </row>
    <row r="101" spans="1:1">
      <c r="A101" s="763"/>
    </row>
    <row r="102" spans="1:1">
      <c r="A102" s="763"/>
    </row>
    <row r="103" spans="1:1">
      <c r="A103" s="763"/>
    </row>
    <row r="104" spans="1:1">
      <c r="A104" s="763"/>
    </row>
    <row r="105" spans="1:1">
      <c r="A105" s="763"/>
    </row>
    <row r="106" spans="1:1">
      <c r="A106" s="763"/>
    </row>
    <row r="107" spans="1:1">
      <c r="A107" s="763"/>
    </row>
    <row r="108" spans="1:1">
      <c r="A108" s="763"/>
    </row>
    <row r="109" spans="1:1">
      <c r="A109" s="763"/>
    </row>
    <row r="110" spans="1:1">
      <c r="A110" s="763"/>
    </row>
    <row r="111" spans="1:1">
      <c r="A111" s="763"/>
    </row>
    <row r="112" spans="1:1">
      <c r="A112" s="763"/>
    </row>
    <row r="113" spans="1:1">
      <c r="A113" s="763"/>
    </row>
    <row r="114" spans="1:1">
      <c r="A114" s="763"/>
    </row>
    <row r="115" spans="1:1">
      <c r="A115" s="763"/>
    </row>
    <row r="116" spans="1:1">
      <c r="A116" s="763"/>
    </row>
    <row r="117" spans="1:1">
      <c r="A117" s="763"/>
    </row>
    <row r="118" spans="1:1">
      <c r="A118" s="763"/>
    </row>
    <row r="119" spans="1:1">
      <c r="A119" s="763"/>
    </row>
    <row r="120" spans="1:1">
      <c r="A120" s="763"/>
    </row>
    <row r="121" spans="1:1">
      <c r="A121" s="763"/>
    </row>
    <row r="122" spans="1:1">
      <c r="A122" s="763"/>
    </row>
    <row r="123" spans="1:1">
      <c r="A123" s="763"/>
    </row>
    <row r="124" spans="1:1">
      <c r="A124" s="763"/>
    </row>
    <row r="125" spans="1:1">
      <c r="A125" s="763"/>
    </row>
    <row r="126" spans="1:1">
      <c r="A126" s="763"/>
    </row>
    <row r="127" spans="1:1">
      <c r="A127" s="763"/>
    </row>
    <row r="128" spans="1:1">
      <c r="A128" s="763"/>
    </row>
    <row r="129" spans="1:1">
      <c r="A129" s="763"/>
    </row>
    <row r="130" spans="1:1">
      <c r="A130" s="763"/>
    </row>
    <row r="131" spans="1:1">
      <c r="A131" s="763"/>
    </row>
    <row r="132" spans="1:1">
      <c r="A132" s="763"/>
    </row>
    <row r="133" spans="1:1">
      <c r="A133" s="763"/>
    </row>
    <row r="134" spans="1:1">
      <c r="A134" s="763"/>
    </row>
    <row r="135" spans="1:1">
      <c r="A135" s="763"/>
    </row>
    <row r="136" spans="1:1">
      <c r="A136" s="763"/>
    </row>
    <row r="137" spans="1:1">
      <c r="A137" s="763"/>
    </row>
    <row r="138" spans="1:1">
      <c r="A138" s="763"/>
    </row>
    <row r="139" spans="1:1">
      <c r="A139" s="763"/>
    </row>
    <row r="140" spans="1:1">
      <c r="A140" s="763"/>
    </row>
    <row r="141" spans="1:1">
      <c r="A141" s="763"/>
    </row>
    <row r="142" spans="1:1">
      <c r="A142" s="763"/>
    </row>
    <row r="143" spans="1:1">
      <c r="A143" s="763"/>
    </row>
    <row r="144" spans="1:1">
      <c r="A144" s="763"/>
    </row>
    <row r="145" spans="1:1">
      <c r="A145" s="763"/>
    </row>
    <row r="146" spans="1:1">
      <c r="A146" s="763"/>
    </row>
    <row r="147" spans="1:1">
      <c r="A147" s="763"/>
    </row>
    <row r="148" spans="1:1">
      <c r="A148" s="763"/>
    </row>
    <row r="149" spans="1:1">
      <c r="A149" s="763"/>
    </row>
    <row r="150" spans="1:1">
      <c r="A150" s="763"/>
    </row>
    <row r="151" spans="1:1">
      <c r="A151" s="763"/>
    </row>
    <row r="152" spans="1:1">
      <c r="A152" s="763"/>
    </row>
    <row r="153" spans="1:1">
      <c r="A153" s="763"/>
    </row>
    <row r="154" spans="1:1">
      <c r="A154" s="763"/>
    </row>
    <row r="155" spans="1:1">
      <c r="A155" s="763"/>
    </row>
    <row r="156" spans="1:1">
      <c r="A156" s="763"/>
    </row>
    <row r="157" spans="1:1">
      <c r="A157" s="763"/>
    </row>
    <row r="158" spans="1:1">
      <c r="A158" s="763"/>
    </row>
    <row r="159" spans="1:1">
      <c r="A159" s="763"/>
    </row>
    <row r="160" spans="1:1">
      <c r="A160" s="763"/>
    </row>
    <row r="161" spans="1:1">
      <c r="A161" s="763"/>
    </row>
    <row r="162" spans="1:1">
      <c r="A162" s="763"/>
    </row>
    <row r="163" spans="1:1">
      <c r="A163" s="763"/>
    </row>
    <row r="164" spans="1:1">
      <c r="A164" s="763"/>
    </row>
    <row r="165" spans="1:1">
      <c r="A165" s="763"/>
    </row>
    <row r="166" spans="1:1">
      <c r="A166" s="763"/>
    </row>
    <row r="167" spans="1:1">
      <c r="A167" s="763"/>
    </row>
    <row r="168" spans="1:1">
      <c r="A168" s="763"/>
    </row>
    <row r="169" spans="1:1">
      <c r="A169" s="763"/>
    </row>
    <row r="170" spans="1:1">
      <c r="A170" s="763"/>
    </row>
    <row r="171" spans="1:1">
      <c r="A171" s="763"/>
    </row>
    <row r="172" spans="1:1">
      <c r="A172" s="763"/>
    </row>
    <row r="173" spans="1:1">
      <c r="A173" s="763"/>
    </row>
    <row r="174" spans="1:1">
      <c r="A174" s="763"/>
    </row>
    <row r="175" spans="1:1">
      <c r="A175" s="763"/>
    </row>
    <row r="176" spans="1:1">
      <c r="A176" s="763"/>
    </row>
    <row r="177" spans="1:1">
      <c r="A177" s="763"/>
    </row>
    <row r="178" spans="1:1">
      <c r="A178" s="763"/>
    </row>
    <row r="179" spans="1:1">
      <c r="A179" s="763"/>
    </row>
    <row r="180" spans="1:1">
      <c r="A180" s="763"/>
    </row>
    <row r="181" spans="1:1">
      <c r="A181" s="763"/>
    </row>
    <row r="182" spans="1:1">
      <c r="A182" s="763"/>
    </row>
    <row r="183" spans="1:1">
      <c r="A183" s="763"/>
    </row>
    <row r="184" spans="1:1">
      <c r="A184" s="763"/>
    </row>
    <row r="185" spans="1:1">
      <c r="A185" s="763"/>
    </row>
    <row r="186" spans="1:1">
      <c r="A186" s="763"/>
    </row>
    <row r="187" spans="1:1">
      <c r="A187" s="763"/>
    </row>
    <row r="188" spans="1:1">
      <c r="A188" s="763"/>
    </row>
    <row r="189" spans="1:1">
      <c r="A189" s="763"/>
    </row>
    <row r="190" spans="1:1">
      <c r="A190" s="763"/>
    </row>
    <row r="191" spans="1:1">
      <c r="A191" s="763"/>
    </row>
    <row r="192" spans="1:1">
      <c r="A192" s="763"/>
    </row>
    <row r="193" spans="1:1">
      <c r="A193" s="763"/>
    </row>
    <row r="194" spans="1:1">
      <c r="A194" s="763"/>
    </row>
    <row r="195" spans="1:1">
      <c r="A195" s="763"/>
    </row>
    <row r="196" spans="1:1">
      <c r="A196" s="763"/>
    </row>
    <row r="197" spans="1:1">
      <c r="A197" s="763"/>
    </row>
    <row r="198" spans="1:1">
      <c r="A198" s="763"/>
    </row>
    <row r="199" spans="1:1">
      <c r="A199" s="763"/>
    </row>
    <row r="200" spans="1:1">
      <c r="A200" s="763"/>
    </row>
    <row r="201" spans="1:1">
      <c r="A201" s="763"/>
    </row>
    <row r="202" spans="1:1">
      <c r="A202" s="763"/>
    </row>
    <row r="203" spans="1:1">
      <c r="A203" s="763"/>
    </row>
    <row r="204" spans="1:1">
      <c r="A204" s="763"/>
    </row>
    <row r="205" spans="1:1">
      <c r="A205" s="763"/>
    </row>
    <row r="206" spans="1:1">
      <c r="A206" s="763"/>
    </row>
    <row r="207" spans="1:1">
      <c r="A207" s="763"/>
    </row>
    <row r="208" spans="1:1">
      <c r="A208" s="763"/>
    </row>
    <row r="209" spans="1:1">
      <c r="A209" s="763"/>
    </row>
    <row r="210" spans="1:1">
      <c r="A210" s="763"/>
    </row>
    <row r="211" spans="1:1">
      <c r="A211" s="763"/>
    </row>
    <row r="212" spans="1:1">
      <c r="A212" s="763"/>
    </row>
    <row r="213" spans="1:1">
      <c r="A213" s="763"/>
    </row>
    <row r="214" spans="1:1">
      <c r="A214" s="763"/>
    </row>
    <row r="215" spans="1:1">
      <c r="A215" s="763"/>
    </row>
    <row r="216" spans="1:1">
      <c r="A216" s="763"/>
    </row>
    <row r="217" spans="1:1">
      <c r="A217" s="763"/>
    </row>
    <row r="218" spans="1:1">
      <c r="A218" s="763"/>
    </row>
    <row r="219" spans="1:1">
      <c r="A219" s="763"/>
    </row>
    <row r="220" spans="1:1">
      <c r="A220" s="763"/>
    </row>
    <row r="221" spans="1:1">
      <c r="A221" s="763"/>
    </row>
    <row r="222" spans="1:1">
      <c r="A222" s="763"/>
    </row>
    <row r="223" spans="1:1">
      <c r="A223" s="763"/>
    </row>
    <row r="224" spans="1:1">
      <c r="A224" s="763"/>
    </row>
    <row r="225" spans="1:1">
      <c r="A225" s="763"/>
    </row>
    <row r="226" spans="1:1">
      <c r="A226" s="763"/>
    </row>
    <row r="227" spans="1:1">
      <c r="A227" s="763"/>
    </row>
    <row r="228" spans="1:1">
      <c r="A228" s="763"/>
    </row>
    <row r="229" spans="1:1">
      <c r="A229" s="763"/>
    </row>
    <row r="230" spans="1:1">
      <c r="A230" s="763"/>
    </row>
    <row r="231" spans="1:1">
      <c r="A231" s="763"/>
    </row>
    <row r="232" spans="1:1">
      <c r="A232" s="763"/>
    </row>
    <row r="233" spans="1:1">
      <c r="A233" s="763"/>
    </row>
    <row r="234" spans="1:1">
      <c r="A234" s="763"/>
    </row>
    <row r="235" spans="1:1">
      <c r="A235" s="763"/>
    </row>
    <row r="236" spans="1:1">
      <c r="A236" s="763"/>
    </row>
    <row r="237" spans="1:1">
      <c r="A237" s="763"/>
    </row>
    <row r="238" spans="1:1">
      <c r="A238" s="763"/>
    </row>
    <row r="239" spans="1:1">
      <c r="A239" s="763"/>
    </row>
    <row r="240" spans="1:1">
      <c r="A240" s="763"/>
    </row>
    <row r="241" spans="1:1">
      <c r="A241" s="763"/>
    </row>
    <row r="242" spans="1:1">
      <c r="A242" s="763"/>
    </row>
    <row r="243" spans="1:1">
      <c r="A243" s="763"/>
    </row>
    <row r="244" spans="1:1">
      <c r="A244" s="763"/>
    </row>
    <row r="245" spans="1:1">
      <c r="A245" s="763"/>
    </row>
    <row r="246" spans="1:1">
      <c r="A246" s="763"/>
    </row>
    <row r="247" spans="1:1">
      <c r="A247" s="763"/>
    </row>
    <row r="248" spans="1:1">
      <c r="A248" s="763"/>
    </row>
    <row r="249" spans="1:1">
      <c r="A249" s="763"/>
    </row>
    <row r="250" spans="1:1">
      <c r="A250" s="763"/>
    </row>
    <row r="251" spans="1:1">
      <c r="A251" s="763"/>
    </row>
    <row r="252" spans="1:1">
      <c r="A252" s="763"/>
    </row>
    <row r="253" spans="1:1">
      <c r="A253" s="763"/>
    </row>
    <row r="254" spans="1:1">
      <c r="A254" s="763"/>
    </row>
    <row r="255" spans="1:1">
      <c r="A255" s="763"/>
    </row>
    <row r="256" spans="1:1">
      <c r="A256" s="763"/>
    </row>
    <row r="257" spans="1:1">
      <c r="A257" s="763"/>
    </row>
    <row r="258" spans="1:1">
      <c r="A258" s="763"/>
    </row>
    <row r="259" spans="1:1">
      <c r="A259" s="763"/>
    </row>
    <row r="260" spans="1:1">
      <c r="A260" s="763"/>
    </row>
    <row r="261" spans="1:1">
      <c r="A261" s="763"/>
    </row>
    <row r="262" spans="1:1">
      <c r="A262" s="763"/>
    </row>
    <row r="263" spans="1:1">
      <c r="A263" s="763"/>
    </row>
    <row r="264" spans="1:1">
      <c r="A264" s="763"/>
    </row>
    <row r="265" spans="1:1">
      <c r="A265" s="763"/>
    </row>
    <row r="266" spans="1:1">
      <c r="A266" s="763"/>
    </row>
    <row r="267" spans="1:1">
      <c r="A267" s="763"/>
    </row>
    <row r="268" spans="1:1">
      <c r="A268" s="763"/>
    </row>
    <row r="269" spans="1:1">
      <c r="A269" s="763"/>
    </row>
    <row r="270" spans="1:1">
      <c r="A270" s="763"/>
    </row>
    <row r="271" spans="1:1">
      <c r="A271" s="763"/>
    </row>
    <row r="272" spans="1:1">
      <c r="A272" s="763"/>
    </row>
    <row r="273" spans="1:1">
      <c r="A273" s="763"/>
    </row>
    <row r="274" spans="1:1">
      <c r="A274" s="763"/>
    </row>
    <row r="275" spans="1:1">
      <c r="A275" s="763"/>
    </row>
    <row r="276" spans="1:1">
      <c r="A276" s="763"/>
    </row>
    <row r="277" spans="1:1">
      <c r="A277" s="763"/>
    </row>
    <row r="278" spans="1:1">
      <c r="A278" s="763"/>
    </row>
    <row r="279" spans="1:1">
      <c r="A279" s="763"/>
    </row>
    <row r="280" spans="1:1">
      <c r="A280" s="763"/>
    </row>
    <row r="281" spans="1:1">
      <c r="A281" s="763"/>
    </row>
    <row r="282" spans="1:1">
      <c r="A282" s="763"/>
    </row>
    <row r="283" spans="1:1">
      <c r="A283" s="763"/>
    </row>
    <row r="284" spans="1:1">
      <c r="A284" s="763"/>
    </row>
    <row r="285" spans="1:1">
      <c r="A285" s="763"/>
    </row>
    <row r="286" spans="1:1">
      <c r="A286" s="763"/>
    </row>
    <row r="287" spans="1:1">
      <c r="A287" s="763"/>
    </row>
    <row r="288" spans="1:1">
      <c r="A288" s="763"/>
    </row>
    <row r="289" spans="1:1">
      <c r="A289" s="763"/>
    </row>
    <row r="290" spans="1:1">
      <c r="A290" s="763"/>
    </row>
    <row r="291" spans="1:1">
      <c r="A291" s="763"/>
    </row>
    <row r="292" spans="1:1">
      <c r="A292" s="763"/>
    </row>
    <row r="293" spans="1:1">
      <c r="A293" s="763"/>
    </row>
    <row r="294" spans="1:1">
      <c r="A294" s="763"/>
    </row>
    <row r="295" spans="1:1">
      <c r="A295" s="763"/>
    </row>
    <row r="296" spans="1:1">
      <c r="A296" s="763"/>
    </row>
    <row r="297" spans="1:1">
      <c r="A297" s="763"/>
    </row>
    <row r="298" spans="1:1">
      <c r="A298" s="763"/>
    </row>
    <row r="299" spans="1:1">
      <c r="A299" s="763"/>
    </row>
    <row r="300" spans="1:1">
      <c r="A300" s="763"/>
    </row>
    <row r="301" spans="1:1">
      <c r="A301" s="763"/>
    </row>
    <row r="302" spans="1:1">
      <c r="A302" s="763"/>
    </row>
    <row r="303" spans="1:1">
      <c r="A303" s="763"/>
    </row>
    <row r="304" spans="1:1">
      <c r="A304" s="763"/>
    </row>
    <row r="305" spans="1:1">
      <c r="A305" s="763"/>
    </row>
    <row r="306" spans="1:1">
      <c r="A306" s="763"/>
    </row>
    <row r="307" spans="1:1">
      <c r="A307" s="763"/>
    </row>
    <row r="308" spans="1:1">
      <c r="A308" s="763"/>
    </row>
    <row r="309" spans="1:1">
      <c r="A309" s="763"/>
    </row>
    <row r="310" spans="1:1">
      <c r="A310" s="763"/>
    </row>
    <row r="311" spans="1:1">
      <c r="A311" s="763"/>
    </row>
    <row r="312" spans="1:1">
      <c r="A312" s="763"/>
    </row>
    <row r="313" spans="1:1">
      <c r="A313" s="763"/>
    </row>
    <row r="314" spans="1:1">
      <c r="A314" s="763"/>
    </row>
    <row r="315" spans="1:1">
      <c r="A315" s="763"/>
    </row>
    <row r="316" spans="1:1">
      <c r="A316" s="763"/>
    </row>
    <row r="317" spans="1:1">
      <c r="A317" s="763"/>
    </row>
    <row r="318" spans="1:1">
      <c r="A318" s="763"/>
    </row>
    <row r="319" spans="1:1">
      <c r="A319" s="763"/>
    </row>
    <row r="320" spans="1:1">
      <c r="A320" s="763"/>
    </row>
    <row r="321" spans="1:1">
      <c r="A321" s="763"/>
    </row>
    <row r="322" spans="1:1">
      <c r="A322" s="763"/>
    </row>
    <row r="323" spans="1:1">
      <c r="A323" s="763"/>
    </row>
    <row r="324" spans="1:1">
      <c r="A324" s="763"/>
    </row>
    <row r="325" spans="1:1">
      <c r="A325" s="763"/>
    </row>
    <row r="326" spans="1:1">
      <c r="A326" s="763"/>
    </row>
    <row r="327" spans="1:1">
      <c r="A327" s="763"/>
    </row>
    <row r="328" spans="1:1">
      <c r="A328" s="763"/>
    </row>
    <row r="329" spans="1:1">
      <c r="A329" s="763"/>
    </row>
    <row r="330" spans="1:1">
      <c r="A330" s="763"/>
    </row>
    <row r="331" spans="1:1">
      <c r="A331" s="763"/>
    </row>
    <row r="332" spans="1:1">
      <c r="A332" s="763"/>
    </row>
    <row r="333" spans="1:1">
      <c r="A333" s="763"/>
    </row>
    <row r="334" spans="1:1">
      <c r="A334" s="763"/>
    </row>
    <row r="335" spans="1:1">
      <c r="A335" s="763"/>
    </row>
    <row r="336" spans="1:1">
      <c r="A336" s="763"/>
    </row>
    <row r="337" spans="1:1">
      <c r="A337" s="763"/>
    </row>
    <row r="338" spans="1:1">
      <c r="A338" s="763"/>
    </row>
    <row r="339" spans="1:1">
      <c r="A339" s="763"/>
    </row>
    <row r="340" spans="1:1">
      <c r="A340" s="763"/>
    </row>
    <row r="341" spans="1:1">
      <c r="A341" s="763"/>
    </row>
    <row r="342" spans="1:1">
      <c r="A342" s="763"/>
    </row>
    <row r="343" spans="1:1">
      <c r="A343" s="763"/>
    </row>
    <row r="344" spans="1:1">
      <c r="A344" s="763"/>
    </row>
    <row r="345" spans="1:1">
      <c r="A345" s="763"/>
    </row>
    <row r="346" spans="1:1">
      <c r="A346" s="763"/>
    </row>
    <row r="347" spans="1:1">
      <c r="A347" s="763"/>
    </row>
    <row r="348" spans="1:1">
      <c r="A348" s="763"/>
    </row>
    <row r="349" spans="1:1">
      <c r="A349" s="763"/>
    </row>
    <row r="350" spans="1:1">
      <c r="A350" s="763"/>
    </row>
    <row r="351" spans="1:1">
      <c r="A351" s="763"/>
    </row>
    <row r="352" spans="1:1">
      <c r="A352" s="763"/>
    </row>
    <row r="353" spans="1:1">
      <c r="A353" s="763"/>
    </row>
    <row r="354" spans="1:1">
      <c r="A354" s="763"/>
    </row>
    <row r="355" spans="1:1">
      <c r="A355" s="763"/>
    </row>
    <row r="356" spans="1:1">
      <c r="A356" s="763"/>
    </row>
    <row r="357" spans="1:1">
      <c r="A357" s="763"/>
    </row>
    <row r="358" spans="1:1">
      <c r="A358" s="763"/>
    </row>
    <row r="359" spans="1:1">
      <c r="A359" s="763"/>
    </row>
    <row r="360" spans="1:1">
      <c r="A360" s="763"/>
    </row>
    <row r="361" spans="1:1">
      <c r="A361" s="763"/>
    </row>
    <row r="362" spans="1:1">
      <c r="A362" s="763"/>
    </row>
    <row r="363" spans="1:1">
      <c r="A363" s="763"/>
    </row>
    <row r="364" spans="1:1">
      <c r="A364" s="763"/>
    </row>
    <row r="365" spans="1:1">
      <c r="A365" s="763"/>
    </row>
    <row r="366" spans="1:1">
      <c r="A366" s="763"/>
    </row>
    <row r="367" spans="1:1">
      <c r="A367" s="763"/>
    </row>
    <row r="368" spans="1:1">
      <c r="A368" s="763"/>
    </row>
    <row r="369" spans="1:1">
      <c r="A369" s="763"/>
    </row>
    <row r="370" spans="1:1">
      <c r="A370" s="763"/>
    </row>
    <row r="371" spans="1:1">
      <c r="A371" s="763"/>
    </row>
    <row r="372" spans="1:1">
      <c r="A372" s="763"/>
    </row>
    <row r="373" spans="1:1">
      <c r="A373" s="763"/>
    </row>
    <row r="374" spans="1:1">
      <c r="A374" s="763"/>
    </row>
    <row r="375" spans="1:1">
      <c r="A375" s="763"/>
    </row>
    <row r="376" spans="1:1">
      <c r="A376" s="763"/>
    </row>
    <row r="377" spans="1:1">
      <c r="A377" s="763"/>
    </row>
    <row r="378" spans="1:1">
      <c r="A378" s="763"/>
    </row>
    <row r="379" spans="1:1">
      <c r="A379" s="763"/>
    </row>
    <row r="380" spans="1:1">
      <c r="A380" s="763"/>
    </row>
    <row r="381" spans="1:1">
      <c r="A381" s="763"/>
    </row>
    <row r="382" spans="1:1">
      <c r="A382" s="763"/>
    </row>
    <row r="383" spans="1:1">
      <c r="A383" s="763"/>
    </row>
    <row r="384" spans="1:1">
      <c r="A384" s="763"/>
    </row>
    <row r="385" spans="1:1">
      <c r="A385" s="763"/>
    </row>
    <row r="386" spans="1:1">
      <c r="A386" s="763"/>
    </row>
    <row r="387" spans="1:1">
      <c r="A387" s="763"/>
    </row>
    <row r="388" spans="1:1">
      <c r="A388" s="763"/>
    </row>
    <row r="389" spans="1:1">
      <c r="A389" s="763"/>
    </row>
    <row r="390" spans="1:1">
      <c r="A390" s="763"/>
    </row>
    <row r="391" spans="1:1">
      <c r="A391" s="763"/>
    </row>
    <row r="392" spans="1:1">
      <c r="A392" s="763"/>
    </row>
    <row r="393" spans="1:1">
      <c r="A393" s="763"/>
    </row>
    <row r="394" spans="1:1">
      <c r="A394" s="763"/>
    </row>
    <row r="395" spans="1:1">
      <c r="A395" s="763"/>
    </row>
    <row r="396" spans="1:1">
      <c r="A396" s="763"/>
    </row>
    <row r="397" spans="1:1">
      <c r="A397" s="763"/>
    </row>
    <row r="398" spans="1:1">
      <c r="A398" s="763"/>
    </row>
    <row r="399" spans="1:1">
      <c r="A399" s="763"/>
    </row>
    <row r="400" spans="1:1">
      <c r="A400" s="763"/>
    </row>
    <row r="401" spans="1:1">
      <c r="A401" s="763"/>
    </row>
    <row r="402" spans="1:1">
      <c r="A402" s="763"/>
    </row>
    <row r="403" spans="1:1">
      <c r="A403" s="763"/>
    </row>
    <row r="404" spans="1:1">
      <c r="A404" s="763"/>
    </row>
    <row r="405" spans="1:1">
      <c r="A405" s="763"/>
    </row>
    <row r="406" spans="1:1">
      <c r="A406" s="763"/>
    </row>
    <row r="407" spans="1:1">
      <c r="A407" s="763"/>
    </row>
    <row r="408" spans="1:1">
      <c r="A408" s="763"/>
    </row>
    <row r="409" spans="1:1">
      <c r="A409" s="763"/>
    </row>
    <row r="410" spans="1:1">
      <c r="A410" s="763"/>
    </row>
    <row r="411" spans="1:1">
      <c r="A411" s="763"/>
    </row>
    <row r="412" spans="1:1">
      <c r="A412" s="763"/>
    </row>
    <row r="413" spans="1:1">
      <c r="A413" s="763"/>
    </row>
    <row r="414" spans="1:1">
      <c r="A414" s="763"/>
    </row>
    <row r="415" spans="1:1">
      <c r="A415" s="763"/>
    </row>
    <row r="416" spans="1:1">
      <c r="A416" s="763"/>
    </row>
    <row r="417" spans="1:1">
      <c r="A417" s="763"/>
    </row>
    <row r="418" spans="1:1">
      <c r="A418" s="763"/>
    </row>
    <row r="419" spans="1:1">
      <c r="A419" s="763"/>
    </row>
    <row r="420" spans="1:1">
      <c r="A420" s="763"/>
    </row>
    <row r="421" spans="1:1">
      <c r="A421" s="763"/>
    </row>
    <row r="422" spans="1:1">
      <c r="A422" s="763"/>
    </row>
    <row r="423" spans="1:1">
      <c r="A423" s="763"/>
    </row>
    <row r="424" spans="1:1">
      <c r="A424" s="763"/>
    </row>
    <row r="425" spans="1:1">
      <c r="A425" s="763"/>
    </row>
    <row r="426" spans="1:1">
      <c r="A426" s="763"/>
    </row>
    <row r="427" spans="1:1">
      <c r="A427" s="763"/>
    </row>
    <row r="428" spans="1:1">
      <c r="A428" s="763"/>
    </row>
    <row r="429" spans="1:1">
      <c r="A429" s="763"/>
    </row>
    <row r="430" spans="1:1">
      <c r="A430" s="763"/>
    </row>
    <row r="431" spans="1:1">
      <c r="A431" s="763"/>
    </row>
    <row r="432" spans="1:1">
      <c r="A432" s="763"/>
    </row>
    <row r="433" spans="1:1">
      <c r="A433" s="763"/>
    </row>
    <row r="434" spans="1:1">
      <c r="A434" s="763"/>
    </row>
    <row r="435" spans="1:1">
      <c r="A435" s="763"/>
    </row>
    <row r="436" spans="1:1">
      <c r="A436" s="763"/>
    </row>
    <row r="437" spans="1:1">
      <c r="A437" s="763"/>
    </row>
    <row r="438" spans="1:1">
      <c r="A438" s="763"/>
    </row>
    <row r="439" spans="1:1">
      <c r="A439" s="763"/>
    </row>
    <row r="440" spans="1:1">
      <c r="A440" s="763"/>
    </row>
    <row r="441" spans="1:1">
      <c r="A441" s="763"/>
    </row>
    <row r="442" spans="1:1">
      <c r="A442" s="763"/>
    </row>
    <row r="443" spans="1:1">
      <c r="A443" s="763"/>
    </row>
    <row r="444" spans="1:1">
      <c r="A444" s="763"/>
    </row>
    <row r="445" spans="1:1">
      <c r="A445" s="763"/>
    </row>
    <row r="446" spans="1:1">
      <c r="A446" s="763"/>
    </row>
    <row r="447" spans="1:1">
      <c r="A447" s="763"/>
    </row>
    <row r="448" spans="1:1">
      <c r="A448" s="763"/>
    </row>
    <row r="449" spans="1:1">
      <c r="A449" s="763"/>
    </row>
    <row r="450" spans="1:1">
      <c r="A450" s="763"/>
    </row>
    <row r="451" spans="1:1">
      <c r="A451" s="763"/>
    </row>
    <row r="452" spans="1:1">
      <c r="A452" s="763"/>
    </row>
    <row r="453" spans="1:1">
      <c r="A453" s="763"/>
    </row>
    <row r="454" spans="1:1">
      <c r="A454" s="763"/>
    </row>
    <row r="455" spans="1:1">
      <c r="A455" s="763"/>
    </row>
    <row r="456" spans="1:1">
      <c r="A456" s="763"/>
    </row>
    <row r="457" spans="1:1">
      <c r="A457" s="763"/>
    </row>
    <row r="458" spans="1:1">
      <c r="A458" s="763"/>
    </row>
  </sheetData>
  <autoFilter ref="O10:O41">
    <filterColumn colId="0">
      <customFilters and="1">
        <customFilter operator="notEqual" val=" "/>
        <customFilter operator="notEqual" val="0"/>
      </customFilters>
    </filterColumn>
  </autoFilter>
  <mergeCells count="26">
    <mergeCell ref="A41:B41"/>
    <mergeCell ref="H7:I8"/>
    <mergeCell ref="K1:M1"/>
    <mergeCell ref="K2:M2"/>
    <mergeCell ref="K3:M3"/>
    <mergeCell ref="K6:N6"/>
    <mergeCell ref="H9:H10"/>
    <mergeCell ref="L9:L10"/>
    <mergeCell ref="A6:A10"/>
    <mergeCell ref="C7:C10"/>
    <mergeCell ref="D9:D10"/>
    <mergeCell ref="E9:E10"/>
    <mergeCell ref="I9:I10"/>
    <mergeCell ref="C6:F6"/>
    <mergeCell ref="G6:J6"/>
    <mergeCell ref="D7:E8"/>
    <mergeCell ref="J41:L41"/>
    <mergeCell ref="A4:N4"/>
    <mergeCell ref="B6:B10"/>
    <mergeCell ref="F7:F10"/>
    <mergeCell ref="J7:J10"/>
    <mergeCell ref="N7:N10"/>
    <mergeCell ref="G7:G10"/>
    <mergeCell ref="K7:K10"/>
    <mergeCell ref="M9:M10"/>
    <mergeCell ref="L7:M8"/>
  </mergeCells>
  <phoneticPr fontId="175" type="noConversion"/>
  <printOptions horizontalCentered="1"/>
  <pageMargins left="0.39" right="0.17" top="0.31" bottom="0.16" header="0.19" footer="0.16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R169"/>
  <sheetViews>
    <sheetView showZeros="0" topLeftCell="B2" zoomScale="75" zoomScaleNormal="75" zoomScaleSheetLayoutView="75" workbookViewId="0">
      <pane xSplit="2" ySplit="14" topLeftCell="D16" activePane="bottomRight" state="frozen"/>
      <selection activeCell="J41" sqref="J41:L41"/>
      <selection pane="topRight" activeCell="J41" sqref="J41:L41"/>
      <selection pane="bottomLeft" activeCell="J41" sqref="J41:L41"/>
      <selection pane="bottomRight" activeCell="B2" sqref="B2"/>
    </sheetView>
  </sheetViews>
  <sheetFormatPr defaultRowHeight="12.75"/>
  <cols>
    <col min="1" max="1" width="3.42578125" style="32" customWidth="1"/>
    <col min="2" max="2" width="11.28515625" style="32" customWidth="1"/>
    <col min="3" max="3" width="72.5703125" style="32" customWidth="1"/>
    <col min="4" max="4" width="23" style="32" customWidth="1"/>
    <col min="5" max="5" width="18" style="32" customWidth="1"/>
    <col min="6" max="6" width="17.7109375" style="32" customWidth="1"/>
    <col min="7" max="7" width="20.28515625" style="32" customWidth="1"/>
    <col min="8" max="8" width="9.7109375" style="32" bestFit="1" customWidth="1"/>
    <col min="9" max="11" width="9.140625" style="81"/>
    <col min="12" max="16384" width="9.140625" style="32"/>
  </cols>
  <sheetData>
    <row r="2" spans="2:9" ht="18.75">
      <c r="E2" s="1383" t="s">
        <v>946</v>
      </c>
      <c r="F2" s="1383"/>
      <c r="G2" s="1383"/>
    </row>
    <row r="3" spans="2:9" ht="15.6" customHeight="1">
      <c r="E3" s="1383" t="s">
        <v>1448</v>
      </c>
      <c r="F3" s="1383"/>
      <c r="G3" s="1383"/>
    </row>
    <row r="4" spans="2:9" ht="15.6" customHeight="1">
      <c r="E4" s="1383"/>
      <c r="F4" s="1383"/>
      <c r="G4" s="1383"/>
    </row>
    <row r="5" spans="2:9" ht="20.45" customHeight="1">
      <c r="B5" s="767"/>
      <c r="D5" s="768"/>
      <c r="E5" s="1384" t="s">
        <v>239</v>
      </c>
      <c r="F5" s="1384"/>
      <c r="G5" s="1384"/>
      <c r="H5" s="769"/>
      <c r="I5" s="770"/>
    </row>
    <row r="6" spans="2:9" ht="14.25">
      <c r="B6" s="767"/>
      <c r="F6" s="769"/>
      <c r="G6" s="769"/>
      <c r="H6" s="769"/>
      <c r="I6" s="770"/>
    </row>
    <row r="7" spans="2:9" ht="25.9" customHeight="1">
      <c r="B7" s="1386"/>
      <c r="C7" s="1386"/>
      <c r="D7" s="1386"/>
      <c r="E7" s="1386"/>
      <c r="F7" s="1386"/>
      <c r="G7" s="1386"/>
      <c r="H7" s="771"/>
      <c r="I7" s="772"/>
    </row>
    <row r="8" spans="2:9" ht="25.9" customHeight="1">
      <c r="B8" s="1386" t="s">
        <v>1148</v>
      </c>
      <c r="C8" s="1386"/>
      <c r="D8" s="1386"/>
      <c r="E8" s="1386"/>
      <c r="F8" s="1386"/>
      <c r="G8" s="1386"/>
      <c r="H8" s="771"/>
      <c r="I8" s="772"/>
    </row>
    <row r="9" spans="2:9" ht="31.9" customHeight="1">
      <c r="B9" s="773"/>
      <c r="F9" s="192" t="s">
        <v>561</v>
      </c>
    </row>
    <row r="10" spans="2:9" ht="18" customHeight="1">
      <c r="B10" s="1387" t="s">
        <v>947</v>
      </c>
      <c r="C10" s="1387" t="s">
        <v>948</v>
      </c>
      <c r="D10" s="1387" t="s">
        <v>416</v>
      </c>
      <c r="E10" s="1387" t="s">
        <v>949</v>
      </c>
      <c r="F10" s="1387"/>
      <c r="G10" s="1385" t="s">
        <v>734</v>
      </c>
    </row>
    <row r="11" spans="2:9" ht="18" customHeight="1">
      <c r="B11" s="1389"/>
      <c r="C11" s="1387"/>
      <c r="D11" s="1387"/>
      <c r="E11" s="1387"/>
      <c r="F11" s="1387"/>
      <c r="G11" s="1385"/>
      <c r="I11" s="32"/>
    </row>
    <row r="12" spans="2:9">
      <c r="B12" s="1389"/>
      <c r="C12" s="1387"/>
      <c r="D12" s="1387"/>
      <c r="E12" s="1387" t="s">
        <v>734</v>
      </c>
      <c r="F12" s="1387" t="s">
        <v>950</v>
      </c>
      <c r="G12" s="1385"/>
    </row>
    <row r="13" spans="2:9" ht="42" customHeight="1">
      <c r="B13" s="1389"/>
      <c r="C13" s="1387"/>
      <c r="D13" s="1387"/>
      <c r="E13" s="1387"/>
      <c r="F13" s="1387"/>
      <c r="G13" s="1385"/>
    </row>
    <row r="14" spans="2:9" ht="18" customHeight="1">
      <c r="B14" s="1381">
        <v>1</v>
      </c>
      <c r="C14" s="1381">
        <v>2</v>
      </c>
      <c r="D14" s="1381">
        <v>3</v>
      </c>
      <c r="E14" s="1381">
        <v>4</v>
      </c>
      <c r="F14" s="1381">
        <v>5</v>
      </c>
      <c r="G14" s="1379" t="s">
        <v>951</v>
      </c>
    </row>
    <row r="15" spans="2:9" ht="1.1499999999999999" hidden="1" customHeight="1">
      <c r="B15" s="1455"/>
      <c r="C15" s="1452"/>
      <c r="D15" s="1452"/>
      <c r="E15" s="1452"/>
      <c r="F15" s="1452"/>
      <c r="G15" s="1454"/>
    </row>
    <row r="16" spans="2:9" ht="23.45" customHeight="1">
      <c r="B16" s="774">
        <v>200000</v>
      </c>
      <c r="C16" s="775" t="s">
        <v>952</v>
      </c>
      <c r="D16" s="776">
        <f>(D17+D21+SUM(D28+D46+D47)+SUM(D51+D54+D58+D62))</f>
        <v>-53322400</v>
      </c>
      <c r="E16" s="776">
        <f>(E17+E21+SUM(E28+E46+E47)+SUM(E51+E54+E58+E62))</f>
        <v>53322400</v>
      </c>
      <c r="F16" s="776">
        <f>(F17+F21+SUM(F28+F46+F47)+SUM(F51+F54+F58+F62))</f>
        <v>53322400</v>
      </c>
      <c r="G16" s="776">
        <f t="shared" ref="G16:G57" si="0">+D16+E16</f>
        <v>0</v>
      </c>
      <c r="H16" s="777">
        <v>1</v>
      </c>
      <c r="I16" s="777">
        <f>+G16+'[5]видатки_затв '!C482</f>
        <v>0</v>
      </c>
    </row>
    <row r="17" spans="2:11" s="2" customFormat="1" hidden="1">
      <c r="B17" s="778">
        <v>201000</v>
      </c>
      <c r="C17" s="779" t="s">
        <v>953</v>
      </c>
      <c r="D17" s="780">
        <f>D18</f>
        <v>0</v>
      </c>
      <c r="E17" s="780">
        <f>E18</f>
        <v>0</v>
      </c>
      <c r="F17" s="780">
        <f>F18</f>
        <v>0</v>
      </c>
      <c r="G17" s="780">
        <f t="shared" si="0"/>
        <v>0</v>
      </c>
      <c r="H17" s="777">
        <f t="shared" ref="H17:H50" si="1">+G17</f>
        <v>0</v>
      </c>
    </row>
    <row r="18" spans="2:11" s="2" customFormat="1" hidden="1">
      <c r="B18" s="781">
        <v>201100</v>
      </c>
      <c r="C18" s="782" t="s">
        <v>954</v>
      </c>
      <c r="D18" s="783">
        <f>D19-D20</f>
        <v>0</v>
      </c>
      <c r="E18" s="783">
        <f>E19-E20</f>
        <v>0</v>
      </c>
      <c r="F18" s="783">
        <f>F19-F20</f>
        <v>0</v>
      </c>
      <c r="G18" s="783">
        <f t="shared" si="0"/>
        <v>0</v>
      </c>
      <c r="H18" s="777">
        <f t="shared" si="1"/>
        <v>0</v>
      </c>
    </row>
    <row r="19" spans="2:11" s="2" customFormat="1" hidden="1">
      <c r="B19" s="784">
        <v>201110</v>
      </c>
      <c r="C19" s="785" t="s">
        <v>955</v>
      </c>
      <c r="D19" s="783"/>
      <c r="E19" s="783"/>
      <c r="F19" s="783"/>
      <c r="G19" s="783">
        <f t="shared" si="0"/>
        <v>0</v>
      </c>
      <c r="H19" s="777">
        <f t="shared" si="1"/>
        <v>0</v>
      </c>
    </row>
    <row r="20" spans="2:11" s="2" customFormat="1" hidden="1">
      <c r="B20" s="784">
        <v>201120</v>
      </c>
      <c r="C20" s="785" t="s">
        <v>956</v>
      </c>
      <c r="D20" s="783"/>
      <c r="E20" s="783"/>
      <c r="F20" s="783"/>
      <c r="G20" s="783">
        <f t="shared" si="0"/>
        <v>0</v>
      </c>
      <c r="H20" s="777">
        <f t="shared" si="1"/>
        <v>0</v>
      </c>
    </row>
    <row r="21" spans="2:11" s="2" customFormat="1" hidden="1">
      <c r="B21" s="781">
        <v>202000</v>
      </c>
      <c r="C21" s="786" t="s">
        <v>957</v>
      </c>
      <c r="D21" s="783">
        <f>D22+D25</f>
        <v>0</v>
      </c>
      <c r="E21" s="783">
        <f>E22+E25</f>
        <v>0</v>
      </c>
      <c r="F21" s="783">
        <f>F22+F25</f>
        <v>0</v>
      </c>
      <c r="G21" s="783">
        <f t="shared" si="0"/>
        <v>0</v>
      </c>
      <c r="H21" s="777">
        <f t="shared" si="1"/>
        <v>0</v>
      </c>
    </row>
    <row r="22" spans="2:11" s="2" customFormat="1" hidden="1">
      <c r="B22" s="781">
        <v>202100</v>
      </c>
      <c r="C22" s="782" t="s">
        <v>1086</v>
      </c>
      <c r="D22" s="783">
        <f>D23-D24</f>
        <v>0</v>
      </c>
      <c r="E22" s="783">
        <f>E23-E24</f>
        <v>0</v>
      </c>
      <c r="F22" s="783">
        <f>F23-F24</f>
        <v>0</v>
      </c>
      <c r="G22" s="783">
        <f t="shared" si="0"/>
        <v>0</v>
      </c>
      <c r="H22" s="777">
        <f t="shared" si="1"/>
        <v>0</v>
      </c>
    </row>
    <row r="23" spans="2:11" s="2" customFormat="1" hidden="1">
      <c r="B23" s="784">
        <v>202110</v>
      </c>
      <c r="C23" s="785" t="s">
        <v>955</v>
      </c>
      <c r="D23" s="783"/>
      <c r="E23" s="783"/>
      <c r="F23" s="783"/>
      <c r="G23" s="783">
        <f t="shared" si="0"/>
        <v>0</v>
      </c>
      <c r="H23" s="777">
        <f t="shared" si="1"/>
        <v>0</v>
      </c>
    </row>
    <row r="24" spans="2:11" s="2" customFormat="1" hidden="1">
      <c r="B24" s="784">
        <v>202120</v>
      </c>
      <c r="C24" s="785" t="s">
        <v>956</v>
      </c>
      <c r="D24" s="783"/>
      <c r="E24" s="783"/>
      <c r="F24" s="783"/>
      <c r="G24" s="783">
        <f t="shared" si="0"/>
        <v>0</v>
      </c>
      <c r="H24" s="777">
        <f t="shared" si="1"/>
        <v>0</v>
      </c>
    </row>
    <row r="25" spans="2:11" s="2" customFormat="1" hidden="1">
      <c r="B25" s="781">
        <v>202200</v>
      </c>
      <c r="C25" s="782" t="s">
        <v>1087</v>
      </c>
      <c r="D25" s="787">
        <f>D26-D27</f>
        <v>0</v>
      </c>
      <c r="E25" s="787">
        <f>E26-E27</f>
        <v>0</v>
      </c>
      <c r="F25" s="787">
        <f>F26-F27</f>
        <v>0</v>
      </c>
      <c r="G25" s="783">
        <f t="shared" si="0"/>
        <v>0</v>
      </c>
      <c r="H25" s="777">
        <f t="shared" si="1"/>
        <v>0</v>
      </c>
    </row>
    <row r="26" spans="2:11" s="2" customFormat="1" hidden="1">
      <c r="B26" s="784">
        <v>202210</v>
      </c>
      <c r="C26" s="785" t="s">
        <v>955</v>
      </c>
      <c r="D26" s="787"/>
      <c r="E26" s="787"/>
      <c r="F26" s="787"/>
      <c r="G26" s="783">
        <f t="shared" si="0"/>
        <v>0</v>
      </c>
      <c r="H26" s="777">
        <f t="shared" si="1"/>
        <v>0</v>
      </c>
    </row>
    <row r="27" spans="2:11" s="2" customFormat="1" hidden="1">
      <c r="B27" s="784">
        <v>202220</v>
      </c>
      <c r="C27" s="785" t="s">
        <v>956</v>
      </c>
      <c r="D27" s="787"/>
      <c r="E27" s="787"/>
      <c r="F27" s="787"/>
      <c r="G27" s="783">
        <f t="shared" si="0"/>
        <v>0</v>
      </c>
      <c r="H27" s="777">
        <f t="shared" si="1"/>
        <v>0</v>
      </c>
    </row>
    <row r="28" spans="2:11" s="2" customFormat="1" hidden="1">
      <c r="B28" s="781">
        <v>203000</v>
      </c>
      <c r="C28" s="786" t="s">
        <v>1088</v>
      </c>
      <c r="D28" s="787">
        <f>D29+D33+D37+D40+D43</f>
        <v>0</v>
      </c>
      <c r="E28" s="787">
        <f>E29+E33+E37+E40+E43</f>
        <v>0</v>
      </c>
      <c r="F28" s="787">
        <f>F29+F33+F37+F40+F43</f>
        <v>0</v>
      </c>
      <c r="G28" s="783">
        <f t="shared" si="0"/>
        <v>0</v>
      </c>
      <c r="H28" s="777">
        <f t="shared" si="1"/>
        <v>0</v>
      </c>
    </row>
    <row r="29" spans="2:11" s="2" customFormat="1" hidden="1">
      <c r="B29" s="781">
        <v>203100</v>
      </c>
      <c r="C29" s="782" t="s">
        <v>1089</v>
      </c>
      <c r="D29" s="787">
        <f>D30-D31+D32</f>
        <v>0</v>
      </c>
      <c r="E29" s="787">
        <f>E30-E31+E32</f>
        <v>0</v>
      </c>
      <c r="F29" s="787">
        <f>F30-F31+F32</f>
        <v>0</v>
      </c>
      <c r="G29" s="783">
        <f t="shared" si="0"/>
        <v>0</v>
      </c>
      <c r="H29" s="777">
        <f t="shared" si="1"/>
        <v>0</v>
      </c>
      <c r="I29" s="9"/>
      <c r="K29" s="9"/>
    </row>
    <row r="30" spans="2:11" hidden="1">
      <c r="B30" s="784">
        <v>203110</v>
      </c>
      <c r="C30" s="785" t="s">
        <v>955</v>
      </c>
      <c r="D30" s="787"/>
      <c r="E30" s="787"/>
      <c r="F30" s="787"/>
      <c r="G30" s="783">
        <f t="shared" si="0"/>
        <v>0</v>
      </c>
      <c r="H30" s="777">
        <f t="shared" si="1"/>
        <v>0</v>
      </c>
      <c r="I30" s="31"/>
      <c r="J30" s="32"/>
      <c r="K30" s="31"/>
    </row>
    <row r="31" spans="2:11" hidden="1">
      <c r="B31" s="784">
        <v>203120</v>
      </c>
      <c r="C31" s="785" t="s">
        <v>956</v>
      </c>
      <c r="D31" s="787"/>
      <c r="E31" s="787"/>
      <c r="F31" s="787"/>
      <c r="G31" s="783">
        <f t="shared" si="0"/>
        <v>0</v>
      </c>
      <c r="H31" s="777">
        <f t="shared" si="1"/>
        <v>0</v>
      </c>
      <c r="I31" s="31"/>
      <c r="J31" s="32"/>
      <c r="K31" s="31"/>
    </row>
    <row r="32" spans="2:11" s="2" customFormat="1" ht="24" hidden="1">
      <c r="B32" s="784">
        <v>203130</v>
      </c>
      <c r="C32" s="785" t="s">
        <v>1090</v>
      </c>
      <c r="D32" s="787"/>
      <c r="E32" s="787"/>
      <c r="F32" s="787"/>
      <c r="G32" s="783">
        <f t="shared" si="0"/>
        <v>0</v>
      </c>
      <c r="H32" s="777">
        <f t="shared" si="1"/>
        <v>0</v>
      </c>
    </row>
    <row r="33" spans="2:8" s="2" customFormat="1" hidden="1">
      <c r="B33" s="781">
        <v>203200</v>
      </c>
      <c r="C33" s="782" t="s">
        <v>1091</v>
      </c>
      <c r="D33" s="787">
        <f>D34-D35+D36</f>
        <v>0</v>
      </c>
      <c r="E33" s="787">
        <f>E34-E35+E36</f>
        <v>0</v>
      </c>
      <c r="F33" s="787">
        <f>F34-F35+F36</f>
        <v>0</v>
      </c>
      <c r="G33" s="783">
        <f t="shared" si="0"/>
        <v>0</v>
      </c>
      <c r="H33" s="777">
        <f t="shared" si="1"/>
        <v>0</v>
      </c>
    </row>
    <row r="34" spans="2:8" s="2" customFormat="1" hidden="1">
      <c r="B34" s="784">
        <v>203210</v>
      </c>
      <c r="C34" s="785" t="s">
        <v>955</v>
      </c>
      <c r="D34" s="787"/>
      <c r="E34" s="787"/>
      <c r="F34" s="787"/>
      <c r="G34" s="783">
        <f t="shared" si="0"/>
        <v>0</v>
      </c>
      <c r="H34" s="777">
        <f t="shared" si="1"/>
        <v>0</v>
      </c>
    </row>
    <row r="35" spans="2:8" hidden="1">
      <c r="B35" s="784">
        <v>203220</v>
      </c>
      <c r="C35" s="785" t="s">
        <v>956</v>
      </c>
      <c r="D35" s="787"/>
      <c r="E35" s="787"/>
      <c r="F35" s="787"/>
      <c r="G35" s="783">
        <f t="shared" si="0"/>
        <v>0</v>
      </c>
      <c r="H35" s="777">
        <f t="shared" si="1"/>
        <v>0</v>
      </c>
    </row>
    <row r="36" spans="2:8" ht="24" hidden="1">
      <c r="B36" s="784">
        <v>203230</v>
      </c>
      <c r="C36" s="785" t="s">
        <v>1092</v>
      </c>
      <c r="D36" s="787"/>
      <c r="E36" s="787"/>
      <c r="F36" s="787"/>
      <c r="G36" s="783">
        <f t="shared" si="0"/>
        <v>0</v>
      </c>
      <c r="H36" s="777">
        <f t="shared" si="1"/>
        <v>0</v>
      </c>
    </row>
    <row r="37" spans="2:8" hidden="1">
      <c r="B37" s="781">
        <v>203300</v>
      </c>
      <c r="C37" s="782" t="s">
        <v>1093</v>
      </c>
      <c r="D37" s="787">
        <f>D38-D39</f>
        <v>0</v>
      </c>
      <c r="E37" s="787">
        <f>E38-E39</f>
        <v>0</v>
      </c>
      <c r="F37" s="787">
        <f>F38-F39</f>
        <v>0</v>
      </c>
      <c r="G37" s="783">
        <f t="shared" si="0"/>
        <v>0</v>
      </c>
      <c r="H37" s="777">
        <f t="shared" si="1"/>
        <v>0</v>
      </c>
    </row>
    <row r="38" spans="2:8" s="2" customFormat="1" hidden="1">
      <c r="B38" s="784">
        <v>203310</v>
      </c>
      <c r="C38" s="785" t="s">
        <v>955</v>
      </c>
      <c r="D38" s="787"/>
      <c r="E38" s="787"/>
      <c r="F38" s="787"/>
      <c r="G38" s="783">
        <f t="shared" si="0"/>
        <v>0</v>
      </c>
      <c r="H38" s="777">
        <f t="shared" si="1"/>
        <v>0</v>
      </c>
    </row>
    <row r="39" spans="2:8" s="2" customFormat="1" hidden="1">
      <c r="B39" s="784">
        <v>203320</v>
      </c>
      <c r="C39" s="785" t="s">
        <v>956</v>
      </c>
      <c r="D39" s="787"/>
      <c r="E39" s="787"/>
      <c r="F39" s="787"/>
      <c r="G39" s="783">
        <f t="shared" si="0"/>
        <v>0</v>
      </c>
      <c r="H39" s="777">
        <f t="shared" si="1"/>
        <v>0</v>
      </c>
    </row>
    <row r="40" spans="2:8" s="2" customFormat="1" hidden="1">
      <c r="B40" s="781">
        <v>203400</v>
      </c>
      <c r="C40" s="782" t="s">
        <v>1094</v>
      </c>
      <c r="D40" s="787">
        <f>D41-D42</f>
        <v>0</v>
      </c>
      <c r="E40" s="787">
        <f>E41-E42</f>
        <v>0</v>
      </c>
      <c r="F40" s="787">
        <f>F41-F42</f>
        <v>0</v>
      </c>
      <c r="G40" s="783">
        <f t="shared" si="0"/>
        <v>0</v>
      </c>
      <c r="H40" s="777">
        <f t="shared" si="1"/>
        <v>0</v>
      </c>
    </row>
    <row r="41" spans="2:8" s="2" customFormat="1" hidden="1">
      <c r="B41" s="784">
        <v>203410</v>
      </c>
      <c r="C41" s="785" t="s">
        <v>1095</v>
      </c>
      <c r="D41" s="787"/>
      <c r="E41" s="787"/>
      <c r="F41" s="787"/>
      <c r="G41" s="783">
        <f t="shared" si="0"/>
        <v>0</v>
      </c>
      <c r="H41" s="777">
        <f t="shared" si="1"/>
        <v>0</v>
      </c>
    </row>
    <row r="42" spans="2:8" s="2" customFormat="1" hidden="1">
      <c r="B42" s="784">
        <v>203420</v>
      </c>
      <c r="C42" s="785" t="s">
        <v>1096</v>
      </c>
      <c r="D42" s="787"/>
      <c r="E42" s="787"/>
      <c r="F42" s="787"/>
      <c r="G42" s="783">
        <f t="shared" si="0"/>
        <v>0</v>
      </c>
      <c r="H42" s="777">
        <f t="shared" si="1"/>
        <v>0</v>
      </c>
    </row>
    <row r="43" spans="2:8" s="2" customFormat="1" hidden="1">
      <c r="B43" s="781">
        <v>203500</v>
      </c>
      <c r="C43" s="782" t="s">
        <v>1088</v>
      </c>
      <c r="D43" s="787">
        <f>D44-D45</f>
        <v>0</v>
      </c>
      <c r="E43" s="787">
        <f>E44-E45</f>
        <v>0</v>
      </c>
      <c r="F43" s="787">
        <f>F44-F45</f>
        <v>0</v>
      </c>
      <c r="G43" s="783">
        <f t="shared" si="0"/>
        <v>0</v>
      </c>
      <c r="H43" s="777">
        <f t="shared" si="1"/>
        <v>0</v>
      </c>
    </row>
    <row r="44" spans="2:8" s="2" customFormat="1" hidden="1">
      <c r="B44" s="784">
        <v>203510</v>
      </c>
      <c r="C44" s="785" t="s">
        <v>955</v>
      </c>
      <c r="D44" s="787"/>
      <c r="E44" s="787"/>
      <c r="F44" s="787"/>
      <c r="G44" s="783">
        <f t="shared" si="0"/>
        <v>0</v>
      </c>
      <c r="H44" s="777">
        <f t="shared" si="1"/>
        <v>0</v>
      </c>
    </row>
    <row r="45" spans="2:8" s="2" customFormat="1" hidden="1">
      <c r="B45" s="784">
        <v>203520</v>
      </c>
      <c r="C45" s="785" t="s">
        <v>956</v>
      </c>
      <c r="D45" s="787"/>
      <c r="E45" s="787"/>
      <c r="F45" s="787"/>
      <c r="G45" s="783">
        <f t="shared" si="0"/>
        <v>0</v>
      </c>
      <c r="H45" s="777">
        <f t="shared" si="1"/>
        <v>0</v>
      </c>
    </row>
    <row r="46" spans="2:8" s="2" customFormat="1" hidden="1">
      <c r="B46" s="781">
        <v>204000</v>
      </c>
      <c r="C46" s="786" t="s">
        <v>1097</v>
      </c>
      <c r="D46" s="787"/>
      <c r="E46" s="787"/>
      <c r="F46" s="787"/>
      <c r="G46" s="783">
        <f t="shared" si="0"/>
        <v>0</v>
      </c>
      <c r="H46" s="777">
        <f t="shared" si="1"/>
        <v>0</v>
      </c>
    </row>
    <row r="47" spans="2:8" s="2" customFormat="1" hidden="1">
      <c r="B47" s="788">
        <v>205000</v>
      </c>
      <c r="C47" s="789" t="s">
        <v>1098</v>
      </c>
      <c r="D47" s="790">
        <f>D48-D49+D50</f>
        <v>0</v>
      </c>
      <c r="E47" s="790">
        <f>E48-E49+E50</f>
        <v>0</v>
      </c>
      <c r="F47" s="790">
        <f>F48-F49+F50</f>
        <v>0</v>
      </c>
      <c r="G47" s="791">
        <f t="shared" si="0"/>
        <v>0</v>
      </c>
      <c r="H47" s="777">
        <f t="shared" si="1"/>
        <v>0</v>
      </c>
    </row>
    <row r="48" spans="2:8" s="2" customFormat="1" ht="16.149999999999999" hidden="1" customHeight="1">
      <c r="B48" s="792">
        <v>205100</v>
      </c>
      <c r="C48" s="793" t="s">
        <v>1099</v>
      </c>
      <c r="D48" s="794"/>
      <c r="E48" s="794"/>
      <c r="F48" s="794"/>
      <c r="G48" s="791">
        <f t="shared" si="0"/>
        <v>0</v>
      </c>
      <c r="H48" s="777">
        <f t="shared" si="1"/>
        <v>0</v>
      </c>
    </row>
    <row r="49" spans="1:18" s="2" customFormat="1" ht="17.45" hidden="1" customHeight="1">
      <c r="B49" s="792">
        <v>205200</v>
      </c>
      <c r="C49" s="793" t="s">
        <v>1100</v>
      </c>
      <c r="D49" s="794"/>
      <c r="E49" s="794"/>
      <c r="F49" s="794"/>
      <c r="G49" s="791">
        <f t="shared" si="0"/>
        <v>0</v>
      </c>
      <c r="H49" s="777">
        <f t="shared" si="1"/>
        <v>0</v>
      </c>
    </row>
    <row r="50" spans="1:18" s="2" customFormat="1" hidden="1">
      <c r="B50" s="795">
        <v>205300</v>
      </c>
      <c r="C50" s="796" t="s">
        <v>1101</v>
      </c>
      <c r="D50" s="797"/>
      <c r="E50" s="797"/>
      <c r="F50" s="797"/>
      <c r="G50" s="798">
        <f t="shared" si="0"/>
        <v>0</v>
      </c>
      <c r="H50" s="777">
        <f t="shared" si="1"/>
        <v>0</v>
      </c>
    </row>
    <row r="51" spans="1:18" s="2" customFormat="1" ht="31.5" hidden="1">
      <c r="B51" s="799">
        <v>206000</v>
      </c>
      <c r="C51" s="800" t="s">
        <v>1269</v>
      </c>
      <c r="D51" s="801">
        <f>D52-D53</f>
        <v>0</v>
      </c>
      <c r="E51" s="801">
        <f>E52-E53</f>
        <v>0</v>
      </c>
      <c r="F51" s="801">
        <f>F52-F53</f>
        <v>0</v>
      </c>
      <c r="G51" s="802">
        <f t="shared" si="0"/>
        <v>0</v>
      </c>
      <c r="H51" s="777"/>
    </row>
    <row r="52" spans="1:18" s="2" customFormat="1" ht="22.9" hidden="1" customHeight="1">
      <c r="B52" s="803">
        <v>206100</v>
      </c>
      <c r="C52" s="804" t="s">
        <v>1270</v>
      </c>
      <c r="D52" s="801"/>
      <c r="E52" s="805"/>
      <c r="F52" s="805"/>
      <c r="G52" s="806">
        <f t="shared" si="0"/>
        <v>0</v>
      </c>
      <c r="H52" s="777">
        <f t="shared" ref="H52:H57" si="2">+G52</f>
        <v>0</v>
      </c>
    </row>
    <row r="53" spans="1:18" s="9" customFormat="1" ht="23.45" hidden="1" customHeight="1">
      <c r="B53" s="807">
        <v>206200</v>
      </c>
      <c r="C53" s="804" t="s">
        <v>1271</v>
      </c>
      <c r="D53" s="801"/>
      <c r="E53" s="805"/>
      <c r="F53" s="805"/>
      <c r="G53" s="806">
        <f t="shared" si="0"/>
        <v>0</v>
      </c>
      <c r="H53" s="777">
        <f t="shared" si="2"/>
        <v>0</v>
      </c>
      <c r="I53" s="2"/>
      <c r="J53" s="2"/>
    </row>
    <row r="54" spans="1:18" s="2" customFormat="1" ht="17.25" hidden="1">
      <c r="A54" s="808" t="s">
        <v>1272</v>
      </c>
      <c r="B54" s="778">
        <v>207000</v>
      </c>
      <c r="C54" s="779" t="s">
        <v>1273</v>
      </c>
      <c r="D54" s="809">
        <f>D55-D56+D57</f>
        <v>0</v>
      </c>
      <c r="E54" s="809">
        <f>E55-E56+E57</f>
        <v>0</v>
      </c>
      <c r="F54" s="809">
        <f>F55-F56+F57</f>
        <v>0</v>
      </c>
      <c r="G54" s="780">
        <f t="shared" si="0"/>
        <v>0</v>
      </c>
      <c r="H54" s="777">
        <f t="shared" si="2"/>
        <v>0</v>
      </c>
      <c r="I54" s="6"/>
      <c r="J54" s="6"/>
      <c r="K54" s="810"/>
      <c r="L54" s="6"/>
      <c r="M54" s="808"/>
      <c r="N54" s="8"/>
      <c r="O54" s="8"/>
      <c r="P54" s="8"/>
      <c r="Q54" s="8"/>
      <c r="R54" s="8"/>
    </row>
    <row r="55" spans="1:18" s="11" customFormat="1" ht="18.75" hidden="1">
      <c r="B55" s="784">
        <v>207100</v>
      </c>
      <c r="C55" s="782" t="s">
        <v>1274</v>
      </c>
      <c r="D55" s="787"/>
      <c r="E55" s="787"/>
      <c r="F55" s="787"/>
      <c r="G55" s="783">
        <f t="shared" si="0"/>
        <v>0</v>
      </c>
      <c r="H55" s="777">
        <f t="shared" si="2"/>
        <v>0</v>
      </c>
      <c r="I55" s="25"/>
      <c r="J55" s="25"/>
    </row>
    <row r="56" spans="1:18" s="9" customFormat="1" hidden="1">
      <c r="B56" s="784">
        <v>207200</v>
      </c>
      <c r="C56" s="782" t="s">
        <v>1275</v>
      </c>
      <c r="D56" s="787"/>
      <c r="E56" s="787"/>
      <c r="F56" s="787"/>
      <c r="G56" s="783">
        <f t="shared" si="0"/>
        <v>0</v>
      </c>
      <c r="H56" s="777">
        <f t="shared" si="2"/>
        <v>0</v>
      </c>
      <c r="I56" s="2"/>
      <c r="J56" s="2"/>
    </row>
    <row r="57" spans="1:18" s="9" customFormat="1" hidden="1">
      <c r="B57" s="795">
        <v>207300</v>
      </c>
      <c r="C57" s="811" t="s">
        <v>1276</v>
      </c>
      <c r="D57" s="797"/>
      <c r="E57" s="797"/>
      <c r="F57" s="797"/>
      <c r="G57" s="798">
        <f t="shared" si="0"/>
        <v>0</v>
      </c>
      <c r="H57" s="777">
        <f t="shared" si="2"/>
        <v>0</v>
      </c>
      <c r="I57" s="2"/>
      <c r="J57" s="2"/>
    </row>
    <row r="58" spans="1:18" s="9" customFormat="1" ht="15.75">
      <c r="B58" s="774">
        <v>208000</v>
      </c>
      <c r="C58" s="812" t="s">
        <v>1277</v>
      </c>
      <c r="D58" s="813">
        <f>D59-D60+D61</f>
        <v>-53322400</v>
      </c>
      <c r="E58" s="813">
        <f>E59-E60+E61</f>
        <v>53322400</v>
      </c>
      <c r="F58" s="813">
        <f>F59-F60+F61</f>
        <v>53322400</v>
      </c>
      <c r="G58" s="813">
        <f>G59-G60+G61</f>
        <v>0</v>
      </c>
      <c r="H58" s="777">
        <v>1</v>
      </c>
      <c r="I58" s="2"/>
      <c r="J58" s="2"/>
    </row>
    <row r="59" spans="1:18" s="9" customFormat="1" ht="15" customHeight="1">
      <c r="B59" s="803">
        <v>208100</v>
      </c>
      <c r="C59" s="804" t="s">
        <v>1099</v>
      </c>
      <c r="D59" s="801">
        <v>40000000</v>
      </c>
      <c r="E59" s="801"/>
      <c r="F59" s="801"/>
      <c r="G59" s="814">
        <f t="shared" ref="G59:G87" si="3">+D59+E59</f>
        <v>40000000</v>
      </c>
      <c r="H59" s="777">
        <f>+G59</f>
        <v>40000000</v>
      </c>
      <c r="I59" s="2"/>
      <c r="J59" s="2"/>
    </row>
    <row r="60" spans="1:18" s="31" customFormat="1" ht="15" customHeight="1">
      <c r="B60" s="803">
        <v>208200</v>
      </c>
      <c r="C60" s="804" t="s">
        <v>1100</v>
      </c>
      <c r="D60" s="801">
        <v>40000000</v>
      </c>
      <c r="E60" s="801">
        <v>0</v>
      </c>
      <c r="F60" s="801"/>
      <c r="G60" s="814">
        <f t="shared" si="3"/>
        <v>40000000</v>
      </c>
      <c r="H60" s="777">
        <f>+G60</f>
        <v>40000000</v>
      </c>
      <c r="I60" s="81"/>
      <c r="J60" s="81"/>
      <c r="K60" s="81"/>
    </row>
    <row r="61" spans="1:18" s="31" customFormat="1" ht="39" customHeight="1">
      <c r="B61" s="803">
        <v>208400</v>
      </c>
      <c r="C61" s="815" t="s">
        <v>1278</v>
      </c>
      <c r="D61" s="801">
        <f>-2500000-3710000-3935000-1280000-493900-700000-120000-17165000+300000-15000-4000000-8000000-1000000-750000+50000-900000-100000-1500000-2153500-550000-2000000-2800000</f>
        <v>-53322400</v>
      </c>
      <c r="E61" s="801">
        <f>2500000+3710000+3935000+1280000+493900+700000+120000+17165000-300000+15000+4000000+8000000+1000000+750000-50000+900000+100000+1500000+2153500+550000+2000000+2800000</f>
        <v>53322400</v>
      </c>
      <c r="F61" s="801">
        <f>+E61</f>
        <v>53322400</v>
      </c>
      <c r="G61" s="814">
        <f t="shared" si="3"/>
        <v>0</v>
      </c>
      <c r="H61" s="777">
        <v>1</v>
      </c>
      <c r="I61" s="81"/>
      <c r="J61" s="81"/>
      <c r="K61" s="81"/>
    </row>
    <row r="62" spans="1:18" s="31" customFormat="1" hidden="1">
      <c r="B62" s="778">
        <v>209000</v>
      </c>
      <c r="C62" s="779" t="s">
        <v>1279</v>
      </c>
      <c r="D62" s="809">
        <f>D63-D64</f>
        <v>0</v>
      </c>
      <c r="E62" s="809">
        <f>E63-E64</f>
        <v>0</v>
      </c>
      <c r="F62" s="809">
        <f>F63-F64</f>
        <v>0</v>
      </c>
      <c r="G62" s="780">
        <f t="shared" si="3"/>
        <v>0</v>
      </c>
      <c r="H62" s="777">
        <f t="shared" ref="H62:H86" si="4">+G62</f>
        <v>0</v>
      </c>
      <c r="I62" s="81"/>
      <c r="J62" s="81"/>
      <c r="K62" s="81"/>
    </row>
    <row r="63" spans="1:18" s="31" customFormat="1" hidden="1">
      <c r="B63" s="784">
        <v>209100</v>
      </c>
      <c r="C63" s="782" t="s">
        <v>1099</v>
      </c>
      <c r="D63" s="787"/>
      <c r="E63" s="787"/>
      <c r="F63" s="787"/>
      <c r="G63" s="783">
        <f t="shared" si="3"/>
        <v>0</v>
      </c>
      <c r="H63" s="777">
        <f t="shared" si="4"/>
        <v>0</v>
      </c>
      <c r="I63" s="81"/>
      <c r="J63" s="81"/>
      <c r="K63" s="81"/>
    </row>
    <row r="64" spans="1:18" s="9" customFormat="1" hidden="1">
      <c r="B64" s="784">
        <v>209200</v>
      </c>
      <c r="C64" s="782" t="s">
        <v>1100</v>
      </c>
      <c r="D64" s="787"/>
      <c r="E64" s="787"/>
      <c r="F64" s="787"/>
      <c r="G64" s="783">
        <f t="shared" si="3"/>
        <v>0</v>
      </c>
      <c r="H64" s="777">
        <f t="shared" si="4"/>
        <v>0</v>
      </c>
      <c r="I64" s="2"/>
      <c r="J64" s="2"/>
    </row>
    <row r="65" spans="2:11" s="9" customFormat="1" hidden="1">
      <c r="B65" s="781">
        <v>300000</v>
      </c>
      <c r="C65" s="816" t="s">
        <v>1280</v>
      </c>
      <c r="D65" s="787">
        <f>D66+D69+D72+D75+D78+D81+D84</f>
        <v>0</v>
      </c>
      <c r="E65" s="787">
        <f>E66+E69+E72+E75+E78+E81+E84</f>
        <v>0</v>
      </c>
      <c r="F65" s="787">
        <f>F66+F69+F72+F75+F78+F81+F84</f>
        <v>0</v>
      </c>
      <c r="G65" s="783">
        <f t="shared" si="3"/>
        <v>0</v>
      </c>
      <c r="H65" s="777">
        <f t="shared" si="4"/>
        <v>0</v>
      </c>
      <c r="I65" s="2"/>
      <c r="J65" s="2"/>
    </row>
    <row r="66" spans="2:11" s="9" customFormat="1" hidden="1">
      <c r="B66" s="781">
        <v>301000</v>
      </c>
      <c r="C66" s="786" t="s">
        <v>1281</v>
      </c>
      <c r="D66" s="787">
        <f>D67-D68</f>
        <v>0</v>
      </c>
      <c r="E66" s="787">
        <f>E67-E68</f>
        <v>0</v>
      </c>
      <c r="F66" s="787">
        <f>F67-F68</f>
        <v>0</v>
      </c>
      <c r="G66" s="783">
        <f t="shared" si="3"/>
        <v>0</v>
      </c>
      <c r="H66" s="777">
        <f t="shared" si="4"/>
        <v>0</v>
      </c>
      <c r="I66" s="2"/>
      <c r="J66" s="2"/>
    </row>
    <row r="67" spans="2:11" s="9" customFormat="1" hidden="1">
      <c r="B67" s="784">
        <v>301100</v>
      </c>
      <c r="C67" s="782" t="s">
        <v>955</v>
      </c>
      <c r="D67" s="787"/>
      <c r="E67" s="787"/>
      <c r="F67" s="787"/>
      <c r="G67" s="783">
        <f t="shared" si="3"/>
        <v>0</v>
      </c>
      <c r="H67" s="777">
        <f t="shared" si="4"/>
        <v>0</v>
      </c>
      <c r="I67" s="2"/>
      <c r="J67" s="2"/>
    </row>
    <row r="68" spans="2:11" s="9" customFormat="1" hidden="1">
      <c r="B68" s="784">
        <v>301200</v>
      </c>
      <c r="C68" s="782" t="s">
        <v>956</v>
      </c>
      <c r="D68" s="787"/>
      <c r="E68" s="787"/>
      <c r="F68" s="787"/>
      <c r="G68" s="783">
        <f t="shared" si="3"/>
        <v>0</v>
      </c>
      <c r="H68" s="777">
        <f t="shared" si="4"/>
        <v>0</v>
      </c>
      <c r="I68" s="2"/>
      <c r="J68" s="2"/>
    </row>
    <row r="69" spans="2:11" s="9" customFormat="1" hidden="1">
      <c r="B69" s="781">
        <v>302000</v>
      </c>
      <c r="C69" s="786" t="s">
        <v>1282</v>
      </c>
      <c r="D69" s="787">
        <f>D70-D71</f>
        <v>0</v>
      </c>
      <c r="E69" s="787">
        <f>E70-E71</f>
        <v>0</v>
      </c>
      <c r="F69" s="787">
        <f>F70-F71</f>
        <v>0</v>
      </c>
      <c r="G69" s="783">
        <f t="shared" si="3"/>
        <v>0</v>
      </c>
      <c r="H69" s="777">
        <f t="shared" si="4"/>
        <v>0</v>
      </c>
      <c r="I69" s="2"/>
      <c r="J69" s="2"/>
    </row>
    <row r="70" spans="2:11" s="9" customFormat="1" hidden="1">
      <c r="B70" s="784">
        <v>302100</v>
      </c>
      <c r="C70" s="782" t="s">
        <v>955</v>
      </c>
      <c r="D70" s="787"/>
      <c r="E70" s="787"/>
      <c r="F70" s="787"/>
      <c r="G70" s="783">
        <f t="shared" si="3"/>
        <v>0</v>
      </c>
      <c r="H70" s="777">
        <f t="shared" si="4"/>
        <v>0</v>
      </c>
      <c r="I70" s="2"/>
      <c r="J70" s="2"/>
    </row>
    <row r="71" spans="2:11" s="9" customFormat="1" hidden="1">
      <c r="B71" s="784">
        <v>302200</v>
      </c>
      <c r="C71" s="782" t="s">
        <v>956</v>
      </c>
      <c r="D71" s="787"/>
      <c r="E71" s="787"/>
      <c r="F71" s="787"/>
      <c r="G71" s="783">
        <f t="shared" si="3"/>
        <v>0</v>
      </c>
      <c r="H71" s="777">
        <f t="shared" si="4"/>
        <v>0</v>
      </c>
      <c r="I71" s="2"/>
      <c r="J71" s="2"/>
    </row>
    <row r="72" spans="2:11" s="9" customFormat="1" hidden="1">
      <c r="B72" s="781">
        <v>303000</v>
      </c>
      <c r="C72" s="786" t="s">
        <v>1283</v>
      </c>
      <c r="D72" s="787">
        <f>D73-D74</f>
        <v>0</v>
      </c>
      <c r="E72" s="787">
        <f>E73-E74</f>
        <v>0</v>
      </c>
      <c r="F72" s="787">
        <f>F73-F74</f>
        <v>0</v>
      </c>
      <c r="G72" s="783">
        <f t="shared" si="3"/>
        <v>0</v>
      </c>
      <c r="H72" s="777">
        <f t="shared" si="4"/>
        <v>0</v>
      </c>
      <c r="I72" s="2"/>
      <c r="J72" s="2"/>
    </row>
    <row r="73" spans="2:11" s="9" customFormat="1" hidden="1">
      <c r="B73" s="784">
        <v>303100</v>
      </c>
      <c r="C73" s="782" t="s">
        <v>955</v>
      </c>
      <c r="D73" s="787"/>
      <c r="E73" s="787"/>
      <c r="F73" s="787"/>
      <c r="G73" s="783">
        <f t="shared" si="3"/>
        <v>0</v>
      </c>
      <c r="H73" s="777">
        <f t="shared" si="4"/>
        <v>0</v>
      </c>
      <c r="I73" s="2"/>
      <c r="J73" s="2"/>
    </row>
    <row r="74" spans="2:11" s="9" customFormat="1" hidden="1">
      <c r="B74" s="784">
        <v>303200</v>
      </c>
      <c r="C74" s="782" t="s">
        <v>956</v>
      </c>
      <c r="D74" s="787"/>
      <c r="E74" s="787"/>
      <c r="F74" s="787"/>
      <c r="G74" s="783">
        <f t="shared" si="3"/>
        <v>0</v>
      </c>
      <c r="H74" s="777">
        <f t="shared" si="4"/>
        <v>0</v>
      </c>
      <c r="I74" s="2"/>
      <c r="J74" s="2"/>
    </row>
    <row r="75" spans="2:11" s="9" customFormat="1" hidden="1">
      <c r="B75" s="781">
        <v>304000</v>
      </c>
      <c r="C75" s="786" t="s">
        <v>1284</v>
      </c>
      <c r="D75" s="787">
        <f>D76-D77</f>
        <v>0</v>
      </c>
      <c r="E75" s="787">
        <f>E76-E77</f>
        <v>0</v>
      </c>
      <c r="F75" s="787">
        <f>F76-F77</f>
        <v>0</v>
      </c>
      <c r="G75" s="783">
        <f t="shared" si="3"/>
        <v>0</v>
      </c>
      <c r="H75" s="777">
        <f t="shared" si="4"/>
        <v>0</v>
      </c>
      <c r="I75" s="2"/>
      <c r="J75" s="2"/>
    </row>
    <row r="76" spans="2:11" s="31" customFormat="1" hidden="1">
      <c r="B76" s="784">
        <v>304100</v>
      </c>
      <c r="C76" s="782" t="s">
        <v>955</v>
      </c>
      <c r="D76" s="787"/>
      <c r="E76" s="787"/>
      <c r="F76" s="787"/>
      <c r="G76" s="783">
        <f t="shared" si="3"/>
        <v>0</v>
      </c>
      <c r="H76" s="777">
        <f t="shared" si="4"/>
        <v>0</v>
      </c>
      <c r="I76" s="81"/>
      <c r="J76" s="81"/>
      <c r="K76" s="81"/>
    </row>
    <row r="77" spans="2:11" s="31" customFormat="1" hidden="1">
      <c r="B77" s="784">
        <v>304200</v>
      </c>
      <c r="C77" s="782" t="s">
        <v>956</v>
      </c>
      <c r="D77" s="787"/>
      <c r="E77" s="787"/>
      <c r="F77" s="787"/>
      <c r="G77" s="783">
        <f t="shared" si="3"/>
        <v>0</v>
      </c>
      <c r="H77" s="777">
        <f t="shared" si="4"/>
        <v>0</v>
      </c>
      <c r="I77" s="81"/>
      <c r="J77" s="81"/>
      <c r="K77" s="81"/>
    </row>
    <row r="78" spans="2:11" s="31" customFormat="1" hidden="1">
      <c r="B78" s="781">
        <v>305000</v>
      </c>
      <c r="C78" s="786" t="s">
        <v>593</v>
      </c>
      <c r="D78" s="787">
        <f>D79-D80</f>
        <v>0</v>
      </c>
      <c r="E78" s="787">
        <f>E79-E80</f>
        <v>0</v>
      </c>
      <c r="F78" s="787">
        <f>F79-F80</f>
        <v>0</v>
      </c>
      <c r="G78" s="783">
        <f t="shared" si="3"/>
        <v>0</v>
      </c>
      <c r="H78" s="777">
        <f t="shared" si="4"/>
        <v>0</v>
      </c>
      <c r="I78" s="81"/>
      <c r="J78" s="81"/>
      <c r="K78" s="81"/>
    </row>
    <row r="79" spans="2:11" s="9" customFormat="1" hidden="1">
      <c r="B79" s="784">
        <v>305100</v>
      </c>
      <c r="C79" s="782" t="s">
        <v>955</v>
      </c>
      <c r="D79" s="787"/>
      <c r="E79" s="787"/>
      <c r="F79" s="787"/>
      <c r="G79" s="783">
        <f t="shared" si="3"/>
        <v>0</v>
      </c>
      <c r="H79" s="777">
        <f t="shared" si="4"/>
        <v>0</v>
      </c>
      <c r="I79" s="2"/>
      <c r="J79" s="2"/>
    </row>
    <row r="80" spans="2:11" s="9" customFormat="1" hidden="1">
      <c r="B80" s="784">
        <v>305200</v>
      </c>
      <c r="C80" s="782" t="s">
        <v>956</v>
      </c>
      <c r="D80" s="787"/>
      <c r="E80" s="787"/>
      <c r="F80" s="787"/>
      <c r="G80" s="783">
        <f t="shared" si="3"/>
        <v>0</v>
      </c>
      <c r="H80" s="777">
        <f t="shared" si="4"/>
        <v>0</v>
      </c>
      <c r="I80" s="2"/>
      <c r="J80" s="2"/>
    </row>
    <row r="81" spans="2:10" s="9" customFormat="1" ht="24" hidden="1">
      <c r="B81" s="781">
        <v>306000</v>
      </c>
      <c r="C81" s="786" t="s">
        <v>594</v>
      </c>
      <c r="D81" s="787">
        <f>D82-D83</f>
        <v>0</v>
      </c>
      <c r="E81" s="787">
        <f>E82-E83</f>
        <v>0</v>
      </c>
      <c r="F81" s="787">
        <f>F82-F83</f>
        <v>0</v>
      </c>
      <c r="G81" s="783">
        <f t="shared" si="3"/>
        <v>0</v>
      </c>
      <c r="H81" s="777">
        <f t="shared" si="4"/>
        <v>0</v>
      </c>
      <c r="I81" s="2"/>
      <c r="J81" s="2"/>
    </row>
    <row r="82" spans="2:10" s="9" customFormat="1" hidden="1">
      <c r="B82" s="784">
        <v>306100</v>
      </c>
      <c r="C82" s="782" t="s">
        <v>595</v>
      </c>
      <c r="D82" s="787"/>
      <c r="E82" s="787"/>
      <c r="F82" s="787"/>
      <c r="G82" s="783">
        <f t="shared" si="3"/>
        <v>0</v>
      </c>
      <c r="H82" s="777">
        <f t="shared" si="4"/>
        <v>0</v>
      </c>
      <c r="I82" s="2"/>
      <c r="J82" s="2"/>
    </row>
    <row r="83" spans="2:10" s="9" customFormat="1" hidden="1">
      <c r="B83" s="784">
        <v>306200</v>
      </c>
      <c r="C83" s="782" t="s">
        <v>1271</v>
      </c>
      <c r="D83" s="787"/>
      <c r="E83" s="787"/>
      <c r="F83" s="787"/>
      <c r="G83" s="783">
        <f t="shared" si="3"/>
        <v>0</v>
      </c>
      <c r="H83" s="777">
        <f t="shared" si="4"/>
        <v>0</v>
      </c>
      <c r="I83" s="2"/>
      <c r="J83" s="2"/>
    </row>
    <row r="84" spans="2:10" s="9" customFormat="1" hidden="1">
      <c r="B84" s="781">
        <v>307000</v>
      </c>
      <c r="C84" s="786" t="s">
        <v>1273</v>
      </c>
      <c r="D84" s="787">
        <f>D85-D86</f>
        <v>0</v>
      </c>
      <c r="E84" s="787">
        <f>E85-E86</f>
        <v>0</v>
      </c>
      <c r="F84" s="787">
        <f>F85-F86</f>
        <v>0</v>
      </c>
      <c r="G84" s="783">
        <f t="shared" si="3"/>
        <v>0</v>
      </c>
      <c r="H84" s="777">
        <f t="shared" si="4"/>
        <v>0</v>
      </c>
      <c r="I84" s="2"/>
      <c r="J84" s="2"/>
    </row>
    <row r="85" spans="2:10" s="9" customFormat="1" hidden="1">
      <c r="B85" s="784">
        <v>307100</v>
      </c>
      <c r="C85" s="782" t="s">
        <v>596</v>
      </c>
      <c r="D85" s="787"/>
      <c r="E85" s="787"/>
      <c r="F85" s="787"/>
      <c r="G85" s="783">
        <f t="shared" si="3"/>
        <v>0</v>
      </c>
      <c r="H85" s="777">
        <f t="shared" si="4"/>
        <v>0</v>
      </c>
      <c r="I85" s="2"/>
      <c r="J85" s="2"/>
    </row>
    <row r="86" spans="2:10" s="9" customFormat="1" hidden="1">
      <c r="B86" s="795">
        <v>307200</v>
      </c>
      <c r="C86" s="811" t="s">
        <v>597</v>
      </c>
      <c r="D86" s="797"/>
      <c r="E86" s="797"/>
      <c r="F86" s="797"/>
      <c r="G86" s="798">
        <f t="shared" si="3"/>
        <v>0</v>
      </c>
      <c r="H86" s="777">
        <f t="shared" si="4"/>
        <v>0</v>
      </c>
      <c r="I86" s="2"/>
      <c r="J86" s="2"/>
    </row>
    <row r="87" spans="2:10" s="9" customFormat="1" ht="31.5">
      <c r="B87" s="803"/>
      <c r="C87" s="812" t="s">
        <v>598</v>
      </c>
      <c r="D87" s="813">
        <f>D16+D65</f>
        <v>-53322400</v>
      </c>
      <c r="E87" s="813">
        <f>E16+E65</f>
        <v>53322400</v>
      </c>
      <c r="F87" s="813">
        <f>F16+F65</f>
        <v>53322400</v>
      </c>
      <c r="G87" s="814">
        <f t="shared" si="3"/>
        <v>0</v>
      </c>
      <c r="H87" s="777">
        <v>1</v>
      </c>
      <c r="I87" s="2"/>
      <c r="J87" s="2"/>
    </row>
    <row r="88" spans="2:10" s="9" customFormat="1" hidden="1">
      <c r="B88" s="817"/>
      <c r="C88" s="818" t="s">
        <v>599</v>
      </c>
      <c r="D88" s="819"/>
      <c r="E88" s="819"/>
      <c r="F88" s="819"/>
      <c r="G88" s="820"/>
      <c r="H88" s="777">
        <f t="shared" ref="H88:H111" si="5">+G88</f>
        <v>0</v>
      </c>
      <c r="I88" s="2"/>
      <c r="J88" s="2"/>
    </row>
    <row r="89" spans="2:10" s="9" customFormat="1" hidden="1">
      <c r="B89" s="821">
        <v>400000</v>
      </c>
      <c r="C89" s="821" t="s">
        <v>600</v>
      </c>
      <c r="D89" s="787">
        <f>D90-D101</f>
        <v>0</v>
      </c>
      <c r="E89" s="787">
        <f>E90-E101</f>
        <v>0</v>
      </c>
      <c r="F89" s="787">
        <f>F90-F101</f>
        <v>0</v>
      </c>
      <c r="G89" s="783">
        <f t="shared" ref="G89:G115" si="6">+D89+E89</f>
        <v>0</v>
      </c>
      <c r="H89" s="777">
        <f t="shared" si="5"/>
        <v>0</v>
      </c>
      <c r="I89" s="2"/>
      <c r="J89" s="2"/>
    </row>
    <row r="90" spans="2:10" s="9" customFormat="1" hidden="1">
      <c r="B90" s="781">
        <v>401000</v>
      </c>
      <c r="C90" s="786" t="s">
        <v>601</v>
      </c>
      <c r="D90" s="787">
        <f>D91+D96</f>
        <v>0</v>
      </c>
      <c r="E90" s="787">
        <f>E91+E96</f>
        <v>0</v>
      </c>
      <c r="F90" s="787">
        <f>F91+F96</f>
        <v>0</v>
      </c>
      <c r="G90" s="783">
        <f t="shared" si="6"/>
        <v>0</v>
      </c>
      <c r="H90" s="777">
        <f t="shared" si="5"/>
        <v>0</v>
      </c>
      <c r="I90" s="2"/>
      <c r="J90" s="2"/>
    </row>
    <row r="91" spans="2:10" s="9" customFormat="1" hidden="1">
      <c r="B91" s="781">
        <v>401100</v>
      </c>
      <c r="C91" s="786" t="s">
        <v>602</v>
      </c>
      <c r="D91" s="787">
        <f>SUM(D92:D95)</f>
        <v>0</v>
      </c>
      <c r="E91" s="787">
        <f>SUM(E92:E95)</f>
        <v>0</v>
      </c>
      <c r="F91" s="787">
        <f>SUM(F92:F95)</f>
        <v>0</v>
      </c>
      <c r="G91" s="783">
        <f t="shared" si="6"/>
        <v>0</v>
      </c>
      <c r="H91" s="777">
        <f t="shared" si="5"/>
        <v>0</v>
      </c>
      <c r="I91" s="2"/>
      <c r="J91" s="2"/>
    </row>
    <row r="92" spans="2:10" s="9" customFormat="1" hidden="1">
      <c r="B92" s="784">
        <v>401101</v>
      </c>
      <c r="C92" s="782" t="s">
        <v>603</v>
      </c>
      <c r="D92" s="787"/>
      <c r="E92" s="787"/>
      <c r="F92" s="787"/>
      <c r="G92" s="783">
        <f t="shared" si="6"/>
        <v>0</v>
      </c>
      <c r="H92" s="777">
        <f t="shared" si="5"/>
        <v>0</v>
      </c>
      <c r="I92" s="2"/>
      <c r="J92" s="2"/>
    </row>
    <row r="93" spans="2:10" s="9" customFormat="1" hidden="1">
      <c r="B93" s="784">
        <v>401102</v>
      </c>
      <c r="C93" s="782" t="s">
        <v>604</v>
      </c>
      <c r="D93" s="787"/>
      <c r="E93" s="787"/>
      <c r="F93" s="787"/>
      <c r="G93" s="783">
        <f t="shared" si="6"/>
        <v>0</v>
      </c>
      <c r="H93" s="777">
        <f t="shared" si="5"/>
        <v>0</v>
      </c>
      <c r="I93" s="2"/>
      <c r="J93" s="2"/>
    </row>
    <row r="94" spans="2:10" s="9" customFormat="1" hidden="1">
      <c r="B94" s="784">
        <v>401103</v>
      </c>
      <c r="C94" s="782" t="s">
        <v>605</v>
      </c>
      <c r="D94" s="787"/>
      <c r="E94" s="787"/>
      <c r="F94" s="787"/>
      <c r="G94" s="783">
        <f t="shared" si="6"/>
        <v>0</v>
      </c>
      <c r="H94" s="777">
        <f t="shared" si="5"/>
        <v>0</v>
      </c>
      <c r="I94" s="2"/>
      <c r="J94" s="2"/>
    </row>
    <row r="95" spans="2:10" s="9" customFormat="1" hidden="1">
      <c r="B95" s="784">
        <v>401104</v>
      </c>
      <c r="C95" s="782" t="s">
        <v>606</v>
      </c>
      <c r="D95" s="787"/>
      <c r="E95" s="787"/>
      <c r="F95" s="787"/>
      <c r="G95" s="783">
        <f t="shared" si="6"/>
        <v>0</v>
      </c>
      <c r="H95" s="777">
        <f t="shared" si="5"/>
        <v>0</v>
      </c>
      <c r="I95" s="2"/>
      <c r="J95" s="2"/>
    </row>
    <row r="96" spans="2:10" s="9" customFormat="1" hidden="1">
      <c r="B96" s="781">
        <v>401200</v>
      </c>
      <c r="C96" s="786" t="s">
        <v>607</v>
      </c>
      <c r="D96" s="787">
        <f>SUM(D97:D100)</f>
        <v>0</v>
      </c>
      <c r="E96" s="787">
        <f>SUM(E97:E100)</f>
        <v>0</v>
      </c>
      <c r="F96" s="787">
        <f>SUM(F97:F100)</f>
        <v>0</v>
      </c>
      <c r="G96" s="783">
        <f t="shared" si="6"/>
        <v>0</v>
      </c>
      <c r="H96" s="777">
        <f t="shared" si="5"/>
        <v>0</v>
      </c>
      <c r="I96" s="2"/>
      <c r="J96" s="2"/>
    </row>
    <row r="97" spans="2:11" s="9" customFormat="1" hidden="1">
      <c r="B97" s="784">
        <v>401201</v>
      </c>
      <c r="C97" s="782" t="s">
        <v>603</v>
      </c>
      <c r="D97" s="787"/>
      <c r="E97" s="787"/>
      <c r="F97" s="787"/>
      <c r="G97" s="783">
        <f t="shared" si="6"/>
        <v>0</v>
      </c>
      <c r="H97" s="777">
        <f t="shared" si="5"/>
        <v>0</v>
      </c>
      <c r="I97" s="2"/>
      <c r="J97" s="2"/>
    </row>
    <row r="98" spans="2:11" s="31" customFormat="1" hidden="1">
      <c r="B98" s="784">
        <v>401202</v>
      </c>
      <c r="C98" s="782" t="s">
        <v>604</v>
      </c>
      <c r="D98" s="787"/>
      <c r="E98" s="787"/>
      <c r="F98" s="787"/>
      <c r="G98" s="783">
        <f t="shared" si="6"/>
        <v>0</v>
      </c>
      <c r="H98" s="777">
        <f t="shared" si="5"/>
        <v>0</v>
      </c>
      <c r="I98" s="81"/>
      <c r="J98" s="81"/>
      <c r="K98" s="81"/>
    </row>
    <row r="99" spans="2:11" s="31" customFormat="1" ht="20.45" hidden="1" customHeight="1">
      <c r="B99" s="784">
        <v>401203</v>
      </c>
      <c r="C99" s="782" t="s">
        <v>605</v>
      </c>
      <c r="D99" s="787"/>
      <c r="E99" s="787"/>
      <c r="F99" s="787"/>
      <c r="G99" s="783">
        <f t="shared" si="6"/>
        <v>0</v>
      </c>
      <c r="H99" s="777">
        <f t="shared" si="5"/>
        <v>0</v>
      </c>
      <c r="I99" s="81"/>
      <c r="J99" s="81"/>
      <c r="K99" s="81"/>
    </row>
    <row r="100" spans="2:11" s="822" customFormat="1" ht="28.9" hidden="1" customHeight="1">
      <c r="B100" s="784">
        <v>401204</v>
      </c>
      <c r="C100" s="782" t="s">
        <v>606</v>
      </c>
      <c r="D100" s="787"/>
      <c r="E100" s="787"/>
      <c r="F100" s="787"/>
      <c r="G100" s="783">
        <f t="shared" si="6"/>
        <v>0</v>
      </c>
      <c r="H100" s="777">
        <f t="shared" si="5"/>
        <v>0</v>
      </c>
      <c r="I100" s="81"/>
      <c r="J100" s="81"/>
      <c r="K100" s="81"/>
    </row>
    <row r="101" spans="2:11" s="824" customFormat="1" ht="36" hidden="1" customHeight="1">
      <c r="B101" s="781">
        <v>402000</v>
      </c>
      <c r="C101" s="786" t="s">
        <v>608</v>
      </c>
      <c r="D101" s="787">
        <f>D102+D107</f>
        <v>0</v>
      </c>
      <c r="E101" s="787">
        <f>E102+E107</f>
        <v>0</v>
      </c>
      <c r="F101" s="787">
        <f>F102+F107</f>
        <v>0</v>
      </c>
      <c r="G101" s="783">
        <f t="shared" si="6"/>
        <v>0</v>
      </c>
      <c r="H101" s="777">
        <f t="shared" si="5"/>
        <v>0</v>
      </c>
      <c r="I101" s="823"/>
      <c r="J101" s="823"/>
      <c r="K101" s="823"/>
    </row>
    <row r="102" spans="2:11" s="822" customFormat="1" hidden="1">
      <c r="B102" s="781">
        <v>402100</v>
      </c>
      <c r="C102" s="786" t="s">
        <v>609</v>
      </c>
      <c r="D102" s="787">
        <f>SUM(D103:D106)</f>
        <v>0</v>
      </c>
      <c r="E102" s="787">
        <f>SUM(E103:E106)</f>
        <v>0</v>
      </c>
      <c r="F102" s="787">
        <f>SUM(F103:F106)</f>
        <v>0</v>
      </c>
      <c r="G102" s="783">
        <f t="shared" si="6"/>
        <v>0</v>
      </c>
      <c r="H102" s="777">
        <f t="shared" si="5"/>
        <v>0</v>
      </c>
    </row>
    <row r="103" spans="2:11" s="31" customFormat="1" hidden="1">
      <c r="B103" s="784">
        <v>402101</v>
      </c>
      <c r="C103" s="782" t="s">
        <v>603</v>
      </c>
      <c r="D103" s="787"/>
      <c r="E103" s="787"/>
      <c r="F103" s="787"/>
      <c r="G103" s="783">
        <f t="shared" si="6"/>
        <v>0</v>
      </c>
      <c r="H103" s="777">
        <f t="shared" si="5"/>
        <v>0</v>
      </c>
      <c r="I103" s="81"/>
      <c r="J103" s="81"/>
      <c r="K103" s="81"/>
    </row>
    <row r="104" spans="2:11" s="31" customFormat="1" hidden="1">
      <c r="B104" s="784">
        <v>402102</v>
      </c>
      <c r="C104" s="782" t="s">
        <v>604</v>
      </c>
      <c r="D104" s="787"/>
      <c r="E104" s="787"/>
      <c r="F104" s="787"/>
      <c r="G104" s="783">
        <f t="shared" si="6"/>
        <v>0</v>
      </c>
      <c r="H104" s="777">
        <f t="shared" si="5"/>
        <v>0</v>
      </c>
      <c r="I104" s="81"/>
      <c r="J104" s="81"/>
      <c r="K104" s="81"/>
    </row>
    <row r="105" spans="2:11" s="31" customFormat="1" hidden="1">
      <c r="B105" s="784">
        <v>402103</v>
      </c>
      <c r="C105" s="782" t="s">
        <v>605</v>
      </c>
      <c r="D105" s="787"/>
      <c r="E105" s="787"/>
      <c r="F105" s="787"/>
      <c r="G105" s="783">
        <f t="shared" si="6"/>
        <v>0</v>
      </c>
      <c r="H105" s="777">
        <f t="shared" si="5"/>
        <v>0</v>
      </c>
      <c r="I105" s="81"/>
      <c r="J105" s="81"/>
      <c r="K105" s="81"/>
    </row>
    <row r="106" spans="2:11" s="31" customFormat="1" hidden="1">
      <c r="B106" s="784">
        <v>402104</v>
      </c>
      <c r="C106" s="782" t="s">
        <v>606</v>
      </c>
      <c r="D106" s="787"/>
      <c r="E106" s="787"/>
      <c r="F106" s="787"/>
      <c r="G106" s="783">
        <f t="shared" si="6"/>
        <v>0</v>
      </c>
      <c r="H106" s="777">
        <f t="shared" si="5"/>
        <v>0</v>
      </c>
      <c r="I106" s="81"/>
      <c r="J106" s="81"/>
      <c r="K106" s="81"/>
    </row>
    <row r="107" spans="2:11" s="31" customFormat="1" hidden="1">
      <c r="B107" s="781">
        <v>402200</v>
      </c>
      <c r="C107" s="786" t="s">
        <v>610</v>
      </c>
      <c r="D107" s="787">
        <f>SUM(D108:D111)</f>
        <v>0</v>
      </c>
      <c r="E107" s="787">
        <f>SUM(E108:E111)</f>
        <v>0</v>
      </c>
      <c r="F107" s="787">
        <f>SUM(F108:F111)</f>
        <v>0</v>
      </c>
      <c r="G107" s="783">
        <f t="shared" si="6"/>
        <v>0</v>
      </c>
      <c r="H107" s="777">
        <f t="shared" si="5"/>
        <v>0</v>
      </c>
      <c r="I107" s="81"/>
      <c r="J107" s="81"/>
      <c r="K107" s="81"/>
    </row>
    <row r="108" spans="2:11" s="31" customFormat="1" hidden="1">
      <c r="B108" s="784">
        <v>402201</v>
      </c>
      <c r="C108" s="782" t="s">
        <v>603</v>
      </c>
      <c r="D108" s="787"/>
      <c r="E108" s="787"/>
      <c r="F108" s="787"/>
      <c r="G108" s="783">
        <f t="shared" si="6"/>
        <v>0</v>
      </c>
      <c r="H108" s="777">
        <f t="shared" si="5"/>
        <v>0</v>
      </c>
      <c r="I108" s="81"/>
      <c r="J108" s="81"/>
      <c r="K108" s="81"/>
    </row>
    <row r="109" spans="2:11" s="31" customFormat="1" hidden="1">
      <c r="B109" s="784">
        <v>402202</v>
      </c>
      <c r="C109" s="782" t="s">
        <v>604</v>
      </c>
      <c r="D109" s="787"/>
      <c r="E109" s="787"/>
      <c r="F109" s="787"/>
      <c r="G109" s="783">
        <f t="shared" si="6"/>
        <v>0</v>
      </c>
      <c r="H109" s="777">
        <f t="shared" si="5"/>
        <v>0</v>
      </c>
      <c r="I109" s="81"/>
      <c r="J109" s="81"/>
      <c r="K109" s="81"/>
    </row>
    <row r="110" spans="2:11" s="31" customFormat="1" hidden="1">
      <c r="B110" s="784">
        <v>402203</v>
      </c>
      <c r="C110" s="782" t="s">
        <v>605</v>
      </c>
      <c r="D110" s="787"/>
      <c r="E110" s="787"/>
      <c r="F110" s="787"/>
      <c r="G110" s="783">
        <f t="shared" si="6"/>
        <v>0</v>
      </c>
      <c r="H110" s="777">
        <f t="shared" si="5"/>
        <v>0</v>
      </c>
      <c r="I110" s="81"/>
      <c r="J110" s="81"/>
      <c r="K110" s="81"/>
    </row>
    <row r="111" spans="2:11" s="31" customFormat="1" hidden="1">
      <c r="B111" s="795">
        <v>402204</v>
      </c>
      <c r="C111" s="811" t="s">
        <v>606</v>
      </c>
      <c r="D111" s="797"/>
      <c r="E111" s="797"/>
      <c r="F111" s="797"/>
      <c r="G111" s="798">
        <f t="shared" si="6"/>
        <v>0</v>
      </c>
      <c r="H111" s="777">
        <f t="shared" si="5"/>
        <v>0</v>
      </c>
      <c r="I111" s="81"/>
      <c r="J111" s="81"/>
      <c r="K111" s="81"/>
    </row>
    <row r="112" spans="2:11" s="31" customFormat="1" ht="15.75">
      <c r="B112" s="825">
        <v>600000</v>
      </c>
      <c r="C112" s="826" t="s">
        <v>611</v>
      </c>
      <c r="D112" s="813">
        <f>D113+D116+D121+D122</f>
        <v>-53322400</v>
      </c>
      <c r="E112" s="813">
        <f>E113+E116+E121+E122</f>
        <v>53322400</v>
      </c>
      <c r="F112" s="813">
        <f>F113+F116+F121+F122</f>
        <v>53322400</v>
      </c>
      <c r="G112" s="814">
        <f t="shared" si="6"/>
        <v>0</v>
      </c>
      <c r="H112" s="777">
        <v>1</v>
      </c>
      <c r="I112" s="81"/>
      <c r="J112" s="81"/>
      <c r="K112" s="81"/>
    </row>
    <row r="113" spans="2:11" s="31" customFormat="1" ht="24" hidden="1">
      <c r="B113" s="827">
        <v>601000</v>
      </c>
      <c r="C113" s="828" t="s">
        <v>1269</v>
      </c>
      <c r="D113" s="829">
        <f>D114-D115</f>
        <v>0</v>
      </c>
      <c r="E113" s="829">
        <f>E114-E115</f>
        <v>0</v>
      </c>
      <c r="F113" s="829">
        <f>F114-F115</f>
        <v>0</v>
      </c>
      <c r="G113" s="830">
        <f t="shared" si="6"/>
        <v>0</v>
      </c>
      <c r="H113" s="777">
        <f>+G113</f>
        <v>0</v>
      </c>
      <c r="I113" s="81"/>
      <c r="J113" s="81"/>
      <c r="K113" s="81"/>
    </row>
    <row r="114" spans="2:11" s="31" customFormat="1" ht="15.75" hidden="1">
      <c r="B114" s="803">
        <v>601100</v>
      </c>
      <c r="C114" s="804" t="s">
        <v>612</v>
      </c>
      <c r="D114" s="801">
        <f t="shared" ref="D114:F115" si="7">D52+D82</f>
        <v>0</v>
      </c>
      <c r="E114" s="801">
        <f t="shared" si="7"/>
        <v>0</v>
      </c>
      <c r="F114" s="801">
        <f t="shared" si="7"/>
        <v>0</v>
      </c>
      <c r="G114" s="802">
        <f t="shared" si="6"/>
        <v>0</v>
      </c>
      <c r="H114" s="777">
        <f>+G114</f>
        <v>0</v>
      </c>
      <c r="I114" s="81"/>
      <c r="J114" s="81"/>
      <c r="K114" s="81"/>
    </row>
    <row r="115" spans="2:11" s="31" customFormat="1" ht="15.75" hidden="1">
      <c r="B115" s="803">
        <v>601200</v>
      </c>
      <c r="C115" s="804" t="s">
        <v>1271</v>
      </c>
      <c r="D115" s="801">
        <f t="shared" si="7"/>
        <v>0</v>
      </c>
      <c r="E115" s="801">
        <f t="shared" si="7"/>
        <v>0</v>
      </c>
      <c r="F115" s="801">
        <f t="shared" si="7"/>
        <v>0</v>
      </c>
      <c r="G115" s="802">
        <f t="shared" si="6"/>
        <v>0</v>
      </c>
      <c r="H115" s="777">
        <f>+G115</f>
        <v>0</v>
      </c>
      <c r="I115" s="81"/>
      <c r="J115" s="81"/>
      <c r="K115" s="81"/>
    </row>
    <row r="116" spans="2:11" s="31" customFormat="1" ht="15.75">
      <c r="B116" s="831">
        <v>602000</v>
      </c>
      <c r="C116" s="800" t="s">
        <v>613</v>
      </c>
      <c r="D116" s="813">
        <f>(D117-D118+D119)+D120</f>
        <v>-53322400</v>
      </c>
      <c r="E116" s="813">
        <f>(E117-E118+E119)+E120</f>
        <v>53322400</v>
      </c>
      <c r="F116" s="813">
        <f>(F117-F118+F119)+F120</f>
        <v>53322400</v>
      </c>
      <c r="G116" s="813">
        <f>(G117-G118+G119)+G120</f>
        <v>0</v>
      </c>
      <c r="H116" s="777">
        <v>1</v>
      </c>
      <c r="I116" s="81"/>
      <c r="J116" s="81"/>
      <c r="K116" s="81"/>
    </row>
    <row r="117" spans="2:11" s="31" customFormat="1" ht="17.45" customHeight="1">
      <c r="B117" s="832">
        <v>602100</v>
      </c>
      <c r="C117" s="804" t="s">
        <v>1099</v>
      </c>
      <c r="D117" s="801">
        <f t="shared" ref="D117:F118" si="8">D48+D59</f>
        <v>40000000</v>
      </c>
      <c r="E117" s="801">
        <f t="shared" si="8"/>
        <v>0</v>
      </c>
      <c r="F117" s="801">
        <f t="shared" si="8"/>
        <v>0</v>
      </c>
      <c r="G117" s="814">
        <f t="shared" ref="G117:G125" si="9">+D117+E117</f>
        <v>40000000</v>
      </c>
      <c r="H117" s="777">
        <f>+G117</f>
        <v>40000000</v>
      </c>
      <c r="I117" s="81"/>
      <c r="J117" s="81"/>
      <c r="K117" s="81"/>
    </row>
    <row r="118" spans="2:11" s="31" customFormat="1" ht="17.45" customHeight="1">
      <c r="B118" s="832">
        <v>602200</v>
      </c>
      <c r="C118" s="804" t="s">
        <v>1100</v>
      </c>
      <c r="D118" s="801">
        <f t="shared" si="8"/>
        <v>40000000</v>
      </c>
      <c r="E118" s="801">
        <f t="shared" si="8"/>
        <v>0</v>
      </c>
      <c r="F118" s="801">
        <f t="shared" si="8"/>
        <v>0</v>
      </c>
      <c r="G118" s="814">
        <f t="shared" si="9"/>
        <v>40000000</v>
      </c>
      <c r="H118" s="777">
        <f>+G118</f>
        <v>40000000</v>
      </c>
      <c r="I118" s="81"/>
      <c r="J118" s="81"/>
      <c r="K118" s="81"/>
    </row>
    <row r="119" spans="2:11" s="31" customFormat="1" hidden="1">
      <c r="B119" s="833">
        <v>602300</v>
      </c>
      <c r="C119" s="834" t="s">
        <v>1101</v>
      </c>
      <c r="D119" s="829">
        <f>D50+D54</f>
        <v>0</v>
      </c>
      <c r="E119" s="829">
        <f>E50+E54</f>
        <v>0</v>
      </c>
      <c r="F119" s="829">
        <f>F50+F54</f>
        <v>0</v>
      </c>
      <c r="G119" s="830">
        <f t="shared" si="9"/>
        <v>0</v>
      </c>
      <c r="H119" s="777">
        <f>+G119</f>
        <v>0</v>
      </c>
      <c r="I119" s="81"/>
      <c r="J119" s="81"/>
      <c r="K119" s="81"/>
    </row>
    <row r="120" spans="2:11" s="31" customFormat="1" ht="31.5">
      <c r="B120" s="803">
        <v>602400</v>
      </c>
      <c r="C120" s="815" t="s">
        <v>1278</v>
      </c>
      <c r="D120" s="801">
        <f>+D61</f>
        <v>-53322400</v>
      </c>
      <c r="E120" s="801">
        <f>+E61</f>
        <v>53322400</v>
      </c>
      <c r="F120" s="801">
        <f>+F61</f>
        <v>53322400</v>
      </c>
      <c r="G120" s="802">
        <f t="shared" si="9"/>
        <v>0</v>
      </c>
      <c r="H120" s="777">
        <v>1</v>
      </c>
      <c r="I120" s="81"/>
      <c r="J120" s="81"/>
      <c r="K120" s="81"/>
    </row>
    <row r="121" spans="2:11" s="31" customFormat="1" hidden="1">
      <c r="B121" s="835">
        <v>603000</v>
      </c>
      <c r="C121" s="779" t="s">
        <v>1094</v>
      </c>
      <c r="D121" s="809">
        <f>D40</f>
        <v>0</v>
      </c>
      <c r="E121" s="809">
        <f>E40</f>
        <v>0</v>
      </c>
      <c r="F121" s="809">
        <f>F40</f>
        <v>0</v>
      </c>
      <c r="G121" s="780">
        <f t="shared" si="9"/>
        <v>0</v>
      </c>
      <c r="H121" s="777">
        <f>+G121</f>
        <v>0</v>
      </c>
      <c r="I121" s="81"/>
      <c r="J121" s="81"/>
      <c r="K121" s="81"/>
    </row>
    <row r="122" spans="2:11" s="31" customFormat="1" hidden="1">
      <c r="B122" s="836">
        <v>604000</v>
      </c>
      <c r="C122" s="837" t="s">
        <v>1279</v>
      </c>
      <c r="D122" s="787">
        <f>D123-D124</f>
        <v>0</v>
      </c>
      <c r="E122" s="787">
        <f>E123-E124</f>
        <v>0</v>
      </c>
      <c r="F122" s="787">
        <f>F123-F124</f>
        <v>0</v>
      </c>
      <c r="G122" s="783">
        <f t="shared" si="9"/>
        <v>0</v>
      </c>
      <c r="H122" s="777">
        <f>+G122</f>
        <v>0</v>
      </c>
      <c r="I122" s="81"/>
      <c r="J122" s="81"/>
      <c r="K122" s="81"/>
    </row>
    <row r="123" spans="2:11" s="31" customFormat="1" hidden="1">
      <c r="B123" s="838">
        <v>604100</v>
      </c>
      <c r="C123" s="782" t="s">
        <v>1099</v>
      </c>
      <c r="D123" s="787"/>
      <c r="E123" s="787"/>
      <c r="F123" s="787"/>
      <c r="G123" s="783">
        <f t="shared" si="9"/>
        <v>0</v>
      </c>
      <c r="H123" s="777">
        <f>+G123</f>
        <v>0</v>
      </c>
      <c r="I123" s="81"/>
      <c r="J123" s="81"/>
      <c r="K123" s="81"/>
    </row>
    <row r="124" spans="2:11" s="31" customFormat="1" hidden="1">
      <c r="B124" s="839">
        <v>604200</v>
      </c>
      <c r="C124" s="811" t="s">
        <v>1100</v>
      </c>
      <c r="D124" s="797"/>
      <c r="E124" s="797"/>
      <c r="F124" s="797"/>
      <c r="G124" s="798">
        <f t="shared" si="9"/>
        <v>0</v>
      </c>
      <c r="H124" s="777">
        <f>+G124</f>
        <v>0</v>
      </c>
      <c r="I124" s="81"/>
      <c r="J124" s="81"/>
      <c r="K124" s="81"/>
    </row>
    <row r="125" spans="2:11" s="31" customFormat="1" ht="31.5">
      <c r="B125" s="840"/>
      <c r="C125" s="841" t="s">
        <v>614</v>
      </c>
      <c r="D125" s="813">
        <f>D89+D112</f>
        <v>-53322400</v>
      </c>
      <c r="E125" s="813">
        <f>E89+E112</f>
        <v>53322400</v>
      </c>
      <c r="F125" s="813">
        <f>F89+F112</f>
        <v>53322400</v>
      </c>
      <c r="G125" s="814">
        <f t="shared" si="9"/>
        <v>0</v>
      </c>
      <c r="H125" s="777">
        <v>1</v>
      </c>
      <c r="I125" s="81"/>
      <c r="J125" s="81"/>
      <c r="K125" s="81"/>
    </row>
    <row r="126" spans="2:11" s="31" customFormat="1" ht="21" customHeight="1">
      <c r="B126" s="842"/>
      <c r="C126" s="843" t="s">
        <v>1251</v>
      </c>
      <c r="D126" s="844">
        <f>+D125</f>
        <v>-53322400</v>
      </c>
      <c r="E126" s="844">
        <f>+E125</f>
        <v>53322400</v>
      </c>
      <c r="F126" s="844">
        <f>+F125</f>
        <v>53322400</v>
      </c>
      <c r="G126" s="844">
        <f>+G125</f>
        <v>0</v>
      </c>
      <c r="H126" s="777">
        <v>1</v>
      </c>
      <c r="I126" s="81"/>
      <c r="J126" s="81"/>
      <c r="K126" s="81"/>
    </row>
    <row r="127" spans="2:11" s="31" customFormat="1" ht="21" hidden="1" customHeight="1">
      <c r="B127" s="845"/>
      <c r="C127" s="846"/>
      <c r="D127" s="847"/>
      <c r="E127" s="847"/>
      <c r="F127" s="847"/>
      <c r="G127" s="847"/>
      <c r="H127" s="32"/>
      <c r="I127" s="81"/>
      <c r="J127" s="81"/>
      <c r="K127" s="81"/>
    </row>
    <row r="128" spans="2:11" s="31" customFormat="1" ht="21" hidden="1" customHeight="1">
      <c r="B128" s="845"/>
      <c r="C128" s="846"/>
      <c r="D128" s="848"/>
      <c r="E128" s="848"/>
      <c r="F128" s="848"/>
      <c r="G128" s="848"/>
      <c r="H128" s="32"/>
      <c r="I128" s="81"/>
      <c r="J128" s="81"/>
      <c r="K128" s="81"/>
    </row>
    <row r="129" spans="2:11" s="31" customFormat="1">
      <c r="D129" s="777"/>
      <c r="E129" s="849"/>
      <c r="F129" s="850" t="e">
        <f>+F126-'[5]видатки_затв '!K475-#REF!</f>
        <v>#REF!</v>
      </c>
      <c r="G129" s="712"/>
      <c r="H129" s="32">
        <v>1</v>
      </c>
      <c r="I129" s="81"/>
      <c r="J129" s="81"/>
      <c r="K129" s="81"/>
    </row>
    <row r="130" spans="2:11" s="31" customFormat="1" ht="57" hidden="1" customHeight="1">
      <c r="B130" s="851"/>
      <c r="C130" s="852" t="s">
        <v>1414</v>
      </c>
      <c r="D130" s="120"/>
      <c r="E130" s="1453" t="s">
        <v>709</v>
      </c>
      <c r="F130" s="1453"/>
      <c r="G130" s="1453"/>
      <c r="H130" s="705"/>
      <c r="I130" s="705"/>
      <c r="J130" s="81"/>
      <c r="K130" s="81"/>
    </row>
    <row r="131" spans="2:11" s="31" customFormat="1" ht="57" hidden="1" customHeight="1">
      <c r="B131" s="851"/>
      <c r="C131" s="852"/>
      <c r="D131" s="120"/>
      <c r="E131" s="705"/>
      <c r="F131" s="705"/>
      <c r="G131" s="705"/>
      <c r="H131" s="705"/>
      <c r="I131" s="705"/>
      <c r="J131" s="81"/>
      <c r="K131" s="81"/>
    </row>
    <row r="132" spans="2:11" s="31" customFormat="1" ht="17.25">
      <c r="C132" s="31" t="s">
        <v>332</v>
      </c>
      <c r="F132" s="121"/>
      <c r="H132" s="32">
        <v>1</v>
      </c>
      <c r="I132" s="81"/>
      <c r="J132" s="81"/>
      <c r="K132" s="81"/>
    </row>
    <row r="133" spans="2:11" s="31" customFormat="1" hidden="1">
      <c r="D133" s="853" t="e">
        <f>+#REF!-'[5]видатки_затв '!C475</f>
        <v>#REF!</v>
      </c>
      <c r="H133" s="32"/>
      <c r="I133" s="81"/>
      <c r="J133" s="81"/>
      <c r="K133" s="81"/>
    </row>
    <row r="134" spans="2:11" s="31" customFormat="1" hidden="1">
      <c r="E134" s="853" t="e">
        <f>+'[5]видатки_затв '!F19+'[5]видатки_затв '!F39+'[5]видатки_затв '!F111+'[5]видатки_затв '!F117+'[5]видатки_затв '!F187+'[5]видатки_затв '!F229-#REF!</f>
        <v>#REF!</v>
      </c>
      <c r="H134" s="32"/>
      <c r="I134" s="81"/>
      <c r="J134" s="81"/>
      <c r="K134" s="81"/>
    </row>
    <row r="135" spans="2:11" s="31" customFormat="1" hidden="1">
      <c r="E135" s="853" t="e">
        <f>+#REF!-E134</f>
        <v>#REF!</v>
      </c>
      <c r="H135" s="32"/>
      <c r="I135" s="81"/>
      <c r="J135" s="81"/>
      <c r="K135" s="81"/>
    </row>
    <row r="136" spans="2:11" s="31" customFormat="1" hidden="1">
      <c r="E136" s="853" t="e">
        <f>+E135-E129</f>
        <v>#REF!</v>
      </c>
      <c r="H136" s="32"/>
      <c r="I136" s="81"/>
      <c r="J136" s="81"/>
      <c r="K136" s="81"/>
    </row>
    <row r="137" spans="2:11" s="31" customFormat="1" hidden="1">
      <c r="D137" s="853" t="e">
        <f>+#REF!-'[5]видатки_затв '!C475</f>
        <v>#REF!</v>
      </c>
      <c r="E137" s="853" t="e">
        <f>+#REF!-'[5]видатки_затв '!F475</f>
        <v>#REF!</v>
      </c>
      <c r="F137" s="853" t="e">
        <f>+#REF!-'[5]видатки_затв '!K475</f>
        <v>#REF!</v>
      </c>
      <c r="G137" s="854" t="e">
        <f>+#REF!-'[5]видатки_затв '!M475</f>
        <v>#REF!</v>
      </c>
      <c r="H137" s="32"/>
      <c r="I137" s="81"/>
      <c r="J137" s="81"/>
      <c r="K137" s="81"/>
    </row>
    <row r="138" spans="2:11" s="31" customFormat="1" hidden="1">
      <c r="D138" s="854" t="e">
        <f>+#REF!-'[5]видатки_затв '!C475</f>
        <v>#REF!</v>
      </c>
      <c r="E138" s="854" t="e">
        <f>+#REF!-'[5]видатки_затв '!F475</f>
        <v>#REF!</v>
      </c>
      <c r="F138" s="854" t="e">
        <f>+#REF!-'[5]видатки_затв '!J475</f>
        <v>#REF!</v>
      </c>
      <c r="H138" s="32"/>
      <c r="I138" s="81"/>
      <c r="J138" s="81"/>
      <c r="K138" s="81"/>
    </row>
    <row r="139" spans="2:11" s="31" customFormat="1" ht="31.15" customHeight="1">
      <c r="B139" s="1451" t="s">
        <v>232</v>
      </c>
      <c r="C139" s="1451"/>
      <c r="D139" s="855"/>
      <c r="E139" s="1411" t="s">
        <v>709</v>
      </c>
      <c r="F139" s="1411"/>
      <c r="G139" s="1411"/>
      <c r="H139" s="705">
        <v>1</v>
      </c>
      <c r="I139" s="81"/>
      <c r="J139" s="81"/>
      <c r="K139" s="81"/>
    </row>
    <row r="140" spans="2:11" s="31" customFormat="1">
      <c r="H140" s="32"/>
      <c r="I140" s="81"/>
      <c r="J140" s="81"/>
      <c r="K140" s="81"/>
    </row>
    <row r="141" spans="2:11" s="31" customFormat="1">
      <c r="H141" s="32"/>
      <c r="I141" s="81"/>
      <c r="J141" s="81"/>
      <c r="K141" s="81"/>
    </row>
    <row r="142" spans="2:11" s="31" customFormat="1">
      <c r="H142" s="32"/>
      <c r="I142" s="81"/>
      <c r="J142" s="81"/>
      <c r="K142" s="81"/>
    </row>
    <row r="143" spans="2:11" s="31" customFormat="1">
      <c r="H143" s="32"/>
      <c r="I143" s="81"/>
      <c r="J143" s="81"/>
      <c r="K143" s="81"/>
    </row>
    <row r="144" spans="2:11" s="31" customFormat="1">
      <c r="H144" s="32"/>
      <c r="I144" s="81"/>
      <c r="J144" s="81"/>
      <c r="K144" s="81"/>
    </row>
    <row r="145" spans="8:11" s="31" customFormat="1">
      <c r="H145" s="32"/>
      <c r="I145" s="81"/>
      <c r="J145" s="81"/>
      <c r="K145" s="81"/>
    </row>
    <row r="146" spans="8:11" s="31" customFormat="1">
      <c r="H146" s="32"/>
      <c r="I146" s="81"/>
      <c r="J146" s="81"/>
      <c r="K146" s="81"/>
    </row>
    <row r="147" spans="8:11" s="31" customFormat="1">
      <c r="H147" s="32"/>
      <c r="I147" s="81"/>
      <c r="J147" s="81"/>
      <c r="K147" s="81"/>
    </row>
    <row r="148" spans="8:11" s="31" customFormat="1">
      <c r="H148" s="32"/>
      <c r="I148" s="81"/>
      <c r="J148" s="81"/>
      <c r="K148" s="81"/>
    </row>
    <row r="149" spans="8:11" s="31" customFormat="1">
      <c r="H149" s="32"/>
      <c r="I149" s="81"/>
      <c r="J149" s="81"/>
      <c r="K149" s="81"/>
    </row>
    <row r="150" spans="8:11" s="31" customFormat="1">
      <c r="H150" s="32"/>
      <c r="I150" s="81"/>
      <c r="J150" s="81"/>
      <c r="K150" s="81"/>
    </row>
    <row r="151" spans="8:11" s="31" customFormat="1">
      <c r="H151" s="32"/>
      <c r="I151" s="81"/>
      <c r="J151" s="81"/>
      <c r="K151" s="81"/>
    </row>
    <row r="152" spans="8:11" s="31" customFormat="1">
      <c r="H152" s="32"/>
      <c r="I152" s="81"/>
      <c r="J152" s="81"/>
      <c r="K152" s="81"/>
    </row>
    <row r="153" spans="8:11" s="31" customFormat="1">
      <c r="H153" s="32"/>
      <c r="I153" s="81"/>
      <c r="J153" s="81"/>
      <c r="K153" s="81"/>
    </row>
    <row r="154" spans="8:11" s="31" customFormat="1">
      <c r="H154" s="32"/>
      <c r="I154" s="81"/>
      <c r="J154" s="81"/>
      <c r="K154" s="81"/>
    </row>
    <row r="155" spans="8:11" s="31" customFormat="1">
      <c r="H155" s="32"/>
      <c r="I155" s="81"/>
      <c r="J155" s="81"/>
      <c r="K155" s="81"/>
    </row>
    <row r="156" spans="8:11" s="31" customFormat="1">
      <c r="H156" s="32"/>
      <c r="I156" s="81"/>
      <c r="J156" s="81"/>
      <c r="K156" s="81"/>
    </row>
    <row r="157" spans="8:11" s="31" customFormat="1">
      <c r="H157" s="32"/>
      <c r="I157" s="81"/>
      <c r="J157" s="81"/>
      <c r="K157" s="81"/>
    </row>
    <row r="158" spans="8:11" s="31" customFormat="1">
      <c r="H158" s="32"/>
      <c r="I158" s="81"/>
      <c r="J158" s="81"/>
      <c r="K158" s="81"/>
    </row>
    <row r="159" spans="8:11" s="31" customFormat="1">
      <c r="H159" s="32"/>
      <c r="I159" s="81"/>
      <c r="J159" s="81"/>
      <c r="K159" s="81"/>
    </row>
    <row r="160" spans="8:11" s="31" customFormat="1">
      <c r="H160" s="32"/>
      <c r="I160" s="81"/>
      <c r="J160" s="81"/>
      <c r="K160" s="81"/>
    </row>
    <row r="161" spans="8:11" s="31" customFormat="1">
      <c r="H161" s="32"/>
      <c r="I161" s="81"/>
      <c r="J161" s="81"/>
      <c r="K161" s="81"/>
    </row>
    <row r="162" spans="8:11" s="31" customFormat="1">
      <c r="H162" s="32"/>
      <c r="I162" s="81"/>
      <c r="J162" s="81"/>
      <c r="K162" s="81"/>
    </row>
    <row r="163" spans="8:11" s="31" customFormat="1">
      <c r="H163" s="32"/>
      <c r="I163" s="81"/>
      <c r="J163" s="81"/>
      <c r="K163" s="81"/>
    </row>
    <row r="164" spans="8:11" s="31" customFormat="1">
      <c r="H164" s="32"/>
      <c r="I164" s="81"/>
      <c r="J164" s="81"/>
      <c r="K164" s="81"/>
    </row>
    <row r="165" spans="8:11" s="31" customFormat="1">
      <c r="H165" s="32"/>
      <c r="I165" s="81"/>
      <c r="J165" s="81"/>
      <c r="K165" s="81"/>
    </row>
    <row r="166" spans="8:11" s="31" customFormat="1">
      <c r="H166" s="32"/>
      <c r="I166" s="81"/>
      <c r="J166" s="81"/>
      <c r="K166" s="81"/>
    </row>
    <row r="167" spans="8:11" s="31" customFormat="1">
      <c r="H167" s="32"/>
      <c r="I167" s="81"/>
      <c r="J167" s="81"/>
      <c r="K167" s="81"/>
    </row>
    <row r="168" spans="8:11" s="31" customFormat="1">
      <c r="H168" s="32"/>
      <c r="I168" s="81"/>
      <c r="J168" s="81"/>
      <c r="K168" s="81"/>
    </row>
    <row r="169" spans="8:11" s="31" customFormat="1">
      <c r="H169" s="32"/>
      <c r="I169" s="81"/>
      <c r="J169" s="81"/>
      <c r="K169" s="81"/>
    </row>
  </sheetData>
  <autoFilter ref="H14:H139">
    <filterColumn colId="0">
      <customFilters and="1">
        <customFilter operator="notEqual" val=" "/>
        <customFilter operator="notEqual" val="0"/>
      </customFilters>
    </filterColumn>
  </autoFilter>
  <mergeCells count="21">
    <mergeCell ref="E2:G2"/>
    <mergeCell ref="E5:G5"/>
    <mergeCell ref="B10:B13"/>
    <mergeCell ref="B7:G7"/>
    <mergeCell ref="B8:G8"/>
    <mergeCell ref="E3:G4"/>
    <mergeCell ref="E130:G130"/>
    <mergeCell ref="G10:G13"/>
    <mergeCell ref="F14:F15"/>
    <mergeCell ref="G14:G15"/>
    <mergeCell ref="E139:G139"/>
    <mergeCell ref="B139:C139"/>
    <mergeCell ref="B14:B15"/>
    <mergeCell ref="C14:C15"/>
    <mergeCell ref="C10:C13"/>
    <mergeCell ref="D10:D13"/>
    <mergeCell ref="E10:F11"/>
    <mergeCell ref="E12:E13"/>
    <mergeCell ref="F12:F13"/>
    <mergeCell ref="D14:D15"/>
    <mergeCell ref="E14:E15"/>
  </mergeCells>
  <phoneticPr fontId="0" type="noConversion"/>
  <hyperlinks>
    <hyperlink ref="B32" location="_ftnref1" display="_ftnref1"/>
  </hyperlinks>
  <pageMargins left="1.49" right="0.19685039370078741" top="0.59055118110236227" bottom="0.34" header="0.31496062992125984" footer="0.19685039370078741"/>
  <pageSetup paperSize="9" scale="75" fitToHeight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5"/>
  <sheetViews>
    <sheetView showZeros="0" topLeftCell="B1" zoomScale="50" zoomScaleNormal="50" zoomScaleSheetLayoutView="50" workbookViewId="0">
      <pane xSplit="2" ySplit="11" topLeftCell="D12" activePane="bottomRight" state="frozen"/>
      <selection activeCell="J41" sqref="J41:L41"/>
      <selection pane="topRight" activeCell="J41" sqref="J41:L41"/>
      <selection pane="bottomLeft" activeCell="J41" sqref="J41:L41"/>
      <selection pane="bottomRight" activeCell="B1" sqref="B1"/>
    </sheetView>
  </sheetViews>
  <sheetFormatPr defaultRowHeight="12.75" outlineLevelRow="1"/>
  <cols>
    <col min="1" max="1" width="0" hidden="1" customWidth="1"/>
    <col min="2" max="2" width="7.7109375" style="328" customWidth="1"/>
    <col min="3" max="4" width="36.85546875" customWidth="1"/>
    <col min="5" max="5" width="25.28515625" customWidth="1"/>
    <col min="6" max="6" width="28.5703125" customWidth="1"/>
    <col min="7" max="7" width="39.42578125" customWidth="1"/>
    <col min="8" max="8" width="81.7109375" customWidth="1"/>
    <col min="9" max="9" width="34.28515625" customWidth="1"/>
    <col min="10" max="10" width="44.28515625" customWidth="1"/>
    <col min="11" max="12" width="29.28515625" customWidth="1"/>
    <col min="13" max="14" width="42" customWidth="1"/>
    <col min="15" max="15" width="48.5703125" customWidth="1"/>
    <col min="16" max="16" width="41" customWidth="1"/>
    <col min="17" max="17" width="31.85546875" customWidth="1"/>
    <col min="18" max="18" width="32.140625" customWidth="1"/>
    <col min="19" max="19" width="26.85546875" customWidth="1"/>
    <col min="20" max="20" width="23.7109375" customWidth="1"/>
    <col min="21" max="21" width="19.42578125" bestFit="1" customWidth="1"/>
    <col min="22" max="22" width="9" bestFit="1" customWidth="1"/>
    <col min="23" max="23" width="13.85546875" bestFit="1" customWidth="1"/>
    <col min="25" max="26" width="18.85546875" customWidth="1"/>
  </cols>
  <sheetData>
    <row r="1" spans="2:28" s="35" customFormat="1" ht="23.25">
      <c r="B1" s="304"/>
      <c r="H1" s="706"/>
      <c r="I1" s="1456" t="s">
        <v>1415</v>
      </c>
      <c r="J1" s="1456"/>
      <c r="K1" s="1355" t="s">
        <v>1416</v>
      </c>
      <c r="L1" s="706"/>
      <c r="M1" s="1345"/>
      <c r="N1" s="1345"/>
      <c r="O1" s="1345"/>
      <c r="P1" s="1345"/>
      <c r="Q1" s="1345"/>
      <c r="R1" s="1345"/>
    </row>
    <row r="2" spans="2:28" s="35" customFormat="1" ht="26.45" customHeight="1">
      <c r="B2" s="305"/>
      <c r="C2" s="32"/>
      <c r="D2" s="32"/>
      <c r="E2" s="32"/>
      <c r="F2" s="32"/>
      <c r="G2" s="32"/>
      <c r="H2" s="706"/>
      <c r="I2" s="1456" t="s">
        <v>1417</v>
      </c>
      <c r="J2" s="1456"/>
      <c r="K2" s="706"/>
      <c r="L2" s="706"/>
      <c r="M2" s="1456"/>
      <c r="N2" s="1456"/>
      <c r="O2" s="1456"/>
      <c r="P2" s="706"/>
      <c r="Q2" s="706"/>
      <c r="R2" s="706"/>
    </row>
    <row r="3" spans="2:28" s="35" customFormat="1" ht="16.899999999999999" customHeight="1">
      <c r="B3" s="305"/>
      <c r="C3" s="32"/>
      <c r="D3" s="32"/>
      <c r="E3" s="32"/>
      <c r="F3" s="32"/>
      <c r="G3" s="32"/>
      <c r="H3" s="699"/>
      <c r="I3" s="1384" t="s">
        <v>239</v>
      </c>
      <c r="J3" s="1384"/>
      <c r="K3" s="699"/>
      <c r="L3" s="699"/>
      <c r="M3" s="1384"/>
      <c r="N3" s="1384"/>
      <c r="O3" s="1384"/>
      <c r="P3" s="699"/>
      <c r="Q3" s="699"/>
      <c r="R3" s="699"/>
    </row>
    <row r="4" spans="2:28" s="35" customFormat="1" ht="27">
      <c r="B4" s="305"/>
      <c r="C4" s="32"/>
      <c r="D4" s="1463" t="s">
        <v>571</v>
      </c>
      <c r="E4" s="1463"/>
      <c r="F4" s="1463"/>
      <c r="G4" s="1463"/>
      <c r="H4" s="1463"/>
      <c r="I4" s="1463"/>
      <c r="J4" s="1463"/>
      <c r="K4" s="1038"/>
      <c r="L4" s="1038"/>
      <c r="M4" s="32"/>
      <c r="N4" s="32"/>
      <c r="O4" s="32"/>
      <c r="P4" s="32"/>
      <c r="Q4" s="32"/>
      <c r="R4" s="32"/>
    </row>
    <row r="5" spans="2:28" s="35" customFormat="1" ht="40.9" customHeight="1">
      <c r="B5" s="856"/>
      <c r="C5" s="856"/>
      <c r="D5" s="1464" t="s">
        <v>1121</v>
      </c>
      <c r="E5" s="1464"/>
      <c r="F5" s="1464"/>
      <c r="G5" s="1464"/>
      <c r="H5" s="1464"/>
      <c r="I5" s="1464"/>
      <c r="J5" s="1464"/>
      <c r="K5" s="1343"/>
      <c r="L5" s="1343"/>
      <c r="M5" s="856"/>
      <c r="N5" s="856"/>
      <c r="O5" s="856"/>
      <c r="P5" s="856"/>
      <c r="Q5" s="856"/>
      <c r="R5" s="856"/>
      <c r="S5" s="856"/>
    </row>
    <row r="6" spans="2:28" s="35" customFormat="1" ht="30" customHeight="1">
      <c r="B6" s="306"/>
      <c r="C6" s="306"/>
      <c r="D6" s="306"/>
      <c r="E6" s="306"/>
      <c r="F6" s="306"/>
      <c r="G6" s="306"/>
      <c r="H6" s="306"/>
      <c r="I6" s="192"/>
      <c r="J6" s="857" t="s">
        <v>486</v>
      </c>
      <c r="K6" s="857"/>
      <c r="L6" s="857"/>
      <c r="M6" s="306"/>
      <c r="N6" s="306"/>
      <c r="O6" s="857"/>
      <c r="P6" s="857"/>
      <c r="Q6" s="857"/>
      <c r="R6" s="857"/>
      <c r="S6" s="306"/>
    </row>
    <row r="7" spans="2:28" ht="72" customHeight="1">
      <c r="B7" s="1470" t="s">
        <v>875</v>
      </c>
      <c r="C7" s="1470" t="s">
        <v>1449</v>
      </c>
      <c r="D7" s="1461" t="s">
        <v>245</v>
      </c>
      <c r="E7" s="1462"/>
      <c r="F7" s="1460" t="s">
        <v>1418</v>
      </c>
      <c r="G7" s="1460"/>
      <c r="H7" s="1460"/>
      <c r="I7" s="1460"/>
      <c r="J7" s="1460"/>
      <c r="K7" s="1467" t="s">
        <v>1418</v>
      </c>
      <c r="L7" s="1468"/>
      <c r="M7" s="1475" t="s">
        <v>1419</v>
      </c>
      <c r="N7" s="1475"/>
      <c r="O7" s="1475"/>
      <c r="P7" s="1473" t="s">
        <v>28</v>
      </c>
      <c r="Q7" s="1480" t="s">
        <v>122</v>
      </c>
      <c r="R7" s="1480"/>
      <c r="S7" s="1472" t="s">
        <v>1420</v>
      </c>
      <c r="T7" s="385" t="s">
        <v>770</v>
      </c>
      <c r="U7" s="385" t="s">
        <v>771</v>
      </c>
    </row>
    <row r="8" spans="2:28" ht="68.45" customHeight="1">
      <c r="B8" s="1470"/>
      <c r="C8" s="1470"/>
      <c r="D8" s="1457" t="s">
        <v>247</v>
      </c>
      <c r="E8" s="1457" t="s">
        <v>246</v>
      </c>
      <c r="F8" s="1459" t="s">
        <v>355</v>
      </c>
      <c r="G8" s="1459" t="s">
        <v>243</v>
      </c>
      <c r="H8" s="1459" t="s">
        <v>879</v>
      </c>
      <c r="I8" s="1459" t="s">
        <v>1421</v>
      </c>
      <c r="J8" s="1471" t="s">
        <v>244</v>
      </c>
      <c r="K8" s="1465" t="s">
        <v>36</v>
      </c>
      <c r="L8" s="1465" t="s">
        <v>820</v>
      </c>
      <c r="M8" s="1473" t="s">
        <v>830</v>
      </c>
      <c r="N8" s="1477" t="s">
        <v>151</v>
      </c>
      <c r="O8" s="1473" t="s">
        <v>356</v>
      </c>
      <c r="P8" s="1476"/>
      <c r="Q8" s="1477" t="s">
        <v>115</v>
      </c>
      <c r="R8" s="1479" t="s">
        <v>256</v>
      </c>
      <c r="S8" s="1472"/>
      <c r="T8" s="385"/>
      <c r="U8" s="385"/>
    </row>
    <row r="9" spans="2:28" s="308" customFormat="1" ht="167.45" customHeight="1">
      <c r="B9" s="1470"/>
      <c r="C9" s="1470"/>
      <c r="D9" s="1458"/>
      <c r="E9" s="1458"/>
      <c r="F9" s="1459"/>
      <c r="G9" s="1459"/>
      <c r="H9" s="1459"/>
      <c r="I9" s="1459"/>
      <c r="J9" s="1471"/>
      <c r="K9" s="1466"/>
      <c r="L9" s="1466"/>
      <c r="M9" s="1474"/>
      <c r="N9" s="1478"/>
      <c r="O9" s="1474"/>
      <c r="P9" s="1474"/>
      <c r="Q9" s="1478"/>
      <c r="R9" s="1478"/>
      <c r="S9" s="1472"/>
    </row>
    <row r="10" spans="2:28" s="35" customFormat="1" ht="22.9" customHeight="1" outlineLevel="1">
      <c r="B10" s="309"/>
      <c r="C10" s="310"/>
      <c r="D10" s="310"/>
      <c r="E10" s="309" t="s">
        <v>903</v>
      </c>
      <c r="F10" s="309" t="s">
        <v>904</v>
      </c>
      <c r="G10" s="309" t="s">
        <v>905</v>
      </c>
      <c r="H10" s="309" t="s">
        <v>906</v>
      </c>
      <c r="I10" s="309" t="s">
        <v>907</v>
      </c>
      <c r="J10" s="309" t="s">
        <v>908</v>
      </c>
      <c r="K10" s="309" t="s">
        <v>35</v>
      </c>
      <c r="L10" s="309"/>
      <c r="M10" s="309" t="s">
        <v>619</v>
      </c>
      <c r="N10" s="309" t="s">
        <v>619</v>
      </c>
      <c r="O10" s="309" t="s">
        <v>909</v>
      </c>
      <c r="P10" s="309" t="s">
        <v>27</v>
      </c>
      <c r="Q10" s="309" t="s">
        <v>619</v>
      </c>
      <c r="R10" s="309" t="s">
        <v>619</v>
      </c>
      <c r="S10" s="309"/>
    </row>
    <row r="11" spans="2:28" s="311" customFormat="1" ht="18.75" outlineLevel="1">
      <c r="B11" s="307">
        <v>1</v>
      </c>
      <c r="C11" s="307">
        <f t="shared" ref="C11:S11" si="0">+B11+1</f>
        <v>2</v>
      </c>
      <c r="D11" s="307">
        <f t="shared" si="0"/>
        <v>3</v>
      </c>
      <c r="E11" s="307">
        <f t="shared" si="0"/>
        <v>4</v>
      </c>
      <c r="F11" s="307">
        <f t="shared" si="0"/>
        <v>5</v>
      </c>
      <c r="G11" s="307">
        <f t="shared" si="0"/>
        <v>6</v>
      </c>
      <c r="H11" s="307">
        <f t="shared" si="0"/>
        <v>7</v>
      </c>
      <c r="I11" s="307">
        <f t="shared" si="0"/>
        <v>8</v>
      </c>
      <c r="J11" s="307">
        <f t="shared" si="0"/>
        <v>9</v>
      </c>
      <c r="K11" s="307">
        <f t="shared" si="0"/>
        <v>10</v>
      </c>
      <c r="L11" s="307">
        <f t="shared" si="0"/>
        <v>11</v>
      </c>
      <c r="M11" s="307">
        <f t="shared" si="0"/>
        <v>12</v>
      </c>
      <c r="N11" s="307">
        <f t="shared" si="0"/>
        <v>13</v>
      </c>
      <c r="O11" s="307">
        <f t="shared" si="0"/>
        <v>14</v>
      </c>
      <c r="P11" s="307">
        <f t="shared" si="0"/>
        <v>15</v>
      </c>
      <c r="Q11" s="307">
        <f t="shared" si="0"/>
        <v>16</v>
      </c>
      <c r="R11" s="307">
        <f t="shared" si="0"/>
        <v>17</v>
      </c>
      <c r="S11" s="307">
        <f t="shared" si="0"/>
        <v>18</v>
      </c>
    </row>
    <row r="12" spans="2:28" ht="20.25">
      <c r="B12" s="312">
        <v>1</v>
      </c>
      <c r="C12" s="313" t="s">
        <v>620</v>
      </c>
      <c r="D12" s="313"/>
      <c r="E12" s="858"/>
      <c r="F12" s="859">
        <v>667800400</v>
      </c>
      <c r="G12" s="859">
        <v>152106200</v>
      </c>
      <c r="H12" s="859">
        <v>48463400</v>
      </c>
      <c r="I12" s="859">
        <v>23300</v>
      </c>
      <c r="J12" s="859">
        <v>1400000</v>
      </c>
      <c r="K12" s="859"/>
      <c r="L12" s="859"/>
      <c r="M12" s="859"/>
      <c r="N12" s="859">
        <v>15778302</v>
      </c>
      <c r="O12" s="859"/>
      <c r="P12" s="859">
        <v>5781700</v>
      </c>
      <c r="Q12" s="859"/>
      <c r="R12" s="859"/>
      <c r="S12" s="860">
        <f>SUM(D12:R12)</f>
        <v>891353302</v>
      </c>
      <c r="T12" s="379">
        <f t="shared" ref="T12:T44" si="1">SUM(E12:O12)</f>
        <v>885571602</v>
      </c>
      <c r="U12" s="380" t="e">
        <f>SUM(#REF!)</f>
        <v>#REF!</v>
      </c>
      <c r="W12" s="314"/>
      <c r="Y12" s="379"/>
      <c r="Z12" s="379"/>
      <c r="AA12" s="383"/>
    </row>
    <row r="13" spans="2:28" ht="20.25">
      <c r="B13" s="312">
        <v>2</v>
      </c>
      <c r="C13" s="313" t="s">
        <v>621</v>
      </c>
      <c r="D13" s="313"/>
      <c r="E13" s="858"/>
      <c r="F13" s="859">
        <v>52709600</v>
      </c>
      <c r="G13" s="859">
        <v>8395900</v>
      </c>
      <c r="H13" s="859">
        <v>318700</v>
      </c>
      <c r="I13" s="859">
        <v>4300</v>
      </c>
      <c r="J13" s="859"/>
      <c r="K13" s="859"/>
      <c r="L13" s="859"/>
      <c r="M13" s="859"/>
      <c r="N13" s="859">
        <v>1879610</v>
      </c>
      <c r="O13" s="859"/>
      <c r="P13" s="859">
        <v>978000</v>
      </c>
      <c r="Q13" s="859"/>
      <c r="R13" s="859"/>
      <c r="S13" s="860">
        <f t="shared" ref="S13:S47" si="2">SUM(D13:R13)</f>
        <v>64286110</v>
      </c>
      <c r="T13" s="379">
        <f t="shared" si="1"/>
        <v>63308110</v>
      </c>
      <c r="U13" s="380" t="e">
        <f>SUM(#REF!)</f>
        <v>#REF!</v>
      </c>
      <c r="W13" s="314"/>
      <c r="Y13" s="379"/>
      <c r="Z13" s="379"/>
      <c r="AA13" s="383"/>
      <c r="AB13" s="379"/>
    </row>
    <row r="14" spans="2:28" ht="20.25">
      <c r="B14" s="312">
        <v>3</v>
      </c>
      <c r="C14" s="313" t="s">
        <v>622</v>
      </c>
      <c r="D14" s="313"/>
      <c r="E14" s="858"/>
      <c r="F14" s="859">
        <v>93309800</v>
      </c>
      <c r="G14" s="859">
        <v>15947000</v>
      </c>
      <c r="H14" s="859">
        <v>724900</v>
      </c>
      <c r="I14" s="859"/>
      <c r="J14" s="859">
        <v>300000</v>
      </c>
      <c r="K14" s="859"/>
      <c r="L14" s="859"/>
      <c r="M14" s="859"/>
      <c r="N14" s="859">
        <v>3253887</v>
      </c>
      <c r="O14" s="859"/>
      <c r="P14" s="859">
        <v>2380700</v>
      </c>
      <c r="Q14" s="859"/>
      <c r="R14" s="859"/>
      <c r="S14" s="860">
        <f t="shared" si="2"/>
        <v>115916287</v>
      </c>
      <c r="T14" s="379">
        <f t="shared" si="1"/>
        <v>113535587</v>
      </c>
      <c r="U14" s="380" t="e">
        <f>SUM(#REF!)</f>
        <v>#REF!</v>
      </c>
      <c r="W14" s="314"/>
      <c r="Y14" s="379"/>
      <c r="Z14" s="379"/>
      <c r="AA14" s="383"/>
      <c r="AB14" s="379"/>
    </row>
    <row r="15" spans="2:28" ht="20.25">
      <c r="B15" s="312">
        <f t="shared" ref="B15:B20" si="3">1+B14</f>
        <v>4</v>
      </c>
      <c r="C15" s="313" t="s">
        <v>1043</v>
      </c>
      <c r="D15" s="313"/>
      <c r="E15" s="858"/>
      <c r="F15" s="859">
        <v>4811000</v>
      </c>
      <c r="G15" s="859">
        <v>1005500</v>
      </c>
      <c r="H15" s="859">
        <v>60200</v>
      </c>
      <c r="I15" s="859">
        <v>3600</v>
      </c>
      <c r="J15" s="859"/>
      <c r="K15" s="859"/>
      <c r="L15" s="859"/>
      <c r="M15" s="859"/>
      <c r="N15" s="859">
        <v>95599</v>
      </c>
      <c r="O15" s="859">
        <v>2748000</v>
      </c>
      <c r="P15" s="859">
        <v>218000</v>
      </c>
      <c r="Q15" s="859"/>
      <c r="R15" s="859"/>
      <c r="S15" s="860">
        <f t="shared" si="2"/>
        <v>8941899</v>
      </c>
      <c r="T15" s="379">
        <f t="shared" si="1"/>
        <v>8723899</v>
      </c>
      <c r="U15" s="380" t="e">
        <f>SUM(#REF!)</f>
        <v>#REF!</v>
      </c>
      <c r="W15" s="314"/>
      <c r="Y15" s="379"/>
      <c r="Z15" s="379"/>
      <c r="AA15" s="383"/>
      <c r="AB15" s="379"/>
    </row>
    <row r="16" spans="2:28" ht="20.25">
      <c r="B16" s="312">
        <f t="shared" si="3"/>
        <v>5</v>
      </c>
      <c r="C16" s="313" t="s">
        <v>1481</v>
      </c>
      <c r="D16" s="313"/>
      <c r="E16" s="858"/>
      <c r="F16" s="859">
        <v>35029500</v>
      </c>
      <c r="G16" s="859">
        <v>10432200</v>
      </c>
      <c r="H16" s="859">
        <v>242800</v>
      </c>
      <c r="I16" s="859">
        <v>1700</v>
      </c>
      <c r="J16" s="859"/>
      <c r="K16" s="859"/>
      <c r="L16" s="859"/>
      <c r="M16" s="859"/>
      <c r="N16" s="859">
        <v>905444</v>
      </c>
      <c r="O16" s="859"/>
      <c r="P16" s="859">
        <v>628800</v>
      </c>
      <c r="Q16" s="859"/>
      <c r="R16" s="859"/>
      <c r="S16" s="860">
        <f t="shared" si="2"/>
        <v>47240444</v>
      </c>
      <c r="T16" s="379">
        <f t="shared" si="1"/>
        <v>46611644</v>
      </c>
      <c r="U16" s="380" t="e">
        <f>SUM(#REF!)</f>
        <v>#REF!</v>
      </c>
      <c r="W16" s="314"/>
      <c r="Y16" s="379"/>
      <c r="Z16" s="379"/>
      <c r="AA16" s="383"/>
      <c r="AB16" s="379"/>
    </row>
    <row r="17" spans="2:28" ht="20.25">
      <c r="B17" s="312">
        <f t="shared" si="3"/>
        <v>6</v>
      </c>
      <c r="C17" s="313" t="s">
        <v>1482</v>
      </c>
      <c r="D17" s="313"/>
      <c r="E17" s="858"/>
      <c r="F17" s="859">
        <v>42562400</v>
      </c>
      <c r="G17" s="859">
        <v>5586900</v>
      </c>
      <c r="H17" s="859">
        <v>355700</v>
      </c>
      <c r="I17" s="859"/>
      <c r="J17" s="859">
        <v>290000</v>
      </c>
      <c r="K17" s="859"/>
      <c r="L17" s="859"/>
      <c r="M17" s="859"/>
      <c r="N17" s="859">
        <v>1281946</v>
      </c>
      <c r="O17" s="859"/>
      <c r="P17" s="859">
        <v>1327100</v>
      </c>
      <c r="Q17" s="859"/>
      <c r="R17" s="859"/>
      <c r="S17" s="860">
        <f t="shared" si="2"/>
        <v>51404046</v>
      </c>
      <c r="T17" s="379">
        <f t="shared" si="1"/>
        <v>50076946</v>
      </c>
      <c r="U17" s="380" t="e">
        <f>SUM(#REF!)</f>
        <v>#REF!</v>
      </c>
      <c r="W17" s="314"/>
      <c r="Y17" s="379"/>
      <c r="Z17" s="379"/>
      <c r="AA17" s="383"/>
      <c r="AB17" s="379"/>
    </row>
    <row r="18" spans="2:28" ht="20.25">
      <c r="B18" s="312">
        <f t="shared" si="3"/>
        <v>7</v>
      </c>
      <c r="C18" s="313" t="s">
        <v>1483</v>
      </c>
      <c r="D18" s="313"/>
      <c r="E18" s="858"/>
      <c r="F18" s="859">
        <v>53457800</v>
      </c>
      <c r="G18" s="859">
        <v>11972900</v>
      </c>
      <c r="H18" s="859">
        <v>777300</v>
      </c>
      <c r="I18" s="859">
        <v>2300</v>
      </c>
      <c r="J18" s="859">
        <v>95000</v>
      </c>
      <c r="K18" s="859"/>
      <c r="L18" s="859"/>
      <c r="M18" s="859"/>
      <c r="N18" s="859">
        <v>1493268</v>
      </c>
      <c r="O18" s="859"/>
      <c r="P18" s="859">
        <v>3933300</v>
      </c>
      <c r="Q18" s="859"/>
      <c r="R18" s="859"/>
      <c r="S18" s="860">
        <f t="shared" si="2"/>
        <v>71731868</v>
      </c>
      <c r="T18" s="379">
        <f t="shared" si="1"/>
        <v>67798568</v>
      </c>
      <c r="U18" s="380" t="e">
        <f>SUM(#REF!)</f>
        <v>#REF!</v>
      </c>
      <c r="W18" s="314"/>
      <c r="Y18" s="379"/>
      <c r="Z18" s="379"/>
      <c r="AA18" s="383"/>
      <c r="AB18" s="379"/>
    </row>
    <row r="19" spans="2:28" ht="20.25">
      <c r="B19" s="312">
        <f t="shared" si="3"/>
        <v>8</v>
      </c>
      <c r="C19" s="313" t="s">
        <v>1484</v>
      </c>
      <c r="D19" s="313"/>
      <c r="E19" s="858"/>
      <c r="F19" s="859">
        <v>20979400</v>
      </c>
      <c r="G19" s="859">
        <v>4750300</v>
      </c>
      <c r="H19" s="859">
        <v>182600</v>
      </c>
      <c r="I19" s="859"/>
      <c r="J19" s="859">
        <v>125000</v>
      </c>
      <c r="K19" s="859"/>
      <c r="L19" s="859"/>
      <c r="M19" s="859"/>
      <c r="N19" s="859">
        <v>527649</v>
      </c>
      <c r="O19" s="859"/>
      <c r="P19" s="859">
        <v>655700</v>
      </c>
      <c r="Q19" s="859"/>
      <c r="R19" s="859"/>
      <c r="S19" s="860">
        <f t="shared" si="2"/>
        <v>27220649</v>
      </c>
      <c r="T19" s="379">
        <f t="shared" si="1"/>
        <v>26564949</v>
      </c>
      <c r="U19" s="380" t="e">
        <f>SUM(#REF!)</f>
        <v>#REF!</v>
      </c>
      <c r="W19" s="314"/>
      <c r="Y19" s="379"/>
      <c r="Z19" s="379"/>
      <c r="AA19" s="383"/>
      <c r="AB19" s="379"/>
    </row>
    <row r="20" spans="2:28" ht="20.25">
      <c r="B20" s="312">
        <f t="shared" si="3"/>
        <v>9</v>
      </c>
      <c r="C20" s="313" t="s">
        <v>1485</v>
      </c>
      <c r="D20" s="313"/>
      <c r="E20" s="858"/>
      <c r="F20" s="859">
        <v>79387500</v>
      </c>
      <c r="G20" s="859">
        <v>15563100</v>
      </c>
      <c r="H20" s="859">
        <v>1543300</v>
      </c>
      <c r="I20" s="859">
        <v>6424700</v>
      </c>
      <c r="J20" s="859"/>
      <c r="K20" s="859">
        <v>500000</v>
      </c>
      <c r="L20" s="859"/>
      <c r="M20" s="859"/>
      <c r="N20" s="859">
        <v>2446617</v>
      </c>
      <c r="O20" s="859"/>
      <c r="P20" s="859">
        <v>1838400</v>
      </c>
      <c r="Q20" s="859"/>
      <c r="R20" s="859"/>
      <c r="S20" s="860">
        <f t="shared" si="2"/>
        <v>107703617</v>
      </c>
      <c r="T20" s="379">
        <f t="shared" si="1"/>
        <v>105865217</v>
      </c>
      <c r="U20" s="380" t="e">
        <f>SUM(#REF!)</f>
        <v>#REF!</v>
      </c>
      <c r="W20" s="314"/>
      <c r="Y20" s="379"/>
      <c r="Z20" s="379"/>
      <c r="AA20" s="383"/>
      <c r="AB20" s="379"/>
    </row>
    <row r="21" spans="2:28" ht="20.25">
      <c r="B21" s="315"/>
      <c r="C21" s="316" t="s">
        <v>1486</v>
      </c>
      <c r="D21" s="860">
        <f t="shared" ref="D21:P21" si="4">SUM(D12:D20)</f>
        <v>0</v>
      </c>
      <c r="E21" s="860">
        <f t="shared" si="4"/>
        <v>0</v>
      </c>
      <c r="F21" s="860">
        <f t="shared" si="4"/>
        <v>1050047400</v>
      </c>
      <c r="G21" s="860">
        <f t="shared" si="4"/>
        <v>225760000</v>
      </c>
      <c r="H21" s="860">
        <f t="shared" si="4"/>
        <v>52668900</v>
      </c>
      <c r="I21" s="860">
        <f t="shared" si="4"/>
        <v>6459900</v>
      </c>
      <c r="J21" s="860">
        <f t="shared" si="4"/>
        <v>2210000</v>
      </c>
      <c r="K21" s="860">
        <f t="shared" si="4"/>
        <v>500000</v>
      </c>
      <c r="L21" s="860">
        <f t="shared" si="4"/>
        <v>0</v>
      </c>
      <c r="M21" s="860">
        <f t="shared" si="4"/>
        <v>0</v>
      </c>
      <c r="N21" s="860">
        <f t="shared" si="4"/>
        <v>27662322</v>
      </c>
      <c r="O21" s="860">
        <f t="shared" si="4"/>
        <v>2748000</v>
      </c>
      <c r="P21" s="860">
        <f t="shared" si="4"/>
        <v>17741700</v>
      </c>
      <c r="Q21" s="860"/>
      <c r="R21" s="860"/>
      <c r="S21" s="860">
        <f t="shared" si="2"/>
        <v>1385798222</v>
      </c>
      <c r="T21" s="379">
        <f t="shared" si="1"/>
        <v>1368056522</v>
      </c>
      <c r="U21" s="380" t="e">
        <f>SUM(#REF!)</f>
        <v>#REF!</v>
      </c>
      <c r="W21" s="314"/>
      <c r="Y21" s="379"/>
      <c r="Z21" s="379"/>
      <c r="AA21" s="383"/>
      <c r="AB21" s="379"/>
    </row>
    <row r="22" spans="2:28" ht="20.25">
      <c r="B22" s="312">
        <f>1+B20</f>
        <v>10</v>
      </c>
      <c r="C22" s="313" t="s">
        <v>1487</v>
      </c>
      <c r="D22" s="313"/>
      <c r="E22" s="858"/>
      <c r="F22" s="859">
        <v>95452100</v>
      </c>
      <c r="G22" s="859">
        <v>10521900</v>
      </c>
      <c r="H22" s="859">
        <v>1723300</v>
      </c>
      <c r="I22" s="859">
        <v>552300</v>
      </c>
      <c r="J22" s="859">
        <v>490000</v>
      </c>
      <c r="K22" s="859">
        <v>100000</v>
      </c>
      <c r="L22" s="859"/>
      <c r="M22" s="859"/>
      <c r="N22" s="859">
        <v>748807</v>
      </c>
      <c r="O22" s="859"/>
      <c r="P22" s="859">
        <v>1927700</v>
      </c>
      <c r="Q22" s="859"/>
      <c r="R22" s="859"/>
      <c r="S22" s="860">
        <f t="shared" si="2"/>
        <v>111516107</v>
      </c>
      <c r="T22" s="379">
        <f t="shared" si="1"/>
        <v>109588407</v>
      </c>
      <c r="U22" s="380" t="e">
        <f>SUM(#REF!)</f>
        <v>#REF!</v>
      </c>
      <c r="W22" s="314"/>
      <c r="Y22" s="379"/>
      <c r="Z22" s="379"/>
      <c r="AA22" s="383"/>
      <c r="AB22" s="379"/>
    </row>
    <row r="23" spans="2:28" ht="20.25">
      <c r="B23" s="312">
        <f t="shared" ref="B23:B41" si="5">1+B22</f>
        <v>11</v>
      </c>
      <c r="C23" s="313" t="s">
        <v>1488</v>
      </c>
      <c r="D23" s="313"/>
      <c r="E23" s="858"/>
      <c r="F23" s="859">
        <v>81534100</v>
      </c>
      <c r="G23" s="859">
        <v>7011200</v>
      </c>
      <c r="H23" s="859">
        <v>243300</v>
      </c>
      <c r="I23" s="859">
        <v>598200</v>
      </c>
      <c r="J23" s="859">
        <v>540000</v>
      </c>
      <c r="K23" s="859"/>
      <c r="L23" s="859"/>
      <c r="M23" s="859"/>
      <c r="N23" s="859">
        <v>797910</v>
      </c>
      <c r="O23" s="859"/>
      <c r="P23" s="859">
        <v>924400</v>
      </c>
      <c r="Q23" s="859"/>
      <c r="R23" s="859"/>
      <c r="S23" s="860">
        <f t="shared" si="2"/>
        <v>91649110</v>
      </c>
      <c r="T23" s="379">
        <f t="shared" si="1"/>
        <v>90724710</v>
      </c>
      <c r="U23" s="380" t="e">
        <f>SUM(#REF!)</f>
        <v>#REF!</v>
      </c>
      <c r="W23" s="314"/>
      <c r="Y23" s="379"/>
      <c r="Z23" s="379"/>
      <c r="AA23" s="383"/>
      <c r="AB23" s="379"/>
    </row>
    <row r="24" spans="2:28" ht="20.25">
      <c r="B24" s="312">
        <f t="shared" si="5"/>
        <v>12</v>
      </c>
      <c r="C24" s="313" t="s">
        <v>1489</v>
      </c>
      <c r="D24" s="313"/>
      <c r="E24" s="858"/>
      <c r="F24" s="859">
        <v>78824500</v>
      </c>
      <c r="G24" s="859">
        <v>8307400</v>
      </c>
      <c r="H24" s="859">
        <v>266600</v>
      </c>
      <c r="I24" s="859">
        <v>88500</v>
      </c>
      <c r="J24" s="859">
        <v>625000</v>
      </c>
      <c r="K24" s="859"/>
      <c r="L24" s="859"/>
      <c r="M24" s="859"/>
      <c r="N24" s="859">
        <v>4644320</v>
      </c>
      <c r="O24" s="859"/>
      <c r="P24" s="859">
        <v>1502300</v>
      </c>
      <c r="Q24" s="859"/>
      <c r="R24" s="859"/>
      <c r="S24" s="860">
        <f t="shared" si="2"/>
        <v>94258620</v>
      </c>
      <c r="T24" s="379">
        <f t="shared" si="1"/>
        <v>92756320</v>
      </c>
      <c r="U24" s="380" t="e">
        <f>SUM(#REF!)</f>
        <v>#REF!</v>
      </c>
      <c r="W24" s="314"/>
      <c r="Y24" s="379"/>
      <c r="Z24" s="379"/>
      <c r="AA24" s="383"/>
      <c r="AB24" s="379"/>
    </row>
    <row r="25" spans="2:28" ht="20.25">
      <c r="B25" s="312">
        <f t="shared" si="5"/>
        <v>13</v>
      </c>
      <c r="C25" s="313" t="s">
        <v>1490</v>
      </c>
      <c r="D25" s="313"/>
      <c r="E25" s="858"/>
      <c r="F25" s="859">
        <v>129081500</v>
      </c>
      <c r="G25" s="859">
        <v>7845400</v>
      </c>
      <c r="H25" s="859">
        <v>288800</v>
      </c>
      <c r="I25" s="859">
        <v>865400</v>
      </c>
      <c r="J25" s="859">
        <v>540000</v>
      </c>
      <c r="K25" s="859"/>
      <c r="L25" s="859"/>
      <c r="M25" s="859"/>
      <c r="N25" s="859">
        <v>3216804</v>
      </c>
      <c r="O25" s="859"/>
      <c r="P25" s="859">
        <v>1568500</v>
      </c>
      <c r="Q25" s="859"/>
      <c r="R25" s="859"/>
      <c r="S25" s="860">
        <f t="shared" si="2"/>
        <v>143406404</v>
      </c>
      <c r="T25" s="379">
        <f t="shared" si="1"/>
        <v>141837904</v>
      </c>
      <c r="U25" s="380" t="e">
        <f>SUM(#REF!)</f>
        <v>#REF!</v>
      </c>
      <c r="W25" s="314"/>
      <c r="Y25" s="379"/>
      <c r="Z25" s="379"/>
      <c r="AA25" s="383"/>
      <c r="AB25" s="379"/>
    </row>
    <row r="26" spans="2:28" ht="20.25">
      <c r="B26" s="312">
        <f t="shared" si="5"/>
        <v>14</v>
      </c>
      <c r="C26" s="313" t="s">
        <v>1491</v>
      </c>
      <c r="D26" s="313"/>
      <c r="E26" s="858"/>
      <c r="F26" s="859">
        <v>85326600</v>
      </c>
      <c r="G26" s="859">
        <v>15377700</v>
      </c>
      <c r="H26" s="859">
        <v>732700</v>
      </c>
      <c r="I26" s="859">
        <v>497700</v>
      </c>
      <c r="J26" s="859">
        <v>850000</v>
      </c>
      <c r="K26" s="859"/>
      <c r="L26" s="859"/>
      <c r="M26" s="859"/>
      <c r="N26" s="859">
        <v>1954875</v>
      </c>
      <c r="O26" s="859"/>
      <c r="P26" s="859">
        <v>1619600</v>
      </c>
      <c r="Q26" s="859"/>
      <c r="R26" s="859"/>
      <c r="S26" s="860">
        <f t="shared" si="2"/>
        <v>106359175</v>
      </c>
      <c r="T26" s="379">
        <f t="shared" si="1"/>
        <v>104739575</v>
      </c>
      <c r="U26" s="380" t="e">
        <f>SUM(#REF!)</f>
        <v>#REF!</v>
      </c>
      <c r="W26" s="314"/>
      <c r="Y26" s="379"/>
      <c r="Z26" s="379"/>
      <c r="AA26" s="383"/>
      <c r="AB26" s="379"/>
    </row>
    <row r="27" spans="2:28" ht="20.25">
      <c r="B27" s="312">
        <f t="shared" si="5"/>
        <v>15</v>
      </c>
      <c r="C27" s="313" t="s">
        <v>1492</v>
      </c>
      <c r="D27" s="313"/>
      <c r="E27" s="858"/>
      <c r="F27" s="859">
        <v>175206500</v>
      </c>
      <c r="G27" s="859">
        <v>8827600</v>
      </c>
      <c r="H27" s="859">
        <v>378700</v>
      </c>
      <c r="I27" s="859">
        <v>2144000</v>
      </c>
      <c r="J27" s="859">
        <v>1150000</v>
      </c>
      <c r="K27" s="859">
        <v>100000</v>
      </c>
      <c r="L27" s="859"/>
      <c r="M27" s="859"/>
      <c r="N27" s="859">
        <v>3095388</v>
      </c>
      <c r="O27" s="859"/>
      <c r="P27" s="859">
        <v>2579100</v>
      </c>
      <c r="Q27" s="859"/>
      <c r="R27" s="859"/>
      <c r="S27" s="860">
        <f t="shared" si="2"/>
        <v>193481288</v>
      </c>
      <c r="T27" s="379">
        <f t="shared" si="1"/>
        <v>190902188</v>
      </c>
      <c r="U27" s="380" t="e">
        <f>SUM(#REF!)</f>
        <v>#REF!</v>
      </c>
      <c r="W27" s="314"/>
      <c r="Y27" s="379"/>
      <c r="Z27" s="379"/>
      <c r="AA27" s="383"/>
      <c r="AB27" s="379"/>
    </row>
    <row r="28" spans="2:28" ht="20.25">
      <c r="B28" s="312">
        <f t="shared" si="5"/>
        <v>16</v>
      </c>
      <c r="C28" s="313" t="s">
        <v>1493</v>
      </c>
      <c r="D28" s="313"/>
      <c r="E28" s="858"/>
      <c r="F28" s="859">
        <v>92850900</v>
      </c>
      <c r="G28" s="859">
        <v>8969200</v>
      </c>
      <c r="H28" s="859">
        <v>955700</v>
      </c>
      <c r="I28" s="859">
        <v>471500</v>
      </c>
      <c r="J28" s="859">
        <v>585000</v>
      </c>
      <c r="K28" s="859"/>
      <c r="L28" s="859"/>
      <c r="M28" s="859"/>
      <c r="N28" s="859">
        <v>3165264</v>
      </c>
      <c r="O28" s="859"/>
      <c r="P28" s="859">
        <v>1635000</v>
      </c>
      <c r="Q28" s="859"/>
      <c r="R28" s="859"/>
      <c r="S28" s="860">
        <f t="shared" si="2"/>
        <v>108632564</v>
      </c>
      <c r="T28" s="379">
        <f t="shared" si="1"/>
        <v>106997564</v>
      </c>
      <c r="U28" s="380" t="e">
        <f>SUM(#REF!)</f>
        <v>#REF!</v>
      </c>
      <c r="W28" s="314"/>
      <c r="Y28" s="379"/>
      <c r="Z28" s="379"/>
      <c r="AA28" s="383"/>
      <c r="AB28" s="379"/>
    </row>
    <row r="29" spans="2:28" ht="20.25">
      <c r="B29" s="312">
        <f t="shared" si="5"/>
        <v>17</v>
      </c>
      <c r="C29" s="313" t="s">
        <v>217</v>
      </c>
      <c r="D29" s="313"/>
      <c r="E29" s="858"/>
      <c r="F29" s="859">
        <v>75341500</v>
      </c>
      <c r="G29" s="859">
        <v>6472200</v>
      </c>
      <c r="H29" s="859">
        <v>318500</v>
      </c>
      <c r="I29" s="859">
        <v>228500</v>
      </c>
      <c r="J29" s="859">
        <v>620000</v>
      </c>
      <c r="K29" s="859"/>
      <c r="L29" s="859"/>
      <c r="M29" s="859"/>
      <c r="N29" s="859">
        <v>2929832</v>
      </c>
      <c r="O29" s="859"/>
      <c r="P29" s="859">
        <v>1350500</v>
      </c>
      <c r="Q29" s="859"/>
      <c r="R29" s="859"/>
      <c r="S29" s="860">
        <f t="shared" si="2"/>
        <v>87261032</v>
      </c>
      <c r="T29" s="379">
        <f t="shared" si="1"/>
        <v>85910532</v>
      </c>
      <c r="U29" s="380" t="e">
        <f>SUM(#REF!)</f>
        <v>#REF!</v>
      </c>
      <c r="W29" s="314"/>
      <c r="Y29" s="379"/>
      <c r="Z29" s="379"/>
      <c r="AA29" s="383"/>
      <c r="AB29" s="379"/>
    </row>
    <row r="30" spans="2:28" ht="20.25">
      <c r="B30" s="312">
        <f t="shared" si="5"/>
        <v>18</v>
      </c>
      <c r="C30" s="313" t="s">
        <v>1494</v>
      </c>
      <c r="D30" s="313"/>
      <c r="E30" s="858"/>
      <c r="F30" s="859">
        <v>98751800</v>
      </c>
      <c r="G30" s="859">
        <v>12297000</v>
      </c>
      <c r="H30" s="859">
        <v>391200</v>
      </c>
      <c r="I30" s="859">
        <v>42500</v>
      </c>
      <c r="J30" s="859">
        <v>350000</v>
      </c>
      <c r="K30" s="859">
        <v>330900</v>
      </c>
      <c r="L30" s="859"/>
      <c r="M30" s="859"/>
      <c r="N30" s="859">
        <v>4011030</v>
      </c>
      <c r="O30" s="859"/>
      <c r="P30" s="859">
        <v>1536800</v>
      </c>
      <c r="Q30" s="859"/>
      <c r="R30" s="859"/>
      <c r="S30" s="860">
        <f t="shared" si="2"/>
        <v>117711230</v>
      </c>
      <c r="T30" s="379">
        <f t="shared" si="1"/>
        <v>116174430</v>
      </c>
      <c r="U30" s="380" t="e">
        <f>SUM(#REF!)</f>
        <v>#REF!</v>
      </c>
      <c r="W30" s="314"/>
      <c r="Y30" s="379"/>
      <c r="Z30" s="379"/>
      <c r="AA30" s="383"/>
      <c r="AB30" s="379"/>
    </row>
    <row r="31" spans="2:28" ht="20.25">
      <c r="B31" s="312">
        <f t="shared" si="5"/>
        <v>19</v>
      </c>
      <c r="C31" s="313" t="s">
        <v>1495</v>
      </c>
      <c r="D31" s="313"/>
      <c r="E31" s="858"/>
      <c r="F31" s="859">
        <v>101290200</v>
      </c>
      <c r="G31" s="859">
        <v>6198700</v>
      </c>
      <c r="H31" s="859">
        <v>669700</v>
      </c>
      <c r="I31" s="859">
        <v>414500</v>
      </c>
      <c r="J31" s="859">
        <v>2225000</v>
      </c>
      <c r="K31" s="859"/>
      <c r="L31" s="859"/>
      <c r="M31" s="859"/>
      <c r="N31" s="859">
        <v>2999422</v>
      </c>
      <c r="O31" s="859"/>
      <c r="P31" s="859">
        <v>1175300</v>
      </c>
      <c r="Q31" s="859"/>
      <c r="R31" s="859"/>
      <c r="S31" s="860">
        <f t="shared" si="2"/>
        <v>114972822</v>
      </c>
      <c r="T31" s="379">
        <f t="shared" si="1"/>
        <v>113797522</v>
      </c>
      <c r="U31" s="380" t="e">
        <f>SUM(#REF!)</f>
        <v>#REF!</v>
      </c>
      <c r="W31" s="314"/>
      <c r="Y31" s="379"/>
      <c r="Z31" s="379"/>
      <c r="AA31" s="383"/>
      <c r="AB31" s="379"/>
    </row>
    <row r="32" spans="2:28" ht="20.25">
      <c r="B32" s="312">
        <f t="shared" si="5"/>
        <v>20</v>
      </c>
      <c r="C32" s="313" t="s">
        <v>1496</v>
      </c>
      <c r="D32" s="313"/>
      <c r="E32" s="858"/>
      <c r="F32" s="859">
        <v>64587500</v>
      </c>
      <c r="G32" s="859">
        <v>5967300</v>
      </c>
      <c r="H32" s="859">
        <v>292500</v>
      </c>
      <c r="I32" s="859">
        <v>1053600</v>
      </c>
      <c r="J32" s="859">
        <v>480000</v>
      </c>
      <c r="K32" s="859"/>
      <c r="L32" s="859"/>
      <c r="M32" s="859"/>
      <c r="N32" s="859">
        <v>1302475</v>
      </c>
      <c r="O32" s="859"/>
      <c r="P32" s="859">
        <v>807200</v>
      </c>
      <c r="Q32" s="859"/>
      <c r="R32" s="859"/>
      <c r="S32" s="860">
        <f t="shared" si="2"/>
        <v>74490575</v>
      </c>
      <c r="T32" s="379">
        <f t="shared" si="1"/>
        <v>73683375</v>
      </c>
      <c r="U32" s="380" t="e">
        <f>SUM(#REF!)</f>
        <v>#REF!</v>
      </c>
      <c r="W32" s="314"/>
      <c r="Y32" s="379"/>
      <c r="Z32" s="379"/>
      <c r="AA32" s="383"/>
      <c r="AB32" s="379"/>
    </row>
    <row r="33" spans="2:28" ht="20.25">
      <c r="B33" s="312">
        <f t="shared" si="5"/>
        <v>21</v>
      </c>
      <c r="C33" s="313" t="s">
        <v>1497</v>
      </c>
      <c r="D33" s="313"/>
      <c r="E33" s="858"/>
      <c r="F33" s="859">
        <v>131147900</v>
      </c>
      <c r="G33" s="859">
        <v>16284900</v>
      </c>
      <c r="H33" s="859">
        <v>381500</v>
      </c>
      <c r="I33" s="859">
        <v>10100</v>
      </c>
      <c r="J33" s="859">
        <v>840000</v>
      </c>
      <c r="K33" s="859"/>
      <c r="L33" s="859"/>
      <c r="M33" s="859"/>
      <c r="N33" s="859">
        <v>3511025</v>
      </c>
      <c r="O33" s="859"/>
      <c r="P33" s="859">
        <v>3072600</v>
      </c>
      <c r="Q33" s="859"/>
      <c r="R33" s="859"/>
      <c r="S33" s="860">
        <f t="shared" si="2"/>
        <v>155248025</v>
      </c>
      <c r="T33" s="379">
        <f t="shared" si="1"/>
        <v>152175425</v>
      </c>
      <c r="U33" s="380" t="e">
        <f>SUM(#REF!)</f>
        <v>#REF!</v>
      </c>
      <c r="W33" s="314"/>
      <c r="Y33" s="379"/>
      <c r="Z33" s="379"/>
      <c r="AA33" s="383"/>
      <c r="AB33" s="379"/>
    </row>
    <row r="34" spans="2:28" ht="20.25">
      <c r="B34" s="312">
        <f t="shared" si="5"/>
        <v>22</v>
      </c>
      <c r="C34" s="313" t="s">
        <v>1498</v>
      </c>
      <c r="D34" s="313"/>
      <c r="E34" s="858"/>
      <c r="F34" s="859">
        <v>60230000</v>
      </c>
      <c r="G34" s="859">
        <v>6784400</v>
      </c>
      <c r="H34" s="859">
        <v>258900</v>
      </c>
      <c r="I34" s="859">
        <v>498100</v>
      </c>
      <c r="J34" s="859">
        <v>160000</v>
      </c>
      <c r="K34" s="859"/>
      <c r="L34" s="859"/>
      <c r="M34" s="859"/>
      <c r="N34" s="859">
        <v>3146606</v>
      </c>
      <c r="O34" s="859"/>
      <c r="P34" s="859">
        <v>1085400</v>
      </c>
      <c r="Q34" s="859">
        <v>250000</v>
      </c>
      <c r="R34" s="859"/>
      <c r="S34" s="860">
        <f t="shared" si="2"/>
        <v>72413406</v>
      </c>
      <c r="T34" s="379">
        <f t="shared" si="1"/>
        <v>71078006</v>
      </c>
      <c r="U34" s="380" t="e">
        <f>SUM(#REF!)</f>
        <v>#REF!</v>
      </c>
      <c r="W34" s="314"/>
      <c r="Y34" s="379"/>
      <c r="Z34" s="379"/>
      <c r="AA34" s="383"/>
      <c r="AB34" s="379"/>
    </row>
    <row r="35" spans="2:28" ht="20.25">
      <c r="B35" s="312">
        <f t="shared" si="5"/>
        <v>23</v>
      </c>
      <c r="C35" s="313" t="s">
        <v>209</v>
      </c>
      <c r="D35" s="313"/>
      <c r="E35" s="858"/>
      <c r="F35" s="859">
        <v>125478000</v>
      </c>
      <c r="G35" s="859">
        <v>12065700</v>
      </c>
      <c r="H35" s="859">
        <v>2653400</v>
      </c>
      <c r="I35" s="859">
        <v>325000</v>
      </c>
      <c r="J35" s="859">
        <v>80000</v>
      </c>
      <c r="K35" s="859"/>
      <c r="L35" s="859"/>
      <c r="M35" s="859"/>
      <c r="N35" s="859">
        <v>4310383</v>
      </c>
      <c r="O35" s="859"/>
      <c r="P35" s="859">
        <v>1452700</v>
      </c>
      <c r="Q35" s="859"/>
      <c r="R35" s="859"/>
      <c r="S35" s="860">
        <f t="shared" si="2"/>
        <v>146365183</v>
      </c>
      <c r="T35" s="379">
        <f t="shared" si="1"/>
        <v>144912483</v>
      </c>
      <c r="U35" s="380" t="e">
        <f>SUM(#REF!)</f>
        <v>#REF!</v>
      </c>
      <c r="W35" s="314"/>
      <c r="Y35" s="379"/>
      <c r="Z35" s="379"/>
      <c r="AA35" s="383"/>
      <c r="AB35" s="379"/>
    </row>
    <row r="36" spans="2:28" ht="20.25">
      <c r="B36" s="312">
        <f t="shared" si="5"/>
        <v>24</v>
      </c>
      <c r="C36" s="313" t="s">
        <v>210</v>
      </c>
      <c r="D36" s="313"/>
      <c r="E36" s="858"/>
      <c r="F36" s="859">
        <v>129927900</v>
      </c>
      <c r="G36" s="859">
        <v>2054400</v>
      </c>
      <c r="H36" s="859">
        <v>103000</v>
      </c>
      <c r="I36" s="859">
        <v>1718500</v>
      </c>
      <c r="J36" s="859">
        <v>980000</v>
      </c>
      <c r="K36" s="859"/>
      <c r="L36" s="859"/>
      <c r="M36" s="859"/>
      <c r="N36" s="859">
        <v>2258810</v>
      </c>
      <c r="O36" s="859"/>
      <c r="P36" s="859">
        <v>957300</v>
      </c>
      <c r="Q36" s="859"/>
      <c r="R36" s="859"/>
      <c r="S36" s="860">
        <f t="shared" si="2"/>
        <v>137999910</v>
      </c>
      <c r="T36" s="379">
        <f t="shared" si="1"/>
        <v>137042610</v>
      </c>
      <c r="U36" s="380" t="e">
        <f>SUM(#REF!)</f>
        <v>#REF!</v>
      </c>
      <c r="W36" s="314"/>
      <c r="Y36" s="379"/>
      <c r="Z36" s="379"/>
      <c r="AA36" s="383"/>
      <c r="AB36" s="379"/>
    </row>
    <row r="37" spans="2:28" ht="20.25">
      <c r="B37" s="312">
        <f t="shared" si="5"/>
        <v>25</v>
      </c>
      <c r="C37" s="313" t="s">
        <v>211</v>
      </c>
      <c r="D37" s="313"/>
      <c r="E37" s="858"/>
      <c r="F37" s="859">
        <v>116354400</v>
      </c>
      <c r="G37" s="859">
        <v>12565200</v>
      </c>
      <c r="H37" s="859">
        <v>1320700</v>
      </c>
      <c r="I37" s="859">
        <v>3102100</v>
      </c>
      <c r="J37" s="859">
        <v>810000</v>
      </c>
      <c r="K37" s="859"/>
      <c r="L37" s="859"/>
      <c r="M37" s="859"/>
      <c r="N37" s="859">
        <v>2693212</v>
      </c>
      <c r="O37" s="859"/>
      <c r="P37" s="859">
        <v>1957200</v>
      </c>
      <c r="Q37" s="859"/>
      <c r="R37" s="859"/>
      <c r="S37" s="860">
        <f t="shared" si="2"/>
        <v>138802812</v>
      </c>
      <c r="T37" s="379">
        <f t="shared" si="1"/>
        <v>136845612</v>
      </c>
      <c r="U37" s="380" t="e">
        <f>SUM(#REF!)</f>
        <v>#REF!</v>
      </c>
      <c r="W37" s="314"/>
      <c r="Y37" s="379"/>
      <c r="Z37" s="379"/>
      <c r="AA37" s="383"/>
      <c r="AB37" s="379"/>
    </row>
    <row r="38" spans="2:28" ht="20.25">
      <c r="B38" s="312">
        <f t="shared" si="5"/>
        <v>26</v>
      </c>
      <c r="C38" s="313" t="s">
        <v>212</v>
      </c>
      <c r="D38" s="313"/>
      <c r="E38" s="858"/>
      <c r="F38" s="859">
        <v>142975200</v>
      </c>
      <c r="G38" s="859">
        <v>7755600</v>
      </c>
      <c r="H38" s="859">
        <v>578000</v>
      </c>
      <c r="I38" s="859">
        <v>1578200</v>
      </c>
      <c r="J38" s="859">
        <v>350000</v>
      </c>
      <c r="K38" s="859"/>
      <c r="L38" s="859"/>
      <c r="M38" s="859"/>
      <c r="N38" s="859">
        <v>6889220</v>
      </c>
      <c r="O38" s="859"/>
      <c r="P38" s="859">
        <v>1573900</v>
      </c>
      <c r="Q38" s="859"/>
      <c r="R38" s="859"/>
      <c r="S38" s="860">
        <f t="shared" si="2"/>
        <v>161700120</v>
      </c>
      <c r="T38" s="379">
        <f t="shared" si="1"/>
        <v>160126220</v>
      </c>
      <c r="U38" s="380" t="e">
        <f>SUM(#REF!)</f>
        <v>#REF!</v>
      </c>
      <c r="W38" s="314"/>
      <c r="Y38" s="379"/>
      <c r="Z38" s="379"/>
      <c r="AA38" s="383"/>
      <c r="AB38" s="379"/>
    </row>
    <row r="39" spans="2:28" ht="20.25">
      <c r="B39" s="312">
        <f t="shared" si="5"/>
        <v>27</v>
      </c>
      <c r="C39" s="313" t="s">
        <v>213</v>
      </c>
      <c r="D39" s="313"/>
      <c r="E39" s="858"/>
      <c r="F39" s="859">
        <v>64114300</v>
      </c>
      <c r="G39" s="859">
        <v>8312900</v>
      </c>
      <c r="H39" s="859">
        <v>1779700</v>
      </c>
      <c r="I39" s="859">
        <v>147300</v>
      </c>
      <c r="J39" s="859">
        <v>120000</v>
      </c>
      <c r="K39" s="859"/>
      <c r="L39" s="859"/>
      <c r="M39" s="859"/>
      <c r="N39" s="859">
        <v>1763764</v>
      </c>
      <c r="O39" s="859"/>
      <c r="P39" s="859">
        <v>4281700</v>
      </c>
      <c r="Q39" s="859"/>
      <c r="R39" s="859"/>
      <c r="S39" s="860">
        <f t="shared" si="2"/>
        <v>80519664</v>
      </c>
      <c r="T39" s="379">
        <f t="shared" si="1"/>
        <v>76237964</v>
      </c>
      <c r="U39" s="380" t="e">
        <f>SUM(#REF!)</f>
        <v>#REF!</v>
      </c>
      <c r="W39" s="314"/>
      <c r="Y39" s="379"/>
      <c r="Z39" s="379"/>
      <c r="AA39" s="383"/>
      <c r="AB39" s="379"/>
    </row>
    <row r="40" spans="2:28" ht="20.25">
      <c r="B40" s="312">
        <f t="shared" si="5"/>
        <v>28</v>
      </c>
      <c r="C40" s="313" t="s">
        <v>214</v>
      </c>
      <c r="D40" s="313"/>
      <c r="E40" s="858"/>
      <c r="F40" s="859">
        <v>147773400</v>
      </c>
      <c r="G40" s="859">
        <v>1099700</v>
      </c>
      <c r="H40" s="859">
        <v>408000</v>
      </c>
      <c r="I40" s="859">
        <v>1845900</v>
      </c>
      <c r="J40" s="859">
        <v>550000</v>
      </c>
      <c r="K40" s="859"/>
      <c r="L40" s="859"/>
      <c r="M40" s="859"/>
      <c r="N40" s="859">
        <v>6481335</v>
      </c>
      <c r="O40" s="859"/>
      <c r="P40" s="859">
        <v>858500</v>
      </c>
      <c r="Q40" s="859"/>
      <c r="R40" s="859"/>
      <c r="S40" s="860">
        <f t="shared" si="2"/>
        <v>159016835</v>
      </c>
      <c r="T40" s="379">
        <f t="shared" si="1"/>
        <v>158158335</v>
      </c>
      <c r="U40" s="380" t="e">
        <f>SUM(#REF!)</f>
        <v>#REF!</v>
      </c>
      <c r="W40" s="314"/>
      <c r="Y40" s="379"/>
      <c r="Z40" s="379"/>
      <c r="AA40" s="383"/>
      <c r="AB40" s="379"/>
    </row>
    <row r="41" spans="2:28" ht="20.25">
      <c r="B41" s="312">
        <f t="shared" si="5"/>
        <v>29</v>
      </c>
      <c r="C41" s="313" t="s">
        <v>215</v>
      </c>
      <c r="D41" s="313"/>
      <c r="E41" s="858"/>
      <c r="F41" s="859">
        <v>232124000</v>
      </c>
      <c r="G41" s="859">
        <v>21499000</v>
      </c>
      <c r="H41" s="859">
        <v>1178400</v>
      </c>
      <c r="I41" s="859">
        <v>590600</v>
      </c>
      <c r="J41" s="859">
        <v>525600</v>
      </c>
      <c r="K41" s="859"/>
      <c r="L41" s="859"/>
      <c r="M41" s="859"/>
      <c r="N41" s="859">
        <v>7834896</v>
      </c>
      <c r="O41" s="859"/>
      <c r="P41" s="859">
        <v>2890100</v>
      </c>
      <c r="Q41" s="859"/>
      <c r="R41" s="859"/>
      <c r="S41" s="860">
        <f t="shared" si="2"/>
        <v>266642596</v>
      </c>
      <c r="T41" s="379">
        <f t="shared" si="1"/>
        <v>263752496</v>
      </c>
      <c r="U41" s="380" t="e">
        <f>SUM(#REF!)</f>
        <v>#REF!</v>
      </c>
      <c r="W41" s="314"/>
      <c r="Y41" s="379"/>
      <c r="Z41" s="379"/>
      <c r="AA41" s="383"/>
      <c r="AB41" s="379"/>
    </row>
    <row r="42" spans="2:28" ht="40.5">
      <c r="B42" s="312"/>
      <c r="C42" s="317" t="s">
        <v>216</v>
      </c>
      <c r="D42" s="860">
        <f t="shared" ref="D42:R42" si="6">SUM(D22:D41)</f>
        <v>0</v>
      </c>
      <c r="E42" s="860">
        <f t="shared" si="6"/>
        <v>0</v>
      </c>
      <c r="F42" s="860">
        <f t="shared" si="6"/>
        <v>2228372300</v>
      </c>
      <c r="G42" s="860">
        <f t="shared" si="6"/>
        <v>186217400</v>
      </c>
      <c r="H42" s="860">
        <f t="shared" si="6"/>
        <v>14922600</v>
      </c>
      <c r="I42" s="860">
        <f t="shared" si="6"/>
        <v>16772500</v>
      </c>
      <c r="J42" s="860">
        <f t="shared" si="6"/>
        <v>12870600</v>
      </c>
      <c r="K42" s="860">
        <f t="shared" si="6"/>
        <v>530900</v>
      </c>
      <c r="L42" s="860">
        <f t="shared" si="6"/>
        <v>0</v>
      </c>
      <c r="M42" s="860">
        <f t="shared" si="6"/>
        <v>0</v>
      </c>
      <c r="N42" s="860">
        <f t="shared" si="6"/>
        <v>67755378</v>
      </c>
      <c r="O42" s="860">
        <f t="shared" si="6"/>
        <v>0</v>
      </c>
      <c r="P42" s="860">
        <f t="shared" si="6"/>
        <v>34755800</v>
      </c>
      <c r="Q42" s="860">
        <f t="shared" si="6"/>
        <v>250000</v>
      </c>
      <c r="R42" s="860">
        <f t="shared" si="6"/>
        <v>0</v>
      </c>
      <c r="S42" s="860">
        <f t="shared" si="2"/>
        <v>2562447478</v>
      </c>
      <c r="T42" s="379">
        <f t="shared" si="1"/>
        <v>2527441678</v>
      </c>
      <c r="U42" s="380" t="e">
        <f>SUM(#REF!)</f>
        <v>#REF!</v>
      </c>
      <c r="W42" s="314"/>
      <c r="Y42" s="379"/>
      <c r="Z42" s="379"/>
      <c r="AA42" s="383"/>
      <c r="AB42" s="379"/>
    </row>
    <row r="43" spans="2:28" ht="40.5">
      <c r="B43" s="312"/>
      <c r="C43" s="317" t="s">
        <v>1056</v>
      </c>
      <c r="D43" s="860">
        <f t="shared" ref="D43:R43" si="7">+D42+D21</f>
        <v>0</v>
      </c>
      <c r="E43" s="860">
        <f t="shared" si="7"/>
        <v>0</v>
      </c>
      <c r="F43" s="860">
        <f t="shared" si="7"/>
        <v>3278419700</v>
      </c>
      <c r="G43" s="860">
        <f t="shared" si="7"/>
        <v>411977400</v>
      </c>
      <c r="H43" s="860">
        <f t="shared" si="7"/>
        <v>67591500</v>
      </c>
      <c r="I43" s="860">
        <f t="shared" si="7"/>
        <v>23232400</v>
      </c>
      <c r="J43" s="860">
        <f t="shared" si="7"/>
        <v>15080600</v>
      </c>
      <c r="K43" s="860">
        <f t="shared" si="7"/>
        <v>1030900</v>
      </c>
      <c r="L43" s="860">
        <f t="shared" si="7"/>
        <v>0</v>
      </c>
      <c r="M43" s="860">
        <f t="shared" si="7"/>
        <v>0</v>
      </c>
      <c r="N43" s="860">
        <f t="shared" si="7"/>
        <v>95417700</v>
      </c>
      <c r="O43" s="860">
        <f t="shared" si="7"/>
        <v>2748000</v>
      </c>
      <c r="P43" s="860">
        <f t="shared" si="7"/>
        <v>52497500</v>
      </c>
      <c r="Q43" s="860">
        <f t="shared" si="7"/>
        <v>250000</v>
      </c>
      <c r="R43" s="860">
        <f t="shared" si="7"/>
        <v>0</v>
      </c>
      <c r="S43" s="860">
        <f t="shared" si="2"/>
        <v>3948245700</v>
      </c>
      <c r="T43" s="379">
        <f t="shared" si="1"/>
        <v>3895498200</v>
      </c>
      <c r="U43" s="380" t="e">
        <f>SUM(#REF!)</f>
        <v>#REF!</v>
      </c>
      <c r="W43" s="314"/>
      <c r="Y43" s="379"/>
      <c r="Z43" s="379"/>
      <c r="AA43" s="383"/>
      <c r="AB43" s="379"/>
    </row>
    <row r="44" spans="2:28" ht="40.5">
      <c r="B44" s="312">
        <f>1+B41</f>
        <v>30</v>
      </c>
      <c r="C44" s="861" t="s">
        <v>910</v>
      </c>
      <c r="D44" s="861"/>
      <c r="E44" s="859"/>
      <c r="F44" s="859"/>
      <c r="G44" s="859"/>
      <c r="H44" s="859"/>
      <c r="I44" s="859"/>
      <c r="J44" s="859"/>
      <c r="K44" s="859"/>
      <c r="L44" s="859">
        <v>37243900</v>
      </c>
      <c r="M44" s="859">
        <v>6000000</v>
      </c>
      <c r="N44" s="859"/>
      <c r="O44" s="859"/>
      <c r="P44" s="859"/>
      <c r="Q44" s="859"/>
      <c r="R44" s="859">
        <v>700000</v>
      </c>
      <c r="S44" s="860">
        <f t="shared" si="2"/>
        <v>43943900</v>
      </c>
      <c r="T44" s="379">
        <f t="shared" si="1"/>
        <v>43243900</v>
      </c>
      <c r="U44" s="380" t="e">
        <f>SUM(#REF!)</f>
        <v>#REF!</v>
      </c>
      <c r="Y44" s="379"/>
      <c r="Z44" s="379"/>
      <c r="AA44" s="383"/>
      <c r="AB44" s="379"/>
    </row>
    <row r="45" spans="2:28" ht="20.25">
      <c r="B45" s="312">
        <v>31</v>
      </c>
      <c r="C45" s="862" t="s">
        <v>911</v>
      </c>
      <c r="D45" s="862"/>
      <c r="E45" s="859"/>
      <c r="F45" s="859"/>
      <c r="G45" s="859"/>
      <c r="H45" s="859"/>
      <c r="I45" s="859"/>
      <c r="J45" s="859"/>
      <c r="K45" s="859"/>
      <c r="L45" s="859"/>
      <c r="M45" s="859"/>
      <c r="N45" s="859"/>
      <c r="O45" s="859"/>
      <c r="P45" s="859"/>
      <c r="Q45" s="859"/>
      <c r="R45" s="859"/>
      <c r="S45" s="860">
        <f t="shared" si="2"/>
        <v>0</v>
      </c>
      <c r="T45" s="379"/>
      <c r="U45" s="380"/>
      <c r="Y45" s="379"/>
      <c r="Z45" s="379"/>
      <c r="AA45" s="383"/>
      <c r="AB45" s="379"/>
    </row>
    <row r="46" spans="2:28" ht="40.5">
      <c r="B46" s="312">
        <v>32</v>
      </c>
      <c r="C46" s="861" t="s">
        <v>912</v>
      </c>
      <c r="D46" s="861"/>
      <c r="E46" s="859"/>
      <c r="F46" s="859"/>
      <c r="G46" s="859"/>
      <c r="H46" s="859"/>
      <c r="I46" s="859"/>
      <c r="J46" s="859"/>
      <c r="K46" s="859"/>
      <c r="L46" s="859"/>
      <c r="M46" s="859"/>
      <c r="N46" s="859"/>
      <c r="O46" s="859">
        <v>700000</v>
      </c>
      <c r="P46" s="859"/>
      <c r="Q46" s="859"/>
      <c r="R46" s="859"/>
      <c r="S46" s="860">
        <f t="shared" si="2"/>
        <v>700000</v>
      </c>
      <c r="T46" s="379">
        <f>SUM(E46:O46)</f>
        <v>700000</v>
      </c>
      <c r="U46" s="380" t="e">
        <f>SUM(#REF!)</f>
        <v>#REF!</v>
      </c>
      <c r="Y46" s="379"/>
      <c r="Z46" s="379"/>
      <c r="AA46" s="383"/>
      <c r="AB46" s="379"/>
    </row>
    <row r="47" spans="2:28" s="318" customFormat="1" ht="34.15" customHeight="1">
      <c r="B47" s="1469" t="s">
        <v>1251</v>
      </c>
      <c r="C47" s="1469"/>
      <c r="D47" s="863">
        <f>+D46+D44+D43+D45+10556400</f>
        <v>10556400</v>
      </c>
      <c r="E47" s="863">
        <f>+E46+E44+E43+E45+62278100</f>
        <v>62278100</v>
      </c>
      <c r="F47" s="863">
        <f t="shared" ref="F47:R47" si="8">+F46+F44+F43+F45</f>
        <v>3278419700</v>
      </c>
      <c r="G47" s="863">
        <f t="shared" si="8"/>
        <v>411977400</v>
      </c>
      <c r="H47" s="863">
        <f t="shared" si="8"/>
        <v>67591500</v>
      </c>
      <c r="I47" s="863">
        <f t="shared" si="8"/>
        <v>23232400</v>
      </c>
      <c r="J47" s="863">
        <f t="shared" si="8"/>
        <v>15080600</v>
      </c>
      <c r="K47" s="863">
        <f t="shared" si="8"/>
        <v>1030900</v>
      </c>
      <c r="L47" s="863">
        <f t="shared" si="8"/>
        <v>37243900</v>
      </c>
      <c r="M47" s="863">
        <f t="shared" si="8"/>
        <v>6000000</v>
      </c>
      <c r="N47" s="863">
        <f t="shared" si="8"/>
        <v>95417700</v>
      </c>
      <c r="O47" s="863">
        <f t="shared" si="8"/>
        <v>3448000</v>
      </c>
      <c r="P47" s="863">
        <f t="shared" si="8"/>
        <v>52497500</v>
      </c>
      <c r="Q47" s="863">
        <f t="shared" si="8"/>
        <v>250000</v>
      </c>
      <c r="R47" s="863">
        <f t="shared" si="8"/>
        <v>700000</v>
      </c>
      <c r="S47" s="860">
        <f t="shared" si="2"/>
        <v>4065724100</v>
      </c>
      <c r="T47" s="379">
        <f>SUM(E47:O47)</f>
        <v>4001720200</v>
      </c>
      <c r="U47" s="380" t="e">
        <f>SUM(#REF!)</f>
        <v>#REF!</v>
      </c>
      <c r="Y47" s="379"/>
      <c r="Z47" s="379"/>
      <c r="AB47" s="379"/>
    </row>
    <row r="48" spans="2:28" s="321" customFormat="1" ht="54.6" customHeight="1">
      <c r="B48" s="319"/>
      <c r="C48" s="320"/>
      <c r="D48" s="320"/>
      <c r="E48" s="320"/>
      <c r="F48" s="864"/>
      <c r="G48" s="864"/>
      <c r="H48" s="864"/>
      <c r="I48" s="864"/>
      <c r="J48" s="864"/>
      <c r="K48" s="872" t="s">
        <v>232</v>
      </c>
      <c r="L48" s="548"/>
      <c r="M48" s="1344"/>
      <c r="N48" s="1344"/>
      <c r="O48" s="1344"/>
      <c r="P48" s="1344"/>
      <c r="Q48" s="1344"/>
      <c r="R48" s="1344"/>
      <c r="S48" s="548" t="s">
        <v>709</v>
      </c>
      <c r="T48" s="548"/>
      <c r="U48" s="548"/>
    </row>
    <row r="49" spans="2:21" s="321" customFormat="1" ht="57.6" customHeight="1">
      <c r="B49" s="319"/>
      <c r="C49" s="320"/>
      <c r="D49" s="320"/>
      <c r="E49" s="320"/>
      <c r="F49" s="864"/>
      <c r="G49" s="864"/>
      <c r="H49" s="864"/>
      <c r="I49" s="864"/>
      <c r="J49" s="864"/>
      <c r="K49" s="864"/>
      <c r="L49" s="864"/>
      <c r="M49" s="864"/>
      <c r="N49" s="864"/>
      <c r="O49" s="864"/>
      <c r="P49" s="864"/>
      <c r="Q49" s="864"/>
      <c r="R49" s="864"/>
      <c r="S49" s="345" t="s">
        <v>709</v>
      </c>
      <c r="T49" s="322">
        <f>+S47-'[6]видатки_затв '!M321-'[6]видатки_затв '!M329</f>
        <v>1671257405</v>
      </c>
      <c r="U49" s="322"/>
    </row>
    <row r="50" spans="2:21" s="303" customFormat="1" ht="25.15" customHeight="1">
      <c r="B50" s="323"/>
      <c r="C50" s="324"/>
      <c r="D50" s="324"/>
      <c r="E50" s="324"/>
      <c r="K50" s="324"/>
      <c r="L50" s="324"/>
      <c r="M50" s="324"/>
      <c r="N50" s="324"/>
      <c r="O50" s="324"/>
      <c r="P50" s="324"/>
      <c r="Q50" s="324"/>
      <c r="R50" s="324"/>
      <c r="S50" s="530">
        <f>SUM(E51:R51)</f>
        <v>4055167700</v>
      </c>
      <c r="T50" s="325"/>
      <c r="U50" s="325"/>
    </row>
    <row r="51" spans="2:21" s="303" customFormat="1" ht="27.6" customHeight="1">
      <c r="B51" s="323"/>
      <c r="C51" s="324"/>
      <c r="D51" s="324">
        <v>10556400</v>
      </c>
      <c r="E51" s="532">
        <v>62278100</v>
      </c>
      <c r="F51" s="865">
        <v>3278419700</v>
      </c>
      <c r="G51" s="865">
        <v>411977400</v>
      </c>
      <c r="H51" s="865">
        <f>87807200-20215700</f>
        <v>67591500</v>
      </c>
      <c r="I51" s="865">
        <v>23232400</v>
      </c>
      <c r="J51" s="865">
        <v>15080600</v>
      </c>
      <c r="K51" s="865">
        <v>1030900</v>
      </c>
      <c r="L51" s="865">
        <v>37243900</v>
      </c>
      <c r="M51" s="865">
        <v>6000000</v>
      </c>
      <c r="N51" s="865">
        <v>95417700</v>
      </c>
      <c r="O51" s="865">
        <v>3448000</v>
      </c>
      <c r="P51" s="865">
        <v>52497500</v>
      </c>
      <c r="Q51" s="865">
        <v>250000</v>
      </c>
      <c r="R51" s="865">
        <v>700000</v>
      </c>
      <c r="S51" s="531">
        <f>+'видатки_затв '!M348+'видатки_затв '!M336</f>
        <v>4065724100</v>
      </c>
      <c r="U51" s="303">
        <f>+'[7]видатки_затв '!H193+'[7]видатки_затв '!H180+'[7]видатки_затв '!H178</f>
        <v>0</v>
      </c>
    </row>
    <row r="52" spans="2:21" ht="26.45" customHeight="1">
      <c r="B52" s="326"/>
      <c r="C52" s="30"/>
      <c r="D52" s="537">
        <f t="shared" ref="D52:R52" si="9">+D51-D47</f>
        <v>0</v>
      </c>
      <c r="E52" s="537">
        <f t="shared" si="9"/>
        <v>0</v>
      </c>
      <c r="F52" s="537">
        <f t="shared" si="9"/>
        <v>0</v>
      </c>
      <c r="G52" s="537">
        <f t="shared" si="9"/>
        <v>0</v>
      </c>
      <c r="H52" s="537">
        <f t="shared" si="9"/>
        <v>0</v>
      </c>
      <c r="I52" s="537">
        <f t="shared" si="9"/>
        <v>0</v>
      </c>
      <c r="J52" s="537">
        <f t="shared" si="9"/>
        <v>0</v>
      </c>
      <c r="K52" s="537">
        <f t="shared" si="9"/>
        <v>0</v>
      </c>
      <c r="L52" s="537">
        <f t="shared" si="9"/>
        <v>0</v>
      </c>
      <c r="M52" s="537">
        <f t="shared" si="9"/>
        <v>0</v>
      </c>
      <c r="N52" s="537">
        <f t="shared" si="9"/>
        <v>0</v>
      </c>
      <c r="O52" s="537">
        <f t="shared" si="9"/>
        <v>0</v>
      </c>
      <c r="P52" s="537">
        <f t="shared" si="9"/>
        <v>0</v>
      </c>
      <c r="Q52" s="537">
        <f t="shared" si="9"/>
        <v>0</v>
      </c>
      <c r="R52" s="537">
        <f t="shared" si="9"/>
        <v>0</v>
      </c>
      <c r="S52" s="1377">
        <f>+S51-S47</f>
        <v>0</v>
      </c>
      <c r="T52" s="314">
        <f>+T51+T50</f>
        <v>0</v>
      </c>
      <c r="U52" s="314">
        <f>+U51+U50</f>
        <v>0</v>
      </c>
    </row>
    <row r="53" spans="2:21" ht="18">
      <c r="B53" s="327"/>
      <c r="C53" s="30"/>
      <c r="D53" s="30"/>
      <c r="E53" s="30"/>
      <c r="F53" s="866"/>
      <c r="G53" s="867"/>
      <c r="H53" s="867"/>
      <c r="I53" s="867"/>
      <c r="J53" s="867"/>
      <c r="K53" s="867"/>
      <c r="L53" s="867"/>
      <c r="M53" s="867"/>
      <c r="N53" s="867"/>
      <c r="O53" s="867"/>
      <c r="P53" s="867"/>
      <c r="Q53" s="867"/>
      <c r="R53" s="867"/>
      <c r="S53" s="1378">
        <f>+S51-S50</f>
        <v>10556400</v>
      </c>
    </row>
    <row r="55" spans="2:21">
      <c r="G55" s="868"/>
    </row>
  </sheetData>
  <mergeCells count="31">
    <mergeCell ref="S7:S9"/>
    <mergeCell ref="O8:O9"/>
    <mergeCell ref="M8:M9"/>
    <mergeCell ref="M7:O7"/>
    <mergeCell ref="P7:P9"/>
    <mergeCell ref="N8:N9"/>
    <mergeCell ref="R8:R9"/>
    <mergeCell ref="Q7:R7"/>
    <mergeCell ref="Q8:Q9"/>
    <mergeCell ref="B47:C47"/>
    <mergeCell ref="C7:C9"/>
    <mergeCell ref="B7:B9"/>
    <mergeCell ref="J8:J9"/>
    <mergeCell ref="F8:F9"/>
    <mergeCell ref="G8:G9"/>
    <mergeCell ref="H8:H9"/>
    <mergeCell ref="L8:L9"/>
    <mergeCell ref="K7:L7"/>
    <mergeCell ref="M2:O2"/>
    <mergeCell ref="M3:O3"/>
    <mergeCell ref="K8:K9"/>
    <mergeCell ref="I2:J2"/>
    <mergeCell ref="I3:J3"/>
    <mergeCell ref="I1:J1"/>
    <mergeCell ref="D8:D9"/>
    <mergeCell ref="I8:I9"/>
    <mergeCell ref="E8:E9"/>
    <mergeCell ref="F7:J7"/>
    <mergeCell ref="D7:E7"/>
    <mergeCell ref="D4:J4"/>
    <mergeCell ref="D5:J5"/>
  </mergeCells>
  <phoneticPr fontId="0" type="noConversion"/>
  <printOptions horizontalCentered="1"/>
  <pageMargins left="0.27559055118110237" right="0" top="0" bottom="0" header="0" footer="0"/>
  <pageSetup paperSize="9" scale="39" orientation="landscape" r:id="rId1"/>
  <headerFooter alignWithMargins="0"/>
  <colBreaks count="1" manualBreakCount="1">
    <brk id="10" max="4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F1241"/>
  <sheetViews>
    <sheetView showZeros="0" zoomScale="65" zoomScaleNormal="65" zoomScaleSheetLayoutView="75" workbookViewId="0"/>
  </sheetViews>
  <sheetFormatPr defaultRowHeight="12.75" outlineLevelRow="1"/>
  <cols>
    <col min="1" max="1" width="4.5703125" style="2" customWidth="1"/>
    <col min="2" max="2" width="19.85546875" style="2" customWidth="1"/>
    <col min="3" max="3" width="34.28515625" style="111" customWidth="1"/>
    <col min="4" max="4" width="35.85546875" style="111" customWidth="1"/>
    <col min="5" max="5" width="20.28515625" style="111" customWidth="1"/>
    <col min="6" max="6" width="22.28515625" style="111" customWidth="1"/>
    <col min="7" max="7" width="21" style="111" customWidth="1"/>
    <col min="8" max="8" width="17.85546875" style="111" customWidth="1"/>
    <col min="9" max="9" width="14.5703125" style="89" customWidth="1"/>
    <col min="10" max="10" width="9.140625" style="50" bestFit="1"/>
    <col min="11" max="11" width="14.7109375" style="50" bestFit="1" customWidth="1"/>
    <col min="12" max="15" width="8.85546875" style="50" customWidth="1"/>
    <col min="16" max="18" width="8.85546875" style="24" customWidth="1"/>
    <col min="19" max="20" width="9.140625" style="24"/>
    <col min="21" max="21" width="12" style="24" customWidth="1"/>
    <col min="22" max="22" width="9.140625" style="24"/>
    <col min="23" max="23" width="11" style="24" customWidth="1"/>
    <col min="24" max="24" width="9.140625" style="24"/>
    <col min="25" max="25" width="11.140625" style="24" customWidth="1"/>
    <col min="26" max="26" width="9.140625" style="24"/>
    <col min="27" max="27" width="12.7109375" style="24" customWidth="1"/>
    <col min="28" max="36" width="9.140625" style="24"/>
    <col min="37" max="58" width="9.140625" style="9"/>
    <col min="59" max="16384" width="9.140625" style="2"/>
  </cols>
  <sheetData>
    <row r="1" spans="1:58" ht="18.75">
      <c r="C1" s="698"/>
      <c r="D1" s="698"/>
      <c r="E1" s="698"/>
      <c r="F1" s="1383" t="s">
        <v>821</v>
      </c>
      <c r="G1" s="1383"/>
      <c r="H1" s="1383"/>
      <c r="I1" s="1383"/>
    </row>
    <row r="2" spans="1:58" ht="57.6" customHeight="1">
      <c r="C2" s="698"/>
      <c r="D2" s="698"/>
      <c r="E2" s="698"/>
      <c r="F2" s="1383" t="s">
        <v>913</v>
      </c>
      <c r="G2" s="1383"/>
      <c r="H2" s="1383"/>
      <c r="I2" s="1383"/>
    </row>
    <row r="3" spans="1:58" ht="8.4499999999999993" customHeight="1">
      <c r="C3" s="698"/>
      <c r="D3" s="698"/>
      <c r="E3" s="698"/>
      <c r="F3" s="1383"/>
      <c r="G3" s="1383"/>
      <c r="H3" s="1383"/>
      <c r="I3" s="1383"/>
    </row>
    <row r="4" spans="1:58" ht="14.45" customHeight="1">
      <c r="C4" s="699"/>
      <c r="D4" s="699"/>
      <c r="E4" s="699"/>
      <c r="F4" s="1384" t="s">
        <v>239</v>
      </c>
      <c r="G4" s="1384"/>
      <c r="H4" s="1384"/>
      <c r="I4" s="1384"/>
    </row>
    <row r="5" spans="1:58" ht="20.25">
      <c r="B5" s="1422"/>
      <c r="C5" s="1422"/>
      <c r="D5" s="1422"/>
      <c r="E5" s="1422"/>
      <c r="F5" s="1422"/>
      <c r="G5" s="1422"/>
      <c r="H5" s="1422"/>
    </row>
    <row r="6" spans="1:58" ht="20.25">
      <c r="A6" s="26"/>
      <c r="B6" s="1422" t="s">
        <v>827</v>
      </c>
      <c r="C6" s="1422"/>
      <c r="D6" s="1422"/>
      <c r="E6" s="1422"/>
      <c r="F6" s="1422"/>
      <c r="G6" s="1422"/>
      <c r="H6" s="1422"/>
    </row>
    <row r="7" spans="1:58">
      <c r="A7" s="18"/>
      <c r="B7" s="18"/>
    </row>
    <row r="8" spans="1:58" ht="18.75">
      <c r="A8" s="19"/>
      <c r="B8" s="19"/>
      <c r="C8" s="112"/>
      <c r="D8" s="112"/>
      <c r="E8" s="112"/>
      <c r="F8" s="112"/>
      <c r="G8" s="112"/>
      <c r="H8" s="857" t="s">
        <v>486</v>
      </c>
    </row>
    <row r="9" spans="1:58" ht="18" customHeight="1">
      <c r="A9" s="1482" t="s">
        <v>385</v>
      </c>
      <c r="B9" s="1482"/>
      <c r="C9" s="1425" t="s">
        <v>233</v>
      </c>
      <c r="D9" s="1425" t="s">
        <v>822</v>
      </c>
      <c r="E9" s="1425" t="s">
        <v>823</v>
      </c>
      <c r="F9" s="1425" t="s">
        <v>824</v>
      </c>
      <c r="G9" s="1425" t="s">
        <v>825</v>
      </c>
      <c r="H9" s="1425" t="s">
        <v>826</v>
      </c>
      <c r="K9" s="1432" t="s">
        <v>191</v>
      </c>
      <c r="L9" s="1432"/>
      <c r="M9" s="1432"/>
      <c r="N9" s="1432"/>
    </row>
    <row r="10" spans="1:58" ht="13.15" customHeight="1">
      <c r="A10" s="1482"/>
      <c r="B10" s="1482"/>
      <c r="C10" s="1425"/>
      <c r="D10" s="1425"/>
      <c r="E10" s="1425"/>
      <c r="F10" s="1425"/>
      <c r="G10" s="1425"/>
      <c r="H10" s="1425"/>
    </row>
    <row r="11" spans="1:58" ht="13.15" hidden="1" customHeight="1">
      <c r="A11" s="1483"/>
      <c r="B11" s="1483"/>
      <c r="C11" s="1481"/>
      <c r="D11" s="1481"/>
      <c r="E11" s="1481"/>
      <c r="F11" s="1481"/>
      <c r="G11" s="1481"/>
      <c r="H11" s="1481"/>
      <c r="I11" s="8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3.15" hidden="1" customHeight="1">
      <c r="A12" s="1483"/>
      <c r="B12" s="1483"/>
      <c r="C12" s="1481"/>
      <c r="D12" s="1481"/>
      <c r="E12" s="1481"/>
      <c r="F12" s="1481"/>
      <c r="G12" s="1481"/>
      <c r="H12" s="1481"/>
      <c r="I12" s="8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13.15" hidden="1" customHeight="1">
      <c r="A13" s="1483"/>
      <c r="B13" s="1483"/>
      <c r="C13" s="1481"/>
      <c r="D13" s="1481"/>
      <c r="E13" s="1481"/>
      <c r="F13" s="1481"/>
      <c r="G13" s="1481"/>
      <c r="H13" s="1481"/>
      <c r="I13" s="8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3.15" hidden="1" customHeight="1">
      <c r="A14" s="1483"/>
      <c r="B14" s="1483"/>
      <c r="C14" s="1481"/>
      <c r="D14" s="1481"/>
      <c r="E14" s="1481"/>
      <c r="F14" s="1481"/>
      <c r="G14" s="1481"/>
      <c r="H14" s="1481"/>
      <c r="I14" s="8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3.15" customHeight="1">
      <c r="A15" s="1482"/>
      <c r="B15" s="1482"/>
      <c r="C15" s="1425"/>
      <c r="D15" s="1425"/>
      <c r="E15" s="1425"/>
      <c r="F15" s="1425"/>
      <c r="G15" s="1425"/>
      <c r="H15" s="1425"/>
      <c r="K15" s="69" t="s">
        <v>192</v>
      </c>
      <c r="L15" s="69" t="s">
        <v>503</v>
      </c>
      <c r="M15" s="1433" t="s">
        <v>504</v>
      </c>
      <c r="N15" s="1433"/>
    </row>
    <row r="16" spans="1:58" ht="15.6" customHeight="1">
      <c r="A16" s="1482"/>
      <c r="B16" s="1482"/>
      <c r="C16" s="1425"/>
      <c r="D16" s="1425"/>
      <c r="E16" s="1425"/>
      <c r="F16" s="1425"/>
      <c r="G16" s="1425"/>
      <c r="H16" s="1425"/>
      <c r="K16" s="69" t="s">
        <v>502</v>
      </c>
      <c r="L16" s="69" t="s">
        <v>502</v>
      </c>
      <c r="M16" s="69" t="s">
        <v>192</v>
      </c>
      <c r="N16" s="69" t="s">
        <v>503</v>
      </c>
    </row>
    <row r="17" spans="1:58" ht="77.45" customHeight="1">
      <c r="A17" s="1482"/>
      <c r="B17" s="1482"/>
      <c r="C17" s="1425"/>
      <c r="D17" s="1425"/>
      <c r="E17" s="1425"/>
      <c r="F17" s="1425"/>
      <c r="G17" s="1425"/>
      <c r="H17" s="1425"/>
      <c r="K17" s="70"/>
      <c r="L17" s="70"/>
      <c r="M17" s="70"/>
      <c r="N17" s="70"/>
    </row>
    <row r="18" spans="1:58" s="122" customFormat="1" ht="15.75">
      <c r="A18" s="384">
        <v>1</v>
      </c>
      <c r="B18" s="384">
        <v>2</v>
      </c>
      <c r="C18" s="384">
        <v>3</v>
      </c>
      <c r="D18" s="384">
        <v>4</v>
      </c>
      <c r="E18" s="384">
        <v>5</v>
      </c>
      <c r="F18" s="384">
        <v>6</v>
      </c>
      <c r="G18" s="384">
        <v>7</v>
      </c>
      <c r="H18" s="384">
        <v>8</v>
      </c>
      <c r="I18" s="106"/>
      <c r="J18" s="107"/>
      <c r="K18" s="108"/>
      <c r="L18" s="108"/>
      <c r="M18" s="108"/>
      <c r="N18" s="108"/>
      <c r="O18" s="107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</row>
    <row r="19" spans="1:58" ht="33.6" customHeight="1">
      <c r="A19" s="359" t="s">
        <v>1003</v>
      </c>
      <c r="B19" s="359" t="s">
        <v>1319</v>
      </c>
      <c r="C19" s="360" t="s">
        <v>488</v>
      </c>
      <c r="D19" s="360"/>
      <c r="E19" s="360"/>
      <c r="F19" s="360"/>
      <c r="G19" s="360"/>
      <c r="H19" s="503">
        <f>+'видатки по розпорядниках'!M20</f>
        <v>18810000</v>
      </c>
      <c r="I19" s="162">
        <f>+H19</f>
        <v>18810000</v>
      </c>
      <c r="K19" s="71" t="e">
        <f>SUM(#REF!)</f>
        <v>#REF!</v>
      </c>
      <c r="L19" s="71"/>
      <c r="M19" s="71"/>
      <c r="N19" s="71"/>
    </row>
    <row r="20" spans="1:58" ht="19.899999999999999" hidden="1" customHeight="1">
      <c r="A20" s="570"/>
      <c r="B20" s="570" t="s">
        <v>1599</v>
      </c>
      <c r="C20" s="171" t="s">
        <v>896</v>
      </c>
      <c r="D20" s="171"/>
      <c r="E20" s="171"/>
      <c r="F20" s="171"/>
      <c r="G20" s="171"/>
      <c r="H20" s="360">
        <f>+'видатки по розпорядниках'!M21</f>
        <v>0</v>
      </c>
      <c r="I20" s="162">
        <f t="shared" ref="I20:I85" si="0">+H20</f>
        <v>0</v>
      </c>
      <c r="J20" s="2"/>
      <c r="K20" s="7"/>
      <c r="L20" s="7"/>
      <c r="M20" s="7"/>
      <c r="N20" s="7"/>
      <c r="O20" s="2"/>
      <c r="P20" s="2"/>
      <c r="Q20" s="2"/>
      <c r="R20" s="2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58" ht="42" hidden="1" customHeight="1">
      <c r="A21" s="570"/>
      <c r="B21" s="569"/>
      <c r="C21" s="539" t="s">
        <v>46</v>
      </c>
      <c r="D21" s="539"/>
      <c r="E21" s="539"/>
      <c r="F21" s="539"/>
      <c r="G21" s="539"/>
      <c r="H21" s="360"/>
      <c r="I21" s="162">
        <f t="shared" si="0"/>
        <v>0</v>
      </c>
      <c r="J21" s="2"/>
      <c r="K21" s="132"/>
      <c r="L21" s="132"/>
      <c r="M21" s="132"/>
      <c r="N21" s="132"/>
      <c r="O21" s="2"/>
      <c r="P21" s="2"/>
      <c r="Q21" s="2"/>
      <c r="R21" s="2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58" ht="45">
      <c r="A22" s="1416" t="s">
        <v>1600</v>
      </c>
      <c r="B22" s="1416"/>
      <c r="C22" s="362" t="s">
        <v>376</v>
      </c>
      <c r="D22" s="1351" t="s">
        <v>828</v>
      </c>
      <c r="E22" s="362"/>
      <c r="F22" s="362"/>
      <c r="G22" s="362"/>
      <c r="H22" s="360">
        <f>+'видатки по розпорядниках'!M23</f>
        <v>429000</v>
      </c>
      <c r="I22" s="162">
        <f t="shared" si="0"/>
        <v>429000</v>
      </c>
      <c r="K22" s="71"/>
      <c r="L22" s="71"/>
      <c r="M22" s="71"/>
      <c r="N22" s="71"/>
    </row>
    <row r="23" spans="1:58" ht="45">
      <c r="A23" s="1416" t="s">
        <v>1601</v>
      </c>
      <c r="B23" s="1416"/>
      <c r="C23" s="362" t="s">
        <v>1152</v>
      </c>
      <c r="D23" s="1351" t="s">
        <v>828</v>
      </c>
      <c r="E23" s="362"/>
      <c r="F23" s="362"/>
      <c r="G23" s="362"/>
      <c r="H23" s="360">
        <f>+'видатки по розпорядниках'!M24</f>
        <v>202000</v>
      </c>
      <c r="I23" s="162">
        <f t="shared" si="0"/>
        <v>202000</v>
      </c>
      <c r="K23" s="71"/>
      <c r="L23" s="71"/>
      <c r="M23" s="71"/>
      <c r="N23" s="71"/>
    </row>
    <row r="24" spans="1:58" ht="49.15" hidden="1" customHeight="1">
      <c r="A24" s="570"/>
      <c r="B24" s="550" t="s">
        <v>862</v>
      </c>
      <c r="C24" s="202" t="s">
        <v>187</v>
      </c>
      <c r="D24" s="202"/>
      <c r="E24" s="202"/>
      <c r="F24" s="202"/>
      <c r="G24" s="202"/>
      <c r="H24" s="360">
        <f>+'видатки по розпорядниках'!M25</f>
        <v>0</v>
      </c>
      <c r="I24" s="162">
        <f t="shared" si="0"/>
        <v>0</v>
      </c>
      <c r="K24" s="71"/>
      <c r="L24" s="71"/>
      <c r="M24" s="71"/>
      <c r="N24" s="71"/>
    </row>
    <row r="25" spans="1:58" ht="64.150000000000006" customHeight="1">
      <c r="A25" s="1416" t="s">
        <v>1602</v>
      </c>
      <c r="B25" s="1416"/>
      <c r="C25" s="362" t="s">
        <v>1224</v>
      </c>
      <c r="D25" s="1351" t="s">
        <v>828</v>
      </c>
      <c r="E25" s="362"/>
      <c r="F25" s="362"/>
      <c r="G25" s="362"/>
      <c r="H25" s="360">
        <f>+'видатки по розпорядниках'!M26</f>
        <v>1886500</v>
      </c>
      <c r="I25" s="162">
        <f t="shared" si="0"/>
        <v>1886500</v>
      </c>
      <c r="K25" s="71"/>
      <c r="L25" s="71"/>
      <c r="M25" s="71"/>
      <c r="N25" s="71"/>
    </row>
    <row r="26" spans="1:58" ht="6.6" hidden="1" customHeight="1">
      <c r="A26" s="570"/>
      <c r="B26" s="575"/>
      <c r="C26" s="582" t="s">
        <v>428</v>
      </c>
      <c r="D26" s="582"/>
      <c r="E26" s="582"/>
      <c r="F26" s="582"/>
      <c r="G26" s="582"/>
      <c r="H26" s="360">
        <f>+'видатки по розпорядниках'!M27</f>
        <v>0</v>
      </c>
      <c r="I26" s="162">
        <f t="shared" si="0"/>
        <v>0</v>
      </c>
      <c r="K26" s="71"/>
      <c r="L26" s="71"/>
      <c r="M26" s="71"/>
      <c r="N26" s="71"/>
    </row>
    <row r="27" spans="1:58" ht="115.15" customHeight="1">
      <c r="A27" s="1416" t="s">
        <v>1589</v>
      </c>
      <c r="B27" s="1416"/>
      <c r="C27" s="362" t="s">
        <v>741</v>
      </c>
      <c r="D27" s="1351" t="s">
        <v>828</v>
      </c>
      <c r="E27" s="362"/>
      <c r="F27" s="362"/>
      <c r="G27" s="362"/>
      <c r="H27" s="360">
        <f>+'видатки по розпорядниках'!M28</f>
        <v>348000</v>
      </c>
      <c r="I27" s="162">
        <f t="shared" si="0"/>
        <v>348000</v>
      </c>
      <c r="K27" s="71"/>
      <c r="L27" s="71"/>
      <c r="M27" s="71"/>
      <c r="N27" s="71"/>
    </row>
    <row r="28" spans="1:58" ht="34.9" customHeight="1">
      <c r="A28" s="1416" t="s">
        <v>1603</v>
      </c>
      <c r="B28" s="1416"/>
      <c r="C28" s="217" t="s">
        <v>480</v>
      </c>
      <c r="D28" s="1351" t="s">
        <v>828</v>
      </c>
      <c r="E28" s="217"/>
      <c r="F28" s="217"/>
      <c r="G28" s="217"/>
      <c r="H28" s="360">
        <f>+'видатки по розпорядниках'!M29</f>
        <v>231000</v>
      </c>
      <c r="I28" s="162">
        <f t="shared" si="0"/>
        <v>231000</v>
      </c>
      <c r="K28" s="71"/>
      <c r="L28" s="71"/>
      <c r="M28" s="71"/>
      <c r="N28" s="71"/>
    </row>
    <row r="29" spans="1:58" ht="36" hidden="1" customHeight="1">
      <c r="A29" s="570"/>
      <c r="B29" s="569"/>
      <c r="C29" s="364" t="s">
        <v>508</v>
      </c>
      <c r="D29" s="364"/>
      <c r="E29" s="364"/>
      <c r="F29" s="364"/>
      <c r="G29" s="364"/>
      <c r="H29" s="360">
        <f>+'видатки по розпорядниках'!M30</f>
        <v>0</v>
      </c>
      <c r="I29" s="162">
        <f t="shared" si="0"/>
        <v>0</v>
      </c>
      <c r="K29" s="71"/>
      <c r="L29" s="71"/>
      <c r="M29" s="71"/>
      <c r="N29" s="71"/>
    </row>
    <row r="30" spans="1:58" ht="27" customHeight="1">
      <c r="A30" s="1416" t="s">
        <v>590</v>
      </c>
      <c r="B30" s="1416"/>
      <c r="C30" s="364" t="s">
        <v>204</v>
      </c>
      <c r="D30" s="1351" t="s">
        <v>828</v>
      </c>
      <c r="E30" s="364"/>
      <c r="F30" s="364"/>
      <c r="G30" s="364"/>
      <c r="H30" s="360">
        <f>+'видатки по розпорядниках'!M31</f>
        <v>10780000</v>
      </c>
      <c r="I30" s="162">
        <f t="shared" si="0"/>
        <v>10780000</v>
      </c>
      <c r="K30" s="71"/>
      <c r="L30" s="71"/>
      <c r="M30" s="71"/>
      <c r="N30" s="71"/>
    </row>
    <row r="31" spans="1:58" ht="19.149999999999999" hidden="1" customHeight="1">
      <c r="A31" s="570"/>
      <c r="B31" s="551" t="s">
        <v>863</v>
      </c>
      <c r="C31" s="170" t="s">
        <v>1068</v>
      </c>
      <c r="D31" s="170"/>
      <c r="E31" s="170"/>
      <c r="F31" s="170"/>
      <c r="G31" s="170"/>
      <c r="H31" s="360">
        <f>+'видатки по розпорядниках'!M32</f>
        <v>0</v>
      </c>
      <c r="I31" s="162">
        <f t="shared" si="0"/>
        <v>0</v>
      </c>
      <c r="K31" s="71"/>
      <c r="L31" s="71"/>
      <c r="M31" s="71"/>
      <c r="N31" s="71"/>
    </row>
    <row r="32" spans="1:58" ht="34.15" customHeight="1">
      <c r="A32" s="1416" t="s">
        <v>539</v>
      </c>
      <c r="B32" s="1416"/>
      <c r="C32" s="364" t="s">
        <v>1137</v>
      </c>
      <c r="D32" s="1351" t="s">
        <v>828</v>
      </c>
      <c r="E32" s="364"/>
      <c r="F32" s="364"/>
      <c r="G32" s="364"/>
      <c r="H32" s="360">
        <f>+'видатки по розпорядниках'!M33</f>
        <v>490000</v>
      </c>
      <c r="I32" s="162">
        <f t="shared" si="0"/>
        <v>490000</v>
      </c>
      <c r="K32" s="71"/>
      <c r="L32" s="71"/>
      <c r="M32" s="71"/>
      <c r="N32" s="71"/>
    </row>
    <row r="33" spans="1:58" ht="19.149999999999999" hidden="1" customHeight="1">
      <c r="A33" s="570"/>
      <c r="B33" s="551" t="s">
        <v>727</v>
      </c>
      <c r="C33" s="170" t="s">
        <v>1065</v>
      </c>
      <c r="D33" s="170"/>
      <c r="E33" s="170"/>
      <c r="F33" s="170"/>
      <c r="G33" s="170"/>
      <c r="H33" s="360">
        <f>+'видатки по розпорядниках'!M34</f>
        <v>0</v>
      </c>
      <c r="I33" s="162">
        <f t="shared" si="0"/>
        <v>0</v>
      </c>
      <c r="K33" s="71"/>
      <c r="L33" s="71"/>
      <c r="M33" s="71"/>
      <c r="N33" s="71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72" customHeight="1">
      <c r="A34" s="1416" t="s">
        <v>1604</v>
      </c>
      <c r="B34" s="1416"/>
      <c r="C34" s="364" t="s">
        <v>569</v>
      </c>
      <c r="D34" s="1351" t="s">
        <v>828</v>
      </c>
      <c r="E34" s="364"/>
      <c r="F34" s="364"/>
      <c r="G34" s="364"/>
      <c r="H34" s="360">
        <f>+'видатки по розпорядниках'!M35</f>
        <v>60000</v>
      </c>
      <c r="I34" s="162">
        <f t="shared" si="0"/>
        <v>60000</v>
      </c>
      <c r="K34" s="71"/>
      <c r="L34" s="71"/>
      <c r="M34" s="71"/>
      <c r="N34" s="71"/>
    </row>
    <row r="35" spans="1:58" ht="36" hidden="1" customHeight="1">
      <c r="A35" s="570"/>
      <c r="B35" s="575" t="s">
        <v>1622</v>
      </c>
      <c r="C35" s="170" t="s">
        <v>637</v>
      </c>
      <c r="D35" s="170"/>
      <c r="E35" s="170"/>
      <c r="F35" s="170"/>
      <c r="G35" s="170"/>
      <c r="H35" s="360">
        <f>+'видатки по розпорядниках'!M36</f>
        <v>0</v>
      </c>
      <c r="I35" s="162">
        <f t="shared" si="0"/>
        <v>0</v>
      </c>
      <c r="K35" s="71"/>
      <c r="L35" s="71"/>
      <c r="M35" s="71"/>
      <c r="N35" s="71"/>
    </row>
    <row r="36" spans="1:58" ht="20.45" hidden="1" customHeight="1">
      <c r="A36" s="570"/>
      <c r="B36" s="570" t="s">
        <v>1605</v>
      </c>
      <c r="C36" s="171" t="s">
        <v>639</v>
      </c>
      <c r="D36" s="171"/>
      <c r="E36" s="171"/>
      <c r="F36" s="171"/>
      <c r="G36" s="171"/>
      <c r="H36" s="360">
        <f>+'видатки по розпорядниках'!M37</f>
        <v>0</v>
      </c>
      <c r="I36" s="162">
        <f t="shared" si="0"/>
        <v>0</v>
      </c>
      <c r="J36" s="24"/>
      <c r="K36" s="44"/>
      <c r="L36" s="44"/>
      <c r="M36" s="44"/>
      <c r="N36" s="44"/>
      <c r="O36" s="24"/>
    </row>
    <row r="37" spans="1:58" ht="28.15" hidden="1" customHeight="1">
      <c r="A37" s="570"/>
      <c r="B37" s="569"/>
      <c r="C37" s="364" t="s">
        <v>509</v>
      </c>
      <c r="D37" s="364"/>
      <c r="E37" s="364"/>
      <c r="F37" s="364"/>
      <c r="G37" s="364"/>
      <c r="H37" s="360">
        <f>+'видатки по розпорядниках'!M38</f>
        <v>0</v>
      </c>
      <c r="I37" s="162">
        <f t="shared" si="0"/>
        <v>0</v>
      </c>
      <c r="J37" s="24"/>
      <c r="K37" s="44"/>
      <c r="L37" s="44"/>
      <c r="M37" s="44"/>
      <c r="N37" s="44"/>
      <c r="O37" s="24"/>
    </row>
    <row r="38" spans="1:58" ht="30.6" customHeight="1">
      <c r="A38" s="1416" t="s">
        <v>1606</v>
      </c>
      <c r="B38" s="1416"/>
      <c r="C38" s="364" t="s">
        <v>393</v>
      </c>
      <c r="D38" s="1351" t="s">
        <v>828</v>
      </c>
      <c r="E38" s="364"/>
      <c r="F38" s="364"/>
      <c r="G38" s="364"/>
      <c r="H38" s="360">
        <f>+'видатки по розпорядниках'!M39</f>
        <v>32000</v>
      </c>
      <c r="I38" s="162">
        <f t="shared" si="0"/>
        <v>32000</v>
      </c>
      <c r="K38" s="71"/>
      <c r="L38" s="71"/>
      <c r="M38" s="71"/>
      <c r="N38" s="71"/>
    </row>
    <row r="39" spans="1:58" ht="33" customHeight="1">
      <c r="A39" s="1416" t="s">
        <v>1607</v>
      </c>
      <c r="B39" s="1416"/>
      <c r="C39" s="364" t="s">
        <v>394</v>
      </c>
      <c r="D39" s="1351" t="s">
        <v>828</v>
      </c>
      <c r="E39" s="364"/>
      <c r="F39" s="364"/>
      <c r="G39" s="364"/>
      <c r="H39" s="360">
        <f>+'видатки по розпорядниках'!M40</f>
        <v>21000</v>
      </c>
      <c r="I39" s="162">
        <f t="shared" si="0"/>
        <v>21000</v>
      </c>
      <c r="K39" s="71"/>
      <c r="L39" s="71"/>
      <c r="M39" s="71"/>
      <c r="N39" s="71"/>
    </row>
    <row r="40" spans="1:58" ht="32.450000000000003" customHeight="1">
      <c r="A40" s="1416" t="s">
        <v>1608</v>
      </c>
      <c r="B40" s="1416"/>
      <c r="C40" s="364" t="s">
        <v>702</v>
      </c>
      <c r="D40" s="1351" t="s">
        <v>828</v>
      </c>
      <c r="E40" s="364"/>
      <c r="F40" s="364"/>
      <c r="G40" s="364"/>
      <c r="H40" s="360">
        <f>+'видатки по розпорядниках'!M41</f>
        <v>80500</v>
      </c>
      <c r="I40" s="162">
        <f t="shared" si="0"/>
        <v>80500</v>
      </c>
      <c r="K40" s="71"/>
      <c r="L40" s="71"/>
      <c r="M40" s="71"/>
      <c r="N40" s="71"/>
    </row>
    <row r="41" spans="1:58" ht="24" customHeight="1">
      <c r="A41" s="1416" t="s">
        <v>708</v>
      </c>
      <c r="B41" s="1416"/>
      <c r="C41" s="364" t="s">
        <v>570</v>
      </c>
      <c r="D41" s="1351" t="s">
        <v>828</v>
      </c>
      <c r="E41" s="364"/>
      <c r="F41" s="364"/>
      <c r="G41" s="364"/>
      <c r="H41" s="360">
        <f>+'видатки по розпорядниках'!M42</f>
        <v>5000</v>
      </c>
      <c r="I41" s="162">
        <f t="shared" si="0"/>
        <v>5000</v>
      </c>
      <c r="K41" s="71"/>
      <c r="L41" s="71"/>
      <c r="M41" s="71"/>
      <c r="N41" s="71"/>
    </row>
    <row r="42" spans="1:58" ht="72" hidden="1" customHeight="1">
      <c r="A42" s="570"/>
      <c r="B42" s="575"/>
      <c r="C42" s="177" t="s">
        <v>1261</v>
      </c>
      <c r="D42" s="177"/>
      <c r="E42" s="177"/>
      <c r="F42" s="177"/>
      <c r="G42" s="177"/>
      <c r="H42" s="360">
        <f>+'видатки по розпорядниках'!M43</f>
        <v>0</v>
      </c>
      <c r="I42" s="162">
        <f t="shared" si="0"/>
        <v>0</v>
      </c>
      <c r="K42" s="71"/>
      <c r="L42" s="71"/>
      <c r="M42" s="71"/>
      <c r="N42" s="71"/>
    </row>
    <row r="43" spans="1:58" ht="67.150000000000006" hidden="1" customHeight="1">
      <c r="A43" s="570"/>
      <c r="B43" s="575"/>
      <c r="C43" s="177" t="s">
        <v>513</v>
      </c>
      <c r="D43" s="177"/>
      <c r="E43" s="177"/>
      <c r="F43" s="177"/>
      <c r="G43" s="177"/>
      <c r="H43" s="360">
        <f>+'видатки по розпорядниках'!M44</f>
        <v>0</v>
      </c>
      <c r="I43" s="162">
        <f t="shared" si="0"/>
        <v>0</v>
      </c>
      <c r="K43" s="71"/>
      <c r="L43" s="71"/>
      <c r="M43" s="71"/>
      <c r="N43" s="71"/>
    </row>
    <row r="44" spans="1:58" ht="45" hidden="1" customHeight="1">
      <c r="A44" s="570"/>
      <c r="B44" s="575"/>
      <c r="C44" s="177" t="s">
        <v>1265</v>
      </c>
      <c r="D44" s="177"/>
      <c r="E44" s="177"/>
      <c r="F44" s="177"/>
      <c r="G44" s="177"/>
      <c r="H44" s="360">
        <f>+'видатки по розпорядниках'!M45</f>
        <v>0</v>
      </c>
      <c r="I44" s="162">
        <f t="shared" si="0"/>
        <v>0</v>
      </c>
      <c r="K44" s="71"/>
      <c r="L44" s="71"/>
      <c r="M44" s="71"/>
      <c r="N44" s="71"/>
    </row>
    <row r="45" spans="1:58" ht="19.149999999999999" hidden="1" customHeight="1">
      <c r="A45" s="569" t="s">
        <v>1332</v>
      </c>
      <c r="B45" s="569" t="s">
        <v>1064</v>
      </c>
      <c r="C45" s="364" t="s">
        <v>1597</v>
      </c>
      <c r="D45" s="364"/>
      <c r="E45" s="364"/>
      <c r="F45" s="364"/>
      <c r="G45" s="364"/>
      <c r="H45" s="360">
        <f>+'видатки по розпорядниках'!M46</f>
        <v>0</v>
      </c>
      <c r="I45" s="162">
        <f t="shared" si="0"/>
        <v>0</v>
      </c>
      <c r="K45" s="71"/>
      <c r="L45" s="71"/>
      <c r="M45" s="71"/>
      <c r="N45" s="71"/>
    </row>
    <row r="46" spans="1:58" ht="48" hidden="1" customHeight="1">
      <c r="A46" s="570"/>
      <c r="B46" s="577"/>
      <c r="C46" s="177" t="s">
        <v>1225</v>
      </c>
      <c r="D46" s="177"/>
      <c r="E46" s="177"/>
      <c r="F46" s="177"/>
      <c r="G46" s="177"/>
      <c r="H46" s="360">
        <f>+'видатки по розпорядниках'!M47</f>
        <v>0</v>
      </c>
      <c r="I46" s="162">
        <f t="shared" si="0"/>
        <v>0</v>
      </c>
      <c r="K46" s="71"/>
      <c r="L46" s="71"/>
      <c r="M46" s="71"/>
      <c r="N46" s="71"/>
    </row>
    <row r="47" spans="1:58" ht="42" hidden="1" customHeight="1">
      <c r="A47" s="570"/>
      <c r="B47" s="577"/>
      <c r="C47" s="177" t="s">
        <v>86</v>
      </c>
      <c r="D47" s="177"/>
      <c r="E47" s="177"/>
      <c r="F47" s="177"/>
      <c r="G47" s="177"/>
      <c r="H47" s="360">
        <f>+'видатки по розпорядниках'!M48</f>
        <v>0</v>
      </c>
      <c r="I47" s="162">
        <f t="shared" si="0"/>
        <v>0</v>
      </c>
      <c r="K47" s="71"/>
      <c r="L47" s="71"/>
      <c r="M47" s="71"/>
      <c r="N47" s="71"/>
    </row>
    <row r="48" spans="1:58" ht="37.15" hidden="1" customHeight="1">
      <c r="A48" s="570"/>
      <c r="B48" s="577"/>
      <c r="C48" s="177" t="s">
        <v>992</v>
      </c>
      <c r="D48" s="177"/>
      <c r="E48" s="177"/>
      <c r="F48" s="177"/>
      <c r="G48" s="177"/>
      <c r="H48" s="360">
        <f>+'видатки по розпорядниках'!M49</f>
        <v>0</v>
      </c>
      <c r="I48" s="162">
        <f t="shared" si="0"/>
        <v>0</v>
      </c>
      <c r="K48" s="71"/>
      <c r="L48" s="71"/>
      <c r="M48" s="71"/>
      <c r="N48" s="71"/>
    </row>
    <row r="49" spans="1:14" ht="38.450000000000003" hidden="1" customHeight="1">
      <c r="A49" s="570"/>
      <c r="B49" s="575"/>
      <c r="C49" s="170" t="s">
        <v>1164</v>
      </c>
      <c r="D49" s="170"/>
      <c r="E49" s="170"/>
      <c r="F49" s="170"/>
      <c r="G49" s="170"/>
      <c r="H49" s="360">
        <f>+'видатки по розпорядниках'!M50</f>
        <v>0</v>
      </c>
      <c r="I49" s="162">
        <f t="shared" si="0"/>
        <v>0</v>
      </c>
      <c r="K49" s="71"/>
      <c r="L49" s="71"/>
      <c r="M49" s="71"/>
      <c r="N49" s="71"/>
    </row>
    <row r="50" spans="1:14" ht="28.9" hidden="1" customHeight="1">
      <c r="A50" s="570"/>
      <c r="B50" s="575"/>
      <c r="C50" s="170" t="s">
        <v>1165</v>
      </c>
      <c r="D50" s="170"/>
      <c r="E50" s="170"/>
      <c r="F50" s="170"/>
      <c r="G50" s="170"/>
      <c r="H50" s="360">
        <f>+'видатки по розпорядниках'!M51</f>
        <v>0</v>
      </c>
      <c r="I50" s="162">
        <f t="shared" si="0"/>
        <v>0</v>
      </c>
      <c r="K50" s="71"/>
      <c r="L50" s="71"/>
      <c r="M50" s="71"/>
      <c r="N50" s="71"/>
    </row>
    <row r="51" spans="1:14" ht="36" hidden="1" customHeight="1">
      <c r="A51" s="570"/>
      <c r="B51" s="575"/>
      <c r="C51" s="177" t="s">
        <v>55</v>
      </c>
      <c r="D51" s="177"/>
      <c r="E51" s="177"/>
      <c r="F51" s="177"/>
      <c r="G51" s="177"/>
      <c r="H51" s="360">
        <f>+'видатки по розпорядниках'!M52</f>
        <v>0</v>
      </c>
      <c r="I51" s="162">
        <f t="shared" si="0"/>
        <v>0</v>
      </c>
      <c r="K51" s="71"/>
      <c r="L51" s="71"/>
      <c r="M51" s="71"/>
      <c r="N51" s="71"/>
    </row>
    <row r="52" spans="1:14" ht="31.9" hidden="1" customHeight="1">
      <c r="A52" s="570"/>
      <c r="B52" s="575"/>
      <c r="C52" s="177" t="s">
        <v>1166</v>
      </c>
      <c r="D52" s="177"/>
      <c r="E52" s="177"/>
      <c r="F52" s="177"/>
      <c r="G52" s="177"/>
      <c r="H52" s="360">
        <f>+'видатки по розпорядниках'!M53</f>
        <v>0</v>
      </c>
      <c r="I52" s="162">
        <f t="shared" si="0"/>
        <v>0</v>
      </c>
      <c r="K52" s="71"/>
      <c r="L52" s="71"/>
      <c r="M52" s="71"/>
      <c r="N52" s="71"/>
    </row>
    <row r="53" spans="1:14" ht="40.9" hidden="1" customHeight="1">
      <c r="A53" s="570"/>
      <c r="B53" s="575"/>
      <c r="C53" s="170" t="s">
        <v>1303</v>
      </c>
      <c r="D53" s="170"/>
      <c r="E53" s="170"/>
      <c r="F53" s="170"/>
      <c r="G53" s="170"/>
      <c r="H53" s="360">
        <f>+'видатки по розпорядниках'!M54</f>
        <v>0</v>
      </c>
      <c r="I53" s="162">
        <f t="shared" si="0"/>
        <v>0</v>
      </c>
      <c r="K53" s="71"/>
      <c r="L53" s="71"/>
      <c r="M53" s="71"/>
      <c r="N53" s="71"/>
    </row>
    <row r="54" spans="1:14" ht="35.450000000000003" hidden="1" customHeight="1">
      <c r="A54" s="570"/>
      <c r="B54" s="575"/>
      <c r="C54" s="170" t="s">
        <v>506</v>
      </c>
      <c r="D54" s="170"/>
      <c r="E54" s="170"/>
      <c r="F54" s="170"/>
      <c r="G54" s="170"/>
      <c r="H54" s="360">
        <f>+'видатки по розпорядниках'!M55</f>
        <v>0</v>
      </c>
      <c r="I54" s="162">
        <f t="shared" si="0"/>
        <v>0</v>
      </c>
      <c r="K54" s="71"/>
      <c r="L54" s="71"/>
      <c r="M54" s="71"/>
      <c r="N54" s="71"/>
    </row>
    <row r="55" spans="1:14" ht="34.9" hidden="1" customHeight="1">
      <c r="A55" s="570"/>
      <c r="B55" s="575"/>
      <c r="C55" s="177" t="s">
        <v>888</v>
      </c>
      <c r="D55" s="177"/>
      <c r="E55" s="177"/>
      <c r="F55" s="177"/>
      <c r="G55" s="177"/>
      <c r="H55" s="360">
        <f>+'видатки по розпорядниках'!M56</f>
        <v>0</v>
      </c>
      <c r="I55" s="162">
        <f t="shared" si="0"/>
        <v>0</v>
      </c>
      <c r="K55" s="71"/>
      <c r="L55" s="71"/>
      <c r="M55" s="71"/>
      <c r="N55" s="71"/>
    </row>
    <row r="56" spans="1:14" ht="31.15" hidden="1" customHeight="1">
      <c r="A56" s="570"/>
      <c r="B56" s="575"/>
      <c r="C56" s="177" t="s">
        <v>889</v>
      </c>
      <c r="D56" s="177"/>
      <c r="E56" s="177"/>
      <c r="F56" s="177"/>
      <c r="G56" s="177"/>
      <c r="H56" s="360">
        <f>+'видатки по розпорядниках'!M57</f>
        <v>0</v>
      </c>
      <c r="I56" s="162">
        <f t="shared" si="0"/>
        <v>0</v>
      </c>
      <c r="K56" s="71"/>
      <c r="L56" s="71"/>
      <c r="M56" s="71"/>
      <c r="N56" s="71"/>
    </row>
    <row r="57" spans="1:14" ht="63" hidden="1" customHeight="1">
      <c r="A57" s="570"/>
      <c r="B57" s="575"/>
      <c r="C57" s="170" t="s">
        <v>1057</v>
      </c>
      <c r="D57" s="170"/>
      <c r="E57" s="170"/>
      <c r="F57" s="170"/>
      <c r="G57" s="170"/>
      <c r="H57" s="360">
        <f>+'видатки по розпорядниках'!M58</f>
        <v>0</v>
      </c>
      <c r="I57" s="162">
        <f t="shared" si="0"/>
        <v>0</v>
      </c>
      <c r="K57" s="71"/>
      <c r="L57" s="71"/>
      <c r="M57" s="71"/>
      <c r="N57" s="71"/>
    </row>
    <row r="58" spans="1:14" ht="40.15" hidden="1" customHeight="1">
      <c r="A58" s="570"/>
      <c r="B58" s="575"/>
      <c r="C58" s="177" t="s">
        <v>999</v>
      </c>
      <c r="D58" s="177"/>
      <c r="E58" s="177"/>
      <c r="F58" s="177"/>
      <c r="G58" s="177"/>
      <c r="H58" s="360">
        <f>+'видатки по розпорядниках'!M59</f>
        <v>0</v>
      </c>
      <c r="I58" s="162">
        <f t="shared" si="0"/>
        <v>0</v>
      </c>
      <c r="K58" s="71"/>
      <c r="L58" s="71"/>
      <c r="M58" s="71"/>
      <c r="N58" s="71"/>
    </row>
    <row r="59" spans="1:14" ht="44.45" hidden="1" customHeight="1">
      <c r="A59" s="570"/>
      <c r="B59" s="575"/>
      <c r="C59" s="170" t="s">
        <v>898</v>
      </c>
      <c r="D59" s="170"/>
      <c r="E59" s="170"/>
      <c r="F59" s="170"/>
      <c r="G59" s="170"/>
      <c r="H59" s="360">
        <f>+'видатки по розпорядниках'!M60</f>
        <v>0</v>
      </c>
      <c r="I59" s="162">
        <f t="shared" si="0"/>
        <v>0</v>
      </c>
      <c r="K59" s="71"/>
      <c r="L59" s="71"/>
      <c r="M59" s="71"/>
      <c r="N59" s="71"/>
    </row>
    <row r="60" spans="1:14" ht="129.75" hidden="1" customHeight="1">
      <c r="A60" s="570"/>
      <c r="B60" s="569" t="s">
        <v>1028</v>
      </c>
      <c r="C60" s="364" t="s">
        <v>1027</v>
      </c>
      <c r="D60" s="364"/>
      <c r="E60" s="364"/>
      <c r="F60" s="364"/>
      <c r="G60" s="364"/>
      <c r="H60" s="360">
        <f>+'видатки по розпорядниках'!M61</f>
        <v>0</v>
      </c>
      <c r="I60" s="162">
        <f t="shared" si="0"/>
        <v>0</v>
      </c>
      <c r="K60" s="71"/>
      <c r="L60" s="71"/>
      <c r="M60" s="71"/>
      <c r="N60" s="71"/>
    </row>
    <row r="61" spans="1:14" ht="60" hidden="1" customHeight="1">
      <c r="A61" s="564" t="s">
        <v>1333</v>
      </c>
      <c r="B61" s="550" t="s">
        <v>707</v>
      </c>
      <c r="C61" s="213" t="s">
        <v>1397</v>
      </c>
      <c r="D61" s="213"/>
      <c r="E61" s="213"/>
      <c r="F61" s="213"/>
      <c r="G61" s="213"/>
      <c r="H61" s="360">
        <f>+'видатки по розпорядниках'!M62</f>
        <v>0</v>
      </c>
      <c r="I61" s="162">
        <f t="shared" si="0"/>
        <v>0</v>
      </c>
      <c r="K61" s="71"/>
      <c r="L61" s="71"/>
      <c r="M61" s="71"/>
      <c r="N61" s="71"/>
    </row>
    <row r="62" spans="1:14" ht="41.45" hidden="1" customHeight="1">
      <c r="A62" s="564" t="s">
        <v>1334</v>
      </c>
      <c r="B62" s="569" t="s">
        <v>536</v>
      </c>
      <c r="C62" s="364" t="s">
        <v>308</v>
      </c>
      <c r="D62" s="364"/>
      <c r="E62" s="364"/>
      <c r="F62" s="364"/>
      <c r="G62" s="364"/>
      <c r="H62" s="360">
        <f>+'видатки по розпорядниках'!M63</f>
        <v>0</v>
      </c>
      <c r="I62" s="162">
        <f t="shared" si="0"/>
        <v>0</v>
      </c>
      <c r="K62" s="71"/>
      <c r="L62" s="71"/>
      <c r="M62" s="71"/>
      <c r="N62" s="71"/>
    </row>
    <row r="63" spans="1:14" ht="33.6" hidden="1" customHeight="1">
      <c r="A63" s="564" t="s">
        <v>1335</v>
      </c>
      <c r="B63" s="569" t="s">
        <v>537</v>
      </c>
      <c r="C63" s="364" t="s">
        <v>309</v>
      </c>
      <c r="D63" s="364"/>
      <c r="E63" s="364"/>
      <c r="F63" s="364"/>
      <c r="G63" s="364"/>
      <c r="H63" s="360">
        <f>+'видатки по розпорядниках'!M64</f>
        <v>0</v>
      </c>
      <c r="I63" s="162">
        <f t="shared" si="0"/>
        <v>0</v>
      </c>
      <c r="K63" s="71"/>
      <c r="L63" s="71"/>
      <c r="M63" s="71"/>
      <c r="N63" s="71"/>
    </row>
    <row r="64" spans="1:14" ht="33.6" hidden="1" customHeight="1">
      <c r="A64" s="564" t="s">
        <v>1336</v>
      </c>
      <c r="B64" s="569" t="s">
        <v>538</v>
      </c>
      <c r="C64" s="364" t="s">
        <v>313</v>
      </c>
      <c r="D64" s="364"/>
      <c r="E64" s="364"/>
      <c r="F64" s="364"/>
      <c r="G64" s="364"/>
      <c r="H64" s="360">
        <f>+'видатки по розпорядниках'!M65</f>
        <v>0</v>
      </c>
      <c r="I64" s="162">
        <f t="shared" si="0"/>
        <v>0</v>
      </c>
      <c r="K64" s="71"/>
      <c r="L64" s="71"/>
      <c r="M64" s="71"/>
      <c r="N64" s="71"/>
    </row>
    <row r="65" spans="1:58" ht="13.9" hidden="1" customHeight="1">
      <c r="A65" s="569" t="s">
        <v>1337</v>
      </c>
      <c r="B65" s="569" t="s">
        <v>333</v>
      </c>
      <c r="C65" s="364" t="s">
        <v>967</v>
      </c>
      <c r="D65" s="364"/>
      <c r="E65" s="364"/>
      <c r="F65" s="364"/>
      <c r="G65" s="364"/>
      <c r="H65" s="360">
        <f>+'видатки по розпорядниках'!M66</f>
        <v>0</v>
      </c>
      <c r="I65" s="162">
        <f t="shared" si="0"/>
        <v>0</v>
      </c>
      <c r="K65" s="71"/>
      <c r="L65" s="71"/>
      <c r="M65" s="71"/>
      <c r="N65" s="71"/>
    </row>
    <row r="66" spans="1:58" ht="81" hidden="1" customHeight="1">
      <c r="A66" s="564" t="s">
        <v>698</v>
      </c>
      <c r="B66" s="569" t="s">
        <v>900</v>
      </c>
      <c r="C66" s="364" t="s">
        <v>62</v>
      </c>
      <c r="D66" s="364"/>
      <c r="E66" s="364"/>
      <c r="F66" s="364"/>
      <c r="G66" s="364"/>
      <c r="H66" s="360">
        <f>+'видатки по розпорядниках'!M67</f>
        <v>0</v>
      </c>
      <c r="I66" s="162">
        <f t="shared" si="0"/>
        <v>0</v>
      </c>
      <c r="K66" s="71"/>
      <c r="L66" s="71"/>
      <c r="M66" s="71"/>
      <c r="N66" s="71"/>
    </row>
    <row r="67" spans="1:58" ht="29.45" customHeight="1">
      <c r="A67" s="1416">
        <v>110201</v>
      </c>
      <c r="B67" s="1416"/>
      <c r="C67" s="364" t="s">
        <v>389</v>
      </c>
      <c r="D67" s="1351" t="s">
        <v>828</v>
      </c>
      <c r="E67" s="364"/>
      <c r="F67" s="364"/>
      <c r="G67" s="364"/>
      <c r="H67" s="360">
        <f>+'видатки по розпорядниках'!M68</f>
        <v>25000</v>
      </c>
      <c r="I67" s="162">
        <f t="shared" si="0"/>
        <v>25000</v>
      </c>
      <c r="K67" s="71"/>
      <c r="L67" s="71"/>
      <c r="M67" s="71"/>
      <c r="N67" s="71"/>
    </row>
    <row r="68" spans="1:58" ht="44.45" customHeight="1">
      <c r="A68" s="1416">
        <v>130107</v>
      </c>
      <c r="B68" s="1416"/>
      <c r="C68" s="364" t="s">
        <v>390</v>
      </c>
      <c r="D68" s="1351" t="s">
        <v>828</v>
      </c>
      <c r="E68" s="364"/>
      <c r="F68" s="364"/>
      <c r="G68" s="364"/>
      <c r="H68" s="360">
        <f>+'видатки по розпорядниках'!M69</f>
        <v>20000</v>
      </c>
      <c r="I68" s="162">
        <f t="shared" si="0"/>
        <v>20000</v>
      </c>
      <c r="K68" s="71"/>
      <c r="L68" s="71"/>
      <c r="M68" s="71"/>
      <c r="N68" s="71"/>
    </row>
    <row r="69" spans="1:58" ht="31.9" hidden="1" customHeight="1">
      <c r="A69" s="570"/>
      <c r="B69" s="570" t="s">
        <v>759</v>
      </c>
      <c r="C69" s="171" t="s">
        <v>736</v>
      </c>
      <c r="D69" s="171"/>
      <c r="E69" s="171"/>
      <c r="F69" s="171"/>
      <c r="G69" s="171"/>
      <c r="H69" s="360">
        <f>+'видатки по розпорядниках'!M70</f>
        <v>0</v>
      </c>
      <c r="I69" s="162">
        <f t="shared" si="0"/>
        <v>0</v>
      </c>
      <c r="K69" s="71"/>
      <c r="L69" s="71"/>
      <c r="M69" s="71"/>
      <c r="N69" s="71"/>
    </row>
    <row r="70" spans="1:58" ht="24" hidden="1" customHeight="1" outlineLevel="1">
      <c r="A70" s="570"/>
      <c r="B70" s="550" t="s">
        <v>1508</v>
      </c>
      <c r="C70" s="213" t="s">
        <v>532</v>
      </c>
      <c r="D70" s="213"/>
      <c r="E70" s="213"/>
      <c r="F70" s="213"/>
      <c r="G70" s="213"/>
      <c r="H70" s="360">
        <f>+'видатки по розпорядниках'!M71</f>
        <v>0</v>
      </c>
      <c r="I70" s="162">
        <f t="shared" si="0"/>
        <v>0</v>
      </c>
      <c r="J70" s="2"/>
      <c r="K70" s="7"/>
      <c r="L70" s="7"/>
      <c r="M70" s="7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63" hidden="1" customHeight="1" outlineLevel="1">
      <c r="A71" s="570"/>
      <c r="B71" s="550" t="s">
        <v>901</v>
      </c>
      <c r="C71" s="552" t="s">
        <v>1234</v>
      </c>
      <c r="D71" s="552"/>
      <c r="E71" s="552"/>
      <c r="F71" s="552"/>
      <c r="G71" s="552"/>
      <c r="H71" s="360">
        <f>+'видатки по розпорядниках'!M72</f>
        <v>0</v>
      </c>
      <c r="I71" s="162">
        <f t="shared" si="0"/>
        <v>0</v>
      </c>
      <c r="J71" s="2"/>
      <c r="K71" s="132"/>
      <c r="L71" s="132"/>
      <c r="M71" s="132"/>
      <c r="N71" s="13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68.45" hidden="1" customHeight="1" outlineLevel="1">
      <c r="A72" s="570"/>
      <c r="B72" s="550" t="s">
        <v>895</v>
      </c>
      <c r="C72" s="213" t="s">
        <v>575</v>
      </c>
      <c r="D72" s="213"/>
      <c r="E72" s="213"/>
      <c r="F72" s="213"/>
      <c r="G72" s="213"/>
      <c r="H72" s="360">
        <f>+'видатки по розпорядниках'!M73</f>
        <v>0</v>
      </c>
      <c r="I72" s="162">
        <f t="shared" si="0"/>
        <v>0</v>
      </c>
      <c r="J72" s="2"/>
      <c r="K72" s="132"/>
      <c r="L72" s="132"/>
      <c r="M72" s="132"/>
      <c r="N72" s="13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45" hidden="1" outlineLevel="1">
      <c r="A73" s="570"/>
      <c r="B73" s="550" t="s">
        <v>1204</v>
      </c>
      <c r="C73" s="213" t="s">
        <v>1138</v>
      </c>
      <c r="D73" s="213"/>
      <c r="E73" s="213"/>
      <c r="F73" s="213"/>
      <c r="G73" s="213"/>
      <c r="H73" s="360">
        <f>+'видатки по розпорядниках'!M74</f>
        <v>0</v>
      </c>
      <c r="I73" s="162">
        <f t="shared" si="0"/>
        <v>0</v>
      </c>
      <c r="J73" s="2"/>
      <c r="K73" s="132"/>
      <c r="L73" s="132"/>
      <c r="M73" s="132"/>
      <c r="N73" s="13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30" hidden="1" outlineLevel="1">
      <c r="A74" s="570"/>
      <c r="B74" s="550" t="s">
        <v>67</v>
      </c>
      <c r="C74" s="436" t="s">
        <v>1249</v>
      </c>
      <c r="D74" s="436"/>
      <c r="E74" s="436"/>
      <c r="F74" s="436"/>
      <c r="G74" s="436"/>
      <c r="H74" s="360">
        <f>+'видатки по розпорядниках'!M75</f>
        <v>0</v>
      </c>
      <c r="I74" s="162">
        <f t="shared" si="0"/>
        <v>0</v>
      </c>
      <c r="J74" s="2"/>
      <c r="K74" s="132"/>
      <c r="L74" s="132"/>
      <c r="M74" s="132"/>
      <c r="N74" s="13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30" outlineLevel="1">
      <c r="A75" s="1420" t="s">
        <v>88</v>
      </c>
      <c r="B75" s="1421"/>
      <c r="C75" s="367" t="s">
        <v>229</v>
      </c>
      <c r="D75" s="1351" t="s">
        <v>828</v>
      </c>
      <c r="E75" s="436"/>
      <c r="F75" s="436"/>
      <c r="G75" s="436"/>
      <c r="H75" s="360">
        <f>+'видатки по розпорядниках'!M76</f>
        <v>4200000</v>
      </c>
      <c r="I75" s="162">
        <f t="shared" si="0"/>
        <v>4200000</v>
      </c>
      <c r="J75" s="2"/>
      <c r="K75" s="132"/>
      <c r="L75" s="132"/>
      <c r="M75" s="132"/>
      <c r="N75" s="13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73.150000000000006" hidden="1" customHeight="1" outlineLevel="1">
      <c r="A76" s="570"/>
      <c r="B76" s="550"/>
      <c r="C76" s="520" t="s">
        <v>959</v>
      </c>
      <c r="D76" s="520"/>
      <c r="E76" s="520"/>
      <c r="F76" s="520"/>
      <c r="G76" s="520"/>
      <c r="H76" s="360">
        <f>+'видатки по розпорядниках'!M77</f>
        <v>0</v>
      </c>
      <c r="I76" s="162">
        <f t="shared" si="0"/>
        <v>0</v>
      </c>
      <c r="J76" s="2"/>
      <c r="K76" s="132"/>
      <c r="L76" s="132"/>
      <c r="M76" s="132"/>
      <c r="N76" s="13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73.150000000000006" hidden="1" customHeight="1" outlineLevel="1">
      <c r="A77" s="570"/>
      <c r="B77" s="550"/>
      <c r="C77" s="520"/>
      <c r="D77" s="520"/>
      <c r="E77" s="520"/>
      <c r="F77" s="520"/>
      <c r="G77" s="520"/>
      <c r="H77" s="360"/>
      <c r="I77" s="162"/>
      <c r="J77" s="2"/>
      <c r="K77" s="132"/>
      <c r="L77" s="132"/>
      <c r="M77" s="132"/>
      <c r="N77" s="13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29.45" customHeight="1" collapsed="1">
      <c r="A78" s="359" t="s">
        <v>1004</v>
      </c>
      <c r="B78" s="359" t="s">
        <v>1177</v>
      </c>
      <c r="C78" s="360" t="s">
        <v>1186</v>
      </c>
      <c r="D78" s="360"/>
      <c r="E78" s="360"/>
      <c r="F78" s="360"/>
      <c r="G78" s="360"/>
      <c r="H78" s="503">
        <f>+'видатки по розпорядниках'!M78</f>
        <v>10080000</v>
      </c>
      <c r="I78" s="162">
        <f t="shared" si="0"/>
        <v>10080000</v>
      </c>
      <c r="K78" s="71" t="e">
        <f>SUM(#REF!)</f>
        <v>#REF!</v>
      </c>
      <c r="L78" s="71"/>
      <c r="M78" s="71"/>
      <c r="N78" s="71"/>
    </row>
    <row r="79" spans="1:58" ht="27.6" hidden="1" customHeight="1">
      <c r="A79" s="569" t="s">
        <v>1340</v>
      </c>
      <c r="B79" s="569" t="s">
        <v>539</v>
      </c>
      <c r="C79" s="364" t="s">
        <v>1137</v>
      </c>
      <c r="D79" s="364"/>
      <c r="E79" s="364"/>
      <c r="F79" s="364"/>
      <c r="G79" s="364"/>
      <c r="H79" s="360">
        <f>+'видатки по розпорядниках'!M79</f>
        <v>0</v>
      </c>
      <c r="I79" s="162">
        <f t="shared" si="0"/>
        <v>0</v>
      </c>
      <c r="K79" s="71"/>
      <c r="L79" s="71"/>
      <c r="M79" s="71"/>
      <c r="N79" s="71"/>
    </row>
    <row r="80" spans="1:58" ht="34.9" hidden="1" customHeight="1">
      <c r="A80" s="569" t="s">
        <v>1341</v>
      </c>
      <c r="B80" s="569" t="s">
        <v>1622</v>
      </c>
      <c r="C80" s="364" t="s">
        <v>1200</v>
      </c>
      <c r="D80" s="364"/>
      <c r="E80" s="364"/>
      <c r="F80" s="364"/>
      <c r="G80" s="364"/>
      <c r="H80" s="360">
        <f>+'видатки по розпорядниках'!M80</f>
        <v>0</v>
      </c>
      <c r="I80" s="162">
        <f t="shared" si="0"/>
        <v>0</v>
      </c>
      <c r="K80" s="71"/>
      <c r="L80" s="71"/>
      <c r="M80" s="71"/>
      <c r="N80" s="71"/>
    </row>
    <row r="81" spans="1:15" ht="124.5" hidden="1" customHeight="1">
      <c r="A81" s="570"/>
      <c r="B81" s="569" t="s">
        <v>1028</v>
      </c>
      <c r="C81" s="364" t="s">
        <v>1027</v>
      </c>
      <c r="D81" s="364"/>
      <c r="E81" s="364"/>
      <c r="F81" s="364"/>
      <c r="G81" s="364"/>
      <c r="H81" s="360">
        <f>+'видатки по розпорядниках'!M81</f>
        <v>0</v>
      </c>
      <c r="I81" s="162">
        <f t="shared" si="0"/>
        <v>0</v>
      </c>
      <c r="K81" s="71"/>
      <c r="L81" s="71"/>
      <c r="M81" s="71"/>
      <c r="N81" s="71"/>
    </row>
    <row r="82" spans="1:15" ht="25.9" customHeight="1">
      <c r="A82" s="1416" t="s">
        <v>1609</v>
      </c>
      <c r="B82" s="1416"/>
      <c r="C82" s="364" t="s">
        <v>1628</v>
      </c>
      <c r="D82" s="1351" t="s">
        <v>828</v>
      </c>
      <c r="E82" s="364"/>
      <c r="F82" s="364"/>
      <c r="G82" s="364"/>
      <c r="H82" s="360">
        <f>+'видатки по розпорядниках'!M82</f>
        <v>650000</v>
      </c>
      <c r="I82" s="162">
        <f t="shared" si="0"/>
        <v>650000</v>
      </c>
      <c r="K82" s="71"/>
      <c r="L82" s="71"/>
      <c r="M82" s="71"/>
      <c r="N82" s="71"/>
    </row>
    <row r="83" spans="1:15" ht="45.6" hidden="1" customHeight="1">
      <c r="A83" s="570"/>
      <c r="B83" s="577"/>
      <c r="C83" s="177" t="s">
        <v>739</v>
      </c>
      <c r="D83" s="177"/>
      <c r="E83" s="177"/>
      <c r="F83" s="177"/>
      <c r="G83" s="177"/>
      <c r="H83" s="360">
        <f>+'видатки по розпорядниках'!M83</f>
        <v>0</v>
      </c>
      <c r="I83" s="162">
        <f t="shared" si="0"/>
        <v>0</v>
      </c>
      <c r="K83" s="71"/>
      <c r="L83" s="71"/>
      <c r="M83" s="71"/>
      <c r="N83" s="71"/>
    </row>
    <row r="84" spans="1:15" ht="45.6" hidden="1" customHeight="1">
      <c r="A84" s="570"/>
      <c r="B84" s="577"/>
      <c r="C84" s="177" t="s">
        <v>202</v>
      </c>
      <c r="D84" s="177"/>
      <c r="E84" s="177"/>
      <c r="F84" s="177"/>
      <c r="G84" s="177"/>
      <c r="H84" s="360">
        <f>+'видатки по розпорядниках'!M84</f>
        <v>0</v>
      </c>
      <c r="I84" s="162">
        <f t="shared" si="0"/>
        <v>0</v>
      </c>
      <c r="K84" s="71"/>
      <c r="L84" s="71"/>
      <c r="M84" s="71"/>
      <c r="N84" s="71"/>
    </row>
    <row r="85" spans="1:15" ht="46.9" hidden="1" customHeight="1">
      <c r="A85" s="570"/>
      <c r="B85" s="577"/>
      <c r="C85" s="177" t="s">
        <v>203</v>
      </c>
      <c r="D85" s="177"/>
      <c r="E85" s="177"/>
      <c r="F85" s="177"/>
      <c r="G85" s="177"/>
      <c r="H85" s="360">
        <f>+'видатки по розпорядниках'!M85</f>
        <v>0</v>
      </c>
      <c r="I85" s="162">
        <f t="shared" si="0"/>
        <v>0</v>
      </c>
      <c r="K85" s="71"/>
      <c r="L85" s="71"/>
      <c r="M85" s="71"/>
      <c r="N85" s="71"/>
    </row>
    <row r="86" spans="1:15" ht="64.150000000000006" hidden="1" customHeight="1">
      <c r="A86" s="570"/>
      <c r="B86" s="577"/>
      <c r="C86" s="177" t="s">
        <v>1134</v>
      </c>
      <c r="D86" s="177"/>
      <c r="E86" s="177"/>
      <c r="F86" s="177"/>
      <c r="G86" s="177"/>
      <c r="H86" s="360">
        <f>+'видатки по розпорядниках'!M86</f>
        <v>0</v>
      </c>
      <c r="I86" s="162">
        <f t="shared" ref="I86:I149" si="1">+H86</f>
        <v>0</v>
      </c>
      <c r="K86" s="71"/>
      <c r="L86" s="71"/>
      <c r="M86" s="71"/>
      <c r="N86" s="71"/>
    </row>
    <row r="87" spans="1:15" ht="37.15" hidden="1" customHeight="1">
      <c r="A87" s="570"/>
      <c r="B87" s="575"/>
      <c r="C87" s="170"/>
      <c r="D87" s="170"/>
      <c r="E87" s="170"/>
      <c r="F87" s="170"/>
      <c r="G87" s="170"/>
      <c r="H87" s="360">
        <f>+'видатки по розпорядниках'!M87</f>
        <v>0</v>
      </c>
      <c r="I87" s="162">
        <f t="shared" si="1"/>
        <v>0</v>
      </c>
      <c r="K87" s="71"/>
      <c r="L87" s="71"/>
      <c r="M87" s="71"/>
      <c r="N87" s="71"/>
    </row>
    <row r="88" spans="1:15" ht="90" customHeight="1">
      <c r="A88" s="1416" t="s">
        <v>1610</v>
      </c>
      <c r="B88" s="1416"/>
      <c r="C88" s="364" t="s">
        <v>1633</v>
      </c>
      <c r="D88" s="1351" t="s">
        <v>828</v>
      </c>
      <c r="E88" s="364"/>
      <c r="F88" s="364"/>
      <c r="G88" s="364"/>
      <c r="H88" s="360">
        <f>+'видатки по розпорядниках'!M88</f>
        <v>1350000</v>
      </c>
      <c r="I88" s="162">
        <f t="shared" si="1"/>
        <v>1350000</v>
      </c>
      <c r="K88" s="71"/>
      <c r="L88" s="71"/>
      <c r="M88" s="71"/>
      <c r="N88" s="71"/>
    </row>
    <row r="89" spans="1:15" ht="15" hidden="1">
      <c r="A89" s="641"/>
      <c r="B89" s="641"/>
      <c r="C89" s="364" t="s">
        <v>529</v>
      </c>
      <c r="D89" s="364"/>
      <c r="E89" s="364"/>
      <c r="F89" s="364"/>
      <c r="G89" s="364"/>
      <c r="H89" s="360">
        <f>+'видатки по розпорядниках'!M89</f>
        <v>0</v>
      </c>
      <c r="I89" s="162">
        <f t="shared" si="1"/>
        <v>0</v>
      </c>
      <c r="K89" s="71"/>
      <c r="L89" s="71"/>
      <c r="M89" s="71"/>
      <c r="N89" s="71"/>
    </row>
    <row r="90" spans="1:15" ht="45" hidden="1">
      <c r="A90" s="641"/>
      <c r="B90" s="641"/>
      <c r="C90" s="364" t="s">
        <v>546</v>
      </c>
      <c r="D90" s="364"/>
      <c r="E90" s="364"/>
      <c r="F90" s="364"/>
      <c r="G90" s="364"/>
      <c r="H90" s="360">
        <f>+'видатки по розпорядниках'!M90</f>
        <v>0</v>
      </c>
      <c r="I90" s="162">
        <f t="shared" si="1"/>
        <v>0</v>
      </c>
      <c r="J90" s="24"/>
      <c r="K90" s="44"/>
      <c r="L90" s="44"/>
      <c r="M90" s="44"/>
      <c r="N90" s="44"/>
      <c r="O90" s="24"/>
    </row>
    <row r="91" spans="1:15" ht="53.45" hidden="1" customHeight="1">
      <c r="A91" s="570"/>
      <c r="B91" s="577"/>
      <c r="C91" s="177" t="s">
        <v>1080</v>
      </c>
      <c r="D91" s="177"/>
      <c r="E91" s="177"/>
      <c r="F91" s="177"/>
      <c r="G91" s="177"/>
      <c r="H91" s="360">
        <f>+'видатки по розпорядниках'!M91</f>
        <v>0</v>
      </c>
      <c r="I91" s="162">
        <f t="shared" si="1"/>
        <v>0</v>
      </c>
      <c r="J91" s="24"/>
      <c r="K91" s="44"/>
      <c r="L91" s="44"/>
      <c r="M91" s="44"/>
      <c r="N91" s="44"/>
      <c r="O91" s="24"/>
    </row>
    <row r="92" spans="1:15" ht="26.45" hidden="1" customHeight="1">
      <c r="A92" s="570" t="s">
        <v>1345</v>
      </c>
      <c r="B92" s="570"/>
      <c r="C92" s="171" t="s">
        <v>89</v>
      </c>
      <c r="D92" s="171"/>
      <c r="E92" s="171"/>
      <c r="F92" s="171"/>
      <c r="G92" s="171"/>
      <c r="H92" s="360">
        <f>+'видатки по розпорядниках'!M92</f>
        <v>0</v>
      </c>
      <c r="I92" s="162">
        <f t="shared" si="1"/>
        <v>0</v>
      </c>
      <c r="J92" s="24"/>
      <c r="K92" s="44"/>
      <c r="L92" s="44"/>
      <c r="M92" s="44"/>
      <c r="N92" s="44"/>
      <c r="O92" s="24"/>
    </row>
    <row r="93" spans="1:15" ht="26.45" hidden="1" customHeight="1">
      <c r="A93" s="570"/>
      <c r="B93" s="577"/>
      <c r="C93" s="177" t="s">
        <v>1081</v>
      </c>
      <c r="D93" s="177"/>
      <c r="E93" s="177"/>
      <c r="F93" s="177"/>
      <c r="G93" s="177"/>
      <c r="H93" s="360">
        <f>+'видатки по розпорядниках'!M93</f>
        <v>0</v>
      </c>
      <c r="I93" s="162">
        <f t="shared" si="1"/>
        <v>0</v>
      </c>
      <c r="J93" s="24"/>
      <c r="K93" s="44"/>
      <c r="L93" s="44"/>
      <c r="M93" s="44"/>
      <c r="N93" s="44"/>
      <c r="O93" s="24"/>
    </row>
    <row r="94" spans="1:15" ht="26.45" hidden="1" customHeight="1">
      <c r="A94" s="570"/>
      <c r="B94" s="570"/>
      <c r="C94" s="171" t="s">
        <v>886</v>
      </c>
      <c r="D94" s="171"/>
      <c r="E94" s="171"/>
      <c r="F94" s="171"/>
      <c r="G94" s="171"/>
      <c r="H94" s="360">
        <f>+'видатки по розпорядниках'!M94</f>
        <v>0</v>
      </c>
      <c r="I94" s="162">
        <f t="shared" si="1"/>
        <v>0</v>
      </c>
      <c r="J94" s="24"/>
      <c r="K94" s="44"/>
      <c r="L94" s="44"/>
      <c r="M94" s="44"/>
      <c r="N94" s="44"/>
      <c r="O94" s="24"/>
    </row>
    <row r="95" spans="1:15" ht="43.9" hidden="1" customHeight="1">
      <c r="A95" s="570"/>
      <c r="B95" s="577"/>
      <c r="C95" s="177" t="s">
        <v>142</v>
      </c>
      <c r="D95" s="177"/>
      <c r="E95" s="177"/>
      <c r="F95" s="177"/>
      <c r="G95" s="177"/>
      <c r="H95" s="360">
        <f>+'видатки по розпорядниках'!M95</f>
        <v>0</v>
      </c>
      <c r="I95" s="162">
        <f t="shared" si="1"/>
        <v>0</v>
      </c>
      <c r="J95" s="24"/>
      <c r="K95" s="44"/>
      <c r="L95" s="44"/>
      <c r="M95" s="44"/>
      <c r="N95" s="44"/>
      <c r="O95" s="24"/>
    </row>
    <row r="96" spans="1:15" ht="11.25" hidden="1" customHeight="1">
      <c r="A96" s="570"/>
      <c r="B96" s="570"/>
      <c r="C96" s="171"/>
      <c r="D96" s="171"/>
      <c r="E96" s="171"/>
      <c r="F96" s="171"/>
      <c r="G96" s="171"/>
      <c r="H96" s="360">
        <f>+'видатки по розпорядниках'!M96</f>
        <v>0</v>
      </c>
      <c r="I96" s="162">
        <f t="shared" si="1"/>
        <v>0</v>
      </c>
      <c r="J96" s="24"/>
      <c r="K96" s="44"/>
      <c r="L96" s="44"/>
      <c r="M96" s="44"/>
      <c r="N96" s="44"/>
      <c r="O96" s="24"/>
    </row>
    <row r="97" spans="1:15" ht="22.15" hidden="1" customHeight="1">
      <c r="A97" s="569" t="s">
        <v>699</v>
      </c>
      <c r="B97" s="569" t="s">
        <v>541</v>
      </c>
      <c r="C97" s="501" t="s">
        <v>542</v>
      </c>
      <c r="D97" s="501"/>
      <c r="E97" s="501"/>
      <c r="F97" s="501"/>
      <c r="G97" s="501"/>
      <c r="H97" s="360">
        <f>+'видатки по розпорядниках'!M97</f>
        <v>0</v>
      </c>
      <c r="I97" s="162">
        <f t="shared" si="1"/>
        <v>0</v>
      </c>
      <c r="J97" s="24"/>
      <c r="K97" s="44"/>
      <c r="L97" s="44"/>
      <c r="M97" s="44"/>
      <c r="N97" s="44"/>
      <c r="O97" s="24"/>
    </row>
    <row r="98" spans="1:15" ht="21" hidden="1" customHeight="1">
      <c r="A98" s="569" t="s">
        <v>1344</v>
      </c>
      <c r="B98" s="569" t="s">
        <v>1611</v>
      </c>
      <c r="C98" s="364" t="s">
        <v>868</v>
      </c>
      <c r="D98" s="364"/>
      <c r="E98" s="364"/>
      <c r="F98" s="364"/>
      <c r="G98" s="364"/>
      <c r="H98" s="360">
        <f>+'видатки по розпорядниках'!M98</f>
        <v>0</v>
      </c>
      <c r="I98" s="162">
        <f t="shared" si="1"/>
        <v>0</v>
      </c>
      <c r="K98" s="71"/>
      <c r="L98" s="71"/>
      <c r="M98" s="71"/>
      <c r="N98" s="71"/>
    </row>
    <row r="99" spans="1:15" ht="32.450000000000003" hidden="1" customHeight="1">
      <c r="A99" s="569" t="s">
        <v>1346</v>
      </c>
      <c r="B99" s="569" t="s">
        <v>1612</v>
      </c>
      <c r="C99" s="364" t="s">
        <v>869</v>
      </c>
      <c r="D99" s="364"/>
      <c r="E99" s="364"/>
      <c r="F99" s="364"/>
      <c r="G99" s="364"/>
      <c r="H99" s="360">
        <f>+'видатки по розпорядниках'!M99</f>
        <v>0</v>
      </c>
      <c r="I99" s="162">
        <f t="shared" si="1"/>
        <v>0</v>
      </c>
      <c r="K99" s="71"/>
      <c r="L99" s="71"/>
      <c r="M99" s="71"/>
      <c r="N99" s="71"/>
    </row>
    <row r="100" spans="1:15" ht="21" hidden="1" customHeight="1">
      <c r="A100" s="569" t="s">
        <v>1347</v>
      </c>
      <c r="B100" s="569" t="s">
        <v>1613</v>
      </c>
      <c r="C100" s="211" t="s">
        <v>1206</v>
      </c>
      <c r="D100" s="211"/>
      <c r="E100" s="211"/>
      <c r="F100" s="211"/>
      <c r="G100" s="211"/>
      <c r="H100" s="360">
        <f>+'видатки по розпорядниках'!M100</f>
        <v>0</v>
      </c>
      <c r="I100" s="162">
        <f t="shared" si="1"/>
        <v>0</v>
      </c>
      <c r="K100" s="71"/>
      <c r="L100" s="71"/>
      <c r="M100" s="71"/>
      <c r="N100" s="71"/>
    </row>
    <row r="101" spans="1:15" ht="20.45" hidden="1" customHeight="1">
      <c r="A101" s="569" t="s">
        <v>1348</v>
      </c>
      <c r="B101" s="569" t="s">
        <v>1614</v>
      </c>
      <c r="C101" s="364" t="s">
        <v>1207</v>
      </c>
      <c r="D101" s="364"/>
      <c r="E101" s="364"/>
      <c r="F101" s="364"/>
      <c r="G101" s="364"/>
      <c r="H101" s="360">
        <f>+'видатки по розпорядниках'!M101</f>
        <v>0</v>
      </c>
      <c r="I101" s="162">
        <f t="shared" si="1"/>
        <v>0</v>
      </c>
      <c r="K101" s="71"/>
      <c r="L101" s="71"/>
      <c r="M101" s="71"/>
      <c r="N101" s="71"/>
    </row>
    <row r="102" spans="1:15" ht="53.45" hidden="1" customHeight="1">
      <c r="A102" s="569" t="s">
        <v>1398</v>
      </c>
      <c r="B102" s="569" t="s">
        <v>543</v>
      </c>
      <c r="C102" s="501" t="s">
        <v>544</v>
      </c>
      <c r="D102" s="501"/>
      <c r="E102" s="501"/>
      <c r="F102" s="501"/>
      <c r="G102" s="501"/>
      <c r="H102" s="360">
        <f>+'видатки по розпорядниках'!M102</f>
        <v>0</v>
      </c>
      <c r="I102" s="162">
        <f t="shared" si="1"/>
        <v>0</v>
      </c>
      <c r="K102" s="71"/>
      <c r="L102" s="71"/>
      <c r="M102" s="71"/>
      <c r="N102" s="71"/>
    </row>
    <row r="103" spans="1:15" ht="73.150000000000006" hidden="1" customHeight="1">
      <c r="A103" s="570"/>
      <c r="B103" s="577"/>
      <c r="C103" s="177" t="s">
        <v>1594</v>
      </c>
      <c r="D103" s="177"/>
      <c r="E103" s="177"/>
      <c r="F103" s="177"/>
      <c r="G103" s="177"/>
      <c r="H103" s="360">
        <f>+'видатки по розпорядниках'!M103</f>
        <v>0</v>
      </c>
      <c r="I103" s="162">
        <f t="shared" si="1"/>
        <v>0</v>
      </c>
      <c r="K103" s="71"/>
      <c r="L103" s="71"/>
      <c r="M103" s="71"/>
      <c r="N103" s="71"/>
    </row>
    <row r="104" spans="1:15" ht="78.599999999999994" customHeight="1">
      <c r="A104" s="1416" t="s">
        <v>1615</v>
      </c>
      <c r="B104" s="1416"/>
      <c r="C104" s="364" t="s">
        <v>1255</v>
      </c>
      <c r="D104" s="1351" t="s">
        <v>828</v>
      </c>
      <c r="E104" s="364"/>
      <c r="F104" s="364"/>
      <c r="G104" s="364"/>
      <c r="H104" s="360">
        <f>+'видатки по розпорядниках'!M104</f>
        <v>75000</v>
      </c>
      <c r="I104" s="162">
        <f t="shared" si="1"/>
        <v>75000</v>
      </c>
      <c r="K104" s="71"/>
      <c r="L104" s="71"/>
      <c r="M104" s="71"/>
      <c r="N104" s="71"/>
    </row>
    <row r="105" spans="1:15" ht="25.9" hidden="1" customHeight="1">
      <c r="A105" s="570"/>
      <c r="B105" s="577"/>
      <c r="C105" s="177" t="s">
        <v>1082</v>
      </c>
      <c r="D105" s="177"/>
      <c r="E105" s="177"/>
      <c r="F105" s="177"/>
      <c r="G105" s="177"/>
      <c r="H105" s="360">
        <f>+'видатки по розпорядниках'!M105</f>
        <v>0</v>
      </c>
      <c r="I105" s="162">
        <f t="shared" si="1"/>
        <v>0</v>
      </c>
      <c r="K105" s="71"/>
      <c r="L105" s="71"/>
      <c r="M105" s="71"/>
      <c r="N105" s="71"/>
    </row>
    <row r="106" spans="1:15" ht="61.9" hidden="1" customHeight="1">
      <c r="A106" s="570"/>
      <c r="B106" s="577"/>
      <c r="C106" s="177" t="s">
        <v>990</v>
      </c>
      <c r="D106" s="177"/>
      <c r="E106" s="177"/>
      <c r="F106" s="177"/>
      <c r="G106" s="177"/>
      <c r="H106" s="360">
        <f>+'видатки по розпорядниках'!M106</f>
        <v>0</v>
      </c>
      <c r="I106" s="162">
        <f t="shared" si="1"/>
        <v>0</v>
      </c>
      <c r="K106" s="71"/>
      <c r="L106" s="71"/>
      <c r="M106" s="71"/>
      <c r="N106" s="71"/>
    </row>
    <row r="107" spans="1:15" ht="63.6" hidden="1" customHeight="1">
      <c r="A107" s="570"/>
      <c r="B107" s="577"/>
      <c r="C107" s="177" t="s">
        <v>1594</v>
      </c>
      <c r="D107" s="177"/>
      <c r="E107" s="177"/>
      <c r="F107" s="177"/>
      <c r="G107" s="177"/>
      <c r="H107" s="360">
        <f>+'видатки по розпорядниках'!M107</f>
        <v>0</v>
      </c>
      <c r="I107" s="162">
        <f t="shared" si="1"/>
        <v>0</v>
      </c>
      <c r="K107" s="71"/>
      <c r="L107" s="71"/>
      <c r="M107" s="71"/>
      <c r="N107" s="71"/>
    </row>
    <row r="108" spans="1:15" ht="33" hidden="1" customHeight="1">
      <c r="A108" s="570"/>
      <c r="B108" s="569" t="s">
        <v>1616</v>
      </c>
      <c r="C108" s="364" t="s">
        <v>521</v>
      </c>
      <c r="D108" s="364"/>
      <c r="E108" s="364"/>
      <c r="F108" s="364"/>
      <c r="G108" s="364"/>
      <c r="H108" s="360">
        <f>+'видатки по розпорядниках'!M108</f>
        <v>0</v>
      </c>
      <c r="I108" s="162">
        <f t="shared" si="1"/>
        <v>0</v>
      </c>
      <c r="K108" s="71"/>
      <c r="L108" s="71"/>
      <c r="M108" s="71"/>
      <c r="N108" s="71"/>
    </row>
    <row r="109" spans="1:15" ht="32.450000000000003" hidden="1" customHeight="1">
      <c r="A109" s="569" t="s">
        <v>1350</v>
      </c>
      <c r="B109" s="569" t="s">
        <v>1617</v>
      </c>
      <c r="C109" s="364" t="s">
        <v>1036</v>
      </c>
      <c r="D109" s="364"/>
      <c r="E109" s="364"/>
      <c r="F109" s="364"/>
      <c r="G109" s="364"/>
      <c r="H109" s="360">
        <f>+'видатки по розпорядниках'!M109</f>
        <v>0</v>
      </c>
      <c r="I109" s="162">
        <f t="shared" si="1"/>
        <v>0</v>
      </c>
      <c r="K109" s="71"/>
      <c r="L109" s="71"/>
      <c r="M109" s="71"/>
      <c r="N109" s="71"/>
    </row>
    <row r="110" spans="1:15" ht="71.45" hidden="1" customHeight="1">
      <c r="A110" s="570"/>
      <c r="B110" s="577"/>
      <c r="C110" s="177" t="s">
        <v>1594</v>
      </c>
      <c r="D110" s="177"/>
      <c r="E110" s="177"/>
      <c r="F110" s="177"/>
      <c r="G110" s="177"/>
      <c r="H110" s="360">
        <f>+'видатки по розпорядниках'!M110</f>
        <v>0</v>
      </c>
      <c r="I110" s="162">
        <f t="shared" si="1"/>
        <v>0</v>
      </c>
      <c r="K110" s="71"/>
      <c r="L110" s="71"/>
      <c r="M110" s="71"/>
      <c r="N110" s="71"/>
    </row>
    <row r="111" spans="1:15" ht="22.15" hidden="1" customHeight="1">
      <c r="A111" s="569" t="s">
        <v>1351</v>
      </c>
      <c r="B111" s="569" t="s">
        <v>1618</v>
      </c>
      <c r="C111" s="364" t="s">
        <v>1139</v>
      </c>
      <c r="D111" s="364"/>
      <c r="E111" s="364"/>
      <c r="F111" s="364"/>
      <c r="G111" s="364"/>
      <c r="H111" s="360">
        <f>+'видатки по розпорядниках'!M111</f>
        <v>0</v>
      </c>
      <c r="I111" s="162">
        <f t="shared" si="1"/>
        <v>0</v>
      </c>
      <c r="K111" s="71"/>
      <c r="L111" s="71"/>
      <c r="M111" s="71"/>
      <c r="N111" s="71"/>
    </row>
    <row r="112" spans="1:15" ht="75" customHeight="1">
      <c r="A112" s="1416" t="s">
        <v>1619</v>
      </c>
      <c r="B112" s="1416"/>
      <c r="C112" s="217" t="s">
        <v>1317</v>
      </c>
      <c r="D112" s="1351" t="s">
        <v>828</v>
      </c>
      <c r="E112" s="217"/>
      <c r="F112" s="217"/>
      <c r="G112" s="217"/>
      <c r="H112" s="360">
        <f>+'видатки по розпорядниках'!M112</f>
        <v>5185000</v>
      </c>
      <c r="I112" s="162">
        <f t="shared" si="1"/>
        <v>5185000</v>
      </c>
      <c r="K112" s="71"/>
      <c r="L112" s="71"/>
      <c r="M112" s="71"/>
      <c r="N112" s="71"/>
    </row>
    <row r="113" spans="1:58" ht="54" hidden="1" customHeight="1">
      <c r="A113" s="570"/>
      <c r="B113" s="577"/>
      <c r="C113" s="177" t="s">
        <v>654</v>
      </c>
      <c r="D113" s="177"/>
      <c r="E113" s="177"/>
      <c r="F113" s="177"/>
      <c r="G113" s="177"/>
      <c r="H113" s="360">
        <f>+'видатки по розпорядниках'!M113</f>
        <v>0</v>
      </c>
      <c r="I113" s="162">
        <f t="shared" si="1"/>
        <v>0</v>
      </c>
      <c r="K113" s="71"/>
      <c r="L113" s="71"/>
      <c r="M113" s="71"/>
      <c r="N113" s="71"/>
    </row>
    <row r="114" spans="1:58" ht="49.15" hidden="1" customHeight="1">
      <c r="A114" s="570"/>
      <c r="B114" s="577"/>
      <c r="C114" s="177" t="s">
        <v>53</v>
      </c>
      <c r="D114" s="177"/>
      <c r="E114" s="177"/>
      <c r="F114" s="177"/>
      <c r="G114" s="177"/>
      <c r="H114" s="360">
        <f>+'видатки по розпорядниках'!M114</f>
        <v>0</v>
      </c>
      <c r="I114" s="162">
        <f t="shared" si="1"/>
        <v>0</v>
      </c>
      <c r="K114" s="71"/>
      <c r="L114" s="71"/>
      <c r="M114" s="71"/>
      <c r="N114" s="71"/>
    </row>
    <row r="115" spans="1:58" ht="23.45" hidden="1" customHeight="1">
      <c r="A115" s="570"/>
      <c r="B115" s="577"/>
      <c r="C115" s="177" t="s">
        <v>991</v>
      </c>
      <c r="D115" s="177"/>
      <c r="E115" s="177"/>
      <c r="F115" s="177"/>
      <c r="G115" s="177"/>
      <c r="H115" s="360">
        <f>+'видатки по розпорядниках'!M115</f>
        <v>0</v>
      </c>
      <c r="I115" s="162">
        <f t="shared" si="1"/>
        <v>0</v>
      </c>
      <c r="K115" s="71"/>
      <c r="L115" s="71"/>
      <c r="M115" s="71"/>
      <c r="N115" s="71"/>
    </row>
    <row r="116" spans="1:58" ht="15" hidden="1">
      <c r="A116" s="569"/>
      <c r="B116" s="569"/>
      <c r="C116" s="364" t="s">
        <v>529</v>
      </c>
      <c r="D116" s="364"/>
      <c r="E116" s="364"/>
      <c r="F116" s="364"/>
      <c r="G116" s="364"/>
      <c r="H116" s="360">
        <f>+'видатки по розпорядниках'!M116</f>
        <v>0</v>
      </c>
      <c r="I116" s="162">
        <f t="shared" si="1"/>
        <v>0</v>
      </c>
      <c r="K116" s="71"/>
      <c r="L116" s="71"/>
      <c r="M116" s="71"/>
      <c r="N116" s="71"/>
    </row>
    <row r="117" spans="1:58" ht="75" hidden="1" customHeight="1">
      <c r="A117" s="569"/>
      <c r="B117" s="569"/>
      <c r="C117" s="217" t="s">
        <v>1228</v>
      </c>
      <c r="D117" s="217"/>
      <c r="E117" s="217"/>
      <c r="F117" s="217"/>
      <c r="G117" s="217"/>
      <c r="H117" s="360">
        <f>+'видатки по розпорядниках'!M117</f>
        <v>0</v>
      </c>
      <c r="I117" s="162">
        <f t="shared" si="1"/>
        <v>0</v>
      </c>
      <c r="K117" s="71"/>
      <c r="L117" s="71"/>
      <c r="M117" s="71"/>
      <c r="N117" s="71"/>
    </row>
    <row r="118" spans="1:58" ht="88.9" hidden="1" customHeight="1">
      <c r="A118" s="569"/>
      <c r="B118" s="569"/>
      <c r="C118" s="217" t="s">
        <v>883</v>
      </c>
      <c r="D118" s="217"/>
      <c r="E118" s="217"/>
      <c r="F118" s="217"/>
      <c r="G118" s="217"/>
      <c r="H118" s="360">
        <f>+'видатки по розпорядниках'!M118</f>
        <v>0</v>
      </c>
      <c r="I118" s="162">
        <f t="shared" si="1"/>
        <v>0</v>
      </c>
      <c r="K118" s="71"/>
      <c r="L118" s="71"/>
      <c r="M118" s="71"/>
      <c r="N118" s="71"/>
    </row>
    <row r="119" spans="1:58" ht="90" hidden="1">
      <c r="A119" s="569"/>
      <c r="B119" s="569"/>
      <c r="C119" s="217" t="s">
        <v>884</v>
      </c>
      <c r="D119" s="217"/>
      <c r="E119" s="217"/>
      <c r="F119" s="217"/>
      <c r="G119" s="217"/>
      <c r="H119" s="360">
        <f>+'видатки по розпорядниках'!M119</f>
        <v>0</v>
      </c>
      <c r="I119" s="162">
        <f t="shared" si="1"/>
        <v>0</v>
      </c>
      <c r="K119" s="71"/>
      <c r="L119" s="71"/>
      <c r="M119" s="71"/>
      <c r="N119" s="71"/>
    </row>
    <row r="120" spans="1:58" ht="32.450000000000003" hidden="1" customHeight="1">
      <c r="A120" s="569" t="s">
        <v>1353</v>
      </c>
      <c r="B120" s="569" t="s">
        <v>1620</v>
      </c>
      <c r="C120" s="364" t="s">
        <v>591</v>
      </c>
      <c r="D120" s="364"/>
      <c r="E120" s="364"/>
      <c r="F120" s="364"/>
      <c r="G120" s="364"/>
      <c r="H120" s="360">
        <f>+'видатки по розпорядниках'!M120</f>
        <v>0</v>
      </c>
      <c r="I120" s="162">
        <f t="shared" si="1"/>
        <v>0</v>
      </c>
      <c r="K120" s="71"/>
      <c r="L120" s="71"/>
      <c r="M120" s="71"/>
      <c r="N120" s="71"/>
    </row>
    <row r="121" spans="1:58" ht="18" hidden="1" customHeight="1">
      <c r="A121" s="570"/>
      <c r="B121" s="570" t="s">
        <v>1621</v>
      </c>
      <c r="C121" s="171" t="s">
        <v>388</v>
      </c>
      <c r="D121" s="171"/>
      <c r="E121" s="171"/>
      <c r="F121" s="171"/>
      <c r="G121" s="171"/>
      <c r="H121" s="360">
        <f>+'видатки по розпорядниках'!M121</f>
        <v>0</v>
      </c>
      <c r="I121" s="162">
        <f t="shared" si="1"/>
        <v>0</v>
      </c>
      <c r="J121" s="2"/>
      <c r="K121" s="7"/>
      <c r="L121" s="7"/>
      <c r="M121" s="7"/>
      <c r="N121" s="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46.15" hidden="1" customHeight="1">
      <c r="A122" s="569" t="s">
        <v>1354</v>
      </c>
      <c r="B122" s="569" t="s">
        <v>238</v>
      </c>
      <c r="C122" s="217" t="s">
        <v>83</v>
      </c>
      <c r="D122" s="217"/>
      <c r="E122" s="217"/>
      <c r="F122" s="217"/>
      <c r="G122" s="217"/>
      <c r="H122" s="360">
        <f>+'видатки по розпорядниках'!M122</f>
        <v>0</v>
      </c>
      <c r="I122" s="162">
        <f t="shared" si="1"/>
        <v>0</v>
      </c>
      <c r="J122" s="2"/>
      <c r="K122" s="7"/>
      <c r="L122" s="7"/>
      <c r="M122" s="7"/>
      <c r="N122" s="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25.25" hidden="1" customHeight="1">
      <c r="A123" s="570"/>
      <c r="B123" s="569" t="s">
        <v>1029</v>
      </c>
      <c r="C123" s="364" t="s">
        <v>1027</v>
      </c>
      <c r="D123" s="364"/>
      <c r="E123" s="364"/>
      <c r="F123" s="364"/>
      <c r="G123" s="364"/>
      <c r="H123" s="360">
        <f>+'видатки по розпорядниках'!M123</f>
        <v>0</v>
      </c>
      <c r="I123" s="162">
        <f t="shared" si="1"/>
        <v>0</v>
      </c>
      <c r="J123" s="2"/>
      <c r="K123" s="124"/>
      <c r="L123" s="124"/>
      <c r="M123" s="124"/>
      <c r="N123" s="12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50.45" hidden="1" customHeight="1">
      <c r="A124" s="570"/>
      <c r="B124" s="569"/>
      <c r="C124" s="364"/>
      <c r="D124" s="364"/>
      <c r="E124" s="364"/>
      <c r="F124" s="364"/>
      <c r="G124" s="364"/>
      <c r="H124" s="360">
        <f>+'видатки по розпорядниках'!M124</f>
        <v>0</v>
      </c>
      <c r="I124" s="162">
        <f t="shared" si="1"/>
        <v>0</v>
      </c>
      <c r="J124" s="2"/>
      <c r="K124" s="124"/>
      <c r="L124" s="124"/>
      <c r="M124" s="124"/>
      <c r="N124" s="12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5.75" hidden="1">
      <c r="A125" s="570"/>
      <c r="B125" s="570"/>
      <c r="C125" s="171"/>
      <c r="D125" s="171"/>
      <c r="E125" s="171"/>
      <c r="F125" s="171"/>
      <c r="G125" s="171"/>
      <c r="H125" s="360">
        <f>+'видатки по розпорядниках'!M125</f>
        <v>0</v>
      </c>
      <c r="I125" s="162">
        <f t="shared" si="1"/>
        <v>0</v>
      </c>
      <c r="J125" s="2"/>
      <c r="K125" s="124"/>
      <c r="L125" s="124"/>
      <c r="M125" s="124"/>
      <c r="N125" s="12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27" customHeight="1">
      <c r="A126" s="1416">
        <v>110201</v>
      </c>
      <c r="B126" s="1416"/>
      <c r="C126" s="364" t="s">
        <v>389</v>
      </c>
      <c r="D126" s="1351" t="s">
        <v>828</v>
      </c>
      <c r="E126" s="364"/>
      <c r="F126" s="364"/>
      <c r="G126" s="364"/>
      <c r="H126" s="360">
        <f>+'видатки по розпорядниках'!M126</f>
        <v>20000</v>
      </c>
      <c r="I126" s="162">
        <f t="shared" si="1"/>
        <v>20000</v>
      </c>
      <c r="K126" s="71"/>
      <c r="L126" s="71"/>
      <c r="M126" s="71"/>
      <c r="N126" s="71"/>
    </row>
    <row r="127" spans="1:58" ht="22.9" hidden="1" customHeight="1">
      <c r="A127" s="570"/>
      <c r="B127" s="550" t="s">
        <v>1508</v>
      </c>
      <c r="C127" s="197" t="s">
        <v>532</v>
      </c>
      <c r="D127" s="197"/>
      <c r="E127" s="197"/>
      <c r="F127" s="197"/>
      <c r="G127" s="197"/>
      <c r="H127" s="360">
        <f>+'видатки по розпорядниках'!M127</f>
        <v>0</v>
      </c>
      <c r="I127" s="162">
        <f t="shared" si="1"/>
        <v>0</v>
      </c>
      <c r="J127" s="24"/>
      <c r="K127" s="44"/>
      <c r="L127" s="44"/>
      <c r="M127" s="44"/>
      <c r="N127" s="44"/>
      <c r="O127" s="24"/>
    </row>
    <row r="128" spans="1:58" ht="63" hidden="1" customHeight="1">
      <c r="A128" s="570"/>
      <c r="B128" s="550" t="s">
        <v>902</v>
      </c>
      <c r="C128" s="197" t="s">
        <v>715</v>
      </c>
      <c r="D128" s="197"/>
      <c r="E128" s="197"/>
      <c r="F128" s="197"/>
      <c r="G128" s="197"/>
      <c r="H128" s="360">
        <f>+'видатки по розпорядниках'!M128</f>
        <v>0</v>
      </c>
      <c r="I128" s="162">
        <f t="shared" si="1"/>
        <v>0</v>
      </c>
      <c r="J128" s="24"/>
      <c r="K128" s="44"/>
      <c r="L128" s="44"/>
      <c r="M128" s="44"/>
      <c r="N128" s="44"/>
      <c r="O128" s="24"/>
    </row>
    <row r="129" spans="1:58" ht="65.45" hidden="1" customHeight="1">
      <c r="A129" s="570"/>
      <c r="B129" s="550" t="s">
        <v>1242</v>
      </c>
      <c r="C129" s="197" t="s">
        <v>940</v>
      </c>
      <c r="D129" s="197"/>
      <c r="E129" s="197"/>
      <c r="F129" s="197"/>
      <c r="G129" s="197"/>
      <c r="H129" s="360">
        <f>+'видатки по розпорядниках'!M129</f>
        <v>0</v>
      </c>
      <c r="I129" s="162">
        <f t="shared" si="1"/>
        <v>0</v>
      </c>
      <c r="J129" s="24"/>
      <c r="K129" s="44"/>
      <c r="L129" s="44"/>
      <c r="M129" s="44"/>
      <c r="N129" s="44"/>
      <c r="O129" s="24"/>
    </row>
    <row r="130" spans="1:58" ht="73.900000000000006" customHeight="1">
      <c r="A130" s="1418" t="s">
        <v>1034</v>
      </c>
      <c r="B130" s="1419"/>
      <c r="C130" s="501" t="s">
        <v>1233</v>
      </c>
      <c r="D130" s="1351" t="s">
        <v>828</v>
      </c>
      <c r="E130" s="501"/>
      <c r="F130" s="501"/>
      <c r="G130" s="501"/>
      <c r="H130" s="360">
        <f>+'видатки по розпорядниках'!M130</f>
        <v>2800000</v>
      </c>
      <c r="I130" s="162">
        <f t="shared" si="1"/>
        <v>2800000</v>
      </c>
      <c r="J130" s="24"/>
      <c r="K130" s="44"/>
      <c r="L130" s="44"/>
      <c r="M130" s="44"/>
      <c r="N130" s="44"/>
      <c r="O130" s="24"/>
    </row>
    <row r="131" spans="1:58" ht="52.9" hidden="1" customHeight="1">
      <c r="A131" s="570"/>
      <c r="B131" s="550" t="s">
        <v>1204</v>
      </c>
      <c r="C131" s="213" t="s">
        <v>1138</v>
      </c>
      <c r="D131" s="213"/>
      <c r="E131" s="213"/>
      <c r="F131" s="213"/>
      <c r="G131" s="213"/>
      <c r="H131" s="360">
        <f>+'видатки по розпорядниках'!M131</f>
        <v>0</v>
      </c>
      <c r="I131" s="162">
        <f t="shared" si="1"/>
        <v>0</v>
      </c>
      <c r="J131" s="24"/>
      <c r="K131" s="44"/>
      <c r="L131" s="44"/>
      <c r="M131" s="44"/>
      <c r="N131" s="44"/>
      <c r="O131" s="24"/>
    </row>
    <row r="132" spans="1:58" ht="109.15" hidden="1" customHeight="1">
      <c r="A132" s="570"/>
      <c r="B132" s="550"/>
      <c r="C132" s="520" t="s">
        <v>960</v>
      </c>
      <c r="D132" s="520"/>
      <c r="E132" s="520"/>
      <c r="F132" s="520"/>
      <c r="G132" s="520"/>
      <c r="H132" s="360">
        <f>+'видатки по розпорядниках'!M132</f>
        <v>0</v>
      </c>
      <c r="I132" s="162">
        <f t="shared" si="1"/>
        <v>0</v>
      </c>
      <c r="J132" s="24"/>
      <c r="K132" s="44"/>
      <c r="L132" s="44"/>
      <c r="M132" s="44"/>
      <c r="N132" s="44"/>
      <c r="O132" s="24"/>
    </row>
    <row r="133" spans="1:58" ht="60" hidden="1" customHeight="1">
      <c r="A133" s="569" t="s">
        <v>1356</v>
      </c>
      <c r="B133" s="569" t="s">
        <v>589</v>
      </c>
      <c r="C133" s="217" t="s">
        <v>37</v>
      </c>
      <c r="D133" s="217"/>
      <c r="E133" s="217"/>
      <c r="F133" s="217"/>
      <c r="G133" s="217"/>
      <c r="H133" s="360">
        <f>+'видатки по розпорядниках'!M133</f>
        <v>0</v>
      </c>
      <c r="I133" s="162">
        <f t="shared" si="1"/>
        <v>0</v>
      </c>
      <c r="J133" s="24"/>
      <c r="K133" s="44"/>
      <c r="L133" s="44"/>
      <c r="M133" s="44"/>
      <c r="N133" s="44"/>
      <c r="O133" s="24"/>
    </row>
    <row r="134" spans="1:58" ht="52.9" hidden="1" customHeight="1">
      <c r="A134" s="570"/>
      <c r="B134" s="567" t="s">
        <v>893</v>
      </c>
      <c r="C134" s="197" t="s">
        <v>1135</v>
      </c>
      <c r="D134" s="197"/>
      <c r="E134" s="197"/>
      <c r="F134" s="197"/>
      <c r="G134" s="197"/>
      <c r="H134" s="360">
        <f>+'видатки по розпорядниках'!M134</f>
        <v>0</v>
      </c>
      <c r="I134" s="162">
        <f t="shared" si="1"/>
        <v>0</v>
      </c>
      <c r="J134" s="24"/>
      <c r="K134" s="44"/>
      <c r="L134" s="44"/>
      <c r="M134" s="44"/>
      <c r="N134" s="44"/>
      <c r="O134" s="24"/>
    </row>
    <row r="135" spans="1:58" ht="55.9" hidden="1" customHeight="1">
      <c r="A135" s="570"/>
      <c r="B135" s="575" t="s">
        <v>224</v>
      </c>
      <c r="C135" s="215" t="s">
        <v>653</v>
      </c>
      <c r="D135" s="215"/>
      <c r="E135" s="215"/>
      <c r="F135" s="215"/>
      <c r="G135" s="215"/>
      <c r="H135" s="360">
        <f>+'видатки по розпорядниках'!M135</f>
        <v>0</v>
      </c>
      <c r="I135" s="162">
        <f t="shared" si="1"/>
        <v>0</v>
      </c>
      <c r="J135" s="24"/>
      <c r="K135" s="44"/>
      <c r="L135" s="44"/>
      <c r="M135" s="44"/>
      <c r="N135" s="44"/>
      <c r="O135" s="24"/>
    </row>
    <row r="136" spans="1:58" ht="34.15" customHeight="1">
      <c r="A136" s="359" t="s">
        <v>962</v>
      </c>
      <c r="B136" s="359" t="s">
        <v>1178</v>
      </c>
      <c r="C136" s="360" t="s">
        <v>1190</v>
      </c>
      <c r="D136" s="360"/>
      <c r="E136" s="360"/>
      <c r="F136" s="360"/>
      <c r="G136" s="360"/>
      <c r="H136" s="503">
        <f>+'видатки по розпорядниках'!M136</f>
        <v>930000</v>
      </c>
      <c r="I136" s="162">
        <f t="shared" si="1"/>
        <v>930000</v>
      </c>
      <c r="K136" s="71" t="e">
        <f>SUM(#REF!)</f>
        <v>#REF!</v>
      </c>
      <c r="L136" s="71"/>
      <c r="M136" s="71"/>
      <c r="N136" s="71"/>
    </row>
    <row r="137" spans="1:58" ht="46.9" hidden="1" customHeight="1">
      <c r="A137" s="579"/>
      <c r="B137" s="579"/>
      <c r="C137" s="539" t="s">
        <v>46</v>
      </c>
      <c r="D137" s="539"/>
      <c r="E137" s="539"/>
      <c r="F137" s="539"/>
      <c r="G137" s="539"/>
      <c r="H137" s="360">
        <f>+'видатки по розпорядниках'!M137</f>
        <v>0</v>
      </c>
      <c r="I137" s="162">
        <f t="shared" si="1"/>
        <v>0</v>
      </c>
      <c r="J137" s="2"/>
      <c r="K137" s="7"/>
      <c r="L137" s="7"/>
      <c r="M137" s="7"/>
      <c r="N137" s="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54" hidden="1" customHeight="1">
      <c r="A138" s="568" t="s">
        <v>1313</v>
      </c>
      <c r="B138" s="568" t="s">
        <v>695</v>
      </c>
      <c r="C138" s="367" t="s">
        <v>491</v>
      </c>
      <c r="D138" s="367"/>
      <c r="E138" s="367"/>
      <c r="F138" s="367"/>
      <c r="G138" s="367"/>
      <c r="H138" s="360">
        <f>+'видатки по розпорядниках'!M138</f>
        <v>0</v>
      </c>
      <c r="I138" s="162">
        <f t="shared" si="1"/>
        <v>0</v>
      </c>
      <c r="J138" s="2"/>
      <c r="K138" s="7"/>
      <c r="L138" s="7"/>
      <c r="M138" s="7"/>
      <c r="N138" s="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25.9" hidden="1" customHeight="1">
      <c r="A139" s="579"/>
      <c r="B139" s="574"/>
      <c r="C139" s="585" t="s">
        <v>1000</v>
      </c>
      <c r="D139" s="585"/>
      <c r="E139" s="585"/>
      <c r="F139" s="585"/>
      <c r="G139" s="585"/>
      <c r="H139" s="360">
        <f>+'видатки по розпорядниках'!M139</f>
        <v>0</v>
      </c>
      <c r="I139" s="162">
        <f t="shared" si="1"/>
        <v>0</v>
      </c>
      <c r="J139" s="2"/>
      <c r="K139" s="7"/>
      <c r="L139" s="7"/>
      <c r="M139" s="7"/>
      <c r="N139" s="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33" hidden="1" customHeight="1">
      <c r="A140" s="579"/>
      <c r="B140" s="574" t="s">
        <v>696</v>
      </c>
      <c r="C140" s="585" t="s">
        <v>1198</v>
      </c>
      <c r="D140" s="585"/>
      <c r="E140" s="585"/>
      <c r="F140" s="585"/>
      <c r="G140" s="585"/>
      <c r="H140" s="360">
        <f>+'видатки по розпорядниках'!M140</f>
        <v>0</v>
      </c>
      <c r="I140" s="162">
        <f t="shared" si="1"/>
        <v>0</v>
      </c>
      <c r="J140" s="2"/>
      <c r="K140" s="7"/>
      <c r="L140" s="7"/>
      <c r="M140" s="7"/>
      <c r="N140" s="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54.6" hidden="1" customHeight="1">
      <c r="A141" s="579"/>
      <c r="B141" s="568"/>
      <c r="C141" s="539" t="s">
        <v>46</v>
      </c>
      <c r="D141" s="539"/>
      <c r="E141" s="539"/>
      <c r="F141" s="539"/>
      <c r="G141" s="539"/>
      <c r="H141" s="360">
        <f>+'видатки по розпорядниках'!M141</f>
        <v>0</v>
      </c>
      <c r="I141" s="162">
        <f t="shared" si="1"/>
        <v>0</v>
      </c>
      <c r="J141" s="2"/>
      <c r="K141" s="7"/>
      <c r="L141" s="7"/>
      <c r="M141" s="7"/>
      <c r="N141" s="7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27.6" hidden="1" customHeight="1">
      <c r="A142" s="568" t="s">
        <v>1314</v>
      </c>
      <c r="B142" s="568" t="s">
        <v>706</v>
      </c>
      <c r="C142" s="217" t="s">
        <v>94</v>
      </c>
      <c r="D142" s="217"/>
      <c r="E142" s="217"/>
      <c r="F142" s="217"/>
      <c r="G142" s="217"/>
      <c r="H142" s="360">
        <f>+'видатки по розпорядниках'!M142</f>
        <v>0</v>
      </c>
      <c r="I142" s="162">
        <f t="shared" si="1"/>
        <v>0</v>
      </c>
      <c r="J142" s="2"/>
      <c r="K142" s="7"/>
      <c r="L142" s="7"/>
      <c r="M142" s="7"/>
      <c r="N142" s="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27.6" hidden="1" customHeight="1">
      <c r="A143" s="568" t="s">
        <v>931</v>
      </c>
      <c r="B143" s="568" t="s">
        <v>1140</v>
      </c>
      <c r="C143" s="217" t="s">
        <v>317</v>
      </c>
      <c r="D143" s="217"/>
      <c r="E143" s="217"/>
      <c r="F143" s="217"/>
      <c r="G143" s="217"/>
      <c r="H143" s="360">
        <f>+'видатки по розпорядниках'!M143</f>
        <v>0</v>
      </c>
      <c r="I143" s="162">
        <f t="shared" si="1"/>
        <v>0</v>
      </c>
      <c r="J143" s="54"/>
      <c r="K143" s="125"/>
      <c r="L143" s="125"/>
      <c r="M143" s="125"/>
      <c r="N143" s="125"/>
      <c r="O143" s="5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24" hidden="1" customHeight="1">
      <c r="A144" s="568"/>
      <c r="B144" s="642"/>
      <c r="C144" s="217" t="s">
        <v>52</v>
      </c>
      <c r="D144" s="217"/>
      <c r="E144" s="217"/>
      <c r="F144" s="217"/>
      <c r="G144" s="217"/>
      <c r="H144" s="360">
        <f>+'видатки по розпорядниках'!M144</f>
        <v>0</v>
      </c>
      <c r="I144" s="162">
        <f t="shared" si="1"/>
        <v>0</v>
      </c>
      <c r="J144" s="54"/>
      <c r="K144" s="71"/>
      <c r="L144" s="71"/>
      <c r="M144" s="71"/>
      <c r="N144" s="71"/>
      <c r="O144" s="5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23.6" hidden="1" customHeight="1">
      <c r="A145" s="579"/>
      <c r="B145" s="574"/>
      <c r="C145" s="544" t="s">
        <v>252</v>
      </c>
      <c r="D145" s="544"/>
      <c r="E145" s="544"/>
      <c r="F145" s="544"/>
      <c r="G145" s="544"/>
      <c r="H145" s="360">
        <f>+'видатки по розпорядниках'!M145</f>
        <v>0</v>
      </c>
      <c r="I145" s="162">
        <f t="shared" si="1"/>
        <v>0</v>
      </c>
      <c r="J145" s="54"/>
      <c r="K145" s="71"/>
      <c r="L145" s="71"/>
      <c r="M145" s="71"/>
      <c r="N145" s="71"/>
      <c r="O145" s="5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17.6" hidden="1" customHeight="1">
      <c r="A146" s="568"/>
      <c r="B146" s="642"/>
      <c r="C146" s="533" t="s">
        <v>252</v>
      </c>
      <c r="D146" s="533"/>
      <c r="E146" s="533"/>
      <c r="F146" s="533"/>
      <c r="G146" s="533"/>
      <c r="H146" s="360">
        <f>+'видатки по розпорядниках'!M146</f>
        <v>0</v>
      </c>
      <c r="I146" s="162">
        <f t="shared" si="1"/>
        <v>0</v>
      </c>
      <c r="J146" s="54"/>
      <c r="K146" s="71"/>
      <c r="L146" s="71"/>
      <c r="M146" s="71"/>
      <c r="N146" s="71"/>
      <c r="O146" s="5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99.6" hidden="1" customHeight="1">
      <c r="A147" s="568"/>
      <c r="B147" s="642"/>
      <c r="C147" s="370" t="s">
        <v>253</v>
      </c>
      <c r="D147" s="370"/>
      <c r="E147" s="370"/>
      <c r="F147" s="370"/>
      <c r="G147" s="370"/>
      <c r="H147" s="360">
        <f>+'видатки по розпорядниках'!M147</f>
        <v>0</v>
      </c>
      <c r="I147" s="162">
        <f t="shared" si="1"/>
        <v>0</v>
      </c>
      <c r="J147" s="54"/>
      <c r="K147" s="71"/>
      <c r="L147" s="71"/>
      <c r="M147" s="71"/>
      <c r="N147" s="71"/>
      <c r="O147" s="5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87" hidden="1" customHeight="1">
      <c r="A148" s="568"/>
      <c r="B148" s="642"/>
      <c r="C148" s="370" t="s">
        <v>254</v>
      </c>
      <c r="D148" s="370"/>
      <c r="E148" s="370"/>
      <c r="F148" s="370"/>
      <c r="G148" s="370"/>
      <c r="H148" s="360">
        <f>+'видатки по розпорядниках'!M148</f>
        <v>0</v>
      </c>
      <c r="I148" s="162">
        <f t="shared" si="1"/>
        <v>0</v>
      </c>
      <c r="J148" s="54"/>
      <c r="K148" s="71"/>
      <c r="L148" s="71"/>
      <c r="M148" s="71"/>
      <c r="N148" s="71"/>
      <c r="O148" s="5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76.900000000000006" hidden="1" customHeight="1">
      <c r="A149" s="568"/>
      <c r="B149" s="642"/>
      <c r="C149" s="217" t="s">
        <v>972</v>
      </c>
      <c r="D149" s="217"/>
      <c r="E149" s="217"/>
      <c r="F149" s="217"/>
      <c r="G149" s="217"/>
      <c r="H149" s="360">
        <f>+'видатки по розпорядниках'!M149</f>
        <v>0</v>
      </c>
      <c r="I149" s="162">
        <f t="shared" si="1"/>
        <v>0</v>
      </c>
      <c r="J149" s="54"/>
      <c r="K149" s="71"/>
      <c r="L149" s="71"/>
      <c r="M149" s="71"/>
      <c r="N149" s="71"/>
      <c r="O149" s="5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21.15" hidden="1" customHeight="1">
      <c r="A150" s="568"/>
      <c r="B150" s="568"/>
      <c r="C150" s="454" t="s">
        <v>255</v>
      </c>
      <c r="D150" s="454"/>
      <c r="E150" s="454"/>
      <c r="F150" s="454"/>
      <c r="G150" s="454"/>
      <c r="H150" s="360">
        <f>+'видатки по розпорядниках'!M150</f>
        <v>0</v>
      </c>
      <c r="I150" s="162">
        <f t="shared" ref="I150:I213" si="2">+H150</f>
        <v>0</v>
      </c>
      <c r="J150" s="54"/>
      <c r="K150" s="71"/>
      <c r="L150" s="71"/>
      <c r="M150" s="71"/>
      <c r="N150" s="71"/>
      <c r="O150" s="5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02.6" hidden="1" customHeight="1">
      <c r="A151" s="568"/>
      <c r="B151" s="568"/>
      <c r="C151" s="497" t="s">
        <v>1304</v>
      </c>
      <c r="D151" s="497"/>
      <c r="E151" s="497"/>
      <c r="F151" s="497"/>
      <c r="G151" s="497"/>
      <c r="H151" s="360">
        <f>+'видатки по розпорядниках'!M151</f>
        <v>0</v>
      </c>
      <c r="I151" s="162">
        <f t="shared" si="2"/>
        <v>0</v>
      </c>
      <c r="J151" s="54"/>
      <c r="K151" s="71"/>
      <c r="L151" s="71"/>
      <c r="M151" s="71"/>
      <c r="N151" s="71"/>
      <c r="O151" s="5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81" hidden="1" customHeight="1">
      <c r="A152" s="579"/>
      <c r="B152" s="586"/>
      <c r="C152" s="197" t="s">
        <v>1020</v>
      </c>
      <c r="D152" s="197"/>
      <c r="E152" s="197"/>
      <c r="F152" s="197"/>
      <c r="G152" s="197"/>
      <c r="H152" s="360">
        <f>+'видатки по розпорядниках'!M152</f>
        <v>0</v>
      </c>
      <c r="I152" s="162">
        <f t="shared" si="2"/>
        <v>0</v>
      </c>
      <c r="J152" s="54"/>
      <c r="K152" s="71"/>
      <c r="L152" s="71"/>
      <c r="M152" s="71"/>
      <c r="N152" s="71"/>
      <c r="O152" s="5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66" hidden="1" customHeight="1">
      <c r="A153" s="579"/>
      <c r="B153" s="586"/>
      <c r="C153" s="587" t="s">
        <v>640</v>
      </c>
      <c r="D153" s="587"/>
      <c r="E153" s="587"/>
      <c r="F153" s="587"/>
      <c r="G153" s="587"/>
      <c r="H153" s="360">
        <f>+'видатки по розпорядниках'!M153</f>
        <v>0</v>
      </c>
      <c r="I153" s="162">
        <f t="shared" si="2"/>
        <v>0</v>
      </c>
      <c r="J153" s="54"/>
      <c r="K153" s="71"/>
      <c r="L153" s="71"/>
      <c r="M153" s="71"/>
      <c r="N153" s="71"/>
      <c r="O153" s="5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34.15" hidden="1" customHeight="1">
      <c r="A154" s="1350" t="s">
        <v>1315</v>
      </c>
      <c r="B154" s="550" t="s">
        <v>505</v>
      </c>
      <c r="C154" s="197" t="s">
        <v>973</v>
      </c>
      <c r="D154" s="197"/>
      <c r="E154" s="197"/>
      <c r="F154" s="197"/>
      <c r="G154" s="197"/>
      <c r="H154" s="360">
        <f>+'видатки по розпорядниках'!M154</f>
        <v>0</v>
      </c>
      <c r="I154" s="162">
        <f t="shared" si="2"/>
        <v>0</v>
      </c>
      <c r="K154" s="71"/>
      <c r="L154" s="71"/>
      <c r="M154" s="71"/>
      <c r="N154" s="71"/>
    </row>
    <row r="155" spans="1:58" ht="36.6" hidden="1" customHeight="1">
      <c r="A155" s="568" t="s">
        <v>1316</v>
      </c>
      <c r="B155" s="569" t="s">
        <v>337</v>
      </c>
      <c r="C155" s="211" t="s">
        <v>763</v>
      </c>
      <c r="D155" s="211"/>
      <c r="E155" s="211"/>
      <c r="F155" s="211"/>
      <c r="G155" s="211"/>
      <c r="H155" s="360">
        <f>+'видатки по розпорядниках'!M155</f>
        <v>0</v>
      </c>
      <c r="I155" s="162">
        <f t="shared" si="2"/>
        <v>0</v>
      </c>
      <c r="K155" s="71"/>
      <c r="L155" s="71"/>
      <c r="M155" s="71"/>
      <c r="N155" s="71"/>
    </row>
    <row r="156" spans="1:58" ht="36.6" customHeight="1">
      <c r="A156" s="1416" t="s">
        <v>1014</v>
      </c>
      <c r="B156" s="1416"/>
      <c r="C156" s="364" t="s">
        <v>1025</v>
      </c>
      <c r="D156" s="1351" t="s">
        <v>828</v>
      </c>
      <c r="E156" s="364"/>
      <c r="F156" s="364"/>
      <c r="G156" s="364"/>
      <c r="H156" s="360">
        <f>+'видатки по розпорядниках'!M156</f>
        <v>20000</v>
      </c>
      <c r="I156" s="162">
        <f t="shared" si="2"/>
        <v>20000</v>
      </c>
      <c r="K156" s="71"/>
      <c r="L156" s="71"/>
      <c r="M156" s="71"/>
      <c r="N156" s="71"/>
    </row>
    <row r="157" spans="1:58" ht="50.45" hidden="1" customHeight="1">
      <c r="A157" s="568" t="s">
        <v>153</v>
      </c>
      <c r="B157" s="569" t="s">
        <v>707</v>
      </c>
      <c r="C157" s="217" t="s">
        <v>1397</v>
      </c>
      <c r="D157" s="217"/>
      <c r="E157" s="217"/>
      <c r="F157" s="217"/>
      <c r="G157" s="217"/>
      <c r="H157" s="360">
        <f>+'видатки по розпорядниках'!M157</f>
        <v>0</v>
      </c>
      <c r="I157" s="162">
        <f t="shared" si="2"/>
        <v>0</v>
      </c>
      <c r="K157" s="71"/>
      <c r="L157" s="71"/>
      <c r="M157" s="71"/>
      <c r="N157" s="71"/>
    </row>
    <row r="158" spans="1:58" ht="46.15" customHeight="1">
      <c r="A158" s="1416" t="s">
        <v>1015</v>
      </c>
      <c r="B158" s="1416"/>
      <c r="C158" s="364" t="s">
        <v>158</v>
      </c>
      <c r="D158" s="1351" t="s">
        <v>828</v>
      </c>
      <c r="E158" s="364"/>
      <c r="F158" s="364"/>
      <c r="G158" s="364"/>
      <c r="H158" s="360">
        <f>+'видатки по розпорядниках'!M158</f>
        <v>600000</v>
      </c>
      <c r="I158" s="162">
        <f t="shared" si="2"/>
        <v>600000</v>
      </c>
      <c r="K158" s="71"/>
      <c r="L158" s="71"/>
      <c r="M158" s="71"/>
      <c r="N158" s="71"/>
    </row>
    <row r="159" spans="1:58" ht="34.9" hidden="1" customHeight="1">
      <c r="A159" s="568" t="s">
        <v>154</v>
      </c>
      <c r="B159" s="569" t="s">
        <v>536</v>
      </c>
      <c r="C159" s="217" t="s">
        <v>933</v>
      </c>
      <c r="D159" s="217"/>
      <c r="E159" s="217"/>
      <c r="F159" s="217"/>
      <c r="G159" s="217"/>
      <c r="H159" s="360">
        <f>+'видатки по розпорядниках'!M159</f>
        <v>0</v>
      </c>
      <c r="I159" s="162">
        <f t="shared" si="2"/>
        <v>0</v>
      </c>
      <c r="K159" s="71"/>
      <c r="L159" s="71"/>
      <c r="M159" s="71"/>
      <c r="N159" s="71"/>
    </row>
    <row r="160" spans="1:58" ht="33.6" hidden="1" customHeight="1">
      <c r="A160" s="568" t="s">
        <v>155</v>
      </c>
      <c r="B160" s="569" t="s">
        <v>537</v>
      </c>
      <c r="C160" s="217" t="s">
        <v>934</v>
      </c>
      <c r="D160" s="217"/>
      <c r="E160" s="217"/>
      <c r="F160" s="217"/>
      <c r="G160" s="217"/>
      <c r="H160" s="360">
        <f>+'видатки по розпорядниках'!M160</f>
        <v>0</v>
      </c>
      <c r="I160" s="162">
        <f t="shared" si="2"/>
        <v>0</v>
      </c>
      <c r="K160" s="71"/>
      <c r="L160" s="71"/>
      <c r="M160" s="71"/>
      <c r="N160" s="71"/>
    </row>
    <row r="161" spans="1:58" ht="36.6" hidden="1" customHeight="1">
      <c r="A161" s="569" t="s">
        <v>1403</v>
      </c>
      <c r="B161" s="569" t="s">
        <v>538</v>
      </c>
      <c r="C161" s="217" t="s">
        <v>1049</v>
      </c>
      <c r="D161" s="217"/>
      <c r="E161" s="217"/>
      <c r="F161" s="217"/>
      <c r="G161" s="217"/>
      <c r="H161" s="360">
        <f>+'видатки по розпорядниках'!M161</f>
        <v>0</v>
      </c>
      <c r="I161" s="162">
        <f t="shared" si="2"/>
        <v>0</v>
      </c>
      <c r="K161" s="71"/>
      <c r="L161" s="71"/>
      <c r="M161" s="71"/>
      <c r="N161" s="71"/>
    </row>
    <row r="162" spans="1:58" ht="49.9" hidden="1" customHeight="1">
      <c r="A162" s="569"/>
      <c r="B162" s="569"/>
      <c r="C162" s="217" t="s">
        <v>262</v>
      </c>
      <c r="D162" s="217"/>
      <c r="E162" s="217"/>
      <c r="F162" s="217"/>
      <c r="G162" s="217"/>
      <c r="H162" s="360">
        <f>+'видатки по розпорядниках'!M162</f>
        <v>0</v>
      </c>
      <c r="I162" s="162">
        <f t="shared" si="2"/>
        <v>0</v>
      </c>
      <c r="K162" s="71"/>
      <c r="L162" s="71"/>
      <c r="M162" s="71"/>
      <c r="N162" s="71"/>
    </row>
    <row r="163" spans="1:58" ht="28.15" hidden="1" customHeight="1">
      <c r="A163" s="568" t="s">
        <v>156</v>
      </c>
      <c r="B163" s="569" t="s">
        <v>333</v>
      </c>
      <c r="C163" s="217" t="s">
        <v>866</v>
      </c>
      <c r="D163" s="217"/>
      <c r="E163" s="217"/>
      <c r="F163" s="217"/>
      <c r="G163" s="217"/>
      <c r="H163" s="360">
        <f>+'видатки по розпорядниках'!M163</f>
        <v>0</v>
      </c>
      <c r="I163" s="162">
        <f t="shared" si="2"/>
        <v>0</v>
      </c>
      <c r="K163" s="71"/>
      <c r="L163" s="71"/>
      <c r="M163" s="71"/>
      <c r="N163" s="71"/>
    </row>
    <row r="164" spans="1:58" ht="85.15" hidden="1" customHeight="1">
      <c r="A164" s="568" t="s">
        <v>1399</v>
      </c>
      <c r="B164" s="569" t="s">
        <v>900</v>
      </c>
      <c r="C164" s="364" t="s">
        <v>62</v>
      </c>
      <c r="D164" s="364"/>
      <c r="E164" s="364"/>
      <c r="F164" s="364"/>
      <c r="G164" s="364"/>
      <c r="H164" s="360">
        <f>+'видатки по розпорядниках'!M164</f>
        <v>0</v>
      </c>
      <c r="I164" s="162">
        <f t="shared" si="2"/>
        <v>0</v>
      </c>
      <c r="K164" s="71"/>
      <c r="L164" s="71"/>
      <c r="M164" s="71"/>
      <c r="N164" s="71"/>
    </row>
    <row r="165" spans="1:58" ht="34.15" customHeight="1">
      <c r="A165" s="1416" t="s">
        <v>1016</v>
      </c>
      <c r="B165" s="1416"/>
      <c r="C165" s="364" t="s">
        <v>983</v>
      </c>
      <c r="D165" s="1351" t="s">
        <v>828</v>
      </c>
      <c r="E165" s="364"/>
      <c r="F165" s="364"/>
      <c r="G165" s="364"/>
      <c r="H165" s="360">
        <f>+'видатки по розпорядниках'!M165</f>
        <v>90000</v>
      </c>
      <c r="I165" s="162">
        <f t="shared" si="2"/>
        <v>90000</v>
      </c>
      <c r="K165" s="71"/>
      <c r="L165" s="71"/>
      <c r="M165" s="71"/>
      <c r="N165" s="71"/>
    </row>
    <row r="166" spans="1:58" ht="51.6" customHeight="1">
      <c r="A166" s="1416" t="s">
        <v>1192</v>
      </c>
      <c r="B166" s="1416"/>
      <c r="C166" s="694" t="s">
        <v>1193</v>
      </c>
      <c r="D166" s="1351" t="s">
        <v>828</v>
      </c>
      <c r="E166" s="694"/>
      <c r="F166" s="694"/>
      <c r="G166" s="694"/>
      <c r="H166" s="360">
        <f>+'видатки по розпорядниках'!M166</f>
        <v>140000</v>
      </c>
      <c r="I166" s="162">
        <f t="shared" si="2"/>
        <v>140000</v>
      </c>
      <c r="K166" s="71"/>
      <c r="L166" s="71"/>
      <c r="M166" s="71"/>
      <c r="N166" s="71"/>
    </row>
    <row r="167" spans="1:58" ht="23.45" hidden="1" customHeight="1">
      <c r="A167" s="579"/>
      <c r="B167" s="569"/>
      <c r="C167" s="501" t="s">
        <v>529</v>
      </c>
      <c r="D167" s="501"/>
      <c r="E167" s="501"/>
      <c r="F167" s="501"/>
      <c r="G167" s="501"/>
      <c r="H167" s="360">
        <f>+'видатки по розпорядниках'!M167</f>
        <v>0</v>
      </c>
      <c r="I167" s="162">
        <f t="shared" si="2"/>
        <v>0</v>
      </c>
      <c r="K167" s="71"/>
      <c r="L167" s="71"/>
      <c r="M167" s="71"/>
      <c r="N167" s="71"/>
    </row>
    <row r="168" spans="1:58" ht="49.15" hidden="1" customHeight="1">
      <c r="A168" s="579"/>
      <c r="B168" s="569"/>
      <c r="C168" s="501" t="s">
        <v>530</v>
      </c>
      <c r="D168" s="501"/>
      <c r="E168" s="501"/>
      <c r="F168" s="501"/>
      <c r="G168" s="501"/>
      <c r="H168" s="360">
        <f>+'видатки по розпорядниках'!M168</f>
        <v>0</v>
      </c>
      <c r="I168" s="162">
        <f t="shared" si="2"/>
        <v>0</v>
      </c>
      <c r="K168" s="71"/>
      <c r="L168" s="71"/>
      <c r="M168" s="71"/>
      <c r="N168" s="71"/>
    </row>
    <row r="169" spans="1:58" ht="34.9" hidden="1" customHeight="1">
      <c r="A169" s="568" t="s">
        <v>584</v>
      </c>
      <c r="B169" s="569" t="s">
        <v>378</v>
      </c>
      <c r="C169" s="217" t="s">
        <v>47</v>
      </c>
      <c r="D169" s="217"/>
      <c r="E169" s="217"/>
      <c r="F169" s="217"/>
      <c r="G169" s="217"/>
      <c r="H169" s="360">
        <f>+'видатки по розпорядниках'!M169</f>
        <v>0</v>
      </c>
      <c r="I169" s="162">
        <f t="shared" si="2"/>
        <v>0</v>
      </c>
      <c r="J169" s="24"/>
      <c r="K169" s="44"/>
      <c r="L169" s="44"/>
      <c r="M169" s="44"/>
      <c r="N169" s="44"/>
      <c r="O169" s="24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45" hidden="1" customHeight="1">
      <c r="A170" s="579"/>
      <c r="B170" s="569"/>
      <c r="C170" s="215" t="s">
        <v>989</v>
      </c>
      <c r="D170" s="215"/>
      <c r="E170" s="215"/>
      <c r="F170" s="215"/>
      <c r="G170" s="215"/>
      <c r="H170" s="360">
        <f>+'видатки по розпорядниках'!M170</f>
        <v>0</v>
      </c>
      <c r="I170" s="162">
        <f t="shared" si="2"/>
        <v>0</v>
      </c>
      <c r="J170" s="24"/>
      <c r="K170" s="44"/>
      <c r="L170" s="44"/>
      <c r="M170" s="44"/>
      <c r="N170" s="44"/>
      <c r="O170" s="24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24.6" hidden="1" customHeight="1">
      <c r="A171" s="579"/>
      <c r="B171" s="570" t="s">
        <v>1017</v>
      </c>
      <c r="C171" s="171" t="s">
        <v>531</v>
      </c>
      <c r="D171" s="171"/>
      <c r="E171" s="171"/>
      <c r="F171" s="171"/>
      <c r="G171" s="171"/>
      <c r="H171" s="360">
        <f>+'видатки по розпорядниках'!M171</f>
        <v>0</v>
      </c>
      <c r="I171" s="162">
        <f t="shared" si="2"/>
        <v>0</v>
      </c>
      <c r="K171" s="71"/>
      <c r="L171" s="71"/>
      <c r="M171" s="71"/>
      <c r="N171" s="71"/>
    </row>
    <row r="172" spans="1:58" ht="24.6" hidden="1" customHeight="1">
      <c r="A172" s="579"/>
      <c r="B172" s="569"/>
      <c r="C172" s="364" t="s">
        <v>375</v>
      </c>
      <c r="D172" s="364"/>
      <c r="E172" s="364"/>
      <c r="F172" s="364"/>
      <c r="G172" s="364"/>
      <c r="H172" s="360">
        <f>+'видатки по розпорядниках'!M172</f>
        <v>0</v>
      </c>
      <c r="I172" s="162">
        <f t="shared" si="2"/>
        <v>0</v>
      </c>
      <c r="K172" s="71"/>
      <c r="L172" s="71"/>
      <c r="M172" s="71"/>
      <c r="N172" s="71"/>
    </row>
    <row r="173" spans="1:58" ht="118.9" hidden="1" customHeight="1">
      <c r="A173" s="579" t="s">
        <v>1382</v>
      </c>
      <c r="B173" s="569"/>
      <c r="C173" s="501" t="s">
        <v>374</v>
      </c>
      <c r="D173" s="501"/>
      <c r="E173" s="501"/>
      <c r="F173" s="501"/>
      <c r="G173" s="501"/>
      <c r="H173" s="360">
        <f>+'видатки по розпорядниках'!M173</f>
        <v>0</v>
      </c>
      <c r="I173" s="162">
        <f t="shared" si="2"/>
        <v>0</v>
      </c>
      <c r="K173" s="71"/>
      <c r="L173" s="71"/>
      <c r="M173" s="71"/>
      <c r="N173" s="71"/>
    </row>
    <row r="174" spans="1:58" ht="34.9" customHeight="1">
      <c r="A174" s="1416" t="s">
        <v>1141</v>
      </c>
      <c r="B174" s="1416"/>
      <c r="C174" s="364" t="s">
        <v>872</v>
      </c>
      <c r="D174" s="1351" t="s">
        <v>828</v>
      </c>
      <c r="E174" s="364"/>
      <c r="F174" s="364"/>
      <c r="G174" s="364"/>
      <c r="H174" s="360">
        <f>+'видатки по розпорядниках'!M174</f>
        <v>80000</v>
      </c>
      <c r="I174" s="162">
        <f t="shared" si="2"/>
        <v>80000</v>
      </c>
      <c r="K174" s="71"/>
      <c r="L174" s="71"/>
      <c r="M174" s="71"/>
      <c r="N174" s="71"/>
    </row>
    <row r="175" spans="1:58" ht="29.45" hidden="1" customHeight="1">
      <c r="A175" s="568" t="s">
        <v>932</v>
      </c>
      <c r="B175" s="569" t="s">
        <v>1018</v>
      </c>
      <c r="C175" s="364" t="s">
        <v>1191</v>
      </c>
      <c r="D175" s="364"/>
      <c r="E175" s="364"/>
      <c r="F175" s="364"/>
      <c r="G175" s="364"/>
      <c r="H175" s="360">
        <f>+'видатки по розпорядниках'!M175</f>
        <v>0</v>
      </c>
      <c r="I175" s="162">
        <f t="shared" si="2"/>
        <v>0</v>
      </c>
      <c r="K175" s="71"/>
      <c r="L175" s="71"/>
      <c r="M175" s="71"/>
      <c r="N175" s="71"/>
    </row>
    <row r="176" spans="1:58" ht="30.6" hidden="1" customHeight="1">
      <c r="A176" s="579"/>
      <c r="B176" s="579" t="s">
        <v>335</v>
      </c>
      <c r="C176" s="588" t="s">
        <v>130</v>
      </c>
      <c r="D176" s="588"/>
      <c r="E176" s="588"/>
      <c r="F176" s="588"/>
      <c r="G176" s="588"/>
      <c r="H176" s="360">
        <f>+'видатки по розпорядниках'!M176</f>
        <v>0</v>
      </c>
      <c r="I176" s="162">
        <f t="shared" si="2"/>
        <v>0</v>
      </c>
      <c r="J176" s="2"/>
      <c r="K176" s="7"/>
      <c r="L176" s="7"/>
      <c r="M176" s="7"/>
      <c r="N176" s="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60" hidden="1" customHeight="1">
      <c r="A177" s="568" t="s">
        <v>586</v>
      </c>
      <c r="B177" s="568" t="s">
        <v>315</v>
      </c>
      <c r="C177" s="366" t="s">
        <v>1469</v>
      </c>
      <c r="D177" s="366"/>
      <c r="E177" s="366"/>
      <c r="F177" s="366"/>
      <c r="G177" s="366"/>
      <c r="H177" s="360">
        <f>+'видатки по розпорядниках'!M177</f>
        <v>0</v>
      </c>
      <c r="I177" s="162">
        <f t="shared" si="2"/>
        <v>0</v>
      </c>
      <c r="J177" s="2"/>
      <c r="K177" s="132"/>
      <c r="L177" s="132"/>
      <c r="M177" s="132"/>
      <c r="N177" s="13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36.6" hidden="1" customHeight="1">
      <c r="A178" s="568" t="s">
        <v>587</v>
      </c>
      <c r="B178" s="568" t="s">
        <v>316</v>
      </c>
      <c r="C178" s="366" t="s">
        <v>1044</v>
      </c>
      <c r="D178" s="366"/>
      <c r="E178" s="366"/>
      <c r="F178" s="366"/>
      <c r="G178" s="366"/>
      <c r="H178" s="360">
        <f>+'видатки по розпорядниках'!M178</f>
        <v>0</v>
      </c>
      <c r="I178" s="162">
        <f t="shared" si="2"/>
        <v>0</v>
      </c>
      <c r="J178" s="2"/>
      <c r="K178" s="132"/>
      <c r="L178" s="132"/>
      <c r="M178" s="132"/>
      <c r="N178" s="13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71.45" hidden="1" customHeight="1">
      <c r="A179" s="579"/>
      <c r="B179" s="579" t="s">
        <v>1031</v>
      </c>
      <c r="C179" s="171" t="s">
        <v>1027</v>
      </c>
      <c r="D179" s="171"/>
      <c r="E179" s="171"/>
      <c r="F179" s="171"/>
      <c r="G179" s="171"/>
      <c r="H179" s="360">
        <f>+'видатки по розпорядниках'!M179</f>
        <v>0</v>
      </c>
      <c r="I179" s="162">
        <f t="shared" si="2"/>
        <v>0</v>
      </c>
      <c r="J179" s="2"/>
      <c r="K179" s="132"/>
      <c r="L179" s="132"/>
      <c r="M179" s="132"/>
      <c r="N179" s="13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25.15" hidden="1" customHeight="1">
      <c r="A180" s="579"/>
      <c r="B180" s="566" t="s">
        <v>1508</v>
      </c>
      <c r="C180" s="213" t="s">
        <v>532</v>
      </c>
      <c r="D180" s="213"/>
      <c r="E180" s="213"/>
      <c r="F180" s="213"/>
      <c r="G180" s="213"/>
      <c r="H180" s="360">
        <f>+'видатки по розпорядниках'!M180</f>
        <v>0</v>
      </c>
      <c r="I180" s="162">
        <f t="shared" si="2"/>
        <v>0</v>
      </c>
      <c r="J180" s="2"/>
      <c r="K180" s="132"/>
      <c r="L180" s="132"/>
      <c r="M180" s="132"/>
      <c r="N180" s="13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46.15" hidden="1" customHeight="1">
      <c r="A181" s="579"/>
      <c r="B181" s="579" t="s">
        <v>895</v>
      </c>
      <c r="C181" s="587" t="s">
        <v>575</v>
      </c>
      <c r="D181" s="587"/>
      <c r="E181" s="587"/>
      <c r="F181" s="587"/>
      <c r="G181" s="587"/>
      <c r="H181" s="360">
        <f>+'видатки по розпорядниках'!M181</f>
        <v>0</v>
      </c>
      <c r="I181" s="162">
        <f t="shared" si="2"/>
        <v>0</v>
      </c>
      <c r="J181" s="2"/>
      <c r="K181" s="132"/>
      <c r="L181" s="132"/>
      <c r="M181" s="132"/>
      <c r="N181" s="13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46.15" hidden="1" customHeight="1">
      <c r="A182" s="579"/>
      <c r="B182" s="579" t="s">
        <v>1243</v>
      </c>
      <c r="C182" s="589" t="s">
        <v>230</v>
      </c>
      <c r="D182" s="589"/>
      <c r="E182" s="589"/>
      <c r="F182" s="589"/>
      <c r="G182" s="589"/>
      <c r="H182" s="360">
        <f>+'видатки по розпорядниках'!M182</f>
        <v>0</v>
      </c>
      <c r="I182" s="162">
        <f t="shared" si="2"/>
        <v>0</v>
      </c>
      <c r="J182" s="2"/>
      <c r="K182" s="132"/>
      <c r="L182" s="132"/>
      <c r="M182" s="132"/>
      <c r="N182" s="13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54.6" hidden="1" customHeight="1">
      <c r="A183" s="568" t="s">
        <v>1305</v>
      </c>
      <c r="B183" s="568" t="s">
        <v>1212</v>
      </c>
      <c r="C183" s="217" t="s">
        <v>1214</v>
      </c>
      <c r="D183" s="217"/>
      <c r="E183" s="217"/>
      <c r="F183" s="217"/>
      <c r="G183" s="217"/>
      <c r="H183" s="360">
        <f>+'видатки по розпорядниках'!M183</f>
        <v>0</v>
      </c>
      <c r="I183" s="162">
        <f t="shared" si="2"/>
        <v>0</v>
      </c>
      <c r="J183" s="2"/>
      <c r="K183" s="132"/>
      <c r="L183" s="132"/>
      <c r="M183" s="132"/>
      <c r="N183" s="13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00.9" hidden="1" customHeight="1">
      <c r="A184" s="579"/>
      <c r="B184" s="566"/>
      <c r="C184" s="590" t="s">
        <v>1264</v>
      </c>
      <c r="D184" s="590"/>
      <c r="E184" s="590"/>
      <c r="F184" s="590"/>
      <c r="G184" s="590"/>
      <c r="H184" s="360">
        <f>+'видатки по розпорядниках'!M184</f>
        <v>0</v>
      </c>
      <c r="I184" s="162">
        <f t="shared" si="2"/>
        <v>0</v>
      </c>
      <c r="J184" s="2"/>
      <c r="K184" s="132"/>
      <c r="L184" s="132"/>
      <c r="M184" s="132"/>
      <c r="N184" s="13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21" hidden="1" customHeight="1">
      <c r="A185" s="642"/>
      <c r="B185" s="568"/>
      <c r="C185" s="454" t="s">
        <v>150</v>
      </c>
      <c r="D185" s="454"/>
      <c r="E185" s="454"/>
      <c r="F185" s="454"/>
      <c r="G185" s="454"/>
      <c r="H185" s="360">
        <f>+'видатки по розпорядниках'!M185</f>
        <v>0</v>
      </c>
      <c r="I185" s="162">
        <f t="shared" si="2"/>
        <v>0</v>
      </c>
      <c r="J185" s="2"/>
      <c r="K185" s="132"/>
      <c r="L185" s="132"/>
      <c r="M185" s="132"/>
      <c r="N185" s="13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312.60000000000002" hidden="1" customHeight="1">
      <c r="A186" s="568"/>
      <c r="B186" s="568"/>
      <c r="C186" s="454" t="s">
        <v>671</v>
      </c>
      <c r="D186" s="454"/>
      <c r="E186" s="454"/>
      <c r="F186" s="454"/>
      <c r="G186" s="454"/>
      <c r="H186" s="360">
        <f>+'видатки по розпорядниках'!M186</f>
        <v>0</v>
      </c>
      <c r="I186" s="162">
        <f t="shared" si="2"/>
        <v>0</v>
      </c>
      <c r="J186" s="2"/>
      <c r="K186" s="132"/>
      <c r="L186" s="132"/>
      <c r="M186" s="132"/>
      <c r="N186" s="13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45.6" hidden="1" customHeight="1">
      <c r="A187" s="568" t="s">
        <v>1306</v>
      </c>
      <c r="B187" s="568" t="s">
        <v>1211</v>
      </c>
      <c r="C187" s="217" t="s">
        <v>1250</v>
      </c>
      <c r="D187" s="217"/>
      <c r="E187" s="217"/>
      <c r="F187" s="217"/>
      <c r="G187" s="217"/>
      <c r="H187" s="360">
        <f>+'видатки по розпорядниках'!M187</f>
        <v>0</v>
      </c>
      <c r="I187" s="162">
        <f t="shared" si="2"/>
        <v>0</v>
      </c>
      <c r="J187" s="2"/>
      <c r="K187" s="132"/>
      <c r="L187" s="132"/>
      <c r="M187" s="132"/>
      <c r="N187" s="13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53.45" hidden="1" customHeight="1">
      <c r="A188" s="579"/>
      <c r="B188" s="567" t="s">
        <v>893</v>
      </c>
      <c r="C188" s="197" t="s">
        <v>1135</v>
      </c>
      <c r="D188" s="197"/>
      <c r="E188" s="197"/>
      <c r="F188" s="197"/>
      <c r="G188" s="197"/>
      <c r="H188" s="360">
        <f>+'видатки по розпорядниках'!M188</f>
        <v>0</v>
      </c>
      <c r="I188" s="162">
        <f t="shared" si="2"/>
        <v>0</v>
      </c>
      <c r="J188" s="2"/>
      <c r="K188" s="132"/>
      <c r="L188" s="132"/>
      <c r="M188" s="132"/>
      <c r="N188" s="13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55.9" hidden="1" customHeight="1">
      <c r="A189" s="579"/>
      <c r="B189" s="566" t="s">
        <v>1204</v>
      </c>
      <c r="C189" s="213" t="s">
        <v>1138</v>
      </c>
      <c r="D189" s="213"/>
      <c r="E189" s="213"/>
      <c r="F189" s="213"/>
      <c r="G189" s="213"/>
      <c r="H189" s="360">
        <f>+'видатки по розпорядниках'!M189</f>
        <v>0</v>
      </c>
      <c r="I189" s="162">
        <f t="shared" si="2"/>
        <v>0</v>
      </c>
      <c r="J189" s="2"/>
      <c r="K189" s="132"/>
      <c r="L189" s="132"/>
      <c r="M189" s="132"/>
      <c r="N189" s="13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9.899999999999999" hidden="1" customHeight="1">
      <c r="A190" s="642"/>
      <c r="B190" s="568"/>
      <c r="C190" s="454" t="s">
        <v>150</v>
      </c>
      <c r="D190" s="454"/>
      <c r="E190" s="454"/>
      <c r="F190" s="454"/>
      <c r="G190" s="454"/>
      <c r="H190" s="360">
        <f>+'видатки по розпорядниках'!M190</f>
        <v>0</v>
      </c>
      <c r="I190" s="162">
        <f t="shared" si="2"/>
        <v>0</v>
      </c>
      <c r="J190" s="2"/>
      <c r="K190" s="132"/>
      <c r="L190" s="132"/>
      <c r="M190" s="132"/>
      <c r="N190" s="13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317.45" hidden="1" customHeight="1">
      <c r="A191" s="568"/>
      <c r="B191" s="568"/>
      <c r="C191" s="454" t="s">
        <v>671</v>
      </c>
      <c r="D191" s="454"/>
      <c r="E191" s="454"/>
      <c r="F191" s="454"/>
      <c r="G191" s="454"/>
      <c r="H191" s="360">
        <f>+'видатки по розпорядниках'!M191</f>
        <v>0</v>
      </c>
      <c r="I191" s="162">
        <f t="shared" si="2"/>
        <v>0</v>
      </c>
      <c r="J191" s="2"/>
      <c r="K191" s="132"/>
      <c r="L191" s="132"/>
      <c r="M191" s="132"/>
      <c r="N191" s="13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28.9" hidden="1" customHeight="1">
      <c r="A192" s="568" t="s">
        <v>928</v>
      </c>
      <c r="B192" s="568" t="s">
        <v>1247</v>
      </c>
      <c r="C192" s="217" t="s">
        <v>1246</v>
      </c>
      <c r="D192" s="217"/>
      <c r="E192" s="217"/>
      <c r="F192" s="217"/>
      <c r="G192" s="217"/>
      <c r="H192" s="360">
        <f>+'видатки по розпорядниках'!M192</f>
        <v>0</v>
      </c>
      <c r="I192" s="162">
        <f t="shared" si="2"/>
        <v>0</v>
      </c>
      <c r="J192" s="2"/>
      <c r="K192" s="132"/>
      <c r="L192" s="132"/>
      <c r="M192" s="132"/>
      <c r="N192" s="13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24.6" hidden="1" customHeight="1">
      <c r="A193" s="568"/>
      <c r="B193" s="568"/>
      <c r="C193" s="211" t="s">
        <v>52</v>
      </c>
      <c r="D193" s="211"/>
      <c r="E193" s="211"/>
      <c r="F193" s="211"/>
      <c r="G193" s="211"/>
      <c r="H193" s="360">
        <f>+'видатки по розпорядниках'!M193</f>
        <v>0</v>
      </c>
      <c r="I193" s="162">
        <f t="shared" si="2"/>
        <v>0</v>
      </c>
      <c r="J193" s="2"/>
      <c r="K193" s="132"/>
      <c r="L193" s="132"/>
      <c r="M193" s="132"/>
      <c r="N193" s="13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48.6" hidden="1" customHeight="1">
      <c r="A194" s="568"/>
      <c r="B194" s="568"/>
      <c r="C194" s="370" t="s">
        <v>201</v>
      </c>
      <c r="D194" s="370"/>
      <c r="E194" s="370"/>
      <c r="F194" s="370"/>
      <c r="G194" s="370"/>
      <c r="H194" s="360">
        <f>+'видатки по розпорядниках'!M194</f>
        <v>0</v>
      </c>
      <c r="I194" s="162">
        <f t="shared" si="2"/>
        <v>0</v>
      </c>
      <c r="J194" s="2"/>
      <c r="K194" s="132"/>
      <c r="L194" s="132"/>
      <c r="M194" s="132"/>
      <c r="N194" s="13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49.15" hidden="1" customHeight="1">
      <c r="A195" s="568"/>
      <c r="B195" s="568"/>
      <c r="C195" s="211" t="s">
        <v>151</v>
      </c>
      <c r="D195" s="211"/>
      <c r="E195" s="211"/>
      <c r="F195" s="211"/>
      <c r="G195" s="211"/>
      <c r="H195" s="360">
        <f>+'видатки по розпорядниках'!M195</f>
        <v>0</v>
      </c>
      <c r="I195" s="162">
        <f t="shared" si="2"/>
        <v>0</v>
      </c>
      <c r="J195" s="2"/>
      <c r="K195" s="132"/>
      <c r="L195" s="132"/>
      <c r="M195" s="132"/>
      <c r="N195" s="13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49.15" customHeight="1">
      <c r="A196" s="359" t="s">
        <v>963</v>
      </c>
      <c r="B196" s="359" t="s">
        <v>686</v>
      </c>
      <c r="C196" s="360" t="s">
        <v>29</v>
      </c>
      <c r="D196" s="360"/>
      <c r="E196" s="360"/>
      <c r="F196" s="360"/>
      <c r="G196" s="360"/>
      <c r="H196" s="503">
        <f>+'видатки по розпорядниках'!M196</f>
        <v>2900000</v>
      </c>
      <c r="I196" s="162">
        <f t="shared" si="2"/>
        <v>2900000</v>
      </c>
      <c r="J196" s="2"/>
      <c r="K196" s="132"/>
      <c r="L196" s="132"/>
      <c r="M196" s="132"/>
      <c r="N196" s="13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49.15" hidden="1" customHeight="1">
      <c r="A197" s="567" t="s">
        <v>1307</v>
      </c>
      <c r="B197" s="564" t="s">
        <v>1380</v>
      </c>
      <c r="C197" s="197" t="s">
        <v>1381</v>
      </c>
      <c r="D197" s="197"/>
      <c r="E197" s="197"/>
      <c r="F197" s="197"/>
      <c r="G197" s="197"/>
      <c r="H197" s="360">
        <f>+'видатки по розпорядниках'!M197</f>
        <v>0</v>
      </c>
      <c r="I197" s="162">
        <f t="shared" si="2"/>
        <v>0</v>
      </c>
      <c r="J197" s="2"/>
      <c r="K197" s="132"/>
      <c r="L197" s="132"/>
      <c r="M197" s="132"/>
      <c r="N197" s="13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49.15" hidden="1" customHeight="1">
      <c r="A198" s="569" t="s">
        <v>1308</v>
      </c>
      <c r="B198" s="569" t="s">
        <v>1395</v>
      </c>
      <c r="C198" s="367" t="s">
        <v>1394</v>
      </c>
      <c r="D198" s="367"/>
      <c r="E198" s="367"/>
      <c r="F198" s="367"/>
      <c r="G198" s="367"/>
      <c r="H198" s="360">
        <f>+'видатки по розпорядниках'!M198</f>
        <v>0</v>
      </c>
      <c r="I198" s="162">
        <f t="shared" si="2"/>
        <v>0</v>
      </c>
      <c r="J198" s="2"/>
      <c r="K198" s="132"/>
      <c r="L198" s="132"/>
      <c r="M198" s="132"/>
      <c r="N198" s="13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03.9" customHeight="1">
      <c r="A199" s="1416" t="s">
        <v>1508</v>
      </c>
      <c r="B199" s="1416"/>
      <c r="C199" s="454" t="s">
        <v>532</v>
      </c>
      <c r="D199" s="1351" t="s">
        <v>271</v>
      </c>
      <c r="E199" s="454"/>
      <c r="F199" s="454"/>
      <c r="G199" s="454"/>
      <c r="H199" s="360">
        <f>+'видатки по розпорядниках'!M199</f>
        <v>2900000</v>
      </c>
      <c r="I199" s="162">
        <f t="shared" si="2"/>
        <v>2900000</v>
      </c>
      <c r="J199" s="2"/>
      <c r="K199" s="132"/>
      <c r="L199" s="132"/>
      <c r="M199" s="132"/>
      <c r="N199" s="13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57" hidden="1">
      <c r="A200" s="359" t="s">
        <v>963</v>
      </c>
      <c r="B200" s="359" t="s">
        <v>30</v>
      </c>
      <c r="C200" s="360" t="s">
        <v>31</v>
      </c>
      <c r="D200" s="360"/>
      <c r="E200" s="360"/>
      <c r="F200" s="360"/>
      <c r="G200" s="360"/>
      <c r="H200" s="360">
        <f>+'видатки по розпорядниках'!M200</f>
        <v>0</v>
      </c>
      <c r="I200" s="162">
        <f t="shared" si="2"/>
        <v>0</v>
      </c>
      <c r="K200" s="71"/>
      <c r="L200" s="71"/>
      <c r="M200" s="71"/>
      <c r="N200" s="71"/>
    </row>
    <row r="201" spans="1:58" ht="28.15" hidden="1" customHeight="1">
      <c r="A201" s="567" t="s">
        <v>1307</v>
      </c>
      <c r="B201" s="564" t="s">
        <v>1380</v>
      </c>
      <c r="C201" s="197" t="s">
        <v>1381</v>
      </c>
      <c r="D201" s="197"/>
      <c r="E201" s="197"/>
      <c r="F201" s="197"/>
      <c r="G201" s="197"/>
      <c r="H201" s="360">
        <f>+'видатки по розпорядниках'!M201</f>
        <v>0</v>
      </c>
      <c r="I201" s="162">
        <f t="shared" si="2"/>
        <v>0</v>
      </c>
      <c r="J201" s="2"/>
      <c r="K201" s="7"/>
      <c r="L201" s="7"/>
      <c r="M201" s="7"/>
      <c r="N201" s="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36.6" hidden="1" customHeight="1">
      <c r="A202" s="569" t="s">
        <v>1308</v>
      </c>
      <c r="B202" s="569" t="s">
        <v>1395</v>
      </c>
      <c r="C202" s="367" t="s">
        <v>1394</v>
      </c>
      <c r="D202" s="367"/>
      <c r="E202" s="367"/>
      <c r="F202" s="367"/>
      <c r="G202" s="367"/>
      <c r="H202" s="360">
        <f>+'видатки по розпорядниках'!M202</f>
        <v>0</v>
      </c>
      <c r="I202" s="162">
        <f t="shared" si="2"/>
        <v>0</v>
      </c>
      <c r="J202" s="2"/>
      <c r="K202" s="132"/>
      <c r="L202" s="132"/>
      <c r="M202" s="132"/>
      <c r="N202" s="13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24" hidden="1" customHeight="1">
      <c r="A203" s="569" t="s">
        <v>424</v>
      </c>
      <c r="B203" s="569" t="s">
        <v>1508</v>
      </c>
      <c r="C203" s="454" t="s">
        <v>532</v>
      </c>
      <c r="D203" s="454"/>
      <c r="E203" s="454"/>
      <c r="F203" s="454"/>
      <c r="G203" s="454"/>
      <c r="H203" s="360">
        <f>+'видатки по розпорядниках'!M203</f>
        <v>0</v>
      </c>
      <c r="I203" s="162">
        <f t="shared" si="2"/>
        <v>0</v>
      </c>
      <c r="J203" s="2"/>
      <c r="K203" s="132"/>
      <c r="L203" s="132"/>
      <c r="M203" s="132"/>
      <c r="N203" s="13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46.9" hidden="1" customHeight="1">
      <c r="A204" s="567"/>
      <c r="B204" s="567" t="s">
        <v>1212</v>
      </c>
      <c r="C204" s="170" t="s">
        <v>1214</v>
      </c>
      <c r="D204" s="170"/>
      <c r="E204" s="170"/>
      <c r="F204" s="170"/>
      <c r="G204" s="170"/>
      <c r="H204" s="360">
        <f>+'видатки по розпорядниках'!M204</f>
        <v>0</v>
      </c>
      <c r="I204" s="162">
        <f t="shared" si="2"/>
        <v>0</v>
      </c>
      <c r="K204" s="71"/>
      <c r="L204" s="71"/>
      <c r="M204" s="71"/>
      <c r="N204" s="71"/>
    </row>
    <row r="205" spans="1:58" ht="44.45" hidden="1" customHeight="1">
      <c r="A205" s="567"/>
      <c r="B205" s="570"/>
      <c r="C205" s="171" t="s">
        <v>507</v>
      </c>
      <c r="D205" s="171"/>
      <c r="E205" s="171"/>
      <c r="F205" s="171"/>
      <c r="G205" s="171"/>
      <c r="H205" s="360">
        <f>+'видатки по розпорядниках'!M205</f>
        <v>0</v>
      </c>
      <c r="I205" s="162">
        <f t="shared" si="2"/>
        <v>0</v>
      </c>
      <c r="J205" s="24"/>
      <c r="K205" s="44"/>
      <c r="L205" s="44"/>
      <c r="M205" s="44"/>
      <c r="N205" s="44"/>
      <c r="O205" s="24"/>
    </row>
    <row r="206" spans="1:58" ht="35.450000000000003" hidden="1" customHeight="1">
      <c r="A206" s="567"/>
      <c r="B206" s="567" t="s">
        <v>1211</v>
      </c>
      <c r="C206" s="170" t="s">
        <v>1250</v>
      </c>
      <c r="D206" s="170"/>
      <c r="E206" s="170"/>
      <c r="F206" s="170"/>
      <c r="G206" s="170"/>
      <c r="H206" s="360">
        <f>+'видатки по розпорядниках'!M206</f>
        <v>0</v>
      </c>
      <c r="I206" s="162">
        <f t="shared" si="2"/>
        <v>0</v>
      </c>
      <c r="K206" s="71"/>
      <c r="L206" s="71"/>
      <c r="M206" s="71"/>
      <c r="N206" s="71"/>
    </row>
    <row r="207" spans="1:58" ht="63" hidden="1" customHeight="1">
      <c r="A207" s="637" t="s">
        <v>32</v>
      </c>
      <c r="B207" s="569" t="s">
        <v>1507</v>
      </c>
      <c r="C207" s="202" t="s">
        <v>675</v>
      </c>
      <c r="D207" s="202"/>
      <c r="E207" s="202"/>
      <c r="F207" s="202"/>
      <c r="G207" s="202"/>
      <c r="H207" s="360">
        <f>+'видатки по розпорядниках'!M207</f>
        <v>0</v>
      </c>
      <c r="I207" s="162">
        <f t="shared" si="2"/>
        <v>0</v>
      </c>
      <c r="K207" s="71"/>
      <c r="L207" s="71"/>
      <c r="M207" s="71"/>
      <c r="N207" s="71"/>
    </row>
    <row r="208" spans="1:58" ht="27" hidden="1" customHeight="1">
      <c r="A208" s="1349"/>
      <c r="B208" s="569"/>
      <c r="C208" s="202" t="s">
        <v>747</v>
      </c>
      <c r="D208" s="202"/>
      <c r="E208" s="202"/>
      <c r="F208" s="202"/>
      <c r="G208" s="202"/>
      <c r="H208" s="360">
        <f>+'видатки по розпорядниках'!M208</f>
        <v>0</v>
      </c>
      <c r="I208" s="162">
        <f t="shared" si="2"/>
        <v>0</v>
      </c>
      <c r="K208" s="71"/>
      <c r="L208" s="71"/>
      <c r="M208" s="71"/>
      <c r="N208" s="71"/>
    </row>
    <row r="209" spans="1:14" ht="99" hidden="1" customHeight="1">
      <c r="A209" s="637"/>
      <c r="B209" s="569"/>
      <c r="C209" s="202" t="s">
        <v>672</v>
      </c>
      <c r="D209" s="202"/>
      <c r="E209" s="202"/>
      <c r="F209" s="202"/>
      <c r="G209" s="202"/>
      <c r="H209" s="360">
        <f>+'видатки по розпорядниках'!M209</f>
        <v>0</v>
      </c>
      <c r="I209" s="162">
        <f t="shared" si="2"/>
        <v>0</v>
      </c>
      <c r="K209" s="71"/>
      <c r="L209" s="71"/>
      <c r="M209" s="71"/>
      <c r="N209" s="71"/>
    </row>
    <row r="210" spans="1:14" ht="47.45" hidden="1" customHeight="1">
      <c r="A210" s="637"/>
      <c r="B210" s="569"/>
      <c r="C210" s="202" t="s">
        <v>673</v>
      </c>
      <c r="D210" s="202"/>
      <c r="E210" s="202"/>
      <c r="F210" s="202"/>
      <c r="G210" s="202"/>
      <c r="H210" s="360">
        <f>+'видатки по розпорядниках'!M210</f>
        <v>0</v>
      </c>
      <c r="I210" s="162">
        <f t="shared" si="2"/>
        <v>0</v>
      </c>
      <c r="K210" s="71"/>
      <c r="L210" s="71"/>
      <c r="M210" s="71"/>
      <c r="N210" s="71"/>
    </row>
    <row r="211" spans="1:14" ht="23.45" hidden="1" customHeight="1">
      <c r="A211" s="567"/>
      <c r="B211" s="567"/>
      <c r="C211" s="364" t="s">
        <v>52</v>
      </c>
      <c r="D211" s="364"/>
      <c r="E211" s="364"/>
      <c r="F211" s="364"/>
      <c r="G211" s="364"/>
      <c r="H211" s="360">
        <f>+'видатки по розпорядниках'!M211</f>
        <v>0</v>
      </c>
      <c r="I211" s="162">
        <f t="shared" si="2"/>
        <v>0</v>
      </c>
      <c r="K211" s="71"/>
      <c r="L211" s="71"/>
      <c r="M211" s="71"/>
      <c r="N211" s="71"/>
    </row>
    <row r="212" spans="1:14" ht="52.15" hidden="1" customHeight="1">
      <c r="A212" s="567"/>
      <c r="B212" s="567"/>
      <c r="C212" s="217" t="s">
        <v>1061</v>
      </c>
      <c r="D212" s="217"/>
      <c r="E212" s="217"/>
      <c r="F212" s="217"/>
      <c r="G212" s="217"/>
      <c r="H212" s="360">
        <f>+'видатки по розпорядниках'!M212</f>
        <v>0</v>
      </c>
      <c r="I212" s="162">
        <f t="shared" si="2"/>
        <v>0</v>
      </c>
      <c r="K212" s="71"/>
      <c r="L212" s="71"/>
      <c r="M212" s="71"/>
      <c r="N212" s="71"/>
    </row>
    <row r="213" spans="1:14" ht="64.900000000000006" hidden="1" customHeight="1">
      <c r="A213" s="567"/>
      <c r="B213" s="567"/>
      <c r="C213" s="217" t="s">
        <v>58</v>
      </c>
      <c r="D213" s="217"/>
      <c r="E213" s="217"/>
      <c r="F213" s="217"/>
      <c r="G213" s="217"/>
      <c r="H213" s="360">
        <f>+'видатки по розпорядниках'!M213</f>
        <v>0</v>
      </c>
      <c r="I213" s="162">
        <f t="shared" si="2"/>
        <v>0</v>
      </c>
      <c r="K213" s="71"/>
      <c r="L213" s="71"/>
      <c r="M213" s="71"/>
      <c r="N213" s="71"/>
    </row>
    <row r="214" spans="1:14" ht="34.9" hidden="1" customHeight="1">
      <c r="A214" s="567"/>
      <c r="B214" s="550" t="s">
        <v>1512</v>
      </c>
      <c r="C214" s="213" t="s">
        <v>268</v>
      </c>
      <c r="D214" s="213"/>
      <c r="E214" s="213"/>
      <c r="F214" s="213"/>
      <c r="G214" s="213"/>
      <c r="H214" s="360">
        <f>+'видатки по розпорядниках'!M214</f>
        <v>0</v>
      </c>
      <c r="I214" s="162">
        <f t="shared" ref="I214:I277" si="3">+H214</f>
        <v>0</v>
      </c>
      <c r="K214" s="71"/>
      <c r="L214" s="71"/>
      <c r="M214" s="71"/>
      <c r="N214" s="71"/>
    </row>
    <row r="215" spans="1:14" ht="27" hidden="1" customHeight="1">
      <c r="A215" s="567"/>
      <c r="B215" s="550" t="s">
        <v>88</v>
      </c>
      <c r="C215" s="214" t="s">
        <v>663</v>
      </c>
      <c r="D215" s="214"/>
      <c r="E215" s="214"/>
      <c r="F215" s="214"/>
      <c r="G215" s="214"/>
      <c r="H215" s="360">
        <f>+'видатки по розпорядниках'!M215</f>
        <v>0</v>
      </c>
      <c r="I215" s="162">
        <f t="shared" si="3"/>
        <v>0</v>
      </c>
      <c r="K215" s="71"/>
      <c r="L215" s="71"/>
      <c r="M215" s="71"/>
      <c r="N215" s="71"/>
    </row>
    <row r="216" spans="1:14" ht="40.9" hidden="1" customHeight="1">
      <c r="A216" s="567"/>
      <c r="B216" s="591"/>
      <c r="C216" s="585" t="str">
        <f>+'видатки_затв '!B273</f>
        <v>сплату відсотків за надані фінансово-банківськими установами позики населенню на енергоощадні заходи</v>
      </c>
      <c r="D216" s="585"/>
      <c r="E216" s="585"/>
      <c r="F216" s="585"/>
      <c r="G216" s="585"/>
      <c r="H216" s="360">
        <f>+'видатки по розпорядниках'!M216</f>
        <v>0</v>
      </c>
      <c r="I216" s="162">
        <f t="shared" si="3"/>
        <v>0</v>
      </c>
      <c r="K216" s="71"/>
      <c r="L216" s="71"/>
      <c r="M216" s="71"/>
      <c r="N216" s="71"/>
    </row>
    <row r="217" spans="1:14" ht="72" hidden="1" customHeight="1">
      <c r="A217" s="567"/>
      <c r="B217" s="591"/>
      <c r="C217" s="585" t="s">
        <v>818</v>
      </c>
      <c r="D217" s="585"/>
      <c r="E217" s="585"/>
      <c r="F217" s="585"/>
      <c r="G217" s="585"/>
      <c r="H217" s="360">
        <f>+'видатки по розпорядниках'!M217</f>
        <v>0</v>
      </c>
      <c r="I217" s="162">
        <f t="shared" si="3"/>
        <v>0</v>
      </c>
      <c r="K217" s="71"/>
      <c r="L217" s="71"/>
      <c r="M217" s="71"/>
      <c r="N217" s="71"/>
    </row>
    <row r="218" spans="1:14" ht="45.6" hidden="1" customHeight="1">
      <c r="A218" s="359" t="s">
        <v>964</v>
      </c>
      <c r="B218" s="359"/>
      <c r="C218" s="360" t="s">
        <v>159</v>
      </c>
      <c r="D218" s="360"/>
      <c r="E218" s="360"/>
      <c r="F218" s="360"/>
      <c r="G218" s="360"/>
      <c r="H218" s="360">
        <f>+'видатки по розпорядниках'!M218</f>
        <v>0</v>
      </c>
      <c r="I218" s="162">
        <f t="shared" si="3"/>
        <v>0</v>
      </c>
      <c r="K218" s="71"/>
      <c r="L218" s="71"/>
      <c r="M218" s="71"/>
      <c r="N218" s="71"/>
    </row>
    <row r="219" spans="1:14" ht="43.9" hidden="1" customHeight="1">
      <c r="A219" s="567"/>
      <c r="B219" s="550" t="s">
        <v>160</v>
      </c>
      <c r="C219" s="452" t="s">
        <v>1248</v>
      </c>
      <c r="D219" s="452"/>
      <c r="E219" s="452"/>
      <c r="F219" s="452"/>
      <c r="G219" s="452"/>
      <c r="H219" s="360">
        <f>+'видатки по розпорядниках'!M219</f>
        <v>0</v>
      </c>
      <c r="I219" s="162">
        <f t="shared" si="3"/>
        <v>0</v>
      </c>
      <c r="K219" s="71"/>
      <c r="L219" s="71"/>
      <c r="M219" s="71"/>
      <c r="N219" s="71"/>
    </row>
    <row r="220" spans="1:14" ht="43.9" hidden="1" customHeight="1">
      <c r="A220" s="567"/>
      <c r="B220" s="550" t="s">
        <v>161</v>
      </c>
      <c r="C220" s="452" t="s">
        <v>994</v>
      </c>
      <c r="D220" s="452"/>
      <c r="E220" s="452"/>
      <c r="F220" s="452"/>
      <c r="G220" s="452"/>
      <c r="H220" s="360">
        <f>+'видатки по розпорядниках'!M220</f>
        <v>0</v>
      </c>
      <c r="I220" s="162">
        <f t="shared" si="3"/>
        <v>0</v>
      </c>
      <c r="K220" s="71"/>
      <c r="L220" s="71"/>
      <c r="M220" s="71"/>
      <c r="N220" s="71"/>
    </row>
    <row r="221" spans="1:14" ht="23.45" customHeight="1">
      <c r="A221" s="359" t="s">
        <v>964</v>
      </c>
      <c r="B221" s="359" t="s">
        <v>685</v>
      </c>
      <c r="C221" s="360" t="s">
        <v>1179</v>
      </c>
      <c r="D221" s="360"/>
      <c r="E221" s="360"/>
      <c r="F221" s="360"/>
      <c r="G221" s="360"/>
      <c r="H221" s="503">
        <f>+'видатки по розпорядниках'!M221</f>
        <v>15000000</v>
      </c>
      <c r="I221" s="162">
        <f t="shared" si="3"/>
        <v>15000000</v>
      </c>
      <c r="K221" s="71"/>
      <c r="L221" s="71"/>
      <c r="M221" s="71"/>
      <c r="N221" s="71"/>
    </row>
    <row r="222" spans="1:14" ht="44.45" hidden="1" customHeight="1">
      <c r="A222" s="570"/>
      <c r="B222" s="570"/>
      <c r="C222" s="539" t="s">
        <v>46</v>
      </c>
      <c r="D222" s="539"/>
      <c r="E222" s="539"/>
      <c r="F222" s="539"/>
      <c r="G222" s="539"/>
      <c r="H222" s="360">
        <f>+'видатки по розпорядниках'!M222</f>
        <v>0</v>
      </c>
      <c r="I222" s="162">
        <f t="shared" si="3"/>
        <v>0</v>
      </c>
      <c r="K222" s="71"/>
      <c r="L222" s="71"/>
      <c r="M222" s="71"/>
      <c r="N222" s="71"/>
    </row>
    <row r="223" spans="1:14" ht="18" hidden="1" customHeight="1">
      <c r="A223" s="570"/>
      <c r="B223" s="570" t="s">
        <v>1623</v>
      </c>
      <c r="C223" s="171" t="s">
        <v>1075</v>
      </c>
      <c r="D223" s="171"/>
      <c r="E223" s="171"/>
      <c r="F223" s="171"/>
      <c r="G223" s="171"/>
      <c r="H223" s="360">
        <f>+'видатки по розпорядниках'!M223</f>
        <v>0</v>
      </c>
      <c r="I223" s="162">
        <f t="shared" si="3"/>
        <v>0</v>
      </c>
      <c r="K223" s="71"/>
      <c r="L223" s="71"/>
      <c r="M223" s="71"/>
      <c r="N223" s="71"/>
    </row>
    <row r="224" spans="1:14" ht="18" hidden="1" customHeight="1">
      <c r="A224" s="570"/>
      <c r="B224" s="570"/>
      <c r="C224" s="171" t="s">
        <v>422</v>
      </c>
      <c r="D224" s="171"/>
      <c r="E224" s="171"/>
      <c r="F224" s="171"/>
      <c r="G224" s="171"/>
      <c r="H224" s="360">
        <f>+'видатки по розпорядниках'!M224</f>
        <v>0</v>
      </c>
      <c r="I224" s="162">
        <f t="shared" si="3"/>
        <v>0</v>
      </c>
      <c r="K224" s="71"/>
      <c r="L224" s="71"/>
      <c r="M224" s="71"/>
      <c r="N224" s="71"/>
    </row>
    <row r="225" spans="1:15" ht="18" hidden="1" customHeight="1">
      <c r="A225" s="570"/>
      <c r="B225" s="570"/>
      <c r="C225" s="171" t="s">
        <v>423</v>
      </c>
      <c r="D225" s="171"/>
      <c r="E225" s="171"/>
      <c r="F225" s="171"/>
      <c r="G225" s="171"/>
      <c r="H225" s="360">
        <f>+'видатки по розпорядниках'!M225</f>
        <v>0</v>
      </c>
      <c r="I225" s="162">
        <f t="shared" si="3"/>
        <v>0</v>
      </c>
      <c r="K225" s="71"/>
      <c r="L225" s="71"/>
      <c r="M225" s="71"/>
      <c r="N225" s="71"/>
    </row>
    <row r="226" spans="1:15" ht="31.9" hidden="1" customHeight="1">
      <c r="A226" s="570"/>
      <c r="B226" s="550" t="s">
        <v>706</v>
      </c>
      <c r="C226" s="197" t="s">
        <v>1037</v>
      </c>
      <c r="D226" s="197"/>
      <c r="E226" s="197"/>
      <c r="F226" s="197"/>
      <c r="G226" s="197"/>
      <c r="H226" s="360">
        <f>+'видатки по розпорядниках'!M226</f>
        <v>0</v>
      </c>
      <c r="I226" s="162">
        <f t="shared" si="3"/>
        <v>0</v>
      </c>
      <c r="K226" s="71"/>
      <c r="L226" s="71"/>
      <c r="M226" s="71"/>
      <c r="N226" s="71"/>
    </row>
    <row r="227" spans="1:15" ht="34.9" hidden="1" customHeight="1">
      <c r="A227" s="570"/>
      <c r="B227" s="570" t="s">
        <v>1140</v>
      </c>
      <c r="C227" s="197" t="s">
        <v>317</v>
      </c>
      <c r="D227" s="197"/>
      <c r="E227" s="197"/>
      <c r="F227" s="197"/>
      <c r="G227" s="197"/>
      <c r="H227" s="360">
        <f>+'видатки по розпорядниках'!M227</f>
        <v>0</v>
      </c>
      <c r="I227" s="162">
        <f t="shared" si="3"/>
        <v>0</v>
      </c>
      <c r="J227" s="24"/>
      <c r="K227" s="44"/>
      <c r="L227" s="44"/>
      <c r="M227" s="44"/>
      <c r="N227" s="44"/>
      <c r="O227" s="24"/>
    </row>
    <row r="228" spans="1:15" ht="60.6" hidden="1" customHeight="1">
      <c r="A228" s="570"/>
      <c r="B228" s="570"/>
      <c r="C228" s="171" t="s">
        <v>1586</v>
      </c>
      <c r="D228" s="171"/>
      <c r="E228" s="171"/>
      <c r="F228" s="171"/>
      <c r="G228" s="171"/>
      <c r="H228" s="360">
        <f>+'видатки по розпорядниках'!M228</f>
        <v>0</v>
      </c>
      <c r="I228" s="162">
        <f t="shared" si="3"/>
        <v>0</v>
      </c>
      <c r="J228" s="24"/>
      <c r="K228" s="44"/>
      <c r="L228" s="44"/>
      <c r="M228" s="44"/>
      <c r="N228" s="44"/>
      <c r="O228" s="24"/>
    </row>
    <row r="229" spans="1:15" ht="34.9" hidden="1" customHeight="1">
      <c r="A229" s="570"/>
      <c r="B229" s="570"/>
      <c r="C229" s="171" t="s">
        <v>143</v>
      </c>
      <c r="D229" s="171"/>
      <c r="E229" s="171"/>
      <c r="F229" s="171"/>
      <c r="G229" s="171"/>
      <c r="H229" s="360">
        <f>+'видатки по розпорядниках'!M229</f>
        <v>0</v>
      </c>
      <c r="I229" s="162">
        <f t="shared" si="3"/>
        <v>0</v>
      </c>
      <c r="J229" s="24"/>
      <c r="K229" s="44"/>
      <c r="L229" s="44"/>
      <c r="M229" s="44"/>
      <c r="N229" s="44"/>
      <c r="O229" s="24"/>
    </row>
    <row r="230" spans="1:15" ht="49.9" hidden="1" customHeight="1">
      <c r="A230" s="570"/>
      <c r="B230" s="570"/>
      <c r="C230" s="171" t="s">
        <v>87</v>
      </c>
      <c r="D230" s="171"/>
      <c r="E230" s="171"/>
      <c r="F230" s="171"/>
      <c r="G230" s="171"/>
      <c r="H230" s="360">
        <f>+'видатки по розпорядниках'!M230</f>
        <v>0</v>
      </c>
      <c r="I230" s="162">
        <f t="shared" si="3"/>
        <v>0</v>
      </c>
      <c r="J230" s="24"/>
      <c r="K230" s="44"/>
      <c r="L230" s="44"/>
      <c r="M230" s="44"/>
      <c r="N230" s="44"/>
      <c r="O230" s="24"/>
    </row>
    <row r="231" spans="1:15" ht="84" hidden="1" customHeight="1">
      <c r="A231" s="570"/>
      <c r="B231" s="570" t="s">
        <v>501</v>
      </c>
      <c r="C231" s="593" t="s">
        <v>592</v>
      </c>
      <c r="D231" s="593"/>
      <c r="E231" s="593"/>
      <c r="F231" s="593"/>
      <c r="G231" s="593"/>
      <c r="H231" s="360">
        <f>+'видатки по розпорядниках'!M231</f>
        <v>0</v>
      </c>
      <c r="I231" s="162">
        <f t="shared" si="3"/>
        <v>0</v>
      </c>
      <c r="K231" s="71"/>
      <c r="L231" s="71"/>
      <c r="M231" s="71"/>
      <c r="N231" s="71"/>
    </row>
    <row r="232" spans="1:15" ht="25.15" hidden="1" customHeight="1">
      <c r="A232" s="643" t="s">
        <v>930</v>
      </c>
      <c r="B232" s="569" t="s">
        <v>1508</v>
      </c>
      <c r="C232" s="217" t="s">
        <v>532</v>
      </c>
      <c r="D232" s="217"/>
      <c r="E232" s="217"/>
      <c r="F232" s="217"/>
      <c r="G232" s="217"/>
      <c r="H232" s="360">
        <f>+'видатки по розпорядниках'!M232</f>
        <v>0</v>
      </c>
      <c r="I232" s="162">
        <f t="shared" si="3"/>
        <v>0</v>
      </c>
      <c r="K232" s="71"/>
      <c r="L232" s="71"/>
      <c r="M232" s="71"/>
      <c r="N232" s="71"/>
    </row>
    <row r="233" spans="1:15" ht="60" hidden="1" customHeight="1">
      <c r="A233" s="643" t="s">
        <v>926</v>
      </c>
      <c r="B233" s="569" t="s">
        <v>1507</v>
      </c>
      <c r="C233" s="217" t="s">
        <v>675</v>
      </c>
      <c r="D233" s="217"/>
      <c r="E233" s="217"/>
      <c r="F233" s="217"/>
      <c r="G233" s="217"/>
      <c r="H233" s="360">
        <f>+'видатки по розпорядниках'!M233</f>
        <v>0</v>
      </c>
      <c r="I233" s="162">
        <f t="shared" si="3"/>
        <v>0</v>
      </c>
      <c r="K233" s="71"/>
      <c r="L233" s="71"/>
      <c r="M233" s="71"/>
      <c r="N233" s="71"/>
    </row>
    <row r="234" spans="1:15" ht="21" hidden="1" customHeight="1">
      <c r="A234" s="641"/>
      <c r="B234" s="569"/>
      <c r="C234" s="454" t="s">
        <v>150</v>
      </c>
      <c r="D234" s="454"/>
      <c r="E234" s="454"/>
      <c r="F234" s="454"/>
      <c r="G234" s="454"/>
      <c r="H234" s="360">
        <f>+'видатки по розпорядниках'!M234</f>
        <v>0</v>
      </c>
      <c r="I234" s="162">
        <f t="shared" si="3"/>
        <v>0</v>
      </c>
      <c r="K234" s="71"/>
      <c r="L234" s="71"/>
      <c r="M234" s="71"/>
      <c r="N234" s="71"/>
    </row>
    <row r="235" spans="1:15" ht="93" hidden="1" customHeight="1">
      <c r="A235" s="641"/>
      <c r="B235" s="569"/>
      <c r="C235" s="454" t="s">
        <v>147</v>
      </c>
      <c r="D235" s="454"/>
      <c r="E235" s="454"/>
      <c r="F235" s="454"/>
      <c r="G235" s="454"/>
      <c r="H235" s="360">
        <f>+'видатки по розпорядниках'!M235</f>
        <v>0</v>
      </c>
      <c r="I235" s="162">
        <f t="shared" si="3"/>
        <v>0</v>
      </c>
      <c r="K235" s="71"/>
      <c r="L235" s="71"/>
      <c r="M235" s="71"/>
      <c r="N235" s="71"/>
    </row>
    <row r="236" spans="1:15" ht="47.45" hidden="1" customHeight="1">
      <c r="A236" s="641"/>
      <c r="B236" s="569"/>
      <c r="C236" s="217" t="s">
        <v>148</v>
      </c>
      <c r="D236" s="217"/>
      <c r="E236" s="217"/>
      <c r="F236" s="217"/>
      <c r="G236" s="217"/>
      <c r="H236" s="360">
        <f>+'видатки по розпорядниках'!M236</f>
        <v>0</v>
      </c>
      <c r="I236" s="162">
        <f t="shared" si="3"/>
        <v>0</v>
      </c>
      <c r="K236" s="71"/>
      <c r="L236" s="71"/>
      <c r="M236" s="71"/>
      <c r="N236" s="71"/>
    </row>
    <row r="237" spans="1:15" ht="67.150000000000006" hidden="1" customHeight="1">
      <c r="A237" s="570"/>
      <c r="B237" s="569"/>
      <c r="C237" s="202"/>
      <c r="D237" s="202"/>
      <c r="E237" s="202"/>
      <c r="F237" s="202"/>
      <c r="G237" s="202"/>
      <c r="H237" s="360">
        <f>+'видатки по розпорядниках'!M237</f>
        <v>0</v>
      </c>
      <c r="I237" s="162">
        <f t="shared" si="3"/>
        <v>0</v>
      </c>
      <c r="K237" s="71"/>
      <c r="L237" s="71"/>
      <c r="M237" s="71"/>
      <c r="N237" s="71"/>
    </row>
    <row r="238" spans="1:15" ht="67.150000000000006" hidden="1" customHeight="1">
      <c r="A238" s="570"/>
      <c r="B238" s="569"/>
      <c r="C238" s="202"/>
      <c r="D238" s="202"/>
      <c r="E238" s="202"/>
      <c r="F238" s="202"/>
      <c r="G238" s="202"/>
      <c r="H238" s="360">
        <f>+'видатки по розпорядниках'!M238</f>
        <v>0</v>
      </c>
      <c r="I238" s="162">
        <f t="shared" si="3"/>
        <v>0</v>
      </c>
      <c r="K238" s="71"/>
      <c r="L238" s="71"/>
      <c r="M238" s="71"/>
      <c r="N238" s="71"/>
    </row>
    <row r="239" spans="1:15" ht="19.149999999999999" customHeight="1">
      <c r="A239" s="1420" t="s">
        <v>1508</v>
      </c>
      <c r="B239" s="1421"/>
      <c r="C239" s="213" t="s">
        <v>1500</v>
      </c>
      <c r="D239" s="1351" t="s">
        <v>532</v>
      </c>
      <c r="E239" s="213"/>
      <c r="F239" s="213"/>
      <c r="G239" s="213"/>
      <c r="H239" s="360">
        <f>+'видатки по розпорядниках'!M239</f>
        <v>15147800</v>
      </c>
      <c r="I239" s="162">
        <f t="shared" si="3"/>
        <v>15147800</v>
      </c>
      <c r="K239" s="71"/>
      <c r="L239" s="71"/>
      <c r="M239" s="71"/>
      <c r="N239" s="71"/>
    </row>
    <row r="240" spans="1:15" ht="32.450000000000003" hidden="1" customHeight="1">
      <c r="A240" s="643" t="s">
        <v>927</v>
      </c>
      <c r="B240" s="569" t="s">
        <v>88</v>
      </c>
      <c r="C240" s="367" t="s">
        <v>229</v>
      </c>
      <c r="D240" s="367"/>
      <c r="E240" s="367"/>
      <c r="F240" s="367"/>
      <c r="G240" s="367"/>
      <c r="H240" s="360">
        <f>+'видатки по розпорядниках'!M240</f>
        <v>0</v>
      </c>
      <c r="I240" s="162">
        <f t="shared" si="3"/>
        <v>0</v>
      </c>
      <c r="K240" s="71"/>
      <c r="L240" s="71"/>
      <c r="M240" s="71"/>
      <c r="N240" s="71"/>
    </row>
    <row r="241" spans="1:58" ht="19.899999999999999" hidden="1" customHeight="1">
      <c r="A241" s="695"/>
      <c r="B241" s="569"/>
      <c r="C241" s="367" t="s">
        <v>529</v>
      </c>
      <c r="D241" s="367"/>
      <c r="E241" s="367"/>
      <c r="F241" s="367"/>
      <c r="G241" s="367"/>
      <c r="H241" s="360">
        <f>+'видатки по розпорядниках'!M241</f>
        <v>0</v>
      </c>
      <c r="I241" s="162">
        <f t="shared" si="3"/>
        <v>0</v>
      </c>
      <c r="K241" s="71"/>
      <c r="L241" s="71"/>
      <c r="M241" s="71"/>
      <c r="N241" s="71"/>
    </row>
    <row r="242" spans="1:58" ht="47.45" hidden="1" customHeight="1">
      <c r="A242" s="695"/>
      <c r="B242" s="569"/>
      <c r="C242" s="367" t="s">
        <v>1085</v>
      </c>
      <c r="D242" s="367"/>
      <c r="E242" s="367"/>
      <c r="F242" s="367"/>
      <c r="G242" s="367"/>
      <c r="H242" s="360">
        <f>+'видатки по розпорядниках'!M242</f>
        <v>0</v>
      </c>
      <c r="I242" s="162">
        <f t="shared" si="3"/>
        <v>0</v>
      </c>
      <c r="K242" s="71"/>
      <c r="L242" s="71"/>
      <c r="M242" s="71"/>
      <c r="N242" s="71"/>
    </row>
    <row r="243" spans="1:58" ht="27.6" hidden="1" customHeight="1">
      <c r="A243" s="643" t="s">
        <v>1383</v>
      </c>
      <c r="B243" s="569" t="s">
        <v>1512</v>
      </c>
      <c r="C243" s="217" t="s">
        <v>268</v>
      </c>
      <c r="D243" s="217"/>
      <c r="E243" s="217"/>
      <c r="F243" s="217"/>
      <c r="G243" s="217"/>
      <c r="H243" s="360">
        <f>+'видатки по розпорядниках'!M243</f>
        <v>0</v>
      </c>
      <c r="I243" s="162">
        <f t="shared" si="3"/>
        <v>0</v>
      </c>
      <c r="K243" s="71"/>
      <c r="L243" s="71"/>
      <c r="M243" s="71"/>
      <c r="N243" s="71"/>
    </row>
    <row r="244" spans="1:58" ht="19.899999999999999" hidden="1" customHeight="1">
      <c r="A244" s="570"/>
      <c r="B244" s="570" t="s">
        <v>1034</v>
      </c>
      <c r="C244" s="595" t="str">
        <f>+'видатки_затв '!B280</f>
        <v xml:space="preserve">Внески органів влади Автономної Республіки Крим та органів місцевого самоврядування у статутні фонди суб"єктів підприємницької діяльності </v>
      </c>
      <c r="D244" s="595"/>
      <c r="E244" s="595"/>
      <c r="F244" s="595"/>
      <c r="G244" s="595"/>
      <c r="H244" s="360">
        <f>+'видатки по розпорядниках'!M244</f>
        <v>0</v>
      </c>
      <c r="I244" s="162">
        <f t="shared" si="3"/>
        <v>0</v>
      </c>
      <c r="K244" s="71"/>
      <c r="L244" s="71"/>
      <c r="M244" s="71"/>
      <c r="N244" s="71"/>
    </row>
    <row r="245" spans="1:58" ht="30.6" hidden="1" customHeight="1" outlineLevel="1">
      <c r="A245" s="570"/>
      <c r="B245" s="564" t="s">
        <v>224</v>
      </c>
      <c r="C245" s="596" t="s">
        <v>653</v>
      </c>
      <c r="D245" s="596"/>
      <c r="E245" s="596"/>
      <c r="F245" s="596"/>
      <c r="G245" s="596"/>
      <c r="H245" s="360">
        <f>+'видатки по розпорядниках'!M245</f>
        <v>0</v>
      </c>
      <c r="I245" s="162">
        <f t="shared" si="3"/>
        <v>0</v>
      </c>
      <c r="J245" s="54"/>
      <c r="K245" s="123"/>
      <c r="L245" s="123"/>
      <c r="M245" s="123"/>
      <c r="N245" s="123"/>
      <c r="O245" s="5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30.6" hidden="1" customHeight="1" outlineLevel="1">
      <c r="A246" s="570"/>
      <c r="B246" s="564" t="s">
        <v>225</v>
      </c>
      <c r="C246" s="448" t="s">
        <v>226</v>
      </c>
      <c r="D246" s="448"/>
      <c r="E246" s="448"/>
      <c r="F246" s="448"/>
      <c r="G246" s="448"/>
      <c r="H246" s="360">
        <f>+'видатки по розпорядниках'!M246</f>
        <v>0</v>
      </c>
      <c r="I246" s="162">
        <f t="shared" si="3"/>
        <v>0</v>
      </c>
      <c r="J246" s="54"/>
      <c r="K246" s="71"/>
      <c r="L246" s="71"/>
      <c r="M246" s="71"/>
      <c r="N246" s="71"/>
      <c r="O246" s="5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30.6" hidden="1" customHeight="1" outlineLevel="1">
      <c r="A247" s="643" t="s">
        <v>557</v>
      </c>
      <c r="B247" s="569" t="s">
        <v>719</v>
      </c>
      <c r="C247" s="217" t="s">
        <v>526</v>
      </c>
      <c r="D247" s="217"/>
      <c r="E247" s="217"/>
      <c r="F247" s="217"/>
      <c r="G247" s="217"/>
      <c r="H247" s="360">
        <f>+'видатки по розпорядниках'!M247</f>
        <v>0</v>
      </c>
      <c r="I247" s="162">
        <f t="shared" si="3"/>
        <v>0</v>
      </c>
      <c r="J247" s="54"/>
      <c r="K247" s="71"/>
      <c r="L247" s="71"/>
      <c r="M247" s="71"/>
      <c r="N247" s="71"/>
      <c r="O247" s="5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22.9" hidden="1" customHeight="1">
      <c r="A248" s="570"/>
      <c r="B248" s="570"/>
      <c r="C248" s="171" t="s">
        <v>899</v>
      </c>
      <c r="D248" s="171"/>
      <c r="E248" s="171"/>
      <c r="F248" s="171"/>
      <c r="G248" s="171"/>
      <c r="H248" s="360">
        <f>+'видатки по розпорядниках'!M248</f>
        <v>0</v>
      </c>
      <c r="I248" s="162">
        <f t="shared" si="3"/>
        <v>0</v>
      </c>
      <c r="J248" s="24"/>
      <c r="K248" s="44"/>
      <c r="L248" s="44"/>
      <c r="M248" s="44"/>
      <c r="N248" s="44"/>
      <c r="O248" s="24"/>
    </row>
    <row r="249" spans="1:58" ht="53.45" hidden="1" customHeight="1">
      <c r="A249" s="570"/>
      <c r="B249" s="569" t="s">
        <v>893</v>
      </c>
      <c r="C249" s="364" t="s">
        <v>641</v>
      </c>
      <c r="D249" s="364"/>
      <c r="E249" s="364"/>
      <c r="F249" s="364"/>
      <c r="G249" s="364"/>
      <c r="H249" s="360">
        <f>+'видатки по розпорядниках'!M249</f>
        <v>0</v>
      </c>
      <c r="I249" s="162">
        <f t="shared" si="3"/>
        <v>0</v>
      </c>
      <c r="J249" s="2"/>
      <c r="K249" s="7"/>
      <c r="L249" s="7"/>
      <c r="M249" s="7"/>
      <c r="N249" s="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24.75" hidden="1" customHeight="1">
      <c r="A250" s="570"/>
      <c r="B250" s="550" t="s">
        <v>1287</v>
      </c>
      <c r="C250" s="197" t="s">
        <v>967</v>
      </c>
      <c r="D250" s="197"/>
      <c r="E250" s="197"/>
      <c r="F250" s="197"/>
      <c r="G250" s="197"/>
      <c r="H250" s="360">
        <f>+'видатки по розпорядниках'!M250</f>
        <v>0</v>
      </c>
      <c r="I250" s="162">
        <f t="shared" si="3"/>
        <v>0</v>
      </c>
      <c r="J250" s="2"/>
      <c r="K250" s="124"/>
      <c r="L250" s="124"/>
      <c r="M250" s="124"/>
      <c r="N250" s="124"/>
      <c r="O250" s="2"/>
      <c r="P250" s="2"/>
      <c r="Q250" s="2"/>
      <c r="R250" s="2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58" ht="37.15" hidden="1" customHeight="1">
      <c r="A251" s="570"/>
      <c r="B251" s="570"/>
      <c r="C251" s="171" t="s">
        <v>636</v>
      </c>
      <c r="D251" s="171"/>
      <c r="E251" s="171"/>
      <c r="F251" s="171"/>
      <c r="G251" s="171"/>
      <c r="H251" s="360">
        <f>+'видатки по розпорядниках'!M251</f>
        <v>0</v>
      </c>
      <c r="I251" s="162">
        <f t="shared" si="3"/>
        <v>0</v>
      </c>
      <c r="J251" s="2"/>
      <c r="K251" s="124"/>
      <c r="L251" s="124"/>
      <c r="M251" s="124"/>
      <c r="N251" s="12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22.9" customHeight="1">
      <c r="A252" s="1416" t="s">
        <v>894</v>
      </c>
      <c r="B252" s="1416"/>
      <c r="C252" s="382" t="s">
        <v>1241</v>
      </c>
      <c r="D252" s="1351"/>
      <c r="E252" s="382"/>
      <c r="F252" s="382"/>
      <c r="G252" s="382"/>
      <c r="H252" s="360">
        <f>+'видатки по розпорядниках'!M252</f>
        <v>-147800</v>
      </c>
      <c r="I252" s="162">
        <f t="shared" si="3"/>
        <v>-147800</v>
      </c>
      <c r="J252" s="54"/>
      <c r="K252" s="71"/>
      <c r="L252" s="71"/>
      <c r="M252" s="71"/>
      <c r="N252" s="71"/>
      <c r="O252" s="5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95.45" hidden="1" customHeight="1">
      <c r="A253" s="570"/>
      <c r="B253" s="569" t="s">
        <v>1012</v>
      </c>
      <c r="C253" s="364" t="s">
        <v>1011</v>
      </c>
      <c r="D253" s="364"/>
      <c r="E253" s="364"/>
      <c r="F253" s="364"/>
      <c r="G253" s="364"/>
      <c r="H253" s="360">
        <f>+'видатки по розпорядниках'!M253</f>
        <v>0</v>
      </c>
      <c r="I253" s="162">
        <f t="shared" si="3"/>
        <v>0</v>
      </c>
      <c r="K253" s="71"/>
      <c r="L253" s="71"/>
      <c r="M253" s="71"/>
      <c r="N253" s="71"/>
    </row>
    <row r="254" spans="1:58" ht="60" hidden="1" customHeight="1">
      <c r="A254" s="570"/>
      <c r="B254" s="569" t="s">
        <v>183</v>
      </c>
      <c r="C254" s="501" t="s">
        <v>493</v>
      </c>
      <c r="D254" s="501"/>
      <c r="E254" s="501"/>
      <c r="F254" s="501"/>
      <c r="G254" s="501"/>
      <c r="H254" s="360">
        <f>+'видатки по розпорядниках'!M254</f>
        <v>0</v>
      </c>
      <c r="I254" s="162">
        <f t="shared" si="3"/>
        <v>0</v>
      </c>
      <c r="K254" s="71"/>
      <c r="L254" s="71"/>
      <c r="M254" s="71"/>
      <c r="N254" s="71"/>
    </row>
    <row r="255" spans="1:58" ht="75" hidden="1" customHeight="1">
      <c r="A255" s="570"/>
      <c r="B255" s="569" t="s">
        <v>184</v>
      </c>
      <c r="C255" s="501" t="s">
        <v>625</v>
      </c>
      <c r="D255" s="501"/>
      <c r="E255" s="501"/>
      <c r="F255" s="501"/>
      <c r="G255" s="501"/>
      <c r="H255" s="360">
        <f>+'видатки по розпорядниках'!M255</f>
        <v>0</v>
      </c>
      <c r="I255" s="162">
        <f t="shared" si="3"/>
        <v>0</v>
      </c>
      <c r="K255" s="71"/>
      <c r="L255" s="71"/>
      <c r="M255" s="71"/>
      <c r="N255" s="71"/>
    </row>
    <row r="256" spans="1:58" ht="64.150000000000006" hidden="1" customHeight="1">
      <c r="A256" s="570"/>
      <c r="B256" s="569" t="s">
        <v>185</v>
      </c>
      <c r="C256" s="501" t="s">
        <v>492</v>
      </c>
      <c r="D256" s="501"/>
      <c r="E256" s="501"/>
      <c r="F256" s="501"/>
      <c r="G256" s="501"/>
      <c r="H256" s="360">
        <f>+'видатки по розпорядниках'!M256</f>
        <v>0</v>
      </c>
      <c r="I256" s="162">
        <f t="shared" si="3"/>
        <v>0</v>
      </c>
      <c r="K256" s="71"/>
      <c r="L256" s="71"/>
      <c r="M256" s="71"/>
      <c r="N256" s="71"/>
    </row>
    <row r="257" spans="1:36" ht="160.15" hidden="1" customHeight="1">
      <c r="A257" s="570"/>
      <c r="B257" s="569" t="s">
        <v>164</v>
      </c>
      <c r="C257" s="362" t="s">
        <v>704</v>
      </c>
      <c r="D257" s="362"/>
      <c r="E257" s="362"/>
      <c r="F257" s="362"/>
      <c r="G257" s="362"/>
      <c r="H257" s="360">
        <f>+'видатки по розпорядниках'!M257</f>
        <v>0</v>
      </c>
      <c r="I257" s="162">
        <f t="shared" si="3"/>
        <v>0</v>
      </c>
      <c r="K257" s="71"/>
      <c r="L257" s="71"/>
      <c r="M257" s="71"/>
      <c r="N257" s="71"/>
    </row>
    <row r="258" spans="1:36" ht="50.45" hidden="1" customHeight="1">
      <c r="A258" s="643" t="s">
        <v>556</v>
      </c>
      <c r="B258" s="569" t="s">
        <v>1591</v>
      </c>
      <c r="C258" s="364" t="s">
        <v>1240</v>
      </c>
      <c r="D258" s="364"/>
      <c r="E258" s="364"/>
      <c r="F258" s="364"/>
      <c r="G258" s="364"/>
      <c r="H258" s="360">
        <f>+'видатки по розпорядниках'!M258</f>
        <v>0</v>
      </c>
      <c r="I258" s="162">
        <f t="shared" si="3"/>
        <v>0</v>
      </c>
      <c r="J258" s="24"/>
      <c r="K258" s="44"/>
      <c r="L258" s="44"/>
      <c r="M258" s="44"/>
      <c r="N258" s="44"/>
      <c r="O258" s="24"/>
    </row>
    <row r="259" spans="1:36" ht="79.900000000000006" hidden="1" customHeight="1">
      <c r="A259" s="570"/>
      <c r="B259" s="569" t="s">
        <v>165</v>
      </c>
      <c r="C259" s="362" t="s">
        <v>380</v>
      </c>
      <c r="D259" s="362"/>
      <c r="E259" s="362"/>
      <c r="F259" s="362"/>
      <c r="G259" s="362"/>
      <c r="H259" s="360">
        <f>+'видатки по розпорядниках'!M259</f>
        <v>0</v>
      </c>
      <c r="I259" s="162">
        <f t="shared" si="3"/>
        <v>0</v>
      </c>
      <c r="J259" s="24"/>
      <c r="K259" s="44"/>
      <c r="L259" s="44"/>
      <c r="M259" s="44"/>
      <c r="N259" s="44"/>
      <c r="O259" s="24"/>
    </row>
    <row r="260" spans="1:36" ht="24" hidden="1" customHeight="1">
      <c r="A260" s="643" t="s">
        <v>929</v>
      </c>
      <c r="B260" s="569" t="s">
        <v>1514</v>
      </c>
      <c r="C260" s="367" t="s">
        <v>974</v>
      </c>
      <c r="D260" s="367"/>
      <c r="E260" s="367"/>
      <c r="F260" s="367"/>
      <c r="G260" s="367"/>
      <c r="H260" s="360">
        <f>+'видатки по розпорядниках'!M260</f>
        <v>0</v>
      </c>
      <c r="I260" s="162">
        <f t="shared" si="3"/>
        <v>0</v>
      </c>
      <c r="J260" s="2"/>
      <c r="K260" s="7"/>
      <c r="L260" s="7"/>
      <c r="M260" s="7"/>
      <c r="N260" s="7"/>
      <c r="O260" s="2"/>
      <c r="P260" s="2"/>
      <c r="Q260" s="2"/>
      <c r="R260" s="2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</row>
    <row r="261" spans="1:36" ht="86.45" hidden="1" customHeight="1">
      <c r="A261" s="570"/>
      <c r="B261" s="576" t="s">
        <v>166</v>
      </c>
      <c r="C261" s="362" t="s">
        <v>861</v>
      </c>
      <c r="D261" s="362"/>
      <c r="E261" s="362"/>
      <c r="F261" s="362"/>
      <c r="G261" s="362"/>
      <c r="H261" s="360">
        <f>+'видатки по розпорядниках'!M261</f>
        <v>0</v>
      </c>
      <c r="I261" s="162">
        <f t="shared" si="3"/>
        <v>0</v>
      </c>
      <c r="J261" s="2"/>
      <c r="K261" s="132"/>
      <c r="L261" s="132"/>
      <c r="M261" s="132"/>
      <c r="N261" s="132"/>
      <c r="O261" s="2"/>
      <c r="P261" s="2"/>
      <c r="Q261" s="2"/>
      <c r="R261" s="2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</row>
    <row r="262" spans="1:36" ht="57.6" hidden="1" customHeight="1">
      <c r="A262" s="570"/>
      <c r="B262" s="570"/>
      <c r="C262" s="171" t="str">
        <f>+'видатки_затв '!B345</f>
        <v>Додаткова дотація з державного бюджету на покращення надання соціальних послуг найуразливішим верствам населення</v>
      </c>
      <c r="D262" s="171"/>
      <c r="E262" s="171"/>
      <c r="F262" s="171"/>
      <c r="G262" s="171"/>
      <c r="H262" s="360">
        <f>+'видатки по розпорядниках'!M262</f>
        <v>0</v>
      </c>
      <c r="I262" s="162">
        <f t="shared" si="3"/>
        <v>0</v>
      </c>
      <c r="J262" s="2"/>
      <c r="K262" s="132"/>
      <c r="L262" s="132"/>
      <c r="M262" s="132"/>
      <c r="N262" s="132"/>
      <c r="O262" s="2"/>
      <c r="P262" s="2"/>
      <c r="Q262" s="2"/>
      <c r="R262" s="2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</row>
    <row r="263" spans="1:36" ht="63.6" hidden="1" customHeight="1">
      <c r="A263" s="570"/>
      <c r="B263" s="570" t="s">
        <v>722</v>
      </c>
      <c r="C263" s="597" t="s">
        <v>1396</v>
      </c>
      <c r="D263" s="597"/>
      <c r="E263" s="597"/>
      <c r="F263" s="597"/>
      <c r="G263" s="597"/>
      <c r="H263" s="360">
        <f>+'видатки по розпорядниках'!M263</f>
        <v>0</v>
      </c>
      <c r="I263" s="162">
        <f t="shared" si="3"/>
        <v>0</v>
      </c>
      <c r="J263" s="2"/>
      <c r="K263" s="132"/>
      <c r="L263" s="132"/>
      <c r="M263" s="132"/>
      <c r="N263" s="132"/>
      <c r="O263" s="2"/>
      <c r="P263" s="2"/>
      <c r="Q263" s="2"/>
      <c r="R263" s="2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</row>
    <row r="264" spans="1:36" ht="70.150000000000006" hidden="1" customHeight="1">
      <c r="A264" s="570"/>
      <c r="B264" s="569" t="s">
        <v>589</v>
      </c>
      <c r="C264" s="217" t="s">
        <v>384</v>
      </c>
      <c r="D264" s="217"/>
      <c r="E264" s="217"/>
      <c r="F264" s="217"/>
      <c r="G264" s="217"/>
      <c r="H264" s="360">
        <f>+'видатки по розпорядниках'!M264</f>
        <v>0</v>
      </c>
      <c r="I264" s="162">
        <f t="shared" si="3"/>
        <v>0</v>
      </c>
      <c r="J264" s="24"/>
      <c r="K264" s="44"/>
      <c r="L264" s="44"/>
      <c r="M264" s="44"/>
      <c r="N264" s="44"/>
      <c r="O264" s="24"/>
    </row>
    <row r="265" spans="1:36" ht="17.25" hidden="1" customHeight="1">
      <c r="A265" s="570"/>
      <c r="B265" s="550"/>
      <c r="C265" s="202" t="s">
        <v>52</v>
      </c>
      <c r="D265" s="202"/>
      <c r="E265" s="202"/>
      <c r="F265" s="202"/>
      <c r="G265" s="202"/>
      <c r="H265" s="360">
        <f>+'видатки по розпорядниках'!M265</f>
        <v>0</v>
      </c>
      <c r="I265" s="162">
        <f t="shared" si="3"/>
        <v>0</v>
      </c>
      <c r="J265" s="24"/>
      <c r="K265" s="44"/>
      <c r="L265" s="44"/>
      <c r="M265" s="44"/>
      <c r="N265" s="44"/>
      <c r="O265" s="24"/>
    </row>
    <row r="266" spans="1:36" ht="32.450000000000003" hidden="1" customHeight="1">
      <c r="A266" s="570"/>
      <c r="B266" s="569"/>
      <c r="C266" s="217" t="s">
        <v>691</v>
      </c>
      <c r="D266" s="217"/>
      <c r="E266" s="217"/>
      <c r="F266" s="217"/>
      <c r="G266" s="217"/>
      <c r="H266" s="360">
        <f>+'видатки по розпорядниках'!M266</f>
        <v>0</v>
      </c>
      <c r="I266" s="162">
        <f t="shared" si="3"/>
        <v>0</v>
      </c>
      <c r="J266" s="24"/>
      <c r="K266" s="44"/>
      <c r="L266" s="44"/>
      <c r="M266" s="44"/>
      <c r="N266" s="44"/>
      <c r="O266" s="24"/>
    </row>
    <row r="267" spans="1:36" ht="49.15" hidden="1" customHeight="1">
      <c r="A267" s="570"/>
      <c r="B267" s="569"/>
      <c r="C267" s="364" t="s">
        <v>178</v>
      </c>
      <c r="D267" s="364"/>
      <c r="E267" s="364"/>
      <c r="F267" s="364"/>
      <c r="G267" s="364"/>
      <c r="H267" s="360">
        <f>+'видатки по розпорядниках'!M267</f>
        <v>0</v>
      </c>
      <c r="I267" s="162">
        <f t="shared" si="3"/>
        <v>0</v>
      </c>
      <c r="J267" s="24"/>
      <c r="K267" s="44"/>
      <c r="L267" s="44"/>
      <c r="M267" s="44"/>
      <c r="N267" s="44"/>
      <c r="O267" s="24"/>
    </row>
    <row r="268" spans="1:36" ht="96" hidden="1" customHeight="1">
      <c r="A268" s="643" t="s">
        <v>436</v>
      </c>
      <c r="B268" s="569">
        <v>250326</v>
      </c>
      <c r="C268" s="210" t="s">
        <v>41</v>
      </c>
      <c r="D268" s="210"/>
      <c r="E268" s="210"/>
      <c r="F268" s="210"/>
      <c r="G268" s="210"/>
      <c r="H268" s="360">
        <f>+'видатки по розпорядниках'!M268</f>
        <v>0</v>
      </c>
      <c r="I268" s="162">
        <f t="shared" si="3"/>
        <v>0</v>
      </c>
      <c r="K268" s="71"/>
      <c r="L268" s="71"/>
      <c r="M268" s="71"/>
      <c r="N268" s="71"/>
    </row>
    <row r="269" spans="1:36" ht="139.15" hidden="1" customHeight="1">
      <c r="A269" s="643" t="s">
        <v>1309</v>
      </c>
      <c r="B269" s="569" t="s">
        <v>1208</v>
      </c>
      <c r="C269" s="210" t="s">
        <v>655</v>
      </c>
      <c r="D269" s="210"/>
      <c r="E269" s="210"/>
      <c r="F269" s="210"/>
      <c r="G269" s="210"/>
      <c r="H269" s="360">
        <f>+'видатки по розпорядниках'!M269</f>
        <v>0</v>
      </c>
      <c r="I269" s="162">
        <f t="shared" si="3"/>
        <v>0</v>
      </c>
      <c r="K269" s="71"/>
      <c r="L269" s="71"/>
      <c r="M269" s="71"/>
      <c r="N269" s="71"/>
    </row>
    <row r="270" spans="1:36" ht="303.60000000000002" hidden="1" customHeight="1">
      <c r="A270" s="643" t="s">
        <v>1310</v>
      </c>
      <c r="B270" s="569" t="s">
        <v>1209</v>
      </c>
      <c r="C270" s="211" t="s">
        <v>45</v>
      </c>
      <c r="D270" s="211"/>
      <c r="E270" s="211"/>
      <c r="F270" s="211"/>
      <c r="G270" s="211"/>
      <c r="H270" s="360">
        <f>+'видатки по розпорядниках'!M270</f>
        <v>0</v>
      </c>
      <c r="I270" s="162">
        <f t="shared" si="3"/>
        <v>0</v>
      </c>
      <c r="K270" s="71"/>
      <c r="L270" s="71"/>
      <c r="M270" s="71"/>
      <c r="N270" s="71"/>
    </row>
    <row r="271" spans="1:36" ht="81" hidden="1" customHeight="1">
      <c r="A271" s="643" t="s">
        <v>1311</v>
      </c>
      <c r="B271" s="569" t="s">
        <v>1210</v>
      </c>
      <c r="C271" s="210" t="s">
        <v>1169</v>
      </c>
      <c r="D271" s="210"/>
      <c r="E271" s="210"/>
      <c r="F271" s="210"/>
      <c r="G271" s="210"/>
      <c r="H271" s="360">
        <f>+'видатки по розпорядниках'!M271</f>
        <v>0</v>
      </c>
      <c r="I271" s="162">
        <f t="shared" si="3"/>
        <v>0</v>
      </c>
      <c r="K271" s="71"/>
      <c r="L271" s="71"/>
      <c r="M271" s="71"/>
      <c r="N271" s="71"/>
    </row>
    <row r="272" spans="1:36" ht="177" hidden="1" customHeight="1">
      <c r="A272" s="570"/>
      <c r="B272" s="569" t="s">
        <v>1159</v>
      </c>
      <c r="C272" s="216" t="s">
        <v>968</v>
      </c>
      <c r="D272" s="216"/>
      <c r="E272" s="216"/>
      <c r="F272" s="216"/>
      <c r="G272" s="216"/>
      <c r="H272" s="360">
        <f>+'видатки по розпорядниках'!M272</f>
        <v>0</v>
      </c>
      <c r="I272" s="162">
        <f t="shared" si="3"/>
        <v>0</v>
      </c>
      <c r="K272" s="71"/>
      <c r="L272" s="71"/>
      <c r="M272" s="71"/>
      <c r="N272" s="71"/>
    </row>
    <row r="273" spans="1:14" ht="156.6" hidden="1" customHeight="1">
      <c r="A273" s="570"/>
      <c r="B273" s="550" t="s">
        <v>51</v>
      </c>
      <c r="C273" s="553" t="s">
        <v>307</v>
      </c>
      <c r="D273" s="553"/>
      <c r="E273" s="553"/>
      <c r="F273" s="553"/>
      <c r="G273" s="553"/>
      <c r="H273" s="360">
        <f>+'видатки по розпорядниках'!M273</f>
        <v>0</v>
      </c>
      <c r="I273" s="162">
        <f t="shared" si="3"/>
        <v>0</v>
      </c>
      <c r="K273" s="71"/>
      <c r="L273" s="71"/>
      <c r="M273" s="71"/>
      <c r="N273" s="71"/>
    </row>
    <row r="274" spans="1:14" ht="145.5" hidden="1" customHeight="1">
      <c r="A274" s="570"/>
      <c r="B274" s="569" t="s">
        <v>392</v>
      </c>
      <c r="C274" s="362" t="s">
        <v>737</v>
      </c>
      <c r="D274" s="362"/>
      <c r="E274" s="362"/>
      <c r="F274" s="362"/>
      <c r="G274" s="362"/>
      <c r="H274" s="360">
        <f>+'видатки по розпорядниках'!M274</f>
        <v>0</v>
      </c>
      <c r="I274" s="162">
        <f t="shared" si="3"/>
        <v>0</v>
      </c>
      <c r="K274" s="71"/>
      <c r="L274" s="71"/>
      <c r="M274" s="71"/>
      <c r="N274" s="71"/>
    </row>
    <row r="275" spans="1:14" ht="55.9" hidden="1" customHeight="1">
      <c r="A275" s="570"/>
      <c r="B275" s="550" t="s">
        <v>167</v>
      </c>
      <c r="C275" s="520" t="s">
        <v>705</v>
      </c>
      <c r="D275" s="520"/>
      <c r="E275" s="520"/>
      <c r="F275" s="520"/>
      <c r="G275" s="520"/>
      <c r="H275" s="360">
        <f>+'видатки по розпорядниках'!M275</f>
        <v>0</v>
      </c>
      <c r="I275" s="162">
        <f t="shared" si="3"/>
        <v>0</v>
      </c>
      <c r="K275" s="71"/>
      <c r="L275" s="71"/>
      <c r="M275" s="71"/>
      <c r="N275" s="71"/>
    </row>
    <row r="276" spans="1:14" ht="79.900000000000006" hidden="1" customHeight="1">
      <c r="A276" s="1346" t="s">
        <v>1312</v>
      </c>
      <c r="B276" s="550" t="s">
        <v>168</v>
      </c>
      <c r="C276" s="520" t="s">
        <v>1019</v>
      </c>
      <c r="D276" s="520"/>
      <c r="E276" s="520"/>
      <c r="F276" s="520"/>
      <c r="G276" s="520"/>
      <c r="H276" s="360">
        <f>+'видатки по розпорядниках'!M276</f>
        <v>0</v>
      </c>
      <c r="I276" s="162">
        <f t="shared" si="3"/>
        <v>0</v>
      </c>
      <c r="K276" s="71"/>
      <c r="L276" s="71"/>
      <c r="M276" s="71"/>
      <c r="N276" s="71"/>
    </row>
    <row r="277" spans="1:14" ht="75" hidden="1">
      <c r="A277" s="570"/>
      <c r="B277" s="550" t="s">
        <v>341</v>
      </c>
      <c r="C277" s="553" t="s">
        <v>624</v>
      </c>
      <c r="D277" s="553"/>
      <c r="E277" s="553"/>
      <c r="F277" s="553"/>
      <c r="G277" s="553"/>
      <c r="H277" s="360">
        <f>+'видатки по розпорядниках'!M277</f>
        <v>0</v>
      </c>
      <c r="I277" s="162">
        <f t="shared" si="3"/>
        <v>0</v>
      </c>
      <c r="K277" s="71"/>
      <c r="L277" s="71"/>
      <c r="M277" s="71"/>
      <c r="N277" s="71"/>
    </row>
    <row r="278" spans="1:14" ht="106.15" hidden="1" customHeight="1">
      <c r="A278" s="570"/>
      <c r="B278" s="550" t="s">
        <v>644</v>
      </c>
      <c r="C278" s="211" t="s">
        <v>681</v>
      </c>
      <c r="D278" s="211"/>
      <c r="E278" s="211"/>
      <c r="F278" s="211"/>
      <c r="G278" s="211"/>
      <c r="H278" s="360">
        <f>+'видатки по розпорядниках'!M278</f>
        <v>0</v>
      </c>
      <c r="I278" s="162">
        <f t="shared" ref="I278:I341" si="4">+H278</f>
        <v>0</v>
      </c>
      <c r="K278" s="71"/>
      <c r="L278" s="71"/>
      <c r="M278" s="71"/>
      <c r="N278" s="71"/>
    </row>
    <row r="279" spans="1:14" ht="53.45" hidden="1" customHeight="1">
      <c r="A279" s="570"/>
      <c r="B279" s="550" t="s">
        <v>520</v>
      </c>
      <c r="C279" s="208" t="s">
        <v>1596</v>
      </c>
      <c r="D279" s="208"/>
      <c r="E279" s="208"/>
      <c r="F279" s="208"/>
      <c r="G279" s="208"/>
      <c r="H279" s="360">
        <f>+'видатки по розпорядниках'!M279</f>
        <v>0</v>
      </c>
      <c r="I279" s="162">
        <f t="shared" si="4"/>
        <v>0</v>
      </c>
      <c r="K279" s="71"/>
      <c r="L279" s="71"/>
      <c r="M279" s="71"/>
      <c r="N279" s="71"/>
    </row>
    <row r="280" spans="1:14" ht="75" hidden="1">
      <c r="A280" s="570"/>
      <c r="B280" s="550" t="s">
        <v>1155</v>
      </c>
      <c r="C280" s="498" t="s">
        <v>1001</v>
      </c>
      <c r="D280" s="498"/>
      <c r="E280" s="498"/>
      <c r="F280" s="498"/>
      <c r="G280" s="498"/>
      <c r="H280" s="360">
        <f>+'видатки по розпорядниках'!M280</f>
        <v>0</v>
      </c>
      <c r="I280" s="162">
        <f t="shared" si="4"/>
        <v>0</v>
      </c>
      <c r="K280" s="71"/>
      <c r="L280" s="71"/>
      <c r="M280" s="71"/>
      <c r="N280" s="71"/>
    </row>
    <row r="281" spans="1:14" ht="150.6" hidden="1" customHeight="1">
      <c r="A281" s="570"/>
      <c r="B281" s="569" t="s">
        <v>1158</v>
      </c>
      <c r="C281" s="217" t="s">
        <v>135</v>
      </c>
      <c r="D281" s="217"/>
      <c r="E281" s="217"/>
      <c r="F281" s="217"/>
      <c r="G281" s="217"/>
      <c r="H281" s="360">
        <f>+'видатки по розпорядниках'!M281</f>
        <v>0</v>
      </c>
      <c r="I281" s="162">
        <f t="shared" si="4"/>
        <v>0</v>
      </c>
      <c r="K281" s="71"/>
      <c r="L281" s="71"/>
      <c r="M281" s="71"/>
      <c r="N281" s="71"/>
    </row>
    <row r="282" spans="1:14" ht="92.45" hidden="1" customHeight="1">
      <c r="A282" s="570"/>
      <c r="B282" s="550" t="s">
        <v>1154</v>
      </c>
      <c r="C282" s="498" t="s">
        <v>263</v>
      </c>
      <c r="D282" s="498"/>
      <c r="E282" s="498"/>
      <c r="F282" s="498"/>
      <c r="G282" s="498"/>
      <c r="H282" s="360">
        <f>+'видатки по розпорядниках'!M282</f>
        <v>0</v>
      </c>
      <c r="I282" s="162">
        <f t="shared" si="4"/>
        <v>0</v>
      </c>
      <c r="K282" s="71"/>
      <c r="L282" s="71"/>
      <c r="M282" s="71"/>
      <c r="N282" s="71"/>
    </row>
    <row r="283" spans="1:14" ht="25.9" hidden="1" customHeight="1">
      <c r="A283" s="643" t="s">
        <v>1083</v>
      </c>
      <c r="B283" s="569" t="s">
        <v>1247</v>
      </c>
      <c r="C283" s="217" t="s">
        <v>1246</v>
      </c>
      <c r="D283" s="217"/>
      <c r="E283" s="217"/>
      <c r="F283" s="217"/>
      <c r="G283" s="217"/>
      <c r="H283" s="360">
        <f>+'видатки по розпорядниках'!M283</f>
        <v>0</v>
      </c>
      <c r="I283" s="162">
        <f t="shared" si="4"/>
        <v>0</v>
      </c>
      <c r="K283" s="71"/>
      <c r="L283" s="71"/>
      <c r="M283" s="71"/>
      <c r="N283" s="71"/>
    </row>
    <row r="284" spans="1:14" ht="25.9" hidden="1" customHeight="1">
      <c r="A284" s="570"/>
      <c r="B284" s="569"/>
      <c r="C284" s="217" t="s">
        <v>150</v>
      </c>
      <c r="D284" s="217"/>
      <c r="E284" s="217"/>
      <c r="F284" s="217"/>
      <c r="G284" s="217"/>
      <c r="H284" s="360">
        <f>+'видатки по розпорядниках'!M284</f>
        <v>0</v>
      </c>
      <c r="I284" s="162">
        <f t="shared" si="4"/>
        <v>0</v>
      </c>
      <c r="K284" s="71"/>
      <c r="L284" s="71"/>
      <c r="M284" s="71"/>
      <c r="N284" s="71"/>
    </row>
    <row r="285" spans="1:14" ht="73.900000000000006" hidden="1" customHeight="1">
      <c r="A285" s="570"/>
      <c r="B285" s="569"/>
      <c r="C285" s="370" t="s">
        <v>1084</v>
      </c>
      <c r="D285" s="370"/>
      <c r="E285" s="370"/>
      <c r="F285" s="370"/>
      <c r="G285" s="370"/>
      <c r="H285" s="360">
        <f>+'видатки по розпорядниках'!M285</f>
        <v>0</v>
      </c>
      <c r="I285" s="162">
        <f t="shared" si="4"/>
        <v>0</v>
      </c>
      <c r="K285" s="71"/>
      <c r="L285" s="71"/>
      <c r="M285" s="71"/>
      <c r="N285" s="71"/>
    </row>
    <row r="286" spans="1:14" ht="30.6" hidden="1" customHeight="1">
      <c r="A286" s="570"/>
      <c r="B286" s="569"/>
      <c r="C286" s="202" t="s">
        <v>528</v>
      </c>
      <c r="D286" s="202"/>
      <c r="E286" s="202"/>
      <c r="F286" s="202"/>
      <c r="G286" s="202"/>
      <c r="H286" s="360">
        <f>+'видатки по розпорядниках'!M286</f>
        <v>0</v>
      </c>
      <c r="I286" s="162">
        <f t="shared" si="4"/>
        <v>0</v>
      </c>
      <c r="K286" s="71"/>
      <c r="L286" s="71"/>
      <c r="M286" s="71"/>
      <c r="N286" s="71"/>
    </row>
    <row r="287" spans="1:14" ht="30.6" hidden="1" customHeight="1">
      <c r="A287" s="570"/>
      <c r="B287" s="569"/>
      <c r="C287" s="202" t="s">
        <v>1022</v>
      </c>
      <c r="D287" s="202"/>
      <c r="E287" s="202"/>
      <c r="F287" s="202"/>
      <c r="G287" s="202"/>
      <c r="H287" s="360">
        <f>+'видатки по розпорядниках'!M287</f>
        <v>0</v>
      </c>
      <c r="I287" s="162">
        <f t="shared" si="4"/>
        <v>0</v>
      </c>
      <c r="K287" s="71"/>
      <c r="L287" s="71"/>
      <c r="M287" s="71"/>
      <c r="N287" s="71"/>
    </row>
    <row r="288" spans="1:14" ht="30.6" hidden="1" customHeight="1">
      <c r="A288" s="570"/>
      <c r="B288" s="569"/>
      <c r="C288" s="202" t="s">
        <v>318</v>
      </c>
      <c r="D288" s="202"/>
      <c r="E288" s="202"/>
      <c r="F288" s="202"/>
      <c r="G288" s="202"/>
      <c r="H288" s="360">
        <f>+'видатки по розпорядниках'!M288</f>
        <v>0</v>
      </c>
      <c r="I288" s="162">
        <f t="shared" si="4"/>
        <v>0</v>
      </c>
      <c r="K288" s="71"/>
      <c r="L288" s="71"/>
      <c r="M288" s="71"/>
      <c r="N288" s="71"/>
    </row>
    <row r="289" spans="1:14" ht="64.150000000000006" hidden="1" customHeight="1">
      <c r="A289" s="570"/>
      <c r="B289" s="569"/>
      <c r="C289" s="202" t="s">
        <v>319</v>
      </c>
      <c r="D289" s="202"/>
      <c r="E289" s="202"/>
      <c r="F289" s="202"/>
      <c r="G289" s="202"/>
      <c r="H289" s="360">
        <f>+'видатки по розпорядниках'!M289</f>
        <v>0</v>
      </c>
      <c r="I289" s="162">
        <f t="shared" si="4"/>
        <v>0</v>
      </c>
      <c r="K289" s="71"/>
      <c r="L289" s="71"/>
      <c r="M289" s="71"/>
      <c r="N289" s="71"/>
    </row>
    <row r="290" spans="1:14" ht="30.6" hidden="1" customHeight="1">
      <c r="A290" s="570"/>
      <c r="B290" s="569"/>
      <c r="C290" s="202" t="s">
        <v>320</v>
      </c>
      <c r="D290" s="202"/>
      <c r="E290" s="202"/>
      <c r="F290" s="202"/>
      <c r="G290" s="202"/>
      <c r="H290" s="360">
        <f>+'видатки по розпорядниках'!M290</f>
        <v>0</v>
      </c>
      <c r="I290" s="162">
        <f t="shared" si="4"/>
        <v>0</v>
      </c>
      <c r="K290" s="71"/>
      <c r="L290" s="71"/>
      <c r="M290" s="71"/>
      <c r="N290" s="71"/>
    </row>
    <row r="291" spans="1:14" ht="46.9" hidden="1" customHeight="1">
      <c r="A291" s="570"/>
      <c r="B291" s="569"/>
      <c r="C291" s="386" t="s">
        <v>201</v>
      </c>
      <c r="D291" s="386"/>
      <c r="E291" s="386"/>
      <c r="F291" s="386"/>
      <c r="G291" s="386"/>
      <c r="H291" s="360">
        <f>+'видатки по розпорядниках'!M291</f>
        <v>0</v>
      </c>
      <c r="I291" s="162">
        <f t="shared" si="4"/>
        <v>0</v>
      </c>
      <c r="K291" s="71"/>
      <c r="L291" s="71"/>
      <c r="M291" s="71"/>
      <c r="N291" s="71"/>
    </row>
    <row r="292" spans="1:14" ht="54.6" hidden="1" customHeight="1">
      <c r="A292" s="570"/>
      <c r="B292" s="569"/>
      <c r="C292" s="386" t="s">
        <v>401</v>
      </c>
      <c r="D292" s="386"/>
      <c r="E292" s="386"/>
      <c r="F292" s="386"/>
      <c r="G292" s="386"/>
      <c r="H292" s="360">
        <f>+'видатки по розпорядниках'!M292</f>
        <v>0</v>
      </c>
      <c r="I292" s="162">
        <f t="shared" si="4"/>
        <v>0</v>
      </c>
      <c r="K292" s="71"/>
      <c r="L292" s="71"/>
      <c r="M292" s="71"/>
      <c r="N292" s="71"/>
    </row>
    <row r="293" spans="1:14" ht="37.15" hidden="1" customHeight="1">
      <c r="A293" s="570"/>
      <c r="B293" s="569"/>
      <c r="C293" s="386" t="s">
        <v>321</v>
      </c>
      <c r="D293" s="386"/>
      <c r="E293" s="386"/>
      <c r="F293" s="386"/>
      <c r="G293" s="386"/>
      <c r="H293" s="360">
        <f>+'видатки по розпорядниках'!M293</f>
        <v>0</v>
      </c>
      <c r="I293" s="162">
        <f t="shared" si="4"/>
        <v>0</v>
      </c>
      <c r="K293" s="71"/>
      <c r="L293" s="71"/>
      <c r="M293" s="71"/>
      <c r="N293" s="71"/>
    </row>
    <row r="294" spans="1:14" ht="45" hidden="1" customHeight="1">
      <c r="A294" s="570"/>
      <c r="B294" s="569"/>
      <c r="C294" s="554" t="s">
        <v>1129</v>
      </c>
      <c r="D294" s="554"/>
      <c r="E294" s="554"/>
      <c r="F294" s="554"/>
      <c r="G294" s="554"/>
      <c r="H294" s="360">
        <f>+'видатки по розпорядниках'!M294</f>
        <v>0</v>
      </c>
      <c r="I294" s="162">
        <f t="shared" si="4"/>
        <v>0</v>
      </c>
      <c r="K294" s="71"/>
      <c r="L294" s="71"/>
      <c r="M294" s="71"/>
      <c r="N294" s="71"/>
    </row>
    <row r="295" spans="1:14" ht="62.45" hidden="1" customHeight="1">
      <c r="A295" s="570"/>
      <c r="B295" s="569"/>
      <c r="C295" s="454" t="s">
        <v>208</v>
      </c>
      <c r="D295" s="454"/>
      <c r="E295" s="454"/>
      <c r="F295" s="454"/>
      <c r="G295" s="454"/>
      <c r="H295" s="360">
        <f>+'видатки по розпорядниках'!M295</f>
        <v>0</v>
      </c>
      <c r="I295" s="162">
        <f t="shared" si="4"/>
        <v>0</v>
      </c>
      <c r="K295" s="71"/>
      <c r="L295" s="71"/>
      <c r="M295" s="71"/>
      <c r="N295" s="71"/>
    </row>
    <row r="296" spans="1:14" ht="41.45" hidden="1" customHeight="1">
      <c r="A296" s="570"/>
      <c r="B296" s="569"/>
      <c r="C296" s="202" t="s">
        <v>345</v>
      </c>
      <c r="D296" s="202"/>
      <c r="E296" s="202"/>
      <c r="F296" s="202"/>
      <c r="G296" s="202"/>
      <c r="H296" s="360">
        <f>+'видатки по розпорядниках'!M296</f>
        <v>0</v>
      </c>
      <c r="I296" s="162">
        <f t="shared" si="4"/>
        <v>0</v>
      </c>
      <c r="K296" s="71"/>
      <c r="L296" s="71"/>
      <c r="M296" s="71"/>
      <c r="N296" s="71"/>
    </row>
    <row r="297" spans="1:14" ht="41.45" hidden="1" customHeight="1">
      <c r="A297" s="570"/>
      <c r="B297" s="569"/>
      <c r="C297" s="202" t="s">
        <v>1133</v>
      </c>
      <c r="D297" s="202"/>
      <c r="E297" s="202"/>
      <c r="F297" s="202"/>
      <c r="G297" s="202"/>
      <c r="H297" s="360">
        <f>+'видатки по розпорядниках'!M297</f>
        <v>0</v>
      </c>
      <c r="I297" s="162">
        <f t="shared" si="4"/>
        <v>0</v>
      </c>
      <c r="K297" s="71"/>
      <c r="L297" s="71"/>
      <c r="M297" s="71"/>
      <c r="N297" s="71"/>
    </row>
    <row r="298" spans="1:14" ht="25.15" hidden="1" customHeight="1">
      <c r="A298" s="570"/>
      <c r="B298" s="569"/>
      <c r="C298" s="529" t="s">
        <v>1132</v>
      </c>
      <c r="D298" s="529"/>
      <c r="E298" s="529"/>
      <c r="F298" s="529"/>
      <c r="G298" s="529"/>
      <c r="H298" s="360">
        <f>+'видатки по розпорядниках'!M298</f>
        <v>0</v>
      </c>
      <c r="I298" s="162">
        <f t="shared" si="4"/>
        <v>0</v>
      </c>
      <c r="K298" s="71"/>
      <c r="L298" s="71"/>
      <c r="M298" s="71"/>
      <c r="N298" s="71"/>
    </row>
    <row r="299" spans="1:14" ht="39.6" hidden="1" customHeight="1">
      <c r="A299" s="570"/>
      <c r="B299" s="569"/>
      <c r="C299" s="386" t="s">
        <v>817</v>
      </c>
      <c r="D299" s="386"/>
      <c r="E299" s="386"/>
      <c r="F299" s="386"/>
      <c r="G299" s="386"/>
      <c r="H299" s="360">
        <f>+'видатки по розпорядниках'!M299</f>
        <v>0</v>
      </c>
      <c r="I299" s="162">
        <f t="shared" si="4"/>
        <v>0</v>
      </c>
      <c r="K299" s="71"/>
      <c r="L299" s="71"/>
      <c r="M299" s="71"/>
      <c r="N299" s="71"/>
    </row>
    <row r="300" spans="1:14" ht="45" hidden="1" customHeight="1">
      <c r="A300" s="570"/>
      <c r="B300" s="569"/>
      <c r="C300" s="386" t="s">
        <v>132</v>
      </c>
      <c r="D300" s="386"/>
      <c r="E300" s="386"/>
      <c r="F300" s="386"/>
      <c r="G300" s="386"/>
      <c r="H300" s="360">
        <f>+'видатки по розпорядниках'!M300</f>
        <v>0</v>
      </c>
      <c r="I300" s="162">
        <f t="shared" si="4"/>
        <v>0</v>
      </c>
      <c r="K300" s="71"/>
      <c r="L300" s="71"/>
      <c r="M300" s="71"/>
      <c r="N300" s="71"/>
    </row>
    <row r="301" spans="1:14" ht="30.6" hidden="1" customHeight="1">
      <c r="A301" s="570"/>
      <c r="B301" s="569"/>
      <c r="C301" s="386" t="s">
        <v>444</v>
      </c>
      <c r="D301" s="386"/>
      <c r="E301" s="386"/>
      <c r="F301" s="386"/>
      <c r="G301" s="386"/>
      <c r="H301" s="360">
        <f>+'видатки по розпорядниках'!M301</f>
        <v>0</v>
      </c>
      <c r="I301" s="162">
        <f t="shared" si="4"/>
        <v>0</v>
      </c>
      <c r="K301" s="71"/>
      <c r="L301" s="71"/>
      <c r="M301" s="71"/>
      <c r="N301" s="71"/>
    </row>
    <row r="302" spans="1:14" ht="54" hidden="1" customHeight="1">
      <c r="A302" s="570"/>
      <c r="B302" s="569"/>
      <c r="C302" s="386" t="s">
        <v>346</v>
      </c>
      <c r="D302" s="386"/>
      <c r="E302" s="386"/>
      <c r="F302" s="386"/>
      <c r="G302" s="386"/>
      <c r="H302" s="360">
        <f>+'видатки по розпорядниках'!M302</f>
        <v>0</v>
      </c>
      <c r="I302" s="162">
        <f t="shared" si="4"/>
        <v>0</v>
      </c>
      <c r="K302" s="71"/>
      <c r="L302" s="71"/>
      <c r="M302" s="71"/>
      <c r="N302" s="71"/>
    </row>
    <row r="303" spans="1:14" ht="35.450000000000003" hidden="1" customHeight="1">
      <c r="A303" s="570"/>
      <c r="B303" s="569"/>
      <c r="C303" s="202" t="s">
        <v>1131</v>
      </c>
      <c r="D303" s="202"/>
      <c r="E303" s="202"/>
      <c r="F303" s="202"/>
      <c r="G303" s="202"/>
      <c r="H303" s="360">
        <f>+'видатки по розпорядниках'!M303</f>
        <v>0</v>
      </c>
      <c r="I303" s="162">
        <f t="shared" si="4"/>
        <v>0</v>
      </c>
      <c r="K303" s="71"/>
      <c r="L303" s="71"/>
      <c r="M303" s="71"/>
      <c r="N303" s="71"/>
    </row>
    <row r="304" spans="1:14" ht="63.6" hidden="1" customHeight="1">
      <c r="A304" s="570"/>
      <c r="B304" s="569"/>
      <c r="C304" s="386" t="s">
        <v>937</v>
      </c>
      <c r="D304" s="386"/>
      <c r="E304" s="386"/>
      <c r="F304" s="386"/>
      <c r="G304" s="386"/>
      <c r="H304" s="360">
        <f>+'видатки по розпорядниках'!M304</f>
        <v>0</v>
      </c>
      <c r="I304" s="162">
        <f t="shared" si="4"/>
        <v>0</v>
      </c>
      <c r="K304" s="71"/>
      <c r="L304" s="71"/>
      <c r="M304" s="71"/>
      <c r="N304" s="71"/>
    </row>
    <row r="305" spans="1:14" ht="30.6" hidden="1" customHeight="1">
      <c r="A305" s="570"/>
      <c r="B305" s="569"/>
      <c r="C305" s="386" t="s">
        <v>938</v>
      </c>
      <c r="D305" s="386"/>
      <c r="E305" s="386"/>
      <c r="F305" s="386"/>
      <c r="G305" s="386"/>
      <c r="H305" s="360">
        <f>+'видатки по розпорядниках'!M305</f>
        <v>0</v>
      </c>
      <c r="I305" s="162">
        <f t="shared" si="4"/>
        <v>0</v>
      </c>
      <c r="K305" s="71"/>
      <c r="L305" s="71"/>
      <c r="M305" s="71"/>
      <c r="N305" s="71"/>
    </row>
    <row r="306" spans="1:14" ht="51" hidden="1" customHeight="1">
      <c r="A306" s="570"/>
      <c r="B306" s="569"/>
      <c r="C306" s="386" t="s">
        <v>623</v>
      </c>
      <c r="D306" s="386"/>
      <c r="E306" s="386"/>
      <c r="F306" s="386"/>
      <c r="G306" s="386"/>
      <c r="H306" s="360">
        <f>+'видатки по розпорядниках'!M306</f>
        <v>0</v>
      </c>
      <c r="I306" s="162">
        <f t="shared" si="4"/>
        <v>0</v>
      </c>
      <c r="K306" s="71"/>
      <c r="L306" s="71"/>
      <c r="M306" s="71"/>
      <c r="N306" s="71"/>
    </row>
    <row r="307" spans="1:14" ht="60.6" hidden="1" customHeight="1">
      <c r="A307" s="570"/>
      <c r="B307" s="569"/>
      <c r="C307" s="386" t="s">
        <v>324</v>
      </c>
      <c r="D307" s="386"/>
      <c r="E307" s="386"/>
      <c r="F307" s="386"/>
      <c r="G307" s="386"/>
      <c r="H307" s="360">
        <f>+'видатки по розпорядниках'!M307</f>
        <v>0</v>
      </c>
      <c r="I307" s="162">
        <f t="shared" si="4"/>
        <v>0</v>
      </c>
      <c r="K307" s="71"/>
      <c r="L307" s="71"/>
      <c r="M307" s="71"/>
      <c r="N307" s="71"/>
    </row>
    <row r="308" spans="1:14" ht="32.450000000000003" hidden="1" customHeight="1">
      <c r="A308" s="570"/>
      <c r="B308" s="569"/>
      <c r="C308" s="433" t="s">
        <v>1023</v>
      </c>
      <c r="D308" s="433"/>
      <c r="E308" s="433"/>
      <c r="F308" s="433"/>
      <c r="G308" s="433"/>
      <c r="H308" s="360">
        <f>+'видатки по розпорядниках'!M308</f>
        <v>0</v>
      </c>
      <c r="I308" s="162">
        <f t="shared" si="4"/>
        <v>0</v>
      </c>
      <c r="K308" s="71"/>
      <c r="L308" s="71"/>
      <c r="M308" s="71"/>
      <c r="N308" s="71"/>
    </row>
    <row r="309" spans="1:14" ht="60" hidden="1" customHeight="1">
      <c r="A309" s="570"/>
      <c r="B309" s="569"/>
      <c r="C309" s="454" t="s">
        <v>173</v>
      </c>
      <c r="D309" s="454"/>
      <c r="E309" s="454"/>
      <c r="F309" s="454"/>
      <c r="G309" s="454"/>
      <c r="H309" s="360">
        <f>+'видатки по розпорядниках'!M309</f>
        <v>0</v>
      </c>
      <c r="I309" s="162">
        <f t="shared" si="4"/>
        <v>0</v>
      </c>
      <c r="K309" s="71"/>
      <c r="L309" s="71"/>
      <c r="M309" s="71"/>
      <c r="N309" s="71"/>
    </row>
    <row r="310" spans="1:14" ht="76.150000000000006" hidden="1" customHeight="1">
      <c r="A310" s="570"/>
      <c r="B310" s="569"/>
      <c r="C310" s="437"/>
      <c r="D310" s="437"/>
      <c r="E310" s="437"/>
      <c r="F310" s="437"/>
      <c r="G310" s="437"/>
      <c r="H310" s="360">
        <f>+'видатки по розпорядниках'!M310</f>
        <v>0</v>
      </c>
      <c r="I310" s="162">
        <f t="shared" si="4"/>
        <v>0</v>
      </c>
      <c r="K310" s="71"/>
      <c r="L310" s="71"/>
      <c r="M310" s="71"/>
      <c r="N310" s="71"/>
    </row>
    <row r="311" spans="1:14" ht="60.6" hidden="1" customHeight="1">
      <c r="A311" s="570"/>
      <c r="B311" s="569"/>
      <c r="C311" s="386"/>
      <c r="D311" s="386"/>
      <c r="E311" s="386"/>
      <c r="F311" s="386"/>
      <c r="G311" s="386"/>
      <c r="H311" s="360">
        <f>+'видатки по розпорядниках'!M311</f>
        <v>0</v>
      </c>
      <c r="I311" s="162">
        <f t="shared" si="4"/>
        <v>0</v>
      </c>
      <c r="K311" s="71"/>
      <c r="L311" s="71"/>
      <c r="M311" s="71"/>
      <c r="N311" s="71"/>
    </row>
    <row r="312" spans="1:14" ht="35.450000000000003" hidden="1" customHeight="1">
      <c r="A312" s="570"/>
      <c r="B312" s="569"/>
      <c r="C312" s="202" t="s">
        <v>175</v>
      </c>
      <c r="D312" s="202"/>
      <c r="E312" s="202"/>
      <c r="F312" s="202"/>
      <c r="G312" s="202"/>
      <c r="H312" s="360">
        <f>+'видатки по розпорядниках'!M312</f>
        <v>0</v>
      </c>
      <c r="I312" s="162">
        <f t="shared" si="4"/>
        <v>0</v>
      </c>
      <c r="K312" s="71"/>
      <c r="L312" s="71"/>
      <c r="M312" s="71"/>
      <c r="N312" s="71"/>
    </row>
    <row r="313" spans="1:14" ht="48.75" hidden="1" customHeight="1">
      <c r="A313" s="570"/>
      <c r="B313" s="569"/>
      <c r="C313" s="370" t="s">
        <v>816</v>
      </c>
      <c r="D313" s="370"/>
      <c r="E313" s="370"/>
      <c r="F313" s="370"/>
      <c r="G313" s="370"/>
      <c r="H313" s="360">
        <f>+'видатки по розпорядниках'!M313</f>
        <v>0</v>
      </c>
      <c r="I313" s="162">
        <f t="shared" si="4"/>
        <v>0</v>
      </c>
      <c r="K313" s="71"/>
      <c r="L313" s="71"/>
      <c r="M313" s="71"/>
      <c r="N313" s="71"/>
    </row>
    <row r="314" spans="1:14" ht="65.45" hidden="1" customHeight="1">
      <c r="A314" s="570"/>
      <c r="B314" s="569"/>
      <c r="C314" s="386"/>
      <c r="D314" s="386"/>
      <c r="E314" s="386"/>
      <c r="F314" s="386"/>
      <c r="G314" s="386"/>
      <c r="H314" s="360">
        <f>+'видатки по розпорядниках'!M314</f>
        <v>0</v>
      </c>
      <c r="I314" s="162">
        <f t="shared" si="4"/>
        <v>0</v>
      </c>
      <c r="K314" s="71"/>
      <c r="L314" s="71"/>
      <c r="M314" s="71"/>
      <c r="N314" s="71"/>
    </row>
    <row r="315" spans="1:14" ht="84.6" hidden="1" customHeight="1">
      <c r="A315" s="570"/>
      <c r="B315" s="569"/>
      <c r="C315" s="217" t="s">
        <v>134</v>
      </c>
      <c r="D315" s="217"/>
      <c r="E315" s="217"/>
      <c r="F315" s="217"/>
      <c r="G315" s="217"/>
      <c r="H315" s="360">
        <f>+'видатки по розпорядниках'!M315</f>
        <v>0</v>
      </c>
      <c r="I315" s="162">
        <f t="shared" si="4"/>
        <v>0</v>
      </c>
      <c r="K315" s="71"/>
      <c r="L315" s="71"/>
      <c r="M315" s="71"/>
      <c r="N315" s="71"/>
    </row>
    <row r="316" spans="1:14" ht="103.15" hidden="1" customHeight="1">
      <c r="A316" s="570"/>
      <c r="B316" s="569"/>
      <c r="C316" s="497" t="s">
        <v>326</v>
      </c>
      <c r="D316" s="497"/>
      <c r="E316" s="497"/>
      <c r="F316" s="497"/>
      <c r="G316" s="497"/>
      <c r="H316" s="360">
        <f>+'видатки по розпорядниках'!M316</f>
        <v>0</v>
      </c>
      <c r="I316" s="162">
        <f t="shared" si="4"/>
        <v>0</v>
      </c>
      <c r="K316" s="71"/>
      <c r="L316" s="71"/>
      <c r="M316" s="71"/>
      <c r="N316" s="71"/>
    </row>
    <row r="317" spans="1:14" ht="106.9" hidden="1" customHeight="1">
      <c r="A317" s="570"/>
      <c r="B317" s="569"/>
      <c r="C317" s="454" t="s">
        <v>666</v>
      </c>
      <c r="D317" s="454"/>
      <c r="E317" s="454"/>
      <c r="F317" s="454"/>
      <c r="G317" s="454"/>
      <c r="H317" s="360">
        <f>+'видатки по розпорядниках'!M317</f>
        <v>0</v>
      </c>
      <c r="I317" s="162">
        <f t="shared" si="4"/>
        <v>0</v>
      </c>
      <c r="K317" s="71"/>
      <c r="L317" s="71"/>
      <c r="M317" s="71"/>
      <c r="N317" s="71"/>
    </row>
    <row r="318" spans="1:14" ht="44.25" hidden="1" customHeight="1">
      <c r="A318" s="570"/>
      <c r="B318" s="569"/>
      <c r="C318" s="367" t="s">
        <v>676</v>
      </c>
      <c r="D318" s="367"/>
      <c r="E318" s="367"/>
      <c r="F318" s="367"/>
      <c r="G318" s="367"/>
      <c r="H318" s="360">
        <f>+'видатки по розпорядниках'!M318</f>
        <v>0</v>
      </c>
      <c r="I318" s="162">
        <f t="shared" si="4"/>
        <v>0</v>
      </c>
      <c r="K318" s="71"/>
      <c r="L318" s="71"/>
      <c r="M318" s="71"/>
      <c r="N318" s="71"/>
    </row>
    <row r="319" spans="1:14" ht="65.45" hidden="1" customHeight="1">
      <c r="A319" s="570"/>
      <c r="B319" s="569"/>
      <c r="C319" s="497" t="s">
        <v>1124</v>
      </c>
      <c r="D319" s="497"/>
      <c r="E319" s="497"/>
      <c r="F319" s="497"/>
      <c r="G319" s="497"/>
      <c r="H319" s="360">
        <f>+'видатки по розпорядниках'!M319</f>
        <v>0</v>
      </c>
      <c r="I319" s="162">
        <f t="shared" si="4"/>
        <v>0</v>
      </c>
      <c r="K319" s="71"/>
      <c r="L319" s="71"/>
      <c r="M319" s="71"/>
      <c r="N319" s="71"/>
    </row>
    <row r="320" spans="1:14" ht="21.75" hidden="1" customHeight="1">
      <c r="A320" s="570"/>
      <c r="B320" s="569"/>
      <c r="C320" s="217" t="s">
        <v>677</v>
      </c>
      <c r="D320" s="217"/>
      <c r="E320" s="217"/>
      <c r="F320" s="217"/>
      <c r="G320" s="217"/>
      <c r="H320" s="360">
        <f>+'видатки по розпорядниках'!M320</f>
        <v>0</v>
      </c>
      <c r="I320" s="162">
        <f t="shared" si="4"/>
        <v>0</v>
      </c>
      <c r="K320" s="71"/>
      <c r="L320" s="71"/>
      <c r="M320" s="71"/>
      <c r="N320" s="71"/>
    </row>
    <row r="321" spans="1:58" ht="48" hidden="1" customHeight="1">
      <c r="A321" s="570"/>
      <c r="B321" s="569"/>
      <c r="C321" s="217" t="s">
        <v>1412</v>
      </c>
      <c r="D321" s="217"/>
      <c r="E321" s="217"/>
      <c r="F321" s="217"/>
      <c r="G321" s="217"/>
      <c r="H321" s="360">
        <f>+'видатки по розпорядниках'!M321</f>
        <v>0</v>
      </c>
      <c r="I321" s="162">
        <f t="shared" si="4"/>
        <v>0</v>
      </c>
      <c r="K321" s="71"/>
      <c r="L321" s="71"/>
      <c r="M321" s="71"/>
      <c r="N321" s="71"/>
    </row>
    <row r="322" spans="1:58" ht="49.5" hidden="1" customHeight="1">
      <c r="A322" s="570"/>
      <c r="B322" s="569"/>
      <c r="C322" s="208" t="s">
        <v>1013</v>
      </c>
      <c r="D322" s="208"/>
      <c r="E322" s="208"/>
      <c r="F322" s="208"/>
      <c r="G322" s="208"/>
      <c r="H322" s="360">
        <f>+'видатки по розпорядниках'!M322</f>
        <v>0</v>
      </c>
      <c r="I322" s="162">
        <f t="shared" si="4"/>
        <v>0</v>
      </c>
      <c r="K322" s="71"/>
      <c r="L322" s="71"/>
      <c r="M322" s="71"/>
      <c r="N322" s="71"/>
    </row>
    <row r="323" spans="1:58" ht="63" hidden="1" customHeight="1">
      <c r="A323" s="570"/>
      <c r="B323" s="569"/>
      <c r="C323" s="555" t="s">
        <v>977</v>
      </c>
      <c r="D323" s="555"/>
      <c r="E323" s="555"/>
      <c r="F323" s="555"/>
      <c r="G323" s="555"/>
      <c r="H323" s="360">
        <f>+'видатки по розпорядниках'!M323</f>
        <v>0</v>
      </c>
      <c r="I323" s="162">
        <f t="shared" si="4"/>
        <v>0</v>
      </c>
      <c r="K323" s="71"/>
      <c r="L323" s="71"/>
      <c r="M323" s="71"/>
      <c r="N323" s="71"/>
    </row>
    <row r="324" spans="1:58" ht="72.599999999999994" hidden="1" customHeight="1">
      <c r="A324" s="570"/>
      <c r="B324" s="569"/>
      <c r="C324" s="366" t="s">
        <v>1413</v>
      </c>
      <c r="D324" s="366"/>
      <c r="E324" s="366"/>
      <c r="F324" s="366"/>
      <c r="G324" s="366"/>
      <c r="H324" s="360">
        <f>+'видатки по розпорядниках'!M324</f>
        <v>0</v>
      </c>
      <c r="I324" s="162">
        <f t="shared" si="4"/>
        <v>0</v>
      </c>
      <c r="K324" s="71"/>
      <c r="L324" s="71"/>
      <c r="M324" s="71"/>
      <c r="N324" s="71"/>
    </row>
    <row r="325" spans="1:58" ht="53.45" hidden="1" customHeight="1">
      <c r="A325" s="570"/>
      <c r="B325" s="569"/>
      <c r="C325" s="386" t="s">
        <v>386</v>
      </c>
      <c r="D325" s="386"/>
      <c r="E325" s="386"/>
      <c r="F325" s="386"/>
      <c r="G325" s="386"/>
      <c r="H325" s="360">
        <f>+'видатки по розпорядниках'!M325</f>
        <v>0</v>
      </c>
      <c r="I325" s="162">
        <f t="shared" si="4"/>
        <v>0</v>
      </c>
      <c r="K325" s="71"/>
      <c r="L325" s="71"/>
      <c r="M325" s="71"/>
      <c r="N325" s="71"/>
    </row>
    <row r="326" spans="1:58" ht="115.15" hidden="1" customHeight="1">
      <c r="A326" s="570"/>
      <c r="B326" s="569"/>
      <c r="C326" s="386" t="s">
        <v>664</v>
      </c>
      <c r="D326" s="386"/>
      <c r="E326" s="386"/>
      <c r="F326" s="386"/>
      <c r="G326" s="386"/>
      <c r="H326" s="360">
        <f>+'видатки по розпорядниках'!M326</f>
        <v>0</v>
      </c>
      <c r="I326" s="162">
        <f t="shared" si="4"/>
        <v>0</v>
      </c>
      <c r="K326" s="71"/>
      <c r="L326" s="71"/>
      <c r="M326" s="71"/>
      <c r="N326" s="71"/>
    </row>
    <row r="327" spans="1:58" ht="90.6" hidden="1" customHeight="1">
      <c r="A327" s="570"/>
      <c r="B327" s="550"/>
      <c r="C327" s="386" t="s">
        <v>235</v>
      </c>
      <c r="D327" s="386"/>
      <c r="E327" s="386"/>
      <c r="F327" s="386"/>
      <c r="G327" s="386"/>
      <c r="H327" s="360">
        <f>+'видатки по розпорядниках'!M327</f>
        <v>0</v>
      </c>
      <c r="I327" s="162">
        <f t="shared" si="4"/>
        <v>0</v>
      </c>
      <c r="K327" s="71"/>
      <c r="L327" s="71"/>
      <c r="M327" s="71"/>
      <c r="N327" s="71"/>
    </row>
    <row r="328" spans="1:58" ht="75" hidden="1">
      <c r="A328" s="570"/>
      <c r="B328" s="550" t="s">
        <v>864</v>
      </c>
      <c r="C328" s="216" t="s">
        <v>494</v>
      </c>
      <c r="D328" s="216"/>
      <c r="E328" s="216"/>
      <c r="F328" s="216"/>
      <c r="G328" s="216"/>
      <c r="H328" s="360">
        <f>+'видатки по розпорядниках'!M328</f>
        <v>0</v>
      </c>
      <c r="I328" s="162">
        <f t="shared" si="4"/>
        <v>0</v>
      </c>
      <c r="K328" s="71"/>
      <c r="L328" s="71"/>
      <c r="M328" s="71"/>
      <c r="N328" s="71"/>
    </row>
    <row r="329" spans="1:58" ht="105" hidden="1">
      <c r="A329" s="570"/>
      <c r="B329" s="550" t="s">
        <v>1157</v>
      </c>
      <c r="C329" s="212" t="s">
        <v>48</v>
      </c>
      <c r="D329" s="212"/>
      <c r="E329" s="212"/>
      <c r="F329" s="212"/>
      <c r="G329" s="212"/>
      <c r="H329" s="360">
        <f>+'видатки по розпорядниках'!M329</f>
        <v>0</v>
      </c>
      <c r="I329" s="162">
        <f t="shared" si="4"/>
        <v>0</v>
      </c>
      <c r="K329" s="71"/>
      <c r="L329" s="71"/>
      <c r="M329" s="71"/>
      <c r="N329" s="71"/>
    </row>
    <row r="330" spans="1:58" ht="42" hidden="1" customHeight="1">
      <c r="A330" s="570"/>
      <c r="B330" s="550"/>
      <c r="C330" s="520"/>
      <c r="D330" s="520"/>
      <c r="E330" s="520"/>
      <c r="F330" s="520"/>
      <c r="G330" s="520"/>
      <c r="H330" s="360">
        <f>+'видатки по розпорядниках'!M330</f>
        <v>0</v>
      </c>
      <c r="I330" s="162">
        <f t="shared" si="4"/>
        <v>0</v>
      </c>
      <c r="K330" s="71"/>
      <c r="L330" s="71"/>
      <c r="M330" s="71"/>
      <c r="N330" s="71"/>
    </row>
    <row r="331" spans="1:58" ht="94.5" hidden="1" customHeight="1">
      <c r="A331" s="570"/>
      <c r="B331" s="550" t="s">
        <v>1154</v>
      </c>
      <c r="C331" s="599" t="s">
        <v>263</v>
      </c>
      <c r="D331" s="599"/>
      <c r="E331" s="599"/>
      <c r="F331" s="599"/>
      <c r="G331" s="599"/>
      <c r="H331" s="360">
        <f>+'видатки по розпорядниках'!M331</f>
        <v>0</v>
      </c>
      <c r="I331" s="162">
        <f t="shared" si="4"/>
        <v>0</v>
      </c>
      <c r="J331" s="2"/>
      <c r="K331" s="7"/>
      <c r="L331" s="7"/>
      <c r="M331" s="7"/>
      <c r="N331" s="7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79.900000000000006" hidden="1" customHeight="1" outlineLevel="1">
      <c r="A332" s="570"/>
      <c r="B332" s="550" t="s">
        <v>1155</v>
      </c>
      <c r="C332" s="222" t="s">
        <v>1001</v>
      </c>
      <c r="D332" s="222"/>
      <c r="E332" s="222"/>
      <c r="F332" s="222"/>
      <c r="G332" s="222"/>
      <c r="H332" s="360">
        <f>+'видатки по розпорядниках'!M332</f>
        <v>0</v>
      </c>
      <c r="I332" s="162">
        <f t="shared" si="4"/>
        <v>0</v>
      </c>
      <c r="J332" s="2"/>
      <c r="K332" s="124"/>
      <c r="L332" s="124"/>
      <c r="M332" s="124"/>
      <c r="N332" s="12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45.6" hidden="1" customHeight="1" outlineLevel="1">
      <c r="A333" s="570"/>
      <c r="B333" s="567" t="s">
        <v>1156</v>
      </c>
      <c r="C333" s="600" t="s">
        <v>576</v>
      </c>
      <c r="D333" s="600"/>
      <c r="E333" s="600"/>
      <c r="F333" s="600"/>
      <c r="G333" s="600"/>
      <c r="H333" s="360">
        <f>+'видатки по розпорядниках'!M333</f>
        <v>0</v>
      </c>
      <c r="I333" s="162">
        <f t="shared" si="4"/>
        <v>0</v>
      </c>
      <c r="J333" s="2"/>
      <c r="K333" s="124"/>
      <c r="L333" s="124"/>
      <c r="M333" s="124"/>
      <c r="N333" s="12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43.9" hidden="1" customHeight="1" outlineLevel="1">
      <c r="A334" s="570"/>
      <c r="B334" s="550" t="s">
        <v>874</v>
      </c>
      <c r="C334" s="208" t="s">
        <v>656</v>
      </c>
      <c r="D334" s="208"/>
      <c r="E334" s="208"/>
      <c r="F334" s="208"/>
      <c r="G334" s="208"/>
      <c r="H334" s="360">
        <f>+'видатки по розпорядниках'!M334</f>
        <v>0</v>
      </c>
      <c r="I334" s="162">
        <f t="shared" si="4"/>
        <v>0</v>
      </c>
      <c r="J334" s="2"/>
      <c r="K334" s="124"/>
      <c r="L334" s="124"/>
      <c r="M334" s="124"/>
      <c r="N334" s="12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7.45" hidden="1" customHeight="1" outlineLevel="1">
      <c r="A335" s="570"/>
      <c r="B335" s="564" t="s">
        <v>1247</v>
      </c>
      <c r="C335" s="170" t="s">
        <v>867</v>
      </c>
      <c r="D335" s="170"/>
      <c r="E335" s="170"/>
      <c r="F335" s="170"/>
      <c r="G335" s="170"/>
      <c r="H335" s="360">
        <f>+'видатки по розпорядниках'!M335</f>
        <v>0</v>
      </c>
      <c r="I335" s="162">
        <f t="shared" si="4"/>
        <v>0</v>
      </c>
      <c r="J335" s="54"/>
      <c r="K335" s="125"/>
      <c r="L335" s="125"/>
      <c r="M335" s="125"/>
      <c r="N335" s="125"/>
      <c r="O335" s="5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8.600000000000001" hidden="1" customHeight="1" outlineLevel="1">
      <c r="A336" s="570"/>
      <c r="B336" s="603"/>
      <c r="C336" s="171" t="s">
        <v>1002</v>
      </c>
      <c r="D336" s="171"/>
      <c r="E336" s="171"/>
      <c r="F336" s="171"/>
      <c r="G336" s="171"/>
      <c r="H336" s="360">
        <f>+'видатки по розпорядниках'!M336</f>
        <v>0</v>
      </c>
      <c r="I336" s="162">
        <f t="shared" si="4"/>
        <v>0</v>
      </c>
      <c r="J336" s="54"/>
      <c r="K336" s="71"/>
      <c r="L336" s="71"/>
      <c r="M336" s="71"/>
      <c r="N336" s="71"/>
      <c r="O336" s="5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8" hidden="1" customHeight="1" outlineLevel="1">
      <c r="A337" s="570"/>
      <c r="B337" s="603"/>
      <c r="C337" s="171" t="s">
        <v>449</v>
      </c>
      <c r="D337" s="171"/>
      <c r="E337" s="171"/>
      <c r="F337" s="171"/>
      <c r="G337" s="171"/>
      <c r="H337" s="360">
        <f>+'видатки по розпорядниках'!M337</f>
        <v>0</v>
      </c>
      <c r="I337" s="162">
        <f t="shared" si="4"/>
        <v>0</v>
      </c>
      <c r="J337" s="54"/>
      <c r="K337" s="71"/>
      <c r="L337" s="71"/>
      <c r="M337" s="71"/>
      <c r="N337" s="71"/>
      <c r="O337" s="5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46.9" hidden="1" customHeight="1" outlineLevel="1">
      <c r="A338" s="570"/>
      <c r="B338" s="604"/>
      <c r="C338" s="605" t="s">
        <v>157</v>
      </c>
      <c r="D338" s="605"/>
      <c r="E338" s="605"/>
      <c r="F338" s="605"/>
      <c r="G338" s="605"/>
      <c r="H338" s="360">
        <f>+'видатки по розпорядниках'!M338</f>
        <v>0</v>
      </c>
      <c r="I338" s="162">
        <f t="shared" si="4"/>
        <v>0</v>
      </c>
      <c r="J338" s="54"/>
      <c r="K338" s="71"/>
      <c r="L338" s="71"/>
      <c r="M338" s="71"/>
      <c r="N338" s="71"/>
      <c r="O338" s="5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74.45" hidden="1" customHeight="1" outlineLevel="1">
      <c r="A339" s="570"/>
      <c r="B339" s="604"/>
      <c r="C339" s="605" t="s">
        <v>743</v>
      </c>
      <c r="D339" s="605"/>
      <c r="E339" s="605"/>
      <c r="F339" s="605"/>
      <c r="G339" s="605"/>
      <c r="H339" s="360">
        <f>+'видатки по розпорядниках'!M339</f>
        <v>0</v>
      </c>
      <c r="I339" s="162">
        <f t="shared" si="4"/>
        <v>0</v>
      </c>
      <c r="J339" s="54"/>
      <c r="K339" s="71"/>
      <c r="L339" s="71"/>
      <c r="M339" s="71"/>
      <c r="N339" s="71"/>
      <c r="O339" s="5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57" hidden="1" customHeight="1" outlineLevel="1">
      <c r="A340" s="570"/>
      <c r="B340" s="570" t="s">
        <v>403</v>
      </c>
      <c r="C340" s="171" t="s">
        <v>221</v>
      </c>
      <c r="D340" s="171"/>
      <c r="E340" s="171"/>
      <c r="F340" s="171"/>
      <c r="G340" s="171"/>
      <c r="H340" s="360">
        <f>+'видатки по розпорядниках'!M340</f>
        <v>0</v>
      </c>
      <c r="I340" s="162">
        <f t="shared" si="4"/>
        <v>0</v>
      </c>
      <c r="J340" s="24"/>
      <c r="K340" s="44"/>
      <c r="L340" s="44"/>
      <c r="M340" s="44"/>
      <c r="N340" s="44"/>
      <c r="O340" s="24"/>
    </row>
    <row r="341" spans="1:58" ht="72" hidden="1" customHeight="1" outlineLevel="1">
      <c r="A341" s="570"/>
      <c r="B341" s="551"/>
      <c r="C341" s="606"/>
      <c r="D341" s="606"/>
      <c r="E341" s="606"/>
      <c r="F341" s="606"/>
      <c r="G341" s="606"/>
      <c r="H341" s="360">
        <f>+'видатки по розпорядниках'!M341</f>
        <v>0</v>
      </c>
      <c r="I341" s="162">
        <f t="shared" si="4"/>
        <v>0</v>
      </c>
      <c r="J341" s="2"/>
      <c r="K341" s="7"/>
      <c r="L341" s="7"/>
      <c r="M341" s="7"/>
      <c r="N341" s="7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7.25" hidden="1" customHeight="1" outlineLevel="1">
      <c r="A342" s="570"/>
      <c r="B342" s="551"/>
      <c r="C342" s="606"/>
      <c r="D342" s="606"/>
      <c r="E342" s="606"/>
      <c r="F342" s="606"/>
      <c r="G342" s="606"/>
      <c r="H342" s="360">
        <f>+'видатки по розпорядниках'!M342</f>
        <v>0</v>
      </c>
      <c r="I342" s="162">
        <f t="shared" ref="I342:I405" si="5">+H342</f>
        <v>0</v>
      </c>
      <c r="J342" s="2"/>
      <c r="K342" s="7"/>
      <c r="L342" s="7"/>
      <c r="M342" s="7"/>
      <c r="N342" s="7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42" hidden="1" customHeight="1" outlineLevel="1">
      <c r="A343" s="570"/>
      <c r="B343" s="551"/>
      <c r="C343" s="606"/>
      <c r="D343" s="606"/>
      <c r="E343" s="606"/>
      <c r="F343" s="606"/>
      <c r="G343" s="606"/>
      <c r="H343" s="360">
        <f>+'видатки по розпорядниках'!M343</f>
        <v>0</v>
      </c>
      <c r="I343" s="162">
        <f t="shared" si="5"/>
        <v>0</v>
      </c>
      <c r="J343" s="2"/>
      <c r="K343" s="7"/>
      <c r="L343" s="7"/>
      <c r="M343" s="7"/>
      <c r="N343" s="7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51" hidden="1" customHeight="1" outlineLevel="1">
      <c r="A344" s="570"/>
      <c r="B344" s="551"/>
      <c r="C344" s="170"/>
      <c r="D344" s="170"/>
      <c r="E344" s="170"/>
      <c r="F344" s="170"/>
      <c r="G344" s="170"/>
      <c r="H344" s="360">
        <f>+'видатки по розпорядниках'!M344</f>
        <v>0</v>
      </c>
      <c r="I344" s="162">
        <f t="shared" si="5"/>
        <v>0</v>
      </c>
      <c r="J344" s="2"/>
      <c r="K344" s="7"/>
      <c r="L344" s="7"/>
      <c r="M344" s="7"/>
      <c r="N344" s="7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53.25" hidden="1" customHeight="1" outlineLevel="1">
      <c r="A345" s="570"/>
      <c r="B345" s="551">
        <v>250358</v>
      </c>
      <c r="C345" s="172" t="s">
        <v>1244</v>
      </c>
      <c r="D345" s="172"/>
      <c r="E345" s="172"/>
      <c r="F345" s="172"/>
      <c r="G345" s="172"/>
      <c r="H345" s="360">
        <f>+'видатки по розпорядниках'!M345</f>
        <v>0</v>
      </c>
      <c r="I345" s="162">
        <f t="shared" si="5"/>
        <v>0</v>
      </c>
      <c r="J345" s="54"/>
      <c r="K345" s="125"/>
      <c r="L345" s="125"/>
      <c r="M345" s="125"/>
      <c r="N345" s="125"/>
      <c r="O345" s="5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57" hidden="1" customHeight="1" outlineLevel="1">
      <c r="A346" s="570"/>
      <c r="B346" s="570" t="s">
        <v>50</v>
      </c>
      <c r="C346" s="171" t="str">
        <f>+'видатки_затв '!B416</f>
        <v>Субвенція з державного бюджету місцевим бюджетам на заходи щодо погашення заборгованості громадян за житлово-комунальні послуги та енергоносії в рахунок часткової компенсації втрат від знецінення грошових заощаджень</v>
      </c>
      <c r="D346" s="171"/>
      <c r="E346" s="171"/>
      <c r="F346" s="171"/>
      <c r="G346" s="171"/>
      <c r="H346" s="360">
        <f>+'видатки по розпорядниках'!M346</f>
        <v>0</v>
      </c>
      <c r="I346" s="162">
        <f t="shared" si="5"/>
        <v>0</v>
      </c>
      <c r="J346" s="54"/>
      <c r="K346" s="71"/>
      <c r="L346" s="71"/>
      <c r="M346" s="71"/>
      <c r="N346" s="71"/>
      <c r="O346" s="5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48" hidden="1" customHeight="1" outlineLevel="1">
      <c r="A347" s="570"/>
      <c r="B347" s="564" t="s">
        <v>51</v>
      </c>
      <c r="C347" s="171" t="e">
        <f>+'видатки_затв '!B417</f>
        <v>#REF!</v>
      </c>
      <c r="D347" s="171"/>
      <c r="E347" s="171"/>
      <c r="F347" s="171"/>
      <c r="G347" s="171"/>
      <c r="H347" s="360">
        <f>+'видатки по розпорядниках'!M347</f>
        <v>0</v>
      </c>
      <c r="I347" s="162">
        <f t="shared" si="5"/>
        <v>0</v>
      </c>
      <c r="J347" s="54"/>
      <c r="K347" s="71"/>
      <c r="L347" s="71"/>
      <c r="M347" s="71"/>
      <c r="N347" s="71"/>
      <c r="O347" s="5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92.45" hidden="1" customHeight="1" outlineLevel="1">
      <c r="A348" s="570"/>
      <c r="B348" s="570" t="s">
        <v>697</v>
      </c>
      <c r="C348" s="171" t="str">
        <f>+'видатки_затв '!B418</f>
        <v>Субвенція з державного бюджету місцевим бюджетам на виконання інвестиційних проектів, спрямованих на соціально-економічний розвиток регіонів, заходів з попередження аварій і запобігання техногенним катастрофам у житлово-комунальному господарстві та на інших аварійних об'єктах комунальної власності, в тому числі ремонт і реконструкцію теплових мереж та котелень</v>
      </c>
      <c r="D348" s="171"/>
      <c r="E348" s="171"/>
      <c r="F348" s="171"/>
      <c r="G348" s="171"/>
      <c r="H348" s="360">
        <f>+'видатки по розпорядниках'!M348</f>
        <v>0</v>
      </c>
      <c r="I348" s="162">
        <f t="shared" si="5"/>
        <v>0</v>
      </c>
      <c r="J348" s="54"/>
      <c r="K348" s="71"/>
      <c r="L348" s="71"/>
      <c r="M348" s="71"/>
      <c r="N348" s="71"/>
      <c r="O348" s="5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39.5" hidden="1" customHeight="1" outlineLevel="1">
      <c r="A349" s="570"/>
      <c r="B349" s="551"/>
      <c r="C349" s="170"/>
      <c r="D349" s="170"/>
      <c r="E349" s="170"/>
      <c r="F349" s="170"/>
      <c r="G349" s="170"/>
      <c r="H349" s="360">
        <f>+'видатки по розпорядниках'!M349</f>
        <v>0</v>
      </c>
      <c r="I349" s="162">
        <f t="shared" si="5"/>
        <v>0</v>
      </c>
      <c r="J349" s="54"/>
      <c r="K349" s="71"/>
      <c r="L349" s="71"/>
      <c r="M349" s="71"/>
      <c r="N349" s="71"/>
      <c r="O349" s="5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46.15" hidden="1" customHeight="1" outlineLevel="1">
      <c r="A350" s="570"/>
      <c r="B350" s="570" t="s">
        <v>1127</v>
      </c>
      <c r="C350" s="605" t="s">
        <v>819</v>
      </c>
      <c r="D350" s="605"/>
      <c r="E350" s="605"/>
      <c r="F350" s="605"/>
      <c r="G350" s="605"/>
      <c r="H350" s="360">
        <f>+'видатки по розпорядниках'!M350</f>
        <v>0</v>
      </c>
      <c r="I350" s="162">
        <f t="shared" si="5"/>
        <v>0</v>
      </c>
      <c r="J350" s="54"/>
      <c r="K350" s="71"/>
      <c r="L350" s="71"/>
      <c r="M350" s="71"/>
      <c r="N350" s="71"/>
      <c r="O350" s="5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03.5" hidden="1" customHeight="1" outlineLevel="1">
      <c r="A351" s="570"/>
      <c r="B351" s="550" t="s">
        <v>1157</v>
      </c>
      <c r="C351" s="181" t="s">
        <v>48</v>
      </c>
      <c r="D351" s="181"/>
      <c r="E351" s="181"/>
      <c r="F351" s="181"/>
      <c r="G351" s="181"/>
      <c r="H351" s="360">
        <f>+'видатки по розпорядниках'!M351</f>
        <v>0</v>
      </c>
      <c r="I351" s="162">
        <f t="shared" si="5"/>
        <v>0</v>
      </c>
      <c r="J351" s="54"/>
      <c r="K351" s="71"/>
      <c r="L351" s="71"/>
      <c r="M351" s="71"/>
      <c r="N351" s="71"/>
      <c r="O351" s="5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73.150000000000006" hidden="1" customHeight="1" outlineLevel="1">
      <c r="A352" s="570"/>
      <c r="B352" s="570" t="s">
        <v>340</v>
      </c>
      <c r="C352" s="607" t="s">
        <v>60</v>
      </c>
      <c r="D352" s="607"/>
      <c r="E352" s="607"/>
      <c r="F352" s="607"/>
      <c r="G352" s="607"/>
      <c r="H352" s="360">
        <f>+'видатки по розпорядниках'!M352</f>
        <v>0</v>
      </c>
      <c r="I352" s="162">
        <f t="shared" si="5"/>
        <v>0</v>
      </c>
      <c r="J352" s="54"/>
      <c r="K352" s="71"/>
      <c r="L352" s="71"/>
      <c r="M352" s="71"/>
      <c r="N352" s="71"/>
      <c r="O352" s="5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69" hidden="1" customHeight="1" outlineLevel="1">
      <c r="A353" s="570"/>
      <c r="B353" s="570"/>
      <c r="C353" s="605" t="s">
        <v>588</v>
      </c>
      <c r="D353" s="605"/>
      <c r="E353" s="605"/>
      <c r="F353" s="605"/>
      <c r="G353" s="605"/>
      <c r="H353" s="360">
        <f>+'видатки по розпорядниках'!M353</f>
        <v>0</v>
      </c>
      <c r="I353" s="162">
        <f t="shared" si="5"/>
        <v>0</v>
      </c>
      <c r="J353" s="54"/>
      <c r="K353" s="71"/>
      <c r="L353" s="71"/>
      <c r="M353" s="71"/>
      <c r="N353" s="71"/>
      <c r="O353" s="5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23.6" hidden="1" customHeight="1" outlineLevel="1">
      <c r="A354" s="570"/>
      <c r="B354" s="564" t="s">
        <v>697</v>
      </c>
      <c r="C354" s="498" t="s">
        <v>551</v>
      </c>
      <c r="D354" s="498"/>
      <c r="E354" s="498"/>
      <c r="F354" s="498"/>
      <c r="G354" s="498"/>
      <c r="H354" s="360">
        <f>+'видатки по розпорядниках'!M354</f>
        <v>0</v>
      </c>
      <c r="I354" s="162">
        <f t="shared" si="5"/>
        <v>0</v>
      </c>
      <c r="J354" s="54"/>
      <c r="K354" s="71"/>
      <c r="L354" s="71"/>
      <c r="M354" s="71"/>
      <c r="N354" s="71"/>
      <c r="O354" s="5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17.6" hidden="1" customHeight="1" outlineLevel="1">
      <c r="A355" s="570"/>
      <c r="B355" s="570"/>
      <c r="C355" s="498" t="s">
        <v>551</v>
      </c>
      <c r="D355" s="498"/>
      <c r="E355" s="498"/>
      <c r="F355" s="498"/>
      <c r="G355" s="498"/>
      <c r="H355" s="360">
        <f>+'видатки по розпорядниках'!M355</f>
        <v>0</v>
      </c>
      <c r="I355" s="162">
        <f t="shared" si="5"/>
        <v>0</v>
      </c>
      <c r="J355" s="54"/>
      <c r="K355" s="71"/>
      <c r="L355" s="71"/>
      <c r="M355" s="71"/>
      <c r="N355" s="71"/>
      <c r="O355" s="5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68.45" hidden="1" customHeight="1" outlineLevel="1">
      <c r="A356" s="570"/>
      <c r="B356" s="570"/>
      <c r="C356" s="498" t="s">
        <v>395</v>
      </c>
      <c r="D356" s="498"/>
      <c r="E356" s="498"/>
      <c r="F356" s="498"/>
      <c r="G356" s="498"/>
      <c r="H356" s="360">
        <f>+'видатки по розпорядниках'!M356</f>
        <v>0</v>
      </c>
      <c r="I356" s="162">
        <f t="shared" si="5"/>
        <v>0</v>
      </c>
      <c r="J356" s="54"/>
      <c r="K356" s="71"/>
      <c r="L356" s="71"/>
      <c r="M356" s="71"/>
      <c r="N356" s="71"/>
      <c r="O356" s="5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66.599999999999994" hidden="1" customHeight="1" outlineLevel="1">
      <c r="A357" s="570"/>
      <c r="B357" s="564" t="s">
        <v>697</v>
      </c>
      <c r="C357" s="608" t="s">
        <v>961</v>
      </c>
      <c r="D357" s="608"/>
      <c r="E357" s="608"/>
      <c r="F357" s="608"/>
      <c r="G357" s="608"/>
      <c r="H357" s="360">
        <f>+'видатки по розпорядниках'!M357</f>
        <v>0</v>
      </c>
      <c r="I357" s="162">
        <f t="shared" si="5"/>
        <v>0</v>
      </c>
      <c r="J357" s="54"/>
      <c r="K357" s="71"/>
      <c r="L357" s="71"/>
      <c r="M357" s="71"/>
      <c r="N357" s="71"/>
      <c r="O357" s="5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42.6" hidden="1" customHeight="1" outlineLevel="1">
      <c r="A358" s="570"/>
      <c r="B358" s="570"/>
      <c r="C358" s="597" t="s">
        <v>162</v>
      </c>
      <c r="D358" s="597"/>
      <c r="E358" s="597"/>
      <c r="F358" s="597"/>
      <c r="G358" s="597"/>
      <c r="H358" s="360">
        <f>+'видатки по розпорядниках'!M358</f>
        <v>0</v>
      </c>
      <c r="I358" s="162">
        <f t="shared" si="5"/>
        <v>0</v>
      </c>
      <c r="J358" s="54"/>
      <c r="K358" s="71"/>
      <c r="L358" s="71"/>
      <c r="M358" s="71"/>
      <c r="N358" s="71"/>
      <c r="O358" s="5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43.15" hidden="1" customHeight="1" outlineLevel="1">
      <c r="A359" s="570"/>
      <c r="B359" s="551" t="s">
        <v>341</v>
      </c>
      <c r="C359" s="179" t="s">
        <v>624</v>
      </c>
      <c r="D359" s="179"/>
      <c r="E359" s="179"/>
      <c r="F359" s="179"/>
      <c r="G359" s="179"/>
      <c r="H359" s="360">
        <f>+'видатки по розпорядниках'!M359</f>
        <v>0</v>
      </c>
      <c r="I359" s="162">
        <f t="shared" si="5"/>
        <v>0</v>
      </c>
      <c r="J359" s="54"/>
      <c r="K359" s="71"/>
      <c r="L359" s="71"/>
      <c r="M359" s="71"/>
      <c r="N359" s="71"/>
      <c r="O359" s="5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45" hidden="1" customHeight="1" outlineLevel="1">
      <c r="A360" s="570"/>
      <c r="B360" s="550" t="s">
        <v>1158</v>
      </c>
      <c r="C360" s="609" t="s">
        <v>1010</v>
      </c>
      <c r="D360" s="609"/>
      <c r="E360" s="609"/>
      <c r="F360" s="609"/>
      <c r="G360" s="609"/>
      <c r="H360" s="360">
        <f>+'видатки по розпорядниках'!M360</f>
        <v>0</v>
      </c>
      <c r="I360" s="162">
        <f t="shared" si="5"/>
        <v>0</v>
      </c>
      <c r="J360" s="54"/>
      <c r="K360" s="71"/>
      <c r="L360" s="71"/>
      <c r="M360" s="71"/>
      <c r="N360" s="71"/>
      <c r="O360" s="5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36" hidden="1" customHeight="1" outlineLevel="1">
      <c r="A361" s="570"/>
      <c r="B361" s="570"/>
      <c r="C361" s="600" t="s">
        <v>207</v>
      </c>
      <c r="D361" s="600"/>
      <c r="E361" s="600"/>
      <c r="F361" s="600"/>
      <c r="G361" s="600"/>
      <c r="H361" s="360">
        <f>+'видатки по розпорядниках'!M361</f>
        <v>0</v>
      </c>
      <c r="I361" s="162">
        <f t="shared" si="5"/>
        <v>0</v>
      </c>
      <c r="J361" s="54"/>
      <c r="K361" s="71"/>
      <c r="L361" s="71"/>
      <c r="M361" s="71"/>
      <c r="N361" s="71"/>
      <c r="O361" s="5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34.15" hidden="1" customHeight="1" outlineLevel="1">
      <c r="A362" s="570"/>
      <c r="B362" s="570" t="s">
        <v>885</v>
      </c>
      <c r="C362" s="610" t="s">
        <v>1239</v>
      </c>
      <c r="D362" s="610"/>
      <c r="E362" s="610"/>
      <c r="F362" s="610"/>
      <c r="G362" s="610"/>
      <c r="H362" s="360">
        <f>+'видатки по розпорядниках'!M362</f>
        <v>0</v>
      </c>
      <c r="I362" s="162">
        <f t="shared" si="5"/>
        <v>0</v>
      </c>
      <c r="J362" s="54"/>
      <c r="K362" s="71"/>
      <c r="L362" s="71"/>
      <c r="M362" s="71"/>
      <c r="N362" s="71"/>
      <c r="O362" s="5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69" hidden="1" customHeight="1" outlineLevel="1">
      <c r="A363" s="570"/>
      <c r="B363" s="550" t="s">
        <v>206</v>
      </c>
      <c r="C363" s="386" t="str">
        <f>+'видатки_затв '!B456</f>
        <v>Субвенція з державного бюджету на проведення виборів депутатів Верховної Ради Автономної Республіки Крим, місцевих рад та сільських, селищних, міських голів</v>
      </c>
      <c r="D363" s="386"/>
      <c r="E363" s="386"/>
      <c r="F363" s="386"/>
      <c r="G363" s="386"/>
      <c r="H363" s="360">
        <f>+'видатки по розпорядниках'!M363</f>
        <v>0</v>
      </c>
      <c r="I363" s="162">
        <f t="shared" si="5"/>
        <v>0</v>
      </c>
      <c r="J363" s="54"/>
      <c r="K363" s="71"/>
      <c r="L363" s="71"/>
      <c r="M363" s="71"/>
      <c r="N363" s="71"/>
      <c r="O363" s="5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78.599999999999994" hidden="1" customHeight="1" outlineLevel="1">
      <c r="A364" s="570"/>
      <c r="B364" s="569" t="s">
        <v>1213</v>
      </c>
      <c r="C364" s="370" t="str">
        <f>+'видатки_затв '!B457</f>
        <v xml:space="preserve">Субвенція з державного бюджету місцевим бюджетам на фінансування Програм-переможців Всеукраїнського конкурсу проектів та програм розвитку місцевого самоврядування </v>
      </c>
      <c r="D364" s="370"/>
      <c r="E364" s="370"/>
      <c r="F364" s="370"/>
      <c r="G364" s="370"/>
      <c r="H364" s="360">
        <f>+'видатки по розпорядниках'!M364</f>
        <v>0</v>
      </c>
      <c r="I364" s="162">
        <f t="shared" si="5"/>
        <v>0</v>
      </c>
      <c r="J364" s="54"/>
      <c r="K364" s="71"/>
      <c r="L364" s="71"/>
      <c r="M364" s="71"/>
      <c r="N364" s="71"/>
      <c r="O364" s="5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56.6" hidden="1" customHeight="1" outlineLevel="1">
      <c r="A365" s="570"/>
      <c r="B365" s="578">
        <v>250383</v>
      </c>
      <c r="C365" s="556" t="s">
        <v>312</v>
      </c>
      <c r="D365" s="556"/>
      <c r="E365" s="556"/>
      <c r="F365" s="556"/>
      <c r="G365" s="556"/>
      <c r="H365" s="360">
        <f>+'видатки по розпорядниках'!M365</f>
        <v>0</v>
      </c>
      <c r="I365" s="162">
        <f t="shared" si="5"/>
        <v>0</v>
      </c>
      <c r="J365" s="54"/>
      <c r="K365" s="71"/>
      <c r="L365" s="71"/>
      <c r="M365" s="71"/>
      <c r="N365" s="71"/>
      <c r="O365" s="5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76.150000000000006" hidden="1" customHeight="1" outlineLevel="1">
      <c r="A366" s="570"/>
      <c r="B366" s="550" t="s">
        <v>206</v>
      </c>
      <c r="C366" s="534" t="s">
        <v>237</v>
      </c>
      <c r="D366" s="534"/>
      <c r="E366" s="534"/>
      <c r="F366" s="534"/>
      <c r="G366" s="534"/>
      <c r="H366" s="360">
        <f>+'видатки по розпорядниках'!M366</f>
        <v>0</v>
      </c>
      <c r="I366" s="162">
        <f t="shared" si="5"/>
        <v>0</v>
      </c>
      <c r="J366" s="54"/>
      <c r="K366" s="71"/>
      <c r="L366" s="71"/>
      <c r="M366" s="71"/>
      <c r="N366" s="71"/>
      <c r="O366" s="5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08" hidden="1" customHeight="1" outlineLevel="1">
      <c r="A367" s="570"/>
      <c r="B367" s="578">
        <v>250396</v>
      </c>
      <c r="C367" s="212" t="s">
        <v>48</v>
      </c>
      <c r="D367" s="212"/>
      <c r="E367" s="212"/>
      <c r="F367" s="212"/>
      <c r="G367" s="212"/>
      <c r="H367" s="360">
        <f>+'видатки по розпорядниках'!M367</f>
        <v>0</v>
      </c>
      <c r="I367" s="162">
        <f t="shared" si="5"/>
        <v>0</v>
      </c>
      <c r="J367" s="54"/>
      <c r="K367" s="71"/>
      <c r="L367" s="71"/>
      <c r="M367" s="71"/>
      <c r="N367" s="71"/>
      <c r="O367" s="5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56" hidden="1" customHeight="1" outlineLevel="1">
      <c r="A368" s="570"/>
      <c r="B368" s="572">
        <v>250339</v>
      </c>
      <c r="C368" s="611" t="s">
        <v>307</v>
      </c>
      <c r="D368" s="611"/>
      <c r="E368" s="611"/>
      <c r="F368" s="611"/>
      <c r="G368" s="611"/>
      <c r="H368" s="360">
        <f>+'видатки по розпорядниках'!M368</f>
        <v>0</v>
      </c>
      <c r="I368" s="162">
        <f t="shared" si="5"/>
        <v>0</v>
      </c>
      <c r="J368" s="54"/>
      <c r="K368" s="71"/>
      <c r="L368" s="71"/>
      <c r="M368" s="71"/>
      <c r="N368" s="71"/>
      <c r="O368" s="5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45.6" hidden="1" customHeight="1" outlineLevel="1">
      <c r="A369" s="570"/>
      <c r="B369" s="612">
        <v>250377</v>
      </c>
      <c r="C369" s="609" t="str">
        <f>+'видатки_затв '!B438</f>
        <v>Субвенція з державного бюджету місцевим бюджетам для здійснення заходів, спрямованих на подолання дитячої бездоглядності і безпритульності</v>
      </c>
      <c r="D369" s="609"/>
      <c r="E369" s="609"/>
      <c r="F369" s="609"/>
      <c r="G369" s="609"/>
      <c r="H369" s="360">
        <f>+'видатки по розпорядниках'!M369</f>
        <v>0</v>
      </c>
      <c r="I369" s="162">
        <f t="shared" si="5"/>
        <v>0</v>
      </c>
      <c r="J369" s="54"/>
      <c r="K369" s="71"/>
      <c r="L369" s="71"/>
      <c r="M369" s="71"/>
      <c r="N369" s="71"/>
      <c r="O369" s="5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75.75" hidden="1" customHeight="1" outlineLevel="1">
      <c r="A370" s="570"/>
      <c r="B370" s="572">
        <v>250381</v>
      </c>
      <c r="C370" s="182" t="s">
        <v>494</v>
      </c>
      <c r="D370" s="182"/>
      <c r="E370" s="182"/>
      <c r="F370" s="182"/>
      <c r="G370" s="182"/>
      <c r="H370" s="360">
        <f>+'видатки по розпорядниках'!M370</f>
        <v>0</v>
      </c>
      <c r="I370" s="162">
        <f t="shared" si="5"/>
        <v>0</v>
      </c>
      <c r="J370" s="54"/>
      <c r="K370" s="71"/>
      <c r="L370" s="71"/>
      <c r="M370" s="71"/>
      <c r="N370" s="71"/>
      <c r="O370" s="5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24" hidden="1" customHeight="1" outlineLevel="1">
      <c r="A371" s="570"/>
      <c r="B371" s="603"/>
      <c r="C371" s="171" t="s">
        <v>443</v>
      </c>
      <c r="D371" s="171"/>
      <c r="E371" s="171"/>
      <c r="F371" s="171"/>
      <c r="G371" s="171"/>
      <c r="H371" s="360">
        <f>+'видатки по розпорядниках'!M371</f>
        <v>0</v>
      </c>
      <c r="I371" s="162">
        <f t="shared" si="5"/>
        <v>0</v>
      </c>
      <c r="J371" s="54"/>
      <c r="K371" s="71"/>
      <c r="L371" s="71"/>
      <c r="M371" s="71"/>
      <c r="N371" s="71"/>
      <c r="O371" s="5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22.15" hidden="1" customHeight="1" outlineLevel="1">
      <c r="A372" s="570"/>
      <c r="B372" s="603"/>
      <c r="C372" s="171" t="s">
        <v>1062</v>
      </c>
      <c r="D372" s="171"/>
      <c r="E372" s="171"/>
      <c r="F372" s="171"/>
      <c r="G372" s="171"/>
      <c r="H372" s="360">
        <f>+'видатки по розпорядниках'!M372</f>
        <v>0</v>
      </c>
      <c r="I372" s="162">
        <f t="shared" si="5"/>
        <v>0</v>
      </c>
      <c r="J372" s="54"/>
      <c r="K372" s="71"/>
      <c r="L372" s="71"/>
      <c r="M372" s="71"/>
      <c r="N372" s="71"/>
      <c r="O372" s="5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20.45" hidden="1" customHeight="1" outlineLevel="1">
      <c r="A373" s="570"/>
      <c r="B373" s="603"/>
      <c r="C373" s="171" t="s">
        <v>1063</v>
      </c>
      <c r="D373" s="171"/>
      <c r="E373" s="171"/>
      <c r="F373" s="171"/>
      <c r="G373" s="171"/>
      <c r="H373" s="360">
        <f>+'видатки по розпорядниках'!M373</f>
        <v>0</v>
      </c>
      <c r="I373" s="162">
        <f t="shared" si="5"/>
        <v>0</v>
      </c>
      <c r="J373" s="54"/>
      <c r="K373" s="71"/>
      <c r="L373" s="71"/>
      <c r="M373" s="71"/>
      <c r="N373" s="71"/>
      <c r="O373" s="5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22.9" hidden="1" customHeight="1" outlineLevel="1">
      <c r="A374" s="570"/>
      <c r="B374" s="613"/>
      <c r="C374" s="170" t="s">
        <v>512</v>
      </c>
      <c r="D374" s="170"/>
      <c r="E374" s="170"/>
      <c r="F374" s="170"/>
      <c r="G374" s="170"/>
      <c r="H374" s="360">
        <f>+'видатки по розпорядниках'!M374</f>
        <v>0</v>
      </c>
      <c r="I374" s="162">
        <f t="shared" si="5"/>
        <v>0</v>
      </c>
      <c r="J374" s="54"/>
      <c r="K374" s="71"/>
      <c r="L374" s="71"/>
      <c r="M374" s="71"/>
      <c r="N374" s="71"/>
      <c r="O374" s="5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50.45" hidden="1" customHeight="1" outlineLevel="1">
      <c r="A375" s="570"/>
      <c r="B375" s="613"/>
      <c r="C375" s="170" t="s">
        <v>443</v>
      </c>
      <c r="D375" s="170"/>
      <c r="E375" s="170"/>
      <c r="F375" s="170"/>
      <c r="G375" s="170"/>
      <c r="H375" s="360">
        <f>+'видатки по розпорядниках'!M375</f>
        <v>0</v>
      </c>
      <c r="I375" s="162">
        <f t="shared" si="5"/>
        <v>0</v>
      </c>
      <c r="J375" s="54"/>
      <c r="K375" s="71"/>
      <c r="L375" s="71"/>
      <c r="M375" s="71"/>
      <c r="N375" s="71"/>
      <c r="O375" s="5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20.45" hidden="1" customHeight="1" outlineLevel="1">
      <c r="A376" s="570"/>
      <c r="B376" s="603"/>
      <c r="C376" s="171" t="s">
        <v>1062</v>
      </c>
      <c r="D376" s="171"/>
      <c r="E376" s="171"/>
      <c r="F376" s="171"/>
      <c r="G376" s="171"/>
      <c r="H376" s="360">
        <f>+'видатки по розпорядниках'!M376</f>
        <v>0</v>
      </c>
      <c r="I376" s="162">
        <f t="shared" si="5"/>
        <v>0</v>
      </c>
      <c r="J376" s="54"/>
      <c r="K376" s="71"/>
      <c r="L376" s="71"/>
      <c r="M376" s="71"/>
      <c r="N376" s="71"/>
      <c r="O376" s="5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20.45" hidden="1" customHeight="1" outlineLevel="1">
      <c r="A377" s="570"/>
      <c r="B377" s="613"/>
      <c r="C377" s="170" t="s">
        <v>1063</v>
      </c>
      <c r="D377" s="170"/>
      <c r="E377" s="170"/>
      <c r="F377" s="170"/>
      <c r="G377" s="170"/>
      <c r="H377" s="360">
        <f>+'видатки по розпорядниках'!M377</f>
        <v>0</v>
      </c>
      <c r="I377" s="162">
        <f t="shared" si="5"/>
        <v>0</v>
      </c>
      <c r="J377" s="54"/>
      <c r="K377" s="71"/>
      <c r="L377" s="71"/>
      <c r="M377" s="71"/>
      <c r="N377" s="71"/>
      <c r="O377" s="5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64.150000000000006" customHeight="1" outlineLevel="1">
      <c r="A378" s="359" t="s">
        <v>965</v>
      </c>
      <c r="B378" s="359" t="s">
        <v>1502</v>
      </c>
      <c r="C378" s="360" t="s">
        <v>489</v>
      </c>
      <c r="D378" s="360"/>
      <c r="E378" s="360"/>
      <c r="F378" s="360"/>
      <c r="G378" s="360"/>
      <c r="H378" s="360">
        <f>+'видатки по розпорядниках'!M378</f>
        <v>800000</v>
      </c>
      <c r="I378" s="162">
        <f t="shared" si="5"/>
        <v>800000</v>
      </c>
      <c r="J378" s="54"/>
      <c r="K378" s="71"/>
      <c r="L378" s="71"/>
      <c r="M378" s="71"/>
      <c r="N378" s="71"/>
      <c r="O378" s="5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33.6" hidden="1" customHeight="1" outlineLevel="1">
      <c r="A379" s="569" t="s">
        <v>1357</v>
      </c>
      <c r="B379" s="569" t="s">
        <v>539</v>
      </c>
      <c r="C379" s="364" t="s">
        <v>1137</v>
      </c>
      <c r="D379" s="364"/>
      <c r="E379" s="364"/>
      <c r="F379" s="364"/>
      <c r="G379" s="364"/>
      <c r="H379" s="360">
        <f>+'видатки по розпорядниках'!M379</f>
        <v>0</v>
      </c>
      <c r="I379" s="162">
        <f t="shared" si="5"/>
        <v>0</v>
      </c>
      <c r="J379" s="54"/>
      <c r="K379" s="71"/>
      <c r="L379" s="71"/>
      <c r="M379" s="71"/>
      <c r="N379" s="71"/>
      <c r="O379" s="5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27" hidden="1" customHeight="1" outlineLevel="1">
      <c r="A380" s="569" t="s">
        <v>1358</v>
      </c>
      <c r="B380" s="569" t="s">
        <v>77</v>
      </c>
      <c r="C380" s="364" t="s">
        <v>328</v>
      </c>
      <c r="D380" s="364"/>
      <c r="E380" s="364"/>
      <c r="F380" s="364"/>
      <c r="G380" s="364"/>
      <c r="H380" s="360">
        <f>+'видатки по розпорядниках'!M380</f>
        <v>0</v>
      </c>
      <c r="I380" s="162">
        <f t="shared" si="5"/>
        <v>0</v>
      </c>
      <c r="J380" s="54"/>
      <c r="K380" s="71"/>
      <c r="L380" s="71"/>
      <c r="M380" s="71"/>
      <c r="N380" s="71"/>
      <c r="O380" s="5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45.6" hidden="1" customHeight="1" outlineLevel="1">
      <c r="A381" s="569" t="s">
        <v>1359</v>
      </c>
      <c r="B381" s="569">
        <v>110103</v>
      </c>
      <c r="C381" s="364" t="s">
        <v>810</v>
      </c>
      <c r="D381" s="364"/>
      <c r="E381" s="364"/>
      <c r="F381" s="364"/>
      <c r="G381" s="364"/>
      <c r="H381" s="360">
        <f>+'видатки по розпорядниках'!M381</f>
        <v>0</v>
      </c>
      <c r="I381" s="162">
        <f t="shared" si="5"/>
        <v>0</v>
      </c>
      <c r="J381" s="54"/>
      <c r="K381" s="71"/>
      <c r="L381" s="71"/>
      <c r="M381" s="71"/>
      <c r="N381" s="71"/>
      <c r="O381" s="5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51.6" hidden="1" customHeight="1" outlineLevel="1">
      <c r="A382" s="569" t="s">
        <v>152</v>
      </c>
      <c r="B382" s="569" t="s">
        <v>887</v>
      </c>
      <c r="C382" s="364" t="s">
        <v>1629</v>
      </c>
      <c r="D382" s="364"/>
      <c r="E382" s="364"/>
      <c r="F382" s="364"/>
      <c r="G382" s="364"/>
      <c r="H382" s="360">
        <f>+'видатки по розпорядниках'!M382</f>
        <v>0</v>
      </c>
      <c r="I382" s="162">
        <f t="shared" si="5"/>
        <v>0</v>
      </c>
      <c r="J382" s="54"/>
      <c r="K382" s="71"/>
      <c r="L382" s="71"/>
      <c r="M382" s="71"/>
      <c r="N382" s="71"/>
      <c r="O382" s="5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21" hidden="1" customHeight="1" outlineLevel="1">
      <c r="A383" s="569" t="s">
        <v>1360</v>
      </c>
      <c r="B383" s="569">
        <v>110201</v>
      </c>
      <c r="C383" s="364" t="s">
        <v>389</v>
      </c>
      <c r="D383" s="364"/>
      <c r="E383" s="364"/>
      <c r="F383" s="364"/>
      <c r="G383" s="364"/>
      <c r="H383" s="360">
        <f>+'видатки по розпорядниках'!M383</f>
        <v>0</v>
      </c>
      <c r="I383" s="162">
        <f t="shared" si="5"/>
        <v>0</v>
      </c>
      <c r="J383" s="54"/>
      <c r="K383" s="71"/>
      <c r="L383" s="71"/>
      <c r="M383" s="71"/>
      <c r="N383" s="71"/>
      <c r="O383" s="5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8.600000000000001" hidden="1" customHeight="1" outlineLevel="1">
      <c r="A384" s="569" t="s">
        <v>1361</v>
      </c>
      <c r="B384" s="569">
        <v>110202</v>
      </c>
      <c r="C384" s="364" t="s">
        <v>329</v>
      </c>
      <c r="D384" s="364"/>
      <c r="E384" s="364"/>
      <c r="F384" s="364"/>
      <c r="G384" s="364"/>
      <c r="H384" s="360">
        <f>+'видатки по розпорядниках'!M384</f>
        <v>0</v>
      </c>
      <c r="I384" s="162">
        <f t="shared" si="5"/>
        <v>0</v>
      </c>
      <c r="J384" s="54"/>
      <c r="K384" s="71"/>
      <c r="L384" s="71"/>
      <c r="M384" s="71"/>
      <c r="N384" s="71"/>
      <c r="O384" s="5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8.600000000000001" hidden="1" customHeight="1" outlineLevel="1">
      <c r="A385" s="569" t="s">
        <v>1362</v>
      </c>
      <c r="B385" s="569">
        <v>110203</v>
      </c>
      <c r="C385" s="364" t="s">
        <v>330</v>
      </c>
      <c r="D385" s="364"/>
      <c r="E385" s="364"/>
      <c r="F385" s="364"/>
      <c r="G385" s="364"/>
      <c r="H385" s="360">
        <f>+'видатки по розпорядниках'!M385</f>
        <v>0</v>
      </c>
      <c r="I385" s="162">
        <f t="shared" si="5"/>
        <v>0</v>
      </c>
      <c r="J385" s="54"/>
      <c r="K385" s="71"/>
      <c r="L385" s="71"/>
      <c r="M385" s="71"/>
      <c r="N385" s="71"/>
      <c r="O385" s="5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21" hidden="1" customHeight="1" outlineLevel="1">
      <c r="A386" s="569" t="s">
        <v>1363</v>
      </c>
      <c r="B386" s="569">
        <v>110300</v>
      </c>
      <c r="C386" s="364" t="s">
        <v>331</v>
      </c>
      <c r="D386" s="364"/>
      <c r="E386" s="364"/>
      <c r="F386" s="364"/>
      <c r="G386" s="364"/>
      <c r="H386" s="360">
        <f>+'видатки по розпорядниках'!M386</f>
        <v>0</v>
      </c>
      <c r="I386" s="162">
        <f t="shared" si="5"/>
        <v>0</v>
      </c>
      <c r="J386" s="54"/>
      <c r="K386" s="71"/>
      <c r="L386" s="71"/>
      <c r="M386" s="71"/>
      <c r="N386" s="71"/>
      <c r="O386" s="5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32.450000000000003" hidden="1" customHeight="1" outlineLevel="1">
      <c r="A387" s="569" t="s">
        <v>1400</v>
      </c>
      <c r="B387" s="569" t="s">
        <v>1058</v>
      </c>
      <c r="C387" s="364" t="s">
        <v>1201</v>
      </c>
      <c r="D387" s="364"/>
      <c r="E387" s="364"/>
      <c r="F387" s="364"/>
      <c r="G387" s="364"/>
      <c r="H387" s="360">
        <f>+'видатки по розпорядниках'!M387</f>
        <v>0</v>
      </c>
      <c r="I387" s="162">
        <f t="shared" si="5"/>
        <v>0</v>
      </c>
      <c r="J387" s="54"/>
      <c r="K387" s="71"/>
      <c r="L387" s="71"/>
      <c r="M387" s="71"/>
      <c r="N387" s="71"/>
      <c r="O387" s="5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8.600000000000001" hidden="1" customHeight="1" outlineLevel="1">
      <c r="A388" s="569"/>
      <c r="B388" s="569"/>
      <c r="C388" s="364" t="s">
        <v>529</v>
      </c>
      <c r="D388" s="364"/>
      <c r="E388" s="364"/>
      <c r="F388" s="364"/>
      <c r="G388" s="364"/>
      <c r="H388" s="360">
        <f>+'видатки по розпорядниках'!M388</f>
        <v>0</v>
      </c>
      <c r="I388" s="162">
        <f t="shared" si="5"/>
        <v>0</v>
      </c>
      <c r="J388" s="54"/>
      <c r="K388" s="71"/>
      <c r="L388" s="71"/>
      <c r="M388" s="71"/>
      <c r="N388" s="71"/>
      <c r="O388" s="5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53.45" hidden="1" customHeight="1" outlineLevel="1">
      <c r="A389" s="569"/>
      <c r="B389" s="569"/>
      <c r="C389" s="364" t="s">
        <v>429</v>
      </c>
      <c r="D389" s="364"/>
      <c r="E389" s="364"/>
      <c r="F389" s="364"/>
      <c r="G389" s="364"/>
      <c r="H389" s="360">
        <f>+'видатки по розпорядниках'!M389</f>
        <v>0</v>
      </c>
      <c r="I389" s="162">
        <f t="shared" si="5"/>
        <v>0</v>
      </c>
      <c r="J389" s="54"/>
      <c r="K389" s="71"/>
      <c r="L389" s="71"/>
      <c r="M389" s="71"/>
      <c r="N389" s="71"/>
      <c r="O389" s="5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29.45" hidden="1" customHeight="1" outlineLevel="1">
      <c r="A390" s="569"/>
      <c r="B390" s="550" t="s">
        <v>1508</v>
      </c>
      <c r="C390" s="557" t="s">
        <v>532</v>
      </c>
      <c r="D390" s="557"/>
      <c r="E390" s="557"/>
      <c r="F390" s="557"/>
      <c r="G390" s="557"/>
      <c r="H390" s="360">
        <f>+'видатки по розпорядниках'!M390</f>
        <v>0</v>
      </c>
      <c r="I390" s="162">
        <f t="shared" si="5"/>
        <v>0</v>
      </c>
      <c r="J390" s="54"/>
      <c r="K390" s="71"/>
      <c r="L390" s="71"/>
      <c r="M390" s="71"/>
      <c r="N390" s="71"/>
      <c r="O390" s="5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52.15" customHeight="1" outlineLevel="1">
      <c r="A391" s="1418" t="s">
        <v>1243</v>
      </c>
      <c r="B391" s="1419"/>
      <c r="C391" s="209" t="s">
        <v>935</v>
      </c>
      <c r="D391" s="1351" t="s">
        <v>114</v>
      </c>
      <c r="E391" s="209"/>
      <c r="F391" s="209"/>
      <c r="G391" s="209"/>
      <c r="H391" s="360">
        <f>+'видатки по розпорядниках'!M391</f>
        <v>800000</v>
      </c>
      <c r="I391" s="162">
        <f t="shared" si="5"/>
        <v>800000</v>
      </c>
      <c r="J391" s="54"/>
      <c r="K391" s="71"/>
      <c r="L391" s="71"/>
      <c r="M391" s="71"/>
      <c r="N391" s="71"/>
      <c r="O391" s="5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35.450000000000003" hidden="1" customHeight="1" outlineLevel="1">
      <c r="A392" s="569"/>
      <c r="B392" s="567"/>
      <c r="C392" s="170" t="s">
        <v>518</v>
      </c>
      <c r="D392" s="170"/>
      <c r="E392" s="170"/>
      <c r="F392" s="170"/>
      <c r="G392" s="170"/>
      <c r="H392" s="360">
        <f>+'видатки по розпорядниках'!M393</f>
        <v>0</v>
      </c>
      <c r="I392" s="162">
        <f t="shared" si="5"/>
        <v>0</v>
      </c>
      <c r="J392" s="54"/>
      <c r="K392" s="71"/>
      <c r="L392" s="71"/>
      <c r="M392" s="71"/>
      <c r="N392" s="71"/>
      <c r="O392" s="5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51.6" hidden="1" customHeight="1" outlineLevel="1">
      <c r="A393" s="569" t="s">
        <v>1365</v>
      </c>
      <c r="B393" s="569" t="s">
        <v>500</v>
      </c>
      <c r="C393" s="364" t="s">
        <v>1067</v>
      </c>
      <c r="D393" s="364"/>
      <c r="E393" s="364"/>
      <c r="F393" s="364"/>
      <c r="G393" s="364"/>
      <c r="H393" s="360">
        <f>+'видатки по розпорядниках'!M394</f>
        <v>0</v>
      </c>
      <c r="I393" s="162">
        <f t="shared" si="5"/>
        <v>0</v>
      </c>
      <c r="J393" s="54"/>
      <c r="K393" s="71"/>
      <c r="L393" s="71"/>
      <c r="M393" s="71"/>
      <c r="N393" s="71"/>
      <c r="O393" s="5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34.9" hidden="1" customHeight="1" outlineLevel="1">
      <c r="A394" s="569"/>
      <c r="B394" s="550" t="s">
        <v>1512</v>
      </c>
      <c r="C394" s="213" t="s">
        <v>49</v>
      </c>
      <c r="D394" s="213"/>
      <c r="E394" s="213"/>
      <c r="F394" s="213"/>
      <c r="G394" s="213"/>
      <c r="H394" s="360">
        <f>+'видатки по розпорядниках'!M395</f>
        <v>0</v>
      </c>
      <c r="I394" s="162">
        <f t="shared" si="5"/>
        <v>0</v>
      </c>
      <c r="J394" s="54"/>
      <c r="K394" s="71"/>
      <c r="L394" s="71"/>
      <c r="M394" s="71"/>
      <c r="N394" s="71"/>
      <c r="O394" s="5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34.9" hidden="1" customHeight="1" outlineLevel="1">
      <c r="A395" s="569"/>
      <c r="B395" s="550" t="s">
        <v>67</v>
      </c>
      <c r="C395" s="213" t="s">
        <v>1249</v>
      </c>
      <c r="D395" s="213"/>
      <c r="E395" s="213"/>
      <c r="F395" s="213"/>
      <c r="G395" s="213"/>
      <c r="H395" s="360">
        <f>+'видатки по розпорядниках'!M396</f>
        <v>0</v>
      </c>
      <c r="I395" s="162">
        <f t="shared" si="5"/>
        <v>0</v>
      </c>
      <c r="J395" s="54"/>
      <c r="K395" s="71"/>
      <c r="L395" s="71"/>
      <c r="M395" s="71"/>
      <c r="N395" s="71"/>
      <c r="O395" s="5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51.6" hidden="1" customHeight="1" outlineLevel="1">
      <c r="A396" s="569"/>
      <c r="B396" s="567" t="s">
        <v>893</v>
      </c>
      <c r="C396" s="445" t="s">
        <v>1135</v>
      </c>
      <c r="D396" s="445"/>
      <c r="E396" s="445"/>
      <c r="F396" s="445"/>
      <c r="G396" s="445"/>
      <c r="H396" s="360">
        <f>+'видатки по розпорядниках'!M397</f>
        <v>0</v>
      </c>
      <c r="I396" s="162">
        <f t="shared" si="5"/>
        <v>0</v>
      </c>
      <c r="J396" s="54"/>
      <c r="K396" s="71"/>
      <c r="L396" s="71"/>
      <c r="M396" s="71"/>
      <c r="N396" s="71"/>
      <c r="O396" s="5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35.450000000000003" customHeight="1" collapsed="1">
      <c r="A397" s="359" t="s">
        <v>1170</v>
      </c>
      <c r="B397" s="359" t="s">
        <v>1300</v>
      </c>
      <c r="C397" s="360" t="s">
        <v>1168</v>
      </c>
      <c r="D397" s="360"/>
      <c r="E397" s="360"/>
      <c r="F397" s="360"/>
      <c r="G397" s="360"/>
      <c r="H397" s="503">
        <f>+'видатки по розпорядниках'!M398</f>
        <v>1005000</v>
      </c>
      <c r="I397" s="162">
        <f t="shared" si="5"/>
        <v>1005000</v>
      </c>
      <c r="K397" s="71" t="e">
        <f>SUM(#REF!)</f>
        <v>#REF!</v>
      </c>
      <c r="L397" s="71"/>
      <c r="M397" s="71"/>
      <c r="N397" s="71"/>
    </row>
    <row r="398" spans="1:58" ht="15.6" hidden="1" customHeight="1">
      <c r="A398" s="570"/>
      <c r="B398" s="570"/>
      <c r="C398" s="171"/>
      <c r="D398" s="171"/>
      <c r="E398" s="171"/>
      <c r="F398" s="171"/>
      <c r="G398" s="171"/>
      <c r="H398" s="360">
        <f>+'видатки по розпорядниках'!M399</f>
        <v>0</v>
      </c>
      <c r="I398" s="162">
        <f t="shared" si="5"/>
        <v>0</v>
      </c>
      <c r="J398" s="2"/>
      <c r="K398" s="7"/>
      <c r="L398" s="7"/>
      <c r="M398" s="7"/>
      <c r="N398" s="7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36.6" customHeight="1">
      <c r="A399" s="1416" t="s">
        <v>1603</v>
      </c>
      <c r="B399" s="1416"/>
      <c r="C399" s="364" t="s">
        <v>480</v>
      </c>
      <c r="D399" s="1351" t="s">
        <v>828</v>
      </c>
      <c r="E399" s="364"/>
      <c r="F399" s="364"/>
      <c r="G399" s="364"/>
      <c r="H399" s="360">
        <f>+'видатки по розпорядниках'!M400</f>
        <v>15000</v>
      </c>
      <c r="I399" s="162">
        <f t="shared" si="5"/>
        <v>15000</v>
      </c>
      <c r="J399" s="2"/>
      <c r="K399" s="132"/>
      <c r="L399" s="132"/>
      <c r="M399" s="132"/>
      <c r="N399" s="13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33.75" hidden="1" customHeight="1">
      <c r="A400" s="1349" t="s">
        <v>1357</v>
      </c>
      <c r="B400" s="569" t="s">
        <v>539</v>
      </c>
      <c r="C400" s="364" t="s">
        <v>1137</v>
      </c>
      <c r="D400" s="364"/>
      <c r="E400" s="364"/>
      <c r="F400" s="364"/>
      <c r="G400" s="364"/>
      <c r="H400" s="360">
        <f>+'видатки по розпорядниках'!M401</f>
        <v>0</v>
      </c>
      <c r="I400" s="162">
        <f t="shared" si="5"/>
        <v>0</v>
      </c>
      <c r="K400" s="71"/>
      <c r="L400" s="71"/>
      <c r="M400" s="71"/>
      <c r="N400" s="71"/>
    </row>
    <row r="401" spans="1:14" ht="119.25" hidden="1" customHeight="1">
      <c r="A401" s="570"/>
      <c r="B401" s="569" t="s">
        <v>1028</v>
      </c>
      <c r="C401" s="364" t="s">
        <v>1027</v>
      </c>
      <c r="D401" s="364"/>
      <c r="E401" s="364"/>
      <c r="F401" s="364"/>
      <c r="G401" s="364"/>
      <c r="H401" s="360">
        <f>+'видатки по розпорядниках'!M402</f>
        <v>0</v>
      </c>
      <c r="I401" s="162">
        <f t="shared" si="5"/>
        <v>0</v>
      </c>
      <c r="K401" s="71"/>
      <c r="L401" s="71"/>
      <c r="M401" s="71"/>
      <c r="N401" s="71"/>
    </row>
    <row r="402" spans="1:14" ht="21" hidden="1" customHeight="1">
      <c r="A402" s="570"/>
      <c r="B402" s="567" t="s">
        <v>538</v>
      </c>
      <c r="C402" s="593" t="s">
        <v>1049</v>
      </c>
      <c r="D402" s="593"/>
      <c r="E402" s="593"/>
      <c r="F402" s="593"/>
      <c r="G402" s="593"/>
      <c r="H402" s="360">
        <f>+'видатки по розпорядниках'!M403</f>
        <v>0</v>
      </c>
      <c r="I402" s="162">
        <f t="shared" si="5"/>
        <v>0</v>
      </c>
      <c r="K402" s="71"/>
      <c r="L402" s="71"/>
      <c r="M402" s="71"/>
      <c r="N402" s="71"/>
    </row>
    <row r="403" spans="1:14" ht="21.6" hidden="1" customHeight="1">
      <c r="A403" s="1349" t="s">
        <v>1358</v>
      </c>
      <c r="B403" s="569">
        <v>110102</v>
      </c>
      <c r="C403" s="364" t="s">
        <v>328</v>
      </c>
      <c r="D403" s="364"/>
      <c r="E403" s="364"/>
      <c r="F403" s="364"/>
      <c r="G403" s="364"/>
      <c r="H403" s="360">
        <f>+'видатки по розпорядниках'!M404</f>
        <v>0</v>
      </c>
      <c r="I403" s="162">
        <f t="shared" si="5"/>
        <v>0</v>
      </c>
      <c r="K403" s="71"/>
      <c r="L403" s="71"/>
      <c r="M403" s="71"/>
      <c r="N403" s="71"/>
    </row>
    <row r="404" spans="1:14" ht="34.15" hidden="1" customHeight="1">
      <c r="A404" s="570"/>
      <c r="B404" s="567"/>
      <c r="C404" s="614" t="s">
        <v>969</v>
      </c>
      <c r="D404" s="614"/>
      <c r="E404" s="614"/>
      <c r="F404" s="614"/>
      <c r="G404" s="614"/>
      <c r="H404" s="360">
        <f>+'видатки по розпорядниках'!M405</f>
        <v>0</v>
      </c>
      <c r="I404" s="162">
        <f t="shared" si="5"/>
        <v>0</v>
      </c>
      <c r="K404" s="71"/>
      <c r="L404" s="71"/>
      <c r="M404" s="71"/>
      <c r="N404" s="71"/>
    </row>
    <row r="405" spans="1:14" ht="45" hidden="1" customHeight="1">
      <c r="A405" s="1349" t="s">
        <v>1359</v>
      </c>
      <c r="B405" s="569">
        <v>110103</v>
      </c>
      <c r="C405" s="364" t="s">
        <v>810</v>
      </c>
      <c r="D405" s="364"/>
      <c r="E405" s="364"/>
      <c r="F405" s="364"/>
      <c r="G405" s="364"/>
      <c r="H405" s="360">
        <f>+'видатки по розпорядниках'!M406</f>
        <v>0</v>
      </c>
      <c r="I405" s="162">
        <f t="shared" si="5"/>
        <v>0</v>
      </c>
      <c r="K405" s="71"/>
      <c r="L405" s="71"/>
      <c r="M405" s="71"/>
      <c r="N405" s="71"/>
    </row>
    <row r="406" spans="1:14" ht="45" hidden="1" customHeight="1">
      <c r="A406" s="570"/>
      <c r="B406" s="567"/>
      <c r="C406" s="364" t="s">
        <v>144</v>
      </c>
      <c r="D406" s="364"/>
      <c r="E406" s="364"/>
      <c r="F406" s="364"/>
      <c r="G406" s="364"/>
      <c r="H406" s="360">
        <f>+'видатки по розпорядниках'!M407</f>
        <v>0</v>
      </c>
      <c r="I406" s="162">
        <f t="shared" ref="I406:I469" si="6">+H406</f>
        <v>0</v>
      </c>
      <c r="K406" s="71"/>
      <c r="L406" s="71"/>
      <c r="M406" s="71"/>
      <c r="N406" s="71"/>
    </row>
    <row r="407" spans="1:14" ht="50.45" hidden="1" customHeight="1">
      <c r="A407" s="570"/>
      <c r="B407" s="567"/>
      <c r="C407" s="614" t="s">
        <v>179</v>
      </c>
      <c r="D407" s="614"/>
      <c r="E407" s="614"/>
      <c r="F407" s="614"/>
      <c r="G407" s="614"/>
      <c r="H407" s="360">
        <f>+'видатки по розпорядниках'!M408</f>
        <v>0</v>
      </c>
      <c r="I407" s="162">
        <f t="shared" si="6"/>
        <v>0</v>
      </c>
      <c r="K407" s="71"/>
      <c r="L407" s="71"/>
      <c r="M407" s="71"/>
      <c r="N407" s="71"/>
    </row>
    <row r="408" spans="1:14" ht="31.15" hidden="1" customHeight="1">
      <c r="A408" s="570"/>
      <c r="B408" s="567"/>
      <c r="C408" s="170" t="s">
        <v>878</v>
      </c>
      <c r="D408" s="170"/>
      <c r="E408" s="170"/>
      <c r="F408" s="170"/>
      <c r="G408" s="170"/>
      <c r="H408" s="360">
        <f>+'видатки по розпорядниках'!M409</f>
        <v>0</v>
      </c>
      <c r="I408" s="162">
        <f t="shared" si="6"/>
        <v>0</v>
      </c>
      <c r="K408" s="71"/>
      <c r="L408" s="71"/>
      <c r="M408" s="71"/>
      <c r="N408" s="71"/>
    </row>
    <row r="409" spans="1:14" ht="31.15" hidden="1" customHeight="1">
      <c r="A409" s="570"/>
      <c r="B409" s="567"/>
      <c r="C409" s="170" t="s">
        <v>180</v>
      </c>
      <c r="D409" s="170"/>
      <c r="E409" s="170"/>
      <c r="F409" s="170"/>
      <c r="G409" s="170"/>
      <c r="H409" s="360">
        <f>+'видатки по розпорядниках'!M410</f>
        <v>0</v>
      </c>
      <c r="I409" s="162">
        <f t="shared" si="6"/>
        <v>0</v>
      </c>
      <c r="K409" s="71"/>
      <c r="L409" s="71"/>
      <c r="M409" s="71"/>
      <c r="N409" s="71"/>
    </row>
    <row r="410" spans="1:14" ht="34.15" hidden="1" customHeight="1">
      <c r="A410" s="570"/>
      <c r="B410" s="567"/>
      <c r="C410" s="614" t="s">
        <v>720</v>
      </c>
      <c r="D410" s="614"/>
      <c r="E410" s="614"/>
      <c r="F410" s="614"/>
      <c r="G410" s="614"/>
      <c r="H410" s="360">
        <f>+'видатки по розпорядниках'!M411</f>
        <v>0</v>
      </c>
      <c r="I410" s="162">
        <f t="shared" si="6"/>
        <v>0</v>
      </c>
      <c r="K410" s="71"/>
      <c r="L410" s="71"/>
      <c r="M410" s="71"/>
      <c r="N410" s="71"/>
    </row>
    <row r="411" spans="1:14" ht="50.45" hidden="1" customHeight="1">
      <c r="A411" s="550" t="s">
        <v>152</v>
      </c>
      <c r="B411" s="569" t="s">
        <v>887</v>
      </c>
      <c r="C411" s="197" t="s">
        <v>1629</v>
      </c>
      <c r="D411" s="197"/>
      <c r="E411" s="197"/>
      <c r="F411" s="197"/>
      <c r="G411" s="197"/>
      <c r="H411" s="360">
        <f>+'видатки по розпорядниках'!M412</f>
        <v>0</v>
      </c>
      <c r="I411" s="162">
        <f t="shared" si="6"/>
        <v>0</v>
      </c>
      <c r="K411" s="71"/>
      <c r="L411" s="71"/>
      <c r="M411" s="71"/>
      <c r="N411" s="71"/>
    </row>
    <row r="412" spans="1:14" ht="30" hidden="1">
      <c r="A412" s="570"/>
      <c r="B412" s="569" t="s">
        <v>339</v>
      </c>
      <c r="C412" s="364" t="s">
        <v>338</v>
      </c>
      <c r="D412" s="364"/>
      <c r="E412" s="364"/>
      <c r="F412" s="364"/>
      <c r="G412" s="364"/>
      <c r="H412" s="360">
        <f>+'видатки по розпорядниках'!M413</f>
        <v>0</v>
      </c>
      <c r="I412" s="162">
        <f t="shared" si="6"/>
        <v>0</v>
      </c>
      <c r="K412" s="71"/>
      <c r="L412" s="71"/>
      <c r="M412" s="71"/>
      <c r="N412" s="71"/>
    </row>
    <row r="413" spans="1:14" ht="26.45" customHeight="1">
      <c r="A413" s="1416">
        <v>110201</v>
      </c>
      <c r="B413" s="1416"/>
      <c r="C413" s="364" t="s">
        <v>389</v>
      </c>
      <c r="D413" s="1351" t="s">
        <v>828</v>
      </c>
      <c r="E413" s="364"/>
      <c r="F413" s="364"/>
      <c r="G413" s="364"/>
      <c r="H413" s="360">
        <f>+'видатки по розпорядниках'!M414</f>
        <v>900000</v>
      </c>
      <c r="I413" s="162">
        <f t="shared" si="6"/>
        <v>900000</v>
      </c>
      <c r="K413" s="71"/>
      <c r="L413" s="71"/>
      <c r="M413" s="71"/>
      <c r="N413" s="71"/>
    </row>
    <row r="414" spans="1:14" ht="41.45" hidden="1" customHeight="1">
      <c r="A414" s="570"/>
      <c r="B414" s="591"/>
      <c r="C414" s="177" t="s">
        <v>54</v>
      </c>
      <c r="D414" s="177"/>
      <c r="E414" s="177"/>
      <c r="F414" s="177"/>
      <c r="G414" s="177"/>
      <c r="H414" s="360">
        <f>+'видатки по розпорядниках'!M415</f>
        <v>0</v>
      </c>
      <c r="I414" s="162">
        <f t="shared" si="6"/>
        <v>0</v>
      </c>
      <c r="K414" s="71"/>
      <c r="L414" s="71"/>
      <c r="M414" s="71"/>
      <c r="N414" s="71"/>
    </row>
    <row r="415" spans="1:14" ht="27" hidden="1" customHeight="1">
      <c r="A415" s="550" t="s">
        <v>1361</v>
      </c>
      <c r="B415" s="569">
        <v>110202</v>
      </c>
      <c r="C415" s="364" t="s">
        <v>329</v>
      </c>
      <c r="D415" s="364"/>
      <c r="E415" s="364"/>
      <c r="F415" s="364"/>
      <c r="G415" s="364"/>
      <c r="H415" s="360">
        <f>+'видатки по розпорядниках'!M416</f>
        <v>0</v>
      </c>
      <c r="I415" s="162">
        <f t="shared" si="6"/>
        <v>0</v>
      </c>
      <c r="K415" s="71"/>
      <c r="L415" s="71"/>
      <c r="M415" s="71"/>
      <c r="N415" s="71"/>
    </row>
    <row r="416" spans="1:14" ht="18" hidden="1" customHeight="1">
      <c r="A416" s="570"/>
      <c r="B416" s="567"/>
      <c r="C416" s="170" t="s">
        <v>1237</v>
      </c>
      <c r="D416" s="170"/>
      <c r="E416" s="170"/>
      <c r="F416" s="170"/>
      <c r="G416" s="170"/>
      <c r="H416" s="360">
        <f>+'видатки по розпорядниках'!M417</f>
        <v>0</v>
      </c>
      <c r="I416" s="162">
        <f t="shared" si="6"/>
        <v>0</v>
      </c>
      <c r="K416" s="71"/>
      <c r="L416" s="71"/>
      <c r="M416" s="71"/>
      <c r="N416" s="71"/>
    </row>
    <row r="417" spans="1:58" ht="35.450000000000003" hidden="1" customHeight="1">
      <c r="A417" s="570"/>
      <c r="B417" s="567"/>
      <c r="C417" s="170" t="s">
        <v>628</v>
      </c>
      <c r="D417" s="170"/>
      <c r="E417" s="170"/>
      <c r="F417" s="170"/>
      <c r="G417" s="170"/>
      <c r="H417" s="360">
        <f>+'видатки по розпорядниках'!M418</f>
        <v>0</v>
      </c>
      <c r="I417" s="162">
        <f t="shared" si="6"/>
        <v>0</v>
      </c>
      <c r="K417" s="71"/>
      <c r="L417" s="71"/>
      <c r="M417" s="71"/>
      <c r="N417" s="71"/>
    </row>
    <row r="418" spans="1:58" ht="46.9" hidden="1" customHeight="1">
      <c r="A418" s="570"/>
      <c r="B418" s="567"/>
      <c r="C418" s="170" t="s">
        <v>1059</v>
      </c>
      <c r="D418" s="170"/>
      <c r="E418" s="170"/>
      <c r="F418" s="170"/>
      <c r="G418" s="170"/>
      <c r="H418" s="360">
        <f>+'видатки по розпорядниках'!M419</f>
        <v>0</v>
      </c>
      <c r="I418" s="162">
        <f t="shared" si="6"/>
        <v>0</v>
      </c>
      <c r="K418" s="71"/>
      <c r="L418" s="71"/>
      <c r="M418" s="71"/>
      <c r="N418" s="71"/>
    </row>
    <row r="419" spans="1:58" ht="31.15" hidden="1" customHeight="1">
      <c r="A419" s="550" t="s">
        <v>1362</v>
      </c>
      <c r="B419" s="569">
        <v>110203</v>
      </c>
      <c r="C419" s="364" t="s">
        <v>330</v>
      </c>
      <c r="D419" s="364"/>
      <c r="E419" s="364"/>
      <c r="F419" s="364"/>
      <c r="G419" s="364"/>
      <c r="H419" s="360">
        <f>+'видатки по розпорядниках'!M420</f>
        <v>0</v>
      </c>
      <c r="I419" s="162">
        <f t="shared" si="6"/>
        <v>0</v>
      </c>
      <c r="K419" s="71"/>
      <c r="L419" s="71"/>
      <c r="M419" s="71"/>
      <c r="N419" s="71"/>
    </row>
    <row r="420" spans="1:58" ht="35.450000000000003" hidden="1" customHeight="1">
      <c r="A420" s="570"/>
      <c r="B420" s="567"/>
      <c r="C420" s="170" t="s">
        <v>628</v>
      </c>
      <c r="D420" s="170"/>
      <c r="E420" s="170"/>
      <c r="F420" s="170"/>
      <c r="G420" s="170"/>
      <c r="H420" s="360">
        <f>+'видатки по розпорядниках'!M421</f>
        <v>0</v>
      </c>
      <c r="I420" s="162">
        <f t="shared" si="6"/>
        <v>0</v>
      </c>
      <c r="K420" s="71"/>
      <c r="L420" s="71"/>
      <c r="M420" s="71"/>
      <c r="N420" s="71"/>
    </row>
    <row r="421" spans="1:58" ht="46.9" hidden="1" customHeight="1">
      <c r="A421" s="570"/>
      <c r="B421" s="570">
        <v>110204</v>
      </c>
      <c r="C421" s="171" t="s">
        <v>638</v>
      </c>
      <c r="D421" s="171"/>
      <c r="E421" s="171"/>
      <c r="F421" s="171"/>
      <c r="G421" s="171"/>
      <c r="H421" s="360">
        <f>+'видатки по розпорядниках'!M422</f>
        <v>0</v>
      </c>
      <c r="I421" s="162">
        <f t="shared" si="6"/>
        <v>0</v>
      </c>
      <c r="J421" s="2"/>
      <c r="K421" s="7"/>
      <c r="L421" s="7"/>
      <c r="M421" s="7"/>
      <c r="N421" s="7"/>
      <c r="O421" s="2"/>
      <c r="P421" s="2"/>
      <c r="Q421" s="2"/>
      <c r="R421" s="2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</row>
    <row r="422" spans="1:58" ht="120.75" hidden="1" customHeight="1">
      <c r="A422" s="570"/>
      <c r="B422" s="569" t="s">
        <v>1030</v>
      </c>
      <c r="C422" s="364" t="s">
        <v>1027</v>
      </c>
      <c r="D422" s="364"/>
      <c r="E422" s="364"/>
      <c r="F422" s="364"/>
      <c r="G422" s="364"/>
      <c r="H422" s="360">
        <f>+'видатки по розпорядниках'!M423</f>
        <v>0</v>
      </c>
      <c r="I422" s="162">
        <f t="shared" si="6"/>
        <v>0</v>
      </c>
      <c r="J422" s="2"/>
      <c r="K422" s="7"/>
      <c r="L422" s="7"/>
      <c r="M422" s="7"/>
      <c r="N422" s="7"/>
      <c r="O422" s="2"/>
      <c r="P422" s="2"/>
      <c r="Q422" s="2"/>
      <c r="R422" s="2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</row>
    <row r="423" spans="1:58" ht="27" hidden="1" customHeight="1">
      <c r="A423" s="550" t="s">
        <v>1363</v>
      </c>
      <c r="B423" s="569">
        <v>110300</v>
      </c>
      <c r="C423" s="364" t="s">
        <v>331</v>
      </c>
      <c r="D423" s="364"/>
      <c r="E423" s="364"/>
      <c r="F423" s="364"/>
      <c r="G423" s="364"/>
      <c r="H423" s="360">
        <f>+'видатки по розпорядниках'!M424</f>
        <v>0</v>
      </c>
      <c r="I423" s="162">
        <f t="shared" si="6"/>
        <v>0</v>
      </c>
      <c r="J423" s="2"/>
      <c r="K423" s="124"/>
      <c r="L423" s="124"/>
      <c r="M423" s="124"/>
      <c r="N423" s="12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34.9" customHeight="1">
      <c r="A424" s="1416">
        <v>110502</v>
      </c>
      <c r="B424" s="1416"/>
      <c r="C424" s="364" t="s">
        <v>1201</v>
      </c>
      <c r="D424" s="1351" t="s">
        <v>828</v>
      </c>
      <c r="E424" s="364"/>
      <c r="F424" s="364"/>
      <c r="G424" s="364"/>
      <c r="H424" s="360">
        <f>+'видатки по розпорядниках'!M425</f>
        <v>90000</v>
      </c>
      <c r="I424" s="162">
        <f t="shared" si="6"/>
        <v>90000</v>
      </c>
      <c r="K424" s="71"/>
      <c r="L424" s="71"/>
      <c r="M424" s="71"/>
      <c r="N424" s="71"/>
    </row>
    <row r="425" spans="1:58" ht="34.9" hidden="1" customHeight="1">
      <c r="A425" s="570"/>
      <c r="B425" s="569"/>
      <c r="C425" s="364" t="s">
        <v>344</v>
      </c>
      <c r="D425" s="364"/>
      <c r="E425" s="364"/>
      <c r="F425" s="364"/>
      <c r="G425" s="364"/>
      <c r="H425" s="360">
        <f>+'видатки по розпорядниках'!M426</f>
        <v>0</v>
      </c>
      <c r="I425" s="162">
        <f t="shared" si="6"/>
        <v>0</v>
      </c>
      <c r="K425" s="71"/>
      <c r="L425" s="71"/>
      <c r="M425" s="71"/>
      <c r="N425" s="71"/>
    </row>
    <row r="426" spans="1:58" ht="39" hidden="1" customHeight="1">
      <c r="A426" s="570"/>
      <c r="B426" s="571"/>
      <c r="C426" s="217"/>
      <c r="D426" s="217"/>
      <c r="E426" s="217"/>
      <c r="F426" s="217"/>
      <c r="G426" s="217"/>
      <c r="H426" s="360">
        <f>+'видатки по розпорядниках'!M427</f>
        <v>0</v>
      </c>
      <c r="I426" s="162">
        <f t="shared" si="6"/>
        <v>0</v>
      </c>
      <c r="K426" s="71"/>
      <c r="L426" s="71"/>
      <c r="M426" s="71"/>
      <c r="N426" s="71"/>
    </row>
    <row r="427" spans="1:58" ht="22.9" hidden="1" customHeight="1">
      <c r="A427" s="570"/>
      <c r="B427" s="571"/>
      <c r="C427" s="217" t="s">
        <v>747</v>
      </c>
      <c r="D427" s="217"/>
      <c r="E427" s="217"/>
      <c r="F427" s="217"/>
      <c r="G427" s="217"/>
      <c r="H427" s="360">
        <f>+'видатки по розпорядниках'!M428</f>
        <v>0</v>
      </c>
      <c r="I427" s="162">
        <f t="shared" si="6"/>
        <v>0</v>
      </c>
      <c r="K427" s="71"/>
      <c r="L427" s="71"/>
      <c r="M427" s="71"/>
      <c r="N427" s="71"/>
    </row>
    <row r="428" spans="1:58" ht="61.15" hidden="1" customHeight="1">
      <c r="A428" s="570"/>
      <c r="B428" s="571"/>
      <c r="C428" s="370" t="s">
        <v>1634</v>
      </c>
      <c r="D428" s="370"/>
      <c r="E428" s="370"/>
      <c r="F428" s="370"/>
      <c r="G428" s="370"/>
      <c r="H428" s="360">
        <f>+'видатки по розпорядниках'!M429</f>
        <v>0</v>
      </c>
      <c r="I428" s="162">
        <f t="shared" si="6"/>
        <v>0</v>
      </c>
      <c r="K428" s="71"/>
      <c r="L428" s="71"/>
      <c r="M428" s="71"/>
      <c r="N428" s="71"/>
    </row>
    <row r="429" spans="1:58" ht="24.6" hidden="1" customHeight="1">
      <c r="A429" s="570"/>
      <c r="B429" s="550" t="s">
        <v>1508</v>
      </c>
      <c r="C429" s="197" t="s">
        <v>1500</v>
      </c>
      <c r="D429" s="197"/>
      <c r="E429" s="197"/>
      <c r="F429" s="197"/>
      <c r="G429" s="197"/>
      <c r="H429" s="360">
        <f>+'видатки по розпорядниках'!M430</f>
        <v>0</v>
      </c>
      <c r="I429" s="162">
        <f t="shared" si="6"/>
        <v>0</v>
      </c>
      <c r="K429" s="71"/>
      <c r="L429" s="71"/>
      <c r="M429" s="71"/>
      <c r="N429" s="71"/>
    </row>
    <row r="430" spans="1:58" ht="38.450000000000003" hidden="1" customHeight="1">
      <c r="A430" s="570"/>
      <c r="B430" s="550" t="s">
        <v>1243</v>
      </c>
      <c r="C430" s="197" t="s">
        <v>230</v>
      </c>
      <c r="D430" s="197"/>
      <c r="E430" s="197"/>
      <c r="F430" s="197"/>
      <c r="G430" s="197"/>
      <c r="H430" s="360">
        <f>+'видатки по розпорядниках'!M431</f>
        <v>0</v>
      </c>
      <c r="I430" s="162">
        <f t="shared" si="6"/>
        <v>0</v>
      </c>
      <c r="J430" s="2"/>
      <c r="K430" s="7"/>
      <c r="L430" s="7"/>
      <c r="M430" s="7"/>
      <c r="N430" s="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29.45" hidden="1" customHeight="1">
      <c r="A431" s="570"/>
      <c r="B431" s="550" t="s">
        <v>1512</v>
      </c>
      <c r="C431" s="213" t="s">
        <v>1235</v>
      </c>
      <c r="D431" s="213"/>
      <c r="E431" s="213"/>
      <c r="F431" s="213"/>
      <c r="G431" s="213"/>
      <c r="H431" s="360">
        <f>+'видатки по розпорядниках'!M432</f>
        <v>0</v>
      </c>
      <c r="I431" s="162">
        <f t="shared" si="6"/>
        <v>0</v>
      </c>
      <c r="J431" s="2"/>
      <c r="K431" s="132"/>
      <c r="L431" s="132"/>
      <c r="M431" s="132"/>
      <c r="N431" s="13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52.15" hidden="1" customHeight="1">
      <c r="A432" s="570"/>
      <c r="B432" s="550" t="s">
        <v>893</v>
      </c>
      <c r="C432" s="445" t="s">
        <v>1135</v>
      </c>
      <c r="D432" s="445"/>
      <c r="E432" s="445"/>
      <c r="F432" s="445"/>
      <c r="G432" s="445"/>
      <c r="H432" s="360">
        <f>+'видатки по розпорядниках'!M433</f>
        <v>0</v>
      </c>
      <c r="I432" s="162">
        <f t="shared" si="6"/>
        <v>0</v>
      </c>
      <c r="J432" s="2"/>
      <c r="K432" s="132"/>
      <c r="L432" s="132"/>
      <c r="M432" s="132"/>
      <c r="N432" s="13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28.9" hidden="1" customHeight="1">
      <c r="A433" s="570"/>
      <c r="B433" s="550" t="s">
        <v>1287</v>
      </c>
      <c r="C433" s="197" t="s">
        <v>866</v>
      </c>
      <c r="D433" s="197"/>
      <c r="E433" s="197"/>
      <c r="F433" s="197"/>
      <c r="G433" s="197"/>
      <c r="H433" s="360">
        <f>+'видатки по розпорядниках'!M434</f>
        <v>0</v>
      </c>
      <c r="I433" s="162">
        <f t="shared" si="6"/>
        <v>0</v>
      </c>
      <c r="J433" s="2"/>
      <c r="K433" s="132"/>
      <c r="L433" s="132"/>
      <c r="M433" s="132"/>
      <c r="N433" s="13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45" hidden="1">
      <c r="A434" s="570"/>
      <c r="B434" s="550" t="s">
        <v>1204</v>
      </c>
      <c r="C434" s="213" t="s">
        <v>1138</v>
      </c>
      <c r="D434" s="213"/>
      <c r="E434" s="213"/>
      <c r="F434" s="213"/>
      <c r="G434" s="213"/>
      <c r="H434" s="360">
        <f>+'видатки по розпорядниках'!M435</f>
        <v>0</v>
      </c>
      <c r="I434" s="162">
        <f t="shared" si="6"/>
        <v>0</v>
      </c>
      <c r="J434" s="2"/>
      <c r="K434" s="132"/>
      <c r="L434" s="132"/>
      <c r="M434" s="132"/>
      <c r="N434" s="13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28.5" hidden="1">
      <c r="A435" s="359" t="s">
        <v>1170</v>
      </c>
      <c r="B435" s="359"/>
      <c r="C435" s="360" t="s">
        <v>646</v>
      </c>
      <c r="D435" s="360"/>
      <c r="E435" s="360"/>
      <c r="F435" s="360"/>
      <c r="G435" s="360"/>
      <c r="H435" s="360">
        <f>+'видатки по розпорядниках'!M436</f>
        <v>0</v>
      </c>
      <c r="I435" s="162">
        <f t="shared" si="6"/>
        <v>0</v>
      </c>
      <c r="J435" s="2"/>
      <c r="K435" s="132"/>
      <c r="L435" s="132"/>
      <c r="M435" s="132"/>
      <c r="N435" s="13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45.6" hidden="1" customHeight="1">
      <c r="A436" s="570"/>
      <c r="B436" s="550" t="s">
        <v>1512</v>
      </c>
      <c r="C436" s="213" t="s">
        <v>267</v>
      </c>
      <c r="D436" s="213"/>
      <c r="E436" s="213"/>
      <c r="F436" s="213"/>
      <c r="G436" s="213"/>
      <c r="H436" s="360">
        <f>+'видатки по розпорядниках'!M437</f>
        <v>0</v>
      </c>
      <c r="I436" s="162">
        <f t="shared" si="6"/>
        <v>0</v>
      </c>
      <c r="J436" s="2"/>
      <c r="K436" s="132"/>
      <c r="L436" s="132"/>
      <c r="M436" s="132"/>
      <c r="N436" s="13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31.9" customHeight="1">
      <c r="A437" s="359" t="s">
        <v>1171</v>
      </c>
      <c r="B437" s="359" t="s">
        <v>1296</v>
      </c>
      <c r="C437" s="360" t="s">
        <v>74</v>
      </c>
      <c r="D437" s="360"/>
      <c r="E437" s="360"/>
      <c r="F437" s="360"/>
      <c r="G437" s="360"/>
      <c r="H437" s="503">
        <f>+'видатки по розпорядниках'!M438</f>
        <v>350000</v>
      </c>
      <c r="I437" s="162">
        <f t="shared" si="6"/>
        <v>350000</v>
      </c>
      <c r="K437" s="71"/>
      <c r="L437" s="71"/>
      <c r="M437" s="71"/>
      <c r="N437" s="71"/>
    </row>
    <row r="438" spans="1:58" ht="59.45" customHeight="1">
      <c r="A438" s="1416" t="s">
        <v>707</v>
      </c>
      <c r="B438" s="1416"/>
      <c r="C438" s="217" t="s">
        <v>1397</v>
      </c>
      <c r="D438" s="1351" t="s">
        <v>828</v>
      </c>
      <c r="E438" s="217"/>
      <c r="F438" s="217"/>
      <c r="G438" s="217"/>
      <c r="H438" s="360">
        <f>+'видатки по розпорядниках'!M439</f>
        <v>350000</v>
      </c>
      <c r="I438" s="162">
        <f t="shared" si="6"/>
        <v>350000</v>
      </c>
      <c r="K438" s="71"/>
      <c r="L438" s="71"/>
      <c r="M438" s="71"/>
      <c r="N438" s="71"/>
    </row>
    <row r="439" spans="1:58" ht="34.15" hidden="1" customHeight="1">
      <c r="A439" s="643" t="s">
        <v>438</v>
      </c>
      <c r="B439" s="569" t="s">
        <v>498</v>
      </c>
      <c r="C439" s="364" t="s">
        <v>648</v>
      </c>
      <c r="D439" s="364"/>
      <c r="E439" s="364"/>
      <c r="F439" s="364"/>
      <c r="G439" s="364"/>
      <c r="H439" s="360">
        <f>+'видатки по розпорядниках'!M440</f>
        <v>0</v>
      </c>
      <c r="I439" s="162">
        <f t="shared" si="6"/>
        <v>0</v>
      </c>
      <c r="K439" s="71"/>
      <c r="L439" s="71"/>
      <c r="M439" s="71"/>
      <c r="N439" s="71"/>
    </row>
    <row r="440" spans="1:58" ht="25.9" hidden="1" customHeight="1">
      <c r="A440" s="1346" t="s">
        <v>554</v>
      </c>
      <c r="B440" s="569" t="s">
        <v>1508</v>
      </c>
      <c r="C440" s="197" t="s">
        <v>1393</v>
      </c>
      <c r="D440" s="197"/>
      <c r="E440" s="197"/>
      <c r="F440" s="197"/>
      <c r="G440" s="197"/>
      <c r="H440" s="360">
        <f>+'видатки по розпорядниках'!M441</f>
        <v>0</v>
      </c>
      <c r="I440" s="162">
        <f t="shared" si="6"/>
        <v>0</v>
      </c>
      <c r="J440" s="24"/>
      <c r="K440" s="44"/>
      <c r="L440" s="44"/>
      <c r="M440" s="44"/>
      <c r="N440" s="44"/>
      <c r="O440" s="24"/>
    </row>
    <row r="441" spans="1:58" ht="147" hidden="1" customHeight="1">
      <c r="A441" s="643" t="s">
        <v>442</v>
      </c>
      <c r="B441" s="569" t="s">
        <v>1158</v>
      </c>
      <c r="C441" s="217" t="s">
        <v>545</v>
      </c>
      <c r="D441" s="217"/>
      <c r="E441" s="217"/>
      <c r="F441" s="217"/>
      <c r="G441" s="217"/>
      <c r="H441" s="360">
        <f>+'видатки по розпорядниках'!M442</f>
        <v>0</v>
      </c>
      <c r="I441" s="162">
        <f t="shared" si="6"/>
        <v>0</v>
      </c>
      <c r="J441" s="24"/>
      <c r="K441" s="44"/>
      <c r="L441" s="44"/>
      <c r="M441" s="44"/>
      <c r="N441" s="44"/>
      <c r="O441" s="24"/>
    </row>
    <row r="442" spans="1:58" ht="67.900000000000006" hidden="1" customHeight="1">
      <c r="A442" s="570"/>
      <c r="B442" s="575" t="s">
        <v>1031</v>
      </c>
      <c r="C442" s="171" t="s">
        <v>1027</v>
      </c>
      <c r="D442" s="171"/>
      <c r="E442" s="171"/>
      <c r="F442" s="171"/>
      <c r="G442" s="171"/>
      <c r="H442" s="360">
        <f>+'видатки по розпорядниках'!M443</f>
        <v>0</v>
      </c>
      <c r="I442" s="162">
        <f t="shared" si="6"/>
        <v>0</v>
      </c>
      <c r="J442" s="24"/>
      <c r="K442" s="44"/>
      <c r="L442" s="44"/>
      <c r="M442" s="44"/>
      <c r="N442" s="44"/>
      <c r="O442" s="24"/>
    </row>
    <row r="443" spans="1:58" ht="22.9" hidden="1" customHeight="1">
      <c r="A443" s="359" t="s">
        <v>1172</v>
      </c>
      <c r="B443" s="359" t="s">
        <v>1174</v>
      </c>
      <c r="C443" s="360" t="s">
        <v>1480</v>
      </c>
      <c r="D443" s="360"/>
      <c r="E443" s="360"/>
      <c r="F443" s="360"/>
      <c r="G443" s="360"/>
      <c r="H443" s="360">
        <f>+'видатки по розпорядниках'!M444</f>
        <v>0</v>
      </c>
      <c r="I443" s="162">
        <f t="shared" si="6"/>
        <v>0</v>
      </c>
      <c r="K443" s="71" t="e">
        <f>SUM(#REF!)</f>
        <v>#REF!</v>
      </c>
      <c r="L443" s="71"/>
      <c r="M443" s="71"/>
      <c r="N443" s="71"/>
    </row>
    <row r="444" spans="1:58" ht="15.6" hidden="1" customHeight="1">
      <c r="A444" s="570"/>
      <c r="B444" s="570"/>
      <c r="C444" s="171"/>
      <c r="D444" s="171"/>
      <c r="E444" s="171"/>
      <c r="F444" s="171"/>
      <c r="G444" s="171"/>
      <c r="H444" s="360">
        <f>+'видатки по розпорядниках'!M445</f>
        <v>0</v>
      </c>
      <c r="I444" s="162">
        <f t="shared" si="6"/>
        <v>0</v>
      </c>
      <c r="J444" s="2"/>
      <c r="K444" s="7"/>
      <c r="L444" s="7"/>
      <c r="M444" s="7"/>
      <c r="N444" s="7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60" hidden="1">
      <c r="A445" s="570"/>
      <c r="B445" s="564" t="s">
        <v>707</v>
      </c>
      <c r="C445" s="213" t="s">
        <v>1397</v>
      </c>
      <c r="D445" s="213"/>
      <c r="E445" s="213"/>
      <c r="F445" s="213"/>
      <c r="G445" s="213"/>
      <c r="H445" s="360">
        <f>+'видатки по розпорядниках'!M446</f>
        <v>0</v>
      </c>
      <c r="I445" s="162">
        <f t="shared" si="6"/>
        <v>0</v>
      </c>
      <c r="J445" s="2"/>
      <c r="K445" s="124"/>
      <c r="L445" s="124"/>
      <c r="M445" s="124"/>
      <c r="N445" s="12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39.75" hidden="1" customHeight="1">
      <c r="A446" s="570"/>
      <c r="B446" s="569" t="s">
        <v>536</v>
      </c>
      <c r="C446" s="364" t="s">
        <v>308</v>
      </c>
      <c r="D446" s="364"/>
      <c r="E446" s="364"/>
      <c r="F446" s="364"/>
      <c r="G446" s="364"/>
      <c r="H446" s="360">
        <f>+'видатки по розпорядниках'!M447</f>
        <v>0</v>
      </c>
      <c r="I446" s="162">
        <f t="shared" si="6"/>
        <v>0</v>
      </c>
      <c r="K446" s="71"/>
      <c r="L446" s="71"/>
      <c r="M446" s="71"/>
      <c r="N446" s="71"/>
    </row>
    <row r="447" spans="1:58" ht="33" hidden="1" customHeight="1">
      <c r="A447" s="570"/>
      <c r="B447" s="569" t="s">
        <v>537</v>
      </c>
      <c r="C447" s="364" t="s">
        <v>309</v>
      </c>
      <c r="D447" s="364"/>
      <c r="E447" s="364"/>
      <c r="F447" s="364"/>
      <c r="G447" s="364"/>
      <c r="H447" s="360">
        <f>+'видатки по розпорядниках'!M448</f>
        <v>0</v>
      </c>
      <c r="I447" s="162">
        <f t="shared" si="6"/>
        <v>0</v>
      </c>
      <c r="K447" s="71"/>
      <c r="L447" s="71"/>
      <c r="M447" s="71"/>
      <c r="N447" s="71"/>
    </row>
    <row r="448" spans="1:58" ht="61.15" hidden="1" customHeight="1">
      <c r="A448" s="570"/>
      <c r="B448" s="567"/>
      <c r="C448" s="170" t="s">
        <v>764</v>
      </c>
      <c r="D448" s="170"/>
      <c r="E448" s="170"/>
      <c r="F448" s="170"/>
      <c r="G448" s="170"/>
      <c r="H448" s="360">
        <f>+'видатки по розпорядниках'!M449</f>
        <v>0</v>
      </c>
      <c r="I448" s="162">
        <f t="shared" si="6"/>
        <v>0</v>
      </c>
      <c r="K448" s="71"/>
      <c r="L448" s="71"/>
      <c r="M448" s="71"/>
      <c r="N448" s="71"/>
    </row>
    <row r="449" spans="1:58" ht="40.15" hidden="1" customHeight="1">
      <c r="A449" s="570"/>
      <c r="B449" s="569" t="s">
        <v>538</v>
      </c>
      <c r="C449" s="364" t="s">
        <v>313</v>
      </c>
      <c r="D449" s="364"/>
      <c r="E449" s="364"/>
      <c r="F449" s="364"/>
      <c r="G449" s="364"/>
      <c r="H449" s="360">
        <f>+'видатки по розпорядниках'!M450</f>
        <v>0</v>
      </c>
      <c r="I449" s="162">
        <f t="shared" si="6"/>
        <v>0</v>
      </c>
      <c r="K449" s="71"/>
      <c r="L449" s="71"/>
      <c r="M449" s="71"/>
      <c r="N449" s="71"/>
    </row>
    <row r="450" spans="1:58" ht="64.900000000000006" hidden="1" customHeight="1">
      <c r="A450" s="570"/>
      <c r="B450" s="570"/>
      <c r="C450" s="170" t="s">
        <v>1057</v>
      </c>
      <c r="D450" s="170"/>
      <c r="E450" s="170"/>
      <c r="F450" s="170"/>
      <c r="G450" s="170"/>
      <c r="H450" s="360">
        <f>+'видатки по розпорядниках'!M451</f>
        <v>0</v>
      </c>
      <c r="I450" s="162">
        <f t="shared" si="6"/>
        <v>0</v>
      </c>
      <c r="J450" s="2"/>
      <c r="K450" s="7"/>
      <c r="L450" s="7"/>
      <c r="M450" s="7"/>
      <c r="N450" s="7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8.600000000000001" hidden="1" customHeight="1">
      <c r="A451" s="570"/>
      <c r="B451" s="570" t="s">
        <v>538</v>
      </c>
      <c r="C451" s="171" t="s">
        <v>897</v>
      </c>
      <c r="D451" s="171"/>
      <c r="E451" s="171"/>
      <c r="F451" s="171"/>
      <c r="G451" s="171"/>
      <c r="H451" s="360">
        <f>+'видатки по розпорядниках'!M452</f>
        <v>0</v>
      </c>
      <c r="I451" s="162">
        <f t="shared" si="6"/>
        <v>0</v>
      </c>
      <c r="J451" s="2"/>
      <c r="K451" s="124"/>
      <c r="L451" s="124"/>
      <c r="M451" s="124"/>
      <c r="N451" s="12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8.600000000000001" hidden="1" customHeight="1">
      <c r="A452" s="570"/>
      <c r="B452" s="570"/>
      <c r="C452" s="171"/>
      <c r="D452" s="171"/>
      <c r="E452" s="171"/>
      <c r="F452" s="171"/>
      <c r="G452" s="171"/>
      <c r="H452" s="360">
        <f>+'видатки по розпорядниках'!M453</f>
        <v>0</v>
      </c>
      <c r="I452" s="162">
        <f t="shared" si="6"/>
        <v>0</v>
      </c>
      <c r="J452" s="2"/>
      <c r="K452" s="132"/>
      <c r="L452" s="132"/>
      <c r="M452" s="132"/>
      <c r="N452" s="13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35.450000000000003" hidden="1" customHeight="1">
      <c r="A453" s="570"/>
      <c r="B453" s="569" t="s">
        <v>333</v>
      </c>
      <c r="C453" s="364" t="s">
        <v>1236</v>
      </c>
      <c r="D453" s="364"/>
      <c r="E453" s="364"/>
      <c r="F453" s="364"/>
      <c r="G453" s="364"/>
      <c r="H453" s="360">
        <f>+'видатки по розпорядниках'!M454</f>
        <v>0</v>
      </c>
      <c r="I453" s="162">
        <f t="shared" si="6"/>
        <v>0</v>
      </c>
      <c r="K453" s="71"/>
      <c r="L453" s="71"/>
      <c r="M453" s="71"/>
      <c r="N453" s="71"/>
    </row>
    <row r="454" spans="1:58" ht="99.6" hidden="1" customHeight="1">
      <c r="A454" s="570"/>
      <c r="B454" s="569" t="s">
        <v>900</v>
      </c>
      <c r="C454" s="367" t="s">
        <v>760</v>
      </c>
      <c r="D454" s="367"/>
      <c r="E454" s="367"/>
      <c r="F454" s="367"/>
      <c r="G454" s="367"/>
      <c r="H454" s="360">
        <f>+'видатки по розпорядниках'!M455</f>
        <v>0</v>
      </c>
      <c r="I454" s="162">
        <f t="shared" si="6"/>
        <v>0</v>
      </c>
      <c r="K454" s="71"/>
      <c r="L454" s="71"/>
      <c r="M454" s="71"/>
      <c r="N454" s="71"/>
    </row>
    <row r="455" spans="1:58" ht="69" hidden="1" customHeight="1">
      <c r="A455" s="570"/>
      <c r="B455" s="569"/>
      <c r="C455" s="364" t="s">
        <v>692</v>
      </c>
      <c r="D455" s="364"/>
      <c r="E455" s="364"/>
      <c r="F455" s="364"/>
      <c r="G455" s="364"/>
      <c r="H455" s="360">
        <f>+'видатки по розпорядниках'!M456</f>
        <v>0</v>
      </c>
      <c r="I455" s="162">
        <f t="shared" si="6"/>
        <v>0</v>
      </c>
      <c r="K455" s="71"/>
      <c r="L455" s="71"/>
      <c r="M455" s="71"/>
      <c r="N455" s="71"/>
    </row>
    <row r="456" spans="1:58" ht="39.6" hidden="1" customHeight="1">
      <c r="A456" s="570"/>
      <c r="B456" s="569" t="s">
        <v>1508</v>
      </c>
      <c r="C456" s="364" t="s">
        <v>532</v>
      </c>
      <c r="D456" s="364"/>
      <c r="E456" s="364"/>
      <c r="F456" s="364"/>
      <c r="G456" s="364"/>
      <c r="H456" s="360">
        <f>+'видатки по розпорядниках'!M457</f>
        <v>0</v>
      </c>
      <c r="I456" s="162">
        <f t="shared" si="6"/>
        <v>0</v>
      </c>
      <c r="K456" s="71"/>
      <c r="L456" s="71"/>
      <c r="M456" s="71"/>
      <c r="N456" s="71"/>
    </row>
    <row r="457" spans="1:58" ht="54" hidden="1" customHeight="1">
      <c r="A457" s="570"/>
      <c r="B457" s="569" t="s">
        <v>893</v>
      </c>
      <c r="C457" s="445" t="s">
        <v>1135</v>
      </c>
      <c r="D457" s="445"/>
      <c r="E457" s="445"/>
      <c r="F457" s="445"/>
      <c r="G457" s="445"/>
      <c r="H457" s="360">
        <f>+'видатки по розпорядниках'!M458</f>
        <v>0</v>
      </c>
      <c r="I457" s="162">
        <f t="shared" si="6"/>
        <v>0</v>
      </c>
      <c r="K457" s="71"/>
      <c r="L457" s="71"/>
      <c r="M457" s="71"/>
      <c r="N457" s="71"/>
    </row>
    <row r="458" spans="1:58" ht="45" hidden="1">
      <c r="A458" s="570"/>
      <c r="B458" s="550" t="s">
        <v>757</v>
      </c>
      <c r="C458" s="197" t="s">
        <v>756</v>
      </c>
      <c r="D458" s="197"/>
      <c r="E458" s="197"/>
      <c r="F458" s="197"/>
      <c r="G458" s="197"/>
      <c r="H458" s="360">
        <f>+'видатки по розпорядниках'!M459</f>
        <v>0</v>
      </c>
      <c r="I458" s="162">
        <f t="shared" si="6"/>
        <v>0</v>
      </c>
      <c r="K458" s="71"/>
      <c r="L458" s="71"/>
      <c r="M458" s="71"/>
      <c r="N458" s="71"/>
    </row>
    <row r="459" spans="1:58" ht="39.6" customHeight="1">
      <c r="A459" s="359" t="s">
        <v>1172</v>
      </c>
      <c r="B459" s="359" t="s">
        <v>1176</v>
      </c>
      <c r="C459" s="360" t="s">
        <v>1167</v>
      </c>
      <c r="D459" s="360"/>
      <c r="E459" s="360"/>
      <c r="F459" s="360"/>
      <c r="G459" s="360"/>
      <c r="H459" s="503">
        <f>+'видатки по розпорядниках'!M460</f>
        <v>4000000</v>
      </c>
      <c r="I459" s="162">
        <f t="shared" si="6"/>
        <v>4000000</v>
      </c>
      <c r="K459" s="71"/>
      <c r="L459" s="71"/>
      <c r="M459" s="71"/>
      <c r="N459" s="71"/>
    </row>
    <row r="460" spans="1:58" ht="39.6" hidden="1" customHeight="1">
      <c r="A460" s="569"/>
      <c r="B460" s="569"/>
      <c r="C460" s="360"/>
      <c r="D460" s="360"/>
      <c r="E460" s="360"/>
      <c r="F460" s="360"/>
      <c r="G460" s="360"/>
      <c r="H460" s="360">
        <f>+'видатки по розпорядниках'!M461</f>
        <v>0</v>
      </c>
      <c r="I460" s="162">
        <f t="shared" si="6"/>
        <v>0</v>
      </c>
      <c r="K460" s="71"/>
      <c r="L460" s="71"/>
      <c r="M460" s="71"/>
      <c r="N460" s="71"/>
    </row>
    <row r="461" spans="1:58" ht="39.6" hidden="1" customHeight="1">
      <c r="A461" s="569" t="s">
        <v>490</v>
      </c>
      <c r="B461" s="569" t="s">
        <v>538</v>
      </c>
      <c r="C461" s="217" t="s">
        <v>1049</v>
      </c>
      <c r="D461" s="217"/>
      <c r="E461" s="217"/>
      <c r="F461" s="217"/>
      <c r="G461" s="217"/>
      <c r="H461" s="360">
        <f>+'видатки по розпорядниках'!M462</f>
        <v>0</v>
      </c>
      <c r="I461" s="162">
        <f t="shared" si="6"/>
        <v>0</v>
      </c>
      <c r="K461" s="71"/>
      <c r="L461" s="71"/>
      <c r="M461" s="71"/>
      <c r="N461" s="71"/>
    </row>
    <row r="462" spans="1:58" ht="39.6" hidden="1" customHeight="1">
      <c r="A462" s="569"/>
      <c r="B462" s="569" t="s">
        <v>333</v>
      </c>
      <c r="C462" s="217" t="s">
        <v>866</v>
      </c>
      <c r="D462" s="217"/>
      <c r="E462" s="217"/>
      <c r="F462" s="217"/>
      <c r="G462" s="217"/>
      <c r="H462" s="360">
        <f>+'видатки по розпорядниках'!M463</f>
        <v>0</v>
      </c>
      <c r="I462" s="162">
        <f t="shared" si="6"/>
        <v>0</v>
      </c>
      <c r="K462" s="71"/>
      <c r="L462" s="71"/>
      <c r="M462" s="71"/>
      <c r="N462" s="71"/>
    </row>
    <row r="463" spans="1:58" ht="30.6" hidden="1" customHeight="1">
      <c r="A463" s="569" t="s">
        <v>1366</v>
      </c>
      <c r="B463" s="569">
        <v>130102</v>
      </c>
      <c r="C463" s="364" t="s">
        <v>562</v>
      </c>
      <c r="D463" s="364"/>
      <c r="E463" s="364"/>
      <c r="F463" s="364"/>
      <c r="G463" s="364"/>
      <c r="H463" s="360">
        <f>+'видатки по розпорядниках'!M464</f>
        <v>0</v>
      </c>
      <c r="I463" s="162">
        <f t="shared" si="6"/>
        <v>0</v>
      </c>
      <c r="K463" s="71"/>
      <c r="L463" s="71"/>
      <c r="M463" s="71"/>
      <c r="N463" s="71"/>
    </row>
    <row r="464" spans="1:58" ht="54.6" hidden="1" customHeight="1">
      <c r="A464" s="570"/>
      <c r="B464" s="573"/>
      <c r="C464" s="364" t="s">
        <v>400</v>
      </c>
      <c r="D464" s="364"/>
      <c r="E464" s="364"/>
      <c r="F464" s="364"/>
      <c r="G464" s="364"/>
      <c r="H464" s="360">
        <f>+'видатки по розпорядниках'!M465</f>
        <v>0</v>
      </c>
      <c r="I464" s="162">
        <f t="shared" si="6"/>
        <v>0</v>
      </c>
      <c r="J464" s="2"/>
      <c r="K464" s="7"/>
      <c r="L464" s="7"/>
      <c r="M464" s="7"/>
      <c r="N464" s="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</row>
    <row r="465" spans="1:58" ht="43.15" hidden="1" customHeight="1">
      <c r="A465" s="570"/>
      <c r="B465" s="567"/>
      <c r="C465" s="171" t="s">
        <v>577</v>
      </c>
      <c r="D465" s="171"/>
      <c r="E465" s="171"/>
      <c r="F465" s="171"/>
      <c r="G465" s="171"/>
      <c r="H465" s="360">
        <f>+'видатки по розпорядниках'!M466</f>
        <v>0</v>
      </c>
      <c r="I465" s="162">
        <f t="shared" si="6"/>
        <v>0</v>
      </c>
      <c r="J465" s="2"/>
      <c r="K465" s="132"/>
      <c r="L465" s="132"/>
      <c r="M465" s="132"/>
      <c r="N465" s="13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</row>
    <row r="466" spans="1:58" ht="30.6" hidden="1" customHeight="1">
      <c r="A466" s="570"/>
      <c r="B466" s="567"/>
      <c r="C466" s="170" t="s">
        <v>510</v>
      </c>
      <c r="D466" s="170"/>
      <c r="E466" s="170"/>
      <c r="F466" s="170"/>
      <c r="G466" s="170"/>
      <c r="H466" s="360">
        <f>+'видатки по розпорядниках'!M467</f>
        <v>0</v>
      </c>
      <c r="I466" s="162">
        <f t="shared" si="6"/>
        <v>0</v>
      </c>
      <c r="J466" s="24"/>
      <c r="K466" s="44"/>
      <c r="L466" s="44"/>
      <c r="M466" s="44"/>
      <c r="N466" s="44"/>
      <c r="O466" s="24"/>
    </row>
    <row r="467" spans="1:58" ht="27.6" hidden="1" customHeight="1">
      <c r="A467" s="570"/>
      <c r="B467" s="567"/>
      <c r="C467" s="171" t="s">
        <v>1006</v>
      </c>
      <c r="D467" s="171"/>
      <c r="E467" s="171"/>
      <c r="F467" s="171"/>
      <c r="G467" s="171"/>
      <c r="H467" s="360">
        <f>+'видатки по розпорядниках'!M468</f>
        <v>0</v>
      </c>
      <c r="I467" s="162">
        <f t="shared" si="6"/>
        <v>0</v>
      </c>
      <c r="J467" s="24"/>
      <c r="K467" s="44"/>
      <c r="L467" s="44"/>
      <c r="M467" s="44"/>
      <c r="N467" s="44"/>
      <c r="O467" s="24"/>
    </row>
    <row r="468" spans="1:58" ht="55.9" hidden="1" customHeight="1">
      <c r="A468" s="570"/>
      <c r="B468" s="570"/>
      <c r="C468" s="170" t="s">
        <v>511</v>
      </c>
      <c r="D468" s="170"/>
      <c r="E468" s="170"/>
      <c r="F468" s="170"/>
      <c r="G468" s="170"/>
      <c r="H468" s="360">
        <f>+'видатки по розпорядниках'!M469</f>
        <v>0</v>
      </c>
      <c r="I468" s="162">
        <f t="shared" si="6"/>
        <v>0</v>
      </c>
      <c r="J468" s="24"/>
      <c r="K468" s="44"/>
      <c r="L468" s="44"/>
      <c r="M468" s="44"/>
      <c r="N468" s="44"/>
      <c r="O468" s="24"/>
    </row>
    <row r="469" spans="1:58" ht="4.9000000000000004" hidden="1" customHeight="1">
      <c r="A469" s="570"/>
      <c r="B469" s="570"/>
      <c r="C469" s="170" t="s">
        <v>627</v>
      </c>
      <c r="D469" s="170"/>
      <c r="E469" s="170"/>
      <c r="F469" s="170"/>
      <c r="G469" s="170"/>
      <c r="H469" s="360">
        <f>+'видатки по розпорядниках'!M470</f>
        <v>0</v>
      </c>
      <c r="I469" s="162">
        <f t="shared" si="6"/>
        <v>0</v>
      </c>
      <c r="J469" s="24"/>
      <c r="K469" s="44"/>
      <c r="L469" s="44"/>
      <c r="M469" s="44"/>
      <c r="N469" s="44"/>
      <c r="O469" s="24"/>
    </row>
    <row r="470" spans="1:58" ht="48" hidden="1" customHeight="1">
      <c r="A470" s="570"/>
      <c r="B470" s="570"/>
      <c r="C470" s="614" t="s">
        <v>1473</v>
      </c>
      <c r="D470" s="614"/>
      <c r="E470" s="614"/>
      <c r="F470" s="614"/>
      <c r="G470" s="614"/>
      <c r="H470" s="360">
        <f>+'видатки по розпорядниках'!M471</f>
        <v>0</v>
      </c>
      <c r="I470" s="162">
        <f t="shared" ref="I470:I533" si="7">+H470</f>
        <v>0</v>
      </c>
      <c r="J470" s="24"/>
      <c r="K470" s="44"/>
      <c r="L470" s="44"/>
      <c r="M470" s="44"/>
      <c r="N470" s="44"/>
      <c r="O470" s="24"/>
    </row>
    <row r="471" spans="1:58" ht="52.15" hidden="1" customHeight="1">
      <c r="A471" s="569" t="s">
        <v>1367</v>
      </c>
      <c r="B471" s="569">
        <v>130104</v>
      </c>
      <c r="C471" s="364" t="s">
        <v>1202</v>
      </c>
      <c r="D471" s="364"/>
      <c r="E471" s="364"/>
      <c r="F471" s="364"/>
      <c r="G471" s="364"/>
      <c r="H471" s="360">
        <f>+'видатки по розпорядниках'!M472</f>
        <v>0</v>
      </c>
      <c r="I471" s="162">
        <f t="shared" si="7"/>
        <v>0</v>
      </c>
      <c r="K471" s="71"/>
      <c r="L471" s="71"/>
      <c r="M471" s="71"/>
      <c r="N471" s="71"/>
    </row>
    <row r="472" spans="1:58" ht="47.45" hidden="1" customHeight="1">
      <c r="A472" s="569" t="s">
        <v>1368</v>
      </c>
      <c r="B472" s="569">
        <v>130105</v>
      </c>
      <c r="C472" s="364" t="s">
        <v>552</v>
      </c>
      <c r="D472" s="364"/>
      <c r="E472" s="364"/>
      <c r="F472" s="364"/>
      <c r="G472" s="364"/>
      <c r="H472" s="360">
        <f>+'видатки по розпорядниках'!M473</f>
        <v>0</v>
      </c>
      <c r="I472" s="162">
        <f t="shared" si="7"/>
        <v>0</v>
      </c>
      <c r="K472" s="71"/>
      <c r="L472" s="71"/>
      <c r="M472" s="71"/>
      <c r="N472" s="71"/>
    </row>
    <row r="473" spans="1:58" ht="51" hidden="1" customHeight="1">
      <c r="A473" s="570"/>
      <c r="B473" s="569" t="s">
        <v>815</v>
      </c>
      <c r="C473" s="364" t="s">
        <v>1203</v>
      </c>
      <c r="D473" s="364"/>
      <c r="E473" s="364"/>
      <c r="F473" s="364"/>
      <c r="G473" s="364"/>
      <c r="H473" s="360">
        <f>+'видатки по розпорядниках'!M474</f>
        <v>0</v>
      </c>
      <c r="I473" s="162">
        <f t="shared" si="7"/>
        <v>0</v>
      </c>
      <c r="K473" s="71"/>
      <c r="L473" s="71"/>
      <c r="M473" s="71"/>
      <c r="N473" s="71"/>
    </row>
    <row r="474" spans="1:58" ht="53.45" hidden="1" customHeight="1">
      <c r="A474" s="570"/>
      <c r="B474" s="569">
        <v>130107</v>
      </c>
      <c r="C474" s="364" t="s">
        <v>390</v>
      </c>
      <c r="D474" s="364"/>
      <c r="E474" s="364"/>
      <c r="F474" s="364"/>
      <c r="G474" s="364"/>
      <c r="H474" s="360">
        <f>+'видатки по розпорядниках'!M475</f>
        <v>0</v>
      </c>
      <c r="I474" s="162">
        <f t="shared" si="7"/>
        <v>0</v>
      </c>
      <c r="K474" s="71"/>
      <c r="L474" s="71"/>
      <c r="M474" s="71"/>
      <c r="N474" s="71"/>
    </row>
    <row r="475" spans="1:58" ht="28.9" hidden="1" customHeight="1">
      <c r="A475" s="569" t="s">
        <v>1369</v>
      </c>
      <c r="B475" s="569" t="s">
        <v>1245</v>
      </c>
      <c r="C475" s="533" t="s">
        <v>967</v>
      </c>
      <c r="D475" s="533"/>
      <c r="E475" s="533"/>
      <c r="F475" s="533"/>
      <c r="G475" s="533"/>
      <c r="H475" s="360">
        <f>+'видатки по розпорядниках'!M476</f>
        <v>0</v>
      </c>
      <c r="I475" s="162">
        <f t="shared" si="7"/>
        <v>0</v>
      </c>
      <c r="K475" s="71"/>
      <c r="L475" s="71"/>
      <c r="M475" s="71"/>
      <c r="N475" s="71"/>
    </row>
    <row r="476" spans="1:58" ht="48.6" customHeight="1">
      <c r="A476" s="1416" t="s">
        <v>170</v>
      </c>
      <c r="B476" s="1416"/>
      <c r="C476" s="367" t="s">
        <v>665</v>
      </c>
      <c r="D476" s="1351" t="s">
        <v>828</v>
      </c>
      <c r="E476" s="367"/>
      <c r="F476" s="367"/>
      <c r="G476" s="367"/>
      <c r="H476" s="360">
        <f>+'видатки по розпорядниках'!M477</f>
        <v>4000000</v>
      </c>
      <c r="I476" s="162">
        <f t="shared" si="7"/>
        <v>4000000</v>
      </c>
      <c r="K476" s="71"/>
      <c r="L476" s="71"/>
      <c r="M476" s="71"/>
      <c r="N476" s="71"/>
    </row>
    <row r="477" spans="1:58" ht="33.6" hidden="1" customHeight="1">
      <c r="A477" s="569" t="s">
        <v>1371</v>
      </c>
      <c r="B477" s="569" t="s">
        <v>171</v>
      </c>
      <c r="C477" s="367" t="s">
        <v>487</v>
      </c>
      <c r="D477" s="367"/>
      <c r="E477" s="367"/>
      <c r="F477" s="367"/>
      <c r="G477" s="367"/>
      <c r="H477" s="360">
        <f>+'видатки по розпорядниках'!M478</f>
        <v>0</v>
      </c>
      <c r="I477" s="162">
        <f t="shared" si="7"/>
        <v>0</v>
      </c>
      <c r="J477" s="24"/>
      <c r="K477" s="44"/>
      <c r="L477" s="44"/>
      <c r="M477" s="44"/>
      <c r="N477" s="44"/>
      <c r="O477" s="24"/>
    </row>
    <row r="478" spans="1:58" ht="79.150000000000006" hidden="1" customHeight="1">
      <c r="A478" s="569" t="s">
        <v>1372</v>
      </c>
      <c r="B478" s="569" t="s">
        <v>759</v>
      </c>
      <c r="C478" s="364" t="s">
        <v>396</v>
      </c>
      <c r="D478" s="364"/>
      <c r="E478" s="364"/>
      <c r="F478" s="364"/>
      <c r="G478" s="364"/>
      <c r="H478" s="360">
        <f>+'видатки по розпорядниках'!M479</f>
        <v>0</v>
      </c>
      <c r="I478" s="162">
        <f t="shared" si="7"/>
        <v>0</v>
      </c>
      <c r="K478" s="71"/>
      <c r="L478" s="71"/>
      <c r="M478" s="71"/>
      <c r="N478" s="71"/>
    </row>
    <row r="479" spans="1:58" ht="52.15" hidden="1" customHeight="1">
      <c r="A479" s="569" t="s">
        <v>1373</v>
      </c>
      <c r="B479" s="569" t="s">
        <v>131</v>
      </c>
      <c r="C479" s="364" t="s">
        <v>314</v>
      </c>
      <c r="D479" s="364"/>
      <c r="E479" s="364"/>
      <c r="F479" s="364"/>
      <c r="G479" s="364"/>
      <c r="H479" s="360">
        <f>+'видатки по розпорядниках'!M480</f>
        <v>0</v>
      </c>
      <c r="I479" s="162">
        <f t="shared" si="7"/>
        <v>0</v>
      </c>
      <c r="K479" s="71"/>
      <c r="L479" s="71"/>
      <c r="M479" s="71"/>
      <c r="N479" s="71"/>
    </row>
    <row r="480" spans="1:58" ht="66.599999999999994" hidden="1" customHeight="1">
      <c r="A480" s="569" t="s">
        <v>1374</v>
      </c>
      <c r="B480" s="569" t="s">
        <v>381</v>
      </c>
      <c r="C480" s="364" t="s">
        <v>1520</v>
      </c>
      <c r="D480" s="364"/>
      <c r="E480" s="364"/>
      <c r="F480" s="364"/>
      <c r="G480" s="364"/>
      <c r="H480" s="360">
        <f>+'видатки по розпорядниках'!M481</f>
        <v>0</v>
      </c>
      <c r="I480" s="162">
        <f t="shared" si="7"/>
        <v>0</v>
      </c>
      <c r="K480" s="71"/>
      <c r="L480" s="71"/>
      <c r="M480" s="71"/>
      <c r="N480" s="71"/>
    </row>
    <row r="481" spans="1:58" ht="23.45" hidden="1" customHeight="1">
      <c r="A481" s="570"/>
      <c r="B481" s="569"/>
      <c r="C481" s="364" t="s">
        <v>1467</v>
      </c>
      <c r="D481" s="364"/>
      <c r="E481" s="364"/>
      <c r="F481" s="364"/>
      <c r="G481" s="364"/>
      <c r="H481" s="360">
        <f>+'видатки по розпорядниках'!M482</f>
        <v>0</v>
      </c>
      <c r="I481" s="162">
        <f t="shared" si="7"/>
        <v>0</v>
      </c>
      <c r="K481" s="71"/>
      <c r="L481" s="71"/>
      <c r="M481" s="71"/>
      <c r="N481" s="71"/>
    </row>
    <row r="482" spans="1:58" ht="15.75" hidden="1">
      <c r="A482" s="570"/>
      <c r="B482" s="550"/>
      <c r="C482" s="197" t="s">
        <v>382</v>
      </c>
      <c r="D482" s="197"/>
      <c r="E482" s="197"/>
      <c r="F482" s="197"/>
      <c r="G482" s="197"/>
      <c r="H482" s="360">
        <f>+'видатки по розпорядниках'!M483</f>
        <v>0</v>
      </c>
      <c r="I482" s="162">
        <f t="shared" si="7"/>
        <v>0</v>
      </c>
      <c r="J482" s="2"/>
      <c r="K482" s="7"/>
      <c r="L482" s="7"/>
      <c r="M482" s="7"/>
      <c r="N482" s="7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</row>
    <row r="483" spans="1:58" ht="21.6" hidden="1" customHeight="1">
      <c r="A483" s="570"/>
      <c r="B483" s="550"/>
      <c r="C483" s="197" t="s">
        <v>1590</v>
      </c>
      <c r="D483" s="197"/>
      <c r="E483" s="197"/>
      <c r="F483" s="197"/>
      <c r="G483" s="197"/>
      <c r="H483" s="360">
        <f>+'видатки по розпорядниках'!M484</f>
        <v>0</v>
      </c>
      <c r="I483" s="162">
        <f t="shared" si="7"/>
        <v>0</v>
      </c>
      <c r="J483" s="2"/>
      <c r="K483" s="124" t="e">
        <f>+#REF!</f>
        <v>#REF!</v>
      </c>
      <c r="L483" s="124"/>
      <c r="M483" s="124"/>
      <c r="N483" s="12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</row>
    <row r="484" spans="1:58" ht="45.6" hidden="1" customHeight="1">
      <c r="A484" s="570"/>
      <c r="B484" s="575"/>
      <c r="C484" s="170" t="s">
        <v>450</v>
      </c>
      <c r="D484" s="170"/>
      <c r="E484" s="170"/>
      <c r="F484" s="170"/>
      <c r="G484" s="170"/>
      <c r="H484" s="360">
        <f>+'видатки по розпорядниках'!M485</f>
        <v>0</v>
      </c>
      <c r="I484" s="162">
        <f t="shared" si="7"/>
        <v>0</v>
      </c>
      <c r="J484" s="2"/>
      <c r="K484" s="124"/>
      <c r="L484" s="124"/>
      <c r="M484" s="124"/>
      <c r="N484" s="12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</row>
    <row r="485" spans="1:58" ht="19.899999999999999" hidden="1" customHeight="1" outlineLevel="1">
      <c r="A485" s="570"/>
      <c r="B485" s="550" t="s">
        <v>1508</v>
      </c>
      <c r="C485" s="197" t="s">
        <v>532</v>
      </c>
      <c r="D485" s="197"/>
      <c r="E485" s="197"/>
      <c r="F485" s="197"/>
      <c r="G485" s="197"/>
      <c r="H485" s="360">
        <f>+'видатки по розпорядниках'!M486</f>
        <v>0</v>
      </c>
      <c r="I485" s="162">
        <f t="shared" si="7"/>
        <v>0</v>
      </c>
      <c r="J485" s="2"/>
      <c r="K485" s="124"/>
      <c r="L485" s="124"/>
      <c r="M485" s="124"/>
      <c r="N485" s="12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</row>
    <row r="486" spans="1:58" ht="45.6" hidden="1" customHeight="1" outlineLevel="1">
      <c r="A486" s="570"/>
      <c r="B486" s="550" t="s">
        <v>893</v>
      </c>
      <c r="C486" s="445" t="s">
        <v>1135</v>
      </c>
      <c r="D486" s="445"/>
      <c r="E486" s="445"/>
      <c r="F486" s="445"/>
      <c r="G486" s="445"/>
      <c r="H486" s="360">
        <f>+'видатки по розпорядниках'!M487</f>
        <v>0</v>
      </c>
      <c r="I486" s="162">
        <f t="shared" si="7"/>
        <v>0</v>
      </c>
      <c r="K486" s="71"/>
      <c r="L486" s="71"/>
      <c r="M486" s="71"/>
      <c r="N486" s="71"/>
    </row>
    <row r="487" spans="1:58" ht="22.9" hidden="1" customHeight="1">
      <c r="A487" s="359" t="s">
        <v>1174</v>
      </c>
      <c r="B487" s="359" t="s">
        <v>962</v>
      </c>
      <c r="C487" s="360" t="s">
        <v>726</v>
      </c>
      <c r="D487" s="360"/>
      <c r="E487" s="360"/>
      <c r="F487" s="360"/>
      <c r="G487" s="360"/>
      <c r="H487" s="360">
        <f>+'видатки по розпорядниках'!M488</f>
        <v>0</v>
      </c>
      <c r="I487" s="162">
        <f t="shared" si="7"/>
        <v>0</v>
      </c>
      <c r="K487" s="71" t="e">
        <f>+#REF!+#REF!</f>
        <v>#REF!</v>
      </c>
      <c r="L487" s="71"/>
      <c r="M487" s="71"/>
      <c r="N487" s="71"/>
    </row>
    <row r="488" spans="1:58" ht="22.9" hidden="1" customHeight="1">
      <c r="A488" s="570"/>
      <c r="B488" s="570" t="s">
        <v>1624</v>
      </c>
      <c r="C488" s="171" t="s">
        <v>514</v>
      </c>
      <c r="D488" s="171"/>
      <c r="E488" s="171"/>
      <c r="F488" s="171"/>
      <c r="G488" s="171"/>
      <c r="H488" s="360">
        <f>+'видатки по розпорядниках'!M489</f>
        <v>0</v>
      </c>
      <c r="I488" s="162">
        <f t="shared" si="7"/>
        <v>0</v>
      </c>
      <c r="J488" s="2"/>
      <c r="K488" s="7"/>
      <c r="L488" s="7"/>
      <c r="M488" s="7"/>
      <c r="N488" s="7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</row>
    <row r="489" spans="1:58" ht="22.9" hidden="1" customHeight="1">
      <c r="A489" s="570"/>
      <c r="B489" s="570" t="s">
        <v>516</v>
      </c>
      <c r="C489" s="171" t="s">
        <v>1405</v>
      </c>
      <c r="D489" s="171"/>
      <c r="E489" s="171"/>
      <c r="F489" s="171"/>
      <c r="G489" s="171"/>
      <c r="H489" s="360">
        <f>+'видатки по розпорядниках'!M490</f>
        <v>0</v>
      </c>
      <c r="I489" s="162">
        <f t="shared" si="7"/>
        <v>0</v>
      </c>
      <c r="J489" s="2"/>
      <c r="K489" s="124"/>
      <c r="L489" s="124"/>
      <c r="M489" s="124"/>
      <c r="N489" s="12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</row>
    <row r="490" spans="1:58" ht="31.15" hidden="1" customHeight="1">
      <c r="A490" s="570"/>
      <c r="B490" s="570" t="s">
        <v>1625</v>
      </c>
      <c r="C490" s="171" t="s">
        <v>1406</v>
      </c>
      <c r="D490" s="171"/>
      <c r="E490" s="171"/>
      <c r="F490" s="171"/>
      <c r="G490" s="171"/>
      <c r="H490" s="360">
        <f>+'видатки по розпорядниках'!M491</f>
        <v>0</v>
      </c>
      <c r="I490" s="162">
        <f t="shared" si="7"/>
        <v>0</v>
      </c>
      <c r="J490" s="2"/>
      <c r="K490" s="124"/>
      <c r="L490" s="124"/>
      <c r="M490" s="124"/>
      <c r="N490" s="12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</row>
    <row r="491" spans="1:58" ht="21" hidden="1" customHeight="1">
      <c r="A491" s="570"/>
      <c r="B491" s="570" t="s">
        <v>1626</v>
      </c>
      <c r="C491" s="171" t="s">
        <v>515</v>
      </c>
      <c r="D491" s="171"/>
      <c r="E491" s="171"/>
      <c r="F491" s="171"/>
      <c r="G491" s="171"/>
      <c r="H491" s="360">
        <f>+'видатки по розпорядниках'!M492</f>
        <v>0</v>
      </c>
      <c r="I491" s="162">
        <f t="shared" si="7"/>
        <v>0</v>
      </c>
      <c r="J491" s="2"/>
      <c r="K491" s="124"/>
      <c r="L491" s="124"/>
      <c r="M491" s="124"/>
      <c r="N491" s="12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</row>
    <row r="492" spans="1:58" ht="24" hidden="1" customHeight="1">
      <c r="A492" s="570"/>
      <c r="B492" s="570" t="s">
        <v>1627</v>
      </c>
      <c r="C492" s="171" t="s">
        <v>1238</v>
      </c>
      <c r="D492" s="171"/>
      <c r="E492" s="171"/>
      <c r="F492" s="171"/>
      <c r="G492" s="171"/>
      <c r="H492" s="360">
        <f>+'видатки по розпорядниках'!M493</f>
        <v>0</v>
      </c>
      <c r="I492" s="162">
        <f t="shared" si="7"/>
        <v>0</v>
      </c>
      <c r="J492" s="2"/>
      <c r="K492" s="124"/>
      <c r="L492" s="124"/>
      <c r="M492" s="124"/>
      <c r="N492" s="12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</row>
    <row r="493" spans="1:58" ht="19.899999999999999" hidden="1" customHeight="1">
      <c r="A493" s="570"/>
      <c r="B493" s="570" t="s">
        <v>1407</v>
      </c>
      <c r="C493" s="171" t="s">
        <v>966</v>
      </c>
      <c r="D493" s="171"/>
      <c r="E493" s="171"/>
      <c r="F493" s="171"/>
      <c r="G493" s="171"/>
      <c r="H493" s="360">
        <f>+'видатки по розпорядниках'!M494</f>
        <v>0</v>
      </c>
      <c r="I493" s="162">
        <f t="shared" si="7"/>
        <v>0</v>
      </c>
      <c r="J493" s="2"/>
      <c r="K493" s="124"/>
      <c r="L493" s="124"/>
      <c r="M493" s="124"/>
      <c r="N493" s="12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</row>
    <row r="494" spans="1:58" ht="19.899999999999999" hidden="1" customHeight="1">
      <c r="A494" s="570"/>
      <c r="B494" s="570" t="s">
        <v>539</v>
      </c>
      <c r="C494" s="171" t="s">
        <v>1137</v>
      </c>
      <c r="D494" s="171"/>
      <c r="E494" s="171"/>
      <c r="F494" s="171"/>
      <c r="G494" s="171"/>
      <c r="H494" s="360">
        <f>+'видатки по розпорядниках'!M495</f>
        <v>0</v>
      </c>
      <c r="I494" s="162">
        <f t="shared" si="7"/>
        <v>0</v>
      </c>
      <c r="J494" s="2"/>
      <c r="K494" s="124"/>
      <c r="L494" s="124"/>
      <c r="M494" s="124"/>
      <c r="N494" s="124"/>
      <c r="O494" s="2"/>
      <c r="P494" s="2"/>
      <c r="Q494" s="2"/>
      <c r="R494" s="2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</row>
    <row r="495" spans="1:58" ht="22.9" hidden="1" customHeight="1">
      <c r="A495" s="570"/>
      <c r="B495" s="570" t="s">
        <v>727</v>
      </c>
      <c r="C495" s="171" t="s">
        <v>728</v>
      </c>
      <c r="D495" s="171"/>
      <c r="E495" s="171"/>
      <c r="F495" s="171"/>
      <c r="G495" s="171"/>
      <c r="H495" s="360">
        <f>+'видатки по розпорядниках'!M496</f>
        <v>0</v>
      </c>
      <c r="I495" s="162">
        <f t="shared" si="7"/>
        <v>0</v>
      </c>
      <c r="J495" s="2"/>
      <c r="K495" s="124"/>
      <c r="L495" s="124"/>
      <c r="M495" s="124"/>
      <c r="N495" s="124"/>
      <c r="O495" s="2"/>
      <c r="P495" s="2"/>
      <c r="Q495" s="2"/>
      <c r="R495" s="2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</row>
    <row r="496" spans="1:58" ht="25.15" hidden="1" customHeight="1">
      <c r="A496" s="570"/>
      <c r="B496" s="570" t="s">
        <v>1604</v>
      </c>
      <c r="C496" s="171" t="s">
        <v>387</v>
      </c>
      <c r="D496" s="171"/>
      <c r="E496" s="171"/>
      <c r="F496" s="171"/>
      <c r="G496" s="171"/>
      <c r="H496" s="360">
        <f>+'видатки по розпорядниках'!M497</f>
        <v>0</v>
      </c>
      <c r="I496" s="162">
        <f t="shared" si="7"/>
        <v>0</v>
      </c>
      <c r="J496" s="2"/>
      <c r="K496" s="124"/>
      <c r="L496" s="124"/>
      <c r="M496" s="124"/>
      <c r="N496" s="124"/>
      <c r="O496" s="2"/>
      <c r="P496" s="2"/>
      <c r="Q496" s="2"/>
      <c r="R496" s="2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</row>
    <row r="497" spans="1:58" ht="40.15" hidden="1" customHeight="1">
      <c r="A497" s="570"/>
      <c r="B497" s="569" t="s">
        <v>1622</v>
      </c>
      <c r="C497" s="364" t="s">
        <v>1200</v>
      </c>
      <c r="D497" s="364"/>
      <c r="E497" s="364"/>
      <c r="F497" s="364"/>
      <c r="G497" s="364"/>
      <c r="H497" s="360">
        <f>+'видатки по розпорядниках'!M498</f>
        <v>0</v>
      </c>
      <c r="I497" s="162">
        <f t="shared" si="7"/>
        <v>0</v>
      </c>
      <c r="K497" s="71"/>
      <c r="L497" s="71"/>
      <c r="M497" s="71"/>
      <c r="N497" s="71"/>
    </row>
    <row r="498" spans="1:58" ht="41.45" hidden="1" customHeight="1">
      <c r="A498" s="570"/>
      <c r="B498" s="567" t="s">
        <v>1140</v>
      </c>
      <c r="C498" s="170" t="s">
        <v>1475</v>
      </c>
      <c r="D498" s="170"/>
      <c r="E498" s="170"/>
      <c r="F498" s="170"/>
      <c r="G498" s="170"/>
      <c r="H498" s="360">
        <f>+'видатки по розпорядниках'!M499</f>
        <v>0</v>
      </c>
      <c r="I498" s="162">
        <f t="shared" si="7"/>
        <v>0</v>
      </c>
      <c r="K498" s="71"/>
      <c r="L498" s="71"/>
      <c r="M498" s="71"/>
      <c r="N498" s="71"/>
    </row>
    <row r="499" spans="1:58" ht="67.150000000000006" hidden="1" customHeight="1">
      <c r="A499" s="570"/>
      <c r="B499" s="569" t="s">
        <v>682</v>
      </c>
      <c r="C499" s="447" t="s">
        <v>683</v>
      </c>
      <c r="D499" s="447"/>
      <c r="E499" s="447"/>
      <c r="F499" s="447"/>
      <c r="G499" s="447"/>
      <c r="H499" s="360">
        <f>+'видатки по розпорядниках'!M500</f>
        <v>0</v>
      </c>
      <c r="I499" s="162">
        <f t="shared" si="7"/>
        <v>0</v>
      </c>
      <c r="K499" s="71"/>
      <c r="L499" s="71"/>
      <c r="M499" s="71"/>
      <c r="N499" s="71"/>
    </row>
    <row r="500" spans="1:58" ht="70.150000000000006" hidden="1" customHeight="1">
      <c r="A500" s="570"/>
      <c r="B500" s="569" t="s">
        <v>1127</v>
      </c>
      <c r="C500" s="217" t="s">
        <v>1268</v>
      </c>
      <c r="D500" s="217"/>
      <c r="E500" s="217"/>
      <c r="F500" s="217"/>
      <c r="G500" s="217"/>
      <c r="H500" s="360">
        <f>+'видатки по розпорядниках'!M501</f>
        <v>0</v>
      </c>
      <c r="I500" s="162">
        <f t="shared" si="7"/>
        <v>0</v>
      </c>
      <c r="J500" s="54"/>
      <c r="K500" s="123"/>
      <c r="L500" s="123"/>
      <c r="M500" s="123"/>
      <c r="N500" s="123"/>
      <c r="O500" s="5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</row>
    <row r="501" spans="1:58" ht="22.15" hidden="1" customHeight="1">
      <c r="A501" s="570"/>
      <c r="B501" s="565"/>
      <c r="C501" s="217" t="s">
        <v>1598</v>
      </c>
      <c r="D501" s="217"/>
      <c r="E501" s="217"/>
      <c r="F501" s="217"/>
      <c r="G501" s="217"/>
      <c r="H501" s="360">
        <f>+'видатки по розпорядниках'!M502</f>
        <v>0</v>
      </c>
      <c r="I501" s="162">
        <f t="shared" si="7"/>
        <v>0</v>
      </c>
      <c r="J501" s="54"/>
      <c r="K501" s="123"/>
      <c r="L501" s="123"/>
      <c r="M501" s="123"/>
      <c r="N501" s="123"/>
      <c r="O501" s="5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</row>
    <row r="502" spans="1:58" ht="78.75" hidden="1" customHeight="1">
      <c r="A502" s="570"/>
      <c r="B502" s="565"/>
      <c r="C502" s="370" t="s">
        <v>234</v>
      </c>
      <c r="D502" s="370"/>
      <c r="E502" s="370"/>
      <c r="F502" s="370"/>
      <c r="G502" s="370"/>
      <c r="H502" s="360">
        <f>+'видатки по розпорядниках'!M503</f>
        <v>0</v>
      </c>
      <c r="I502" s="162">
        <f t="shared" si="7"/>
        <v>0</v>
      </c>
      <c r="J502" s="54"/>
      <c r="K502" s="123"/>
      <c r="L502" s="123"/>
      <c r="M502" s="123"/>
      <c r="N502" s="123"/>
      <c r="O502" s="5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</row>
    <row r="503" spans="1:58" ht="169.5" hidden="1" customHeight="1">
      <c r="A503" s="570"/>
      <c r="B503" s="565"/>
      <c r="C503" s="370" t="s">
        <v>1587</v>
      </c>
      <c r="D503" s="370"/>
      <c r="E503" s="370"/>
      <c r="F503" s="370"/>
      <c r="G503" s="370"/>
      <c r="H503" s="360">
        <f>+'видатки по розпорядниках'!M504</f>
        <v>0</v>
      </c>
      <c r="I503" s="162">
        <f t="shared" si="7"/>
        <v>0</v>
      </c>
      <c r="J503" s="54"/>
      <c r="K503" s="123"/>
      <c r="L503" s="123"/>
      <c r="M503" s="123"/>
      <c r="N503" s="123"/>
      <c r="O503" s="5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</row>
    <row r="504" spans="1:58" ht="30.6" hidden="1" customHeight="1">
      <c r="A504" s="570"/>
      <c r="B504" s="550"/>
      <c r="C504" s="558" t="s">
        <v>1041</v>
      </c>
      <c r="D504" s="558"/>
      <c r="E504" s="558"/>
      <c r="F504" s="558"/>
      <c r="G504" s="558"/>
      <c r="H504" s="360">
        <f>+'видатки по розпорядниках'!M505</f>
        <v>0</v>
      </c>
      <c r="I504" s="162">
        <f t="shared" si="7"/>
        <v>0</v>
      </c>
      <c r="J504" s="54"/>
      <c r="K504" s="123"/>
      <c r="L504" s="123"/>
      <c r="M504" s="123"/>
      <c r="N504" s="123"/>
      <c r="O504" s="5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</row>
    <row r="505" spans="1:58" ht="32.450000000000003" hidden="1" customHeight="1">
      <c r="A505" s="570"/>
      <c r="B505" s="570" t="s">
        <v>1512</v>
      </c>
      <c r="C505" s="171" t="s">
        <v>268</v>
      </c>
      <c r="D505" s="171"/>
      <c r="E505" s="171"/>
      <c r="F505" s="171"/>
      <c r="G505" s="171"/>
      <c r="H505" s="360">
        <f>+'видатки по розпорядниках'!M506</f>
        <v>0</v>
      </c>
      <c r="I505" s="162">
        <f t="shared" si="7"/>
        <v>0</v>
      </c>
      <c r="J505" s="54"/>
      <c r="K505" s="125"/>
      <c r="L505" s="125"/>
      <c r="M505" s="125"/>
      <c r="N505" s="125"/>
      <c r="O505" s="5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</row>
    <row r="506" spans="1:58" ht="37.9" hidden="1" customHeight="1">
      <c r="A506" s="570"/>
      <c r="B506" s="569" t="s">
        <v>1287</v>
      </c>
      <c r="C506" s="197" t="s">
        <v>1478</v>
      </c>
      <c r="D506" s="197"/>
      <c r="E506" s="197"/>
      <c r="F506" s="197"/>
      <c r="G506" s="197"/>
      <c r="H506" s="360">
        <f>+'видатки по розпорядниках'!M507</f>
        <v>0</v>
      </c>
      <c r="I506" s="162">
        <f t="shared" si="7"/>
        <v>0</v>
      </c>
      <c r="K506" s="71"/>
      <c r="L506" s="71"/>
      <c r="M506" s="71"/>
      <c r="N506" s="71"/>
    </row>
    <row r="507" spans="1:58" ht="26.45" hidden="1" customHeight="1">
      <c r="A507" s="570"/>
      <c r="B507" s="570"/>
      <c r="C507" s="364" t="s">
        <v>747</v>
      </c>
      <c r="D507" s="364"/>
      <c r="E507" s="364"/>
      <c r="F507" s="364"/>
      <c r="G507" s="364"/>
      <c r="H507" s="360">
        <f>+'видатки по розпорядниках'!M508</f>
        <v>0</v>
      </c>
      <c r="I507" s="162">
        <f t="shared" si="7"/>
        <v>0</v>
      </c>
      <c r="K507" s="71"/>
      <c r="L507" s="71"/>
      <c r="M507" s="71"/>
      <c r="N507" s="71"/>
    </row>
    <row r="508" spans="1:58" ht="78.599999999999994" hidden="1" customHeight="1">
      <c r="A508" s="570"/>
      <c r="B508" s="570"/>
      <c r="C508" s="370" t="s">
        <v>234</v>
      </c>
      <c r="D508" s="370"/>
      <c r="E508" s="370"/>
      <c r="F508" s="370"/>
      <c r="G508" s="370"/>
      <c r="H508" s="360">
        <f>+'видатки по розпорядниках'!M509</f>
        <v>0</v>
      </c>
      <c r="I508" s="162">
        <f t="shared" si="7"/>
        <v>0</v>
      </c>
      <c r="K508" s="71"/>
      <c r="L508" s="71"/>
      <c r="M508" s="71"/>
      <c r="N508" s="71"/>
    </row>
    <row r="509" spans="1:58" ht="64.150000000000006" hidden="1" customHeight="1">
      <c r="A509" s="570"/>
      <c r="B509" s="570"/>
      <c r="C509" s="370" t="s">
        <v>90</v>
      </c>
      <c r="D509" s="370"/>
      <c r="E509" s="370"/>
      <c r="F509" s="370"/>
      <c r="G509" s="370"/>
      <c r="H509" s="360">
        <f>+'видатки по розпорядниках'!M510</f>
        <v>0</v>
      </c>
      <c r="I509" s="162">
        <f t="shared" si="7"/>
        <v>0</v>
      </c>
      <c r="K509" s="71"/>
      <c r="L509" s="71"/>
      <c r="M509" s="71"/>
      <c r="N509" s="71"/>
    </row>
    <row r="510" spans="1:58" ht="67.900000000000006" hidden="1" customHeight="1">
      <c r="A510" s="570"/>
      <c r="B510" s="570"/>
      <c r="C510" s="364" t="s">
        <v>1466</v>
      </c>
      <c r="D510" s="364"/>
      <c r="E510" s="364"/>
      <c r="F510" s="364"/>
      <c r="G510" s="364"/>
      <c r="H510" s="360">
        <f>+'видатки по розпорядниках'!M511</f>
        <v>0</v>
      </c>
      <c r="I510" s="162">
        <f t="shared" si="7"/>
        <v>0</v>
      </c>
      <c r="K510" s="71"/>
      <c r="L510" s="71"/>
      <c r="M510" s="71"/>
      <c r="N510" s="71"/>
    </row>
    <row r="511" spans="1:58" ht="19.149999999999999" hidden="1" customHeight="1">
      <c r="A511" s="570"/>
      <c r="B511" s="570"/>
      <c r="C511" s="171" t="s">
        <v>710</v>
      </c>
      <c r="D511" s="171"/>
      <c r="E511" s="171"/>
      <c r="F511" s="171"/>
      <c r="G511" s="171"/>
      <c r="H511" s="360">
        <f>+'видатки по розпорядниках'!M512</f>
        <v>0</v>
      </c>
      <c r="I511" s="162">
        <f t="shared" si="7"/>
        <v>0</v>
      </c>
      <c r="J511" s="2"/>
      <c r="K511" s="7"/>
      <c r="L511" s="7"/>
      <c r="M511" s="7"/>
      <c r="N511" s="7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</row>
    <row r="512" spans="1:58" ht="21" hidden="1" customHeight="1">
      <c r="A512" s="570"/>
      <c r="B512" s="570"/>
      <c r="C512" s="171" t="s">
        <v>712</v>
      </c>
      <c r="D512" s="171"/>
      <c r="E512" s="171"/>
      <c r="F512" s="171"/>
      <c r="G512" s="171"/>
      <c r="H512" s="360">
        <f>+'видатки по розпорядниках'!M513</f>
        <v>0</v>
      </c>
      <c r="I512" s="162">
        <f t="shared" si="7"/>
        <v>0</v>
      </c>
      <c r="J512" s="2"/>
      <c r="K512" s="124"/>
      <c r="L512" s="124"/>
      <c r="M512" s="124"/>
      <c r="N512" s="12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</row>
    <row r="513" spans="1:58" ht="34.15" hidden="1" customHeight="1">
      <c r="A513" s="570"/>
      <c r="B513" s="570"/>
      <c r="C513" s="171" t="s">
        <v>186</v>
      </c>
      <c r="D513" s="171"/>
      <c r="E513" s="171"/>
      <c r="F513" s="171"/>
      <c r="G513" s="171"/>
      <c r="H513" s="360">
        <f>+'видатки по розпорядниках'!M514</f>
        <v>0</v>
      </c>
      <c r="I513" s="162">
        <f t="shared" si="7"/>
        <v>0</v>
      </c>
      <c r="J513" s="2"/>
      <c r="K513" s="124"/>
      <c r="L513" s="124"/>
      <c r="M513" s="124"/>
      <c r="N513" s="12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</row>
    <row r="514" spans="1:58" ht="42.6" hidden="1" customHeight="1">
      <c r="A514" s="570"/>
      <c r="B514" s="570"/>
      <c r="C514" s="171" t="s">
        <v>976</v>
      </c>
      <c r="D514" s="171"/>
      <c r="E514" s="171"/>
      <c r="F514" s="171"/>
      <c r="G514" s="171"/>
      <c r="H514" s="360">
        <f>+'видатки по розпорядниках'!M515</f>
        <v>0</v>
      </c>
      <c r="I514" s="162">
        <f t="shared" si="7"/>
        <v>0</v>
      </c>
      <c r="J514" s="2"/>
      <c r="K514" s="124"/>
      <c r="L514" s="124"/>
      <c r="M514" s="124"/>
      <c r="N514" s="12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</row>
    <row r="515" spans="1:58" ht="46.9" hidden="1" customHeight="1">
      <c r="A515" s="570"/>
      <c r="B515" s="570"/>
      <c r="C515" s="615" t="s">
        <v>753</v>
      </c>
      <c r="D515" s="615"/>
      <c r="E515" s="615"/>
      <c r="F515" s="615"/>
      <c r="G515" s="615"/>
      <c r="H515" s="360">
        <f>+'видатки по розпорядниках'!M516</f>
        <v>0</v>
      </c>
      <c r="I515" s="162">
        <f t="shared" si="7"/>
        <v>0</v>
      </c>
      <c r="J515" s="2"/>
      <c r="K515" s="124"/>
      <c r="L515" s="124"/>
      <c r="M515" s="124"/>
      <c r="N515" s="12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</row>
    <row r="516" spans="1:58" ht="45" customHeight="1">
      <c r="A516" s="359" t="s">
        <v>1173</v>
      </c>
      <c r="B516" s="359" t="s">
        <v>1171</v>
      </c>
      <c r="C516" s="360" t="s">
        <v>1182</v>
      </c>
      <c r="D516" s="360"/>
      <c r="E516" s="360"/>
      <c r="F516" s="360"/>
      <c r="G516" s="360"/>
      <c r="H516" s="503">
        <f>+'видатки по розпорядниках'!M517</f>
        <v>2900000</v>
      </c>
      <c r="I516" s="162">
        <f t="shared" si="7"/>
        <v>2900000</v>
      </c>
      <c r="K516" s="71" t="e">
        <f>SUM(#REF!)</f>
        <v>#REF!</v>
      </c>
      <c r="L516" s="71"/>
      <c r="M516" s="71"/>
      <c r="N516" s="71"/>
      <c r="R516" s="46"/>
      <c r="S516" s="43" t="s">
        <v>310</v>
      </c>
      <c r="T516" s="44">
        <f>SUM(T522:T523)</f>
        <v>193</v>
      </c>
      <c r="U516" s="44">
        <f>SUM(U522:U523)</f>
        <v>193</v>
      </c>
      <c r="V516" s="44">
        <f>SUM(V522:V523)</f>
        <v>24</v>
      </c>
    </row>
    <row r="517" spans="1:58" ht="40.9" customHeight="1">
      <c r="A517" s="1416" t="s">
        <v>729</v>
      </c>
      <c r="B517" s="1416"/>
      <c r="C517" s="364" t="s">
        <v>616</v>
      </c>
      <c r="D517" s="1351" t="s">
        <v>828</v>
      </c>
      <c r="E517" s="364"/>
      <c r="F517" s="364"/>
      <c r="G517" s="364"/>
      <c r="H517" s="360">
        <f>+'видатки по розпорядниках'!M518</f>
        <v>2900000</v>
      </c>
      <c r="I517" s="162">
        <f t="shared" si="7"/>
        <v>2900000</v>
      </c>
      <c r="K517" s="71"/>
      <c r="L517" s="71"/>
      <c r="M517" s="71"/>
      <c r="N517" s="71"/>
      <c r="R517" s="46"/>
      <c r="S517" s="43"/>
      <c r="T517" s="44"/>
      <c r="U517" s="44"/>
      <c r="V517" s="44"/>
    </row>
    <row r="518" spans="1:58" ht="89.45" hidden="1" customHeight="1">
      <c r="A518" s="570"/>
      <c r="B518" s="575"/>
      <c r="C518" s="170" t="s">
        <v>735</v>
      </c>
      <c r="D518" s="170"/>
      <c r="E518" s="170"/>
      <c r="F518" s="170"/>
      <c r="G518" s="170"/>
      <c r="H518" s="360">
        <f>+'видатки по розпорядниках'!M519</f>
        <v>0</v>
      </c>
      <c r="I518" s="162">
        <f t="shared" si="7"/>
        <v>0</v>
      </c>
      <c r="K518" s="71"/>
      <c r="L518" s="71"/>
      <c r="M518" s="71"/>
      <c r="N518" s="71"/>
      <c r="R518" s="46"/>
      <c r="S518" s="43"/>
      <c r="T518" s="44"/>
      <c r="U518" s="44"/>
      <c r="V518" s="44"/>
    </row>
    <row r="519" spans="1:58" ht="25.15" hidden="1" customHeight="1">
      <c r="A519" s="570"/>
      <c r="B519" s="575"/>
      <c r="C519" s="170" t="s">
        <v>1474</v>
      </c>
      <c r="D519" s="170"/>
      <c r="E519" s="170"/>
      <c r="F519" s="170"/>
      <c r="G519" s="170"/>
      <c r="H519" s="360">
        <f>+'видатки по розпорядниках'!M520</f>
        <v>0</v>
      </c>
      <c r="I519" s="162">
        <f t="shared" si="7"/>
        <v>0</v>
      </c>
      <c r="K519" s="71"/>
      <c r="L519" s="71"/>
      <c r="M519" s="71"/>
      <c r="N519" s="71"/>
      <c r="R519" s="46"/>
      <c r="S519" s="43"/>
      <c r="T519" s="44"/>
      <c r="U519" s="44"/>
      <c r="V519" s="44"/>
    </row>
    <row r="520" spans="1:58" ht="64.150000000000006" hidden="1" customHeight="1">
      <c r="A520" s="570"/>
      <c r="B520" s="575"/>
      <c r="C520" s="170" t="s">
        <v>724</v>
      </c>
      <c r="D520" s="170"/>
      <c r="E520" s="170"/>
      <c r="F520" s="170"/>
      <c r="G520" s="170"/>
      <c r="H520" s="360">
        <f>+'видатки по розпорядниках'!M521</f>
        <v>0</v>
      </c>
      <c r="I520" s="162">
        <f t="shared" si="7"/>
        <v>0</v>
      </c>
      <c r="K520" s="71"/>
      <c r="L520" s="71"/>
      <c r="M520" s="71"/>
      <c r="N520" s="71"/>
      <c r="R520" s="46"/>
      <c r="S520" s="43"/>
      <c r="T520" s="44"/>
      <c r="U520" s="44"/>
      <c r="V520" s="44"/>
    </row>
    <row r="521" spans="1:58" ht="30" hidden="1" customHeight="1">
      <c r="A521" s="570"/>
      <c r="B521" s="575"/>
      <c r="C521" s="170" t="s">
        <v>264</v>
      </c>
      <c r="D521" s="170"/>
      <c r="E521" s="170"/>
      <c r="F521" s="170"/>
      <c r="G521" s="170"/>
      <c r="H521" s="360">
        <f>+'видатки по розпорядниках'!M522</f>
        <v>0</v>
      </c>
      <c r="I521" s="162">
        <f t="shared" si="7"/>
        <v>0</v>
      </c>
      <c r="K521" s="71"/>
      <c r="L521" s="71"/>
      <c r="M521" s="71"/>
      <c r="N521" s="71"/>
      <c r="R521" s="46"/>
      <c r="S521" s="43"/>
      <c r="T521" s="44"/>
      <c r="U521" s="44"/>
      <c r="V521" s="44"/>
    </row>
    <row r="522" spans="1:58" ht="26.45" hidden="1" customHeight="1">
      <c r="A522" s="569" t="s">
        <v>1375</v>
      </c>
      <c r="B522" s="569" t="s">
        <v>873</v>
      </c>
      <c r="C522" s="364" t="s">
        <v>647</v>
      </c>
      <c r="D522" s="364"/>
      <c r="E522" s="364"/>
      <c r="F522" s="364"/>
      <c r="G522" s="364"/>
      <c r="H522" s="360">
        <f>+'видатки по розпорядниках'!M523</f>
        <v>0</v>
      </c>
      <c r="I522" s="162">
        <f t="shared" si="7"/>
        <v>0</v>
      </c>
      <c r="K522" s="71"/>
      <c r="L522" s="71"/>
      <c r="M522" s="71"/>
      <c r="N522" s="71"/>
      <c r="R522" s="46" t="s">
        <v>731</v>
      </c>
      <c r="S522" s="45" t="s">
        <v>732</v>
      </c>
      <c r="T522" s="44">
        <f>+U522+X522</f>
        <v>150</v>
      </c>
      <c r="U522" s="44">
        <v>150</v>
      </c>
      <c r="V522" s="44"/>
    </row>
    <row r="523" spans="1:58" ht="24" hidden="1" customHeight="1">
      <c r="A523" s="569" t="s">
        <v>1376</v>
      </c>
      <c r="B523" s="569" t="s">
        <v>733</v>
      </c>
      <c r="C523" s="364" t="s">
        <v>1048</v>
      </c>
      <c r="D523" s="364"/>
      <c r="E523" s="364"/>
      <c r="F523" s="364"/>
      <c r="G523" s="364"/>
      <c r="H523" s="360">
        <f>+'видатки по розпорядниках'!M524</f>
        <v>0</v>
      </c>
      <c r="I523" s="162">
        <f t="shared" si="7"/>
        <v>0</v>
      </c>
      <c r="K523" s="71"/>
      <c r="L523" s="71"/>
      <c r="M523" s="71"/>
      <c r="N523" s="71"/>
      <c r="R523" s="46" t="s">
        <v>733</v>
      </c>
      <c r="S523" s="45" t="s">
        <v>1048</v>
      </c>
      <c r="T523" s="44">
        <f>+U523+X523</f>
        <v>43</v>
      </c>
      <c r="U523" s="44">
        <v>43</v>
      </c>
      <c r="V523" s="44">
        <v>24</v>
      </c>
    </row>
    <row r="524" spans="1:58" ht="23.45" hidden="1" customHeight="1">
      <c r="A524" s="569" t="s">
        <v>1377</v>
      </c>
      <c r="B524" s="569" t="s">
        <v>1188</v>
      </c>
      <c r="C524" s="364" t="s">
        <v>1187</v>
      </c>
      <c r="D524" s="364"/>
      <c r="E524" s="364"/>
      <c r="F524" s="364"/>
      <c r="G524" s="364"/>
      <c r="H524" s="360">
        <f>+'видатки по розпорядниках'!M525</f>
        <v>0</v>
      </c>
      <c r="I524" s="162">
        <f t="shared" si="7"/>
        <v>0</v>
      </c>
      <c r="K524" s="71"/>
      <c r="L524" s="71"/>
      <c r="M524" s="71"/>
      <c r="N524" s="71"/>
      <c r="R524" s="46"/>
      <c r="S524" s="45"/>
      <c r="T524" s="44"/>
      <c r="U524" s="44"/>
      <c r="V524" s="44"/>
    </row>
    <row r="525" spans="1:58" ht="18.600000000000001" hidden="1" customHeight="1">
      <c r="A525" s="570"/>
      <c r="B525" s="575"/>
      <c r="C525" s="170" t="s">
        <v>642</v>
      </c>
      <c r="D525" s="170"/>
      <c r="E525" s="170"/>
      <c r="F525" s="170"/>
      <c r="G525" s="170"/>
      <c r="H525" s="360">
        <f>+'видатки по розпорядниках'!M526</f>
        <v>0</v>
      </c>
      <c r="I525" s="162">
        <f t="shared" si="7"/>
        <v>0</v>
      </c>
      <c r="K525" s="71"/>
      <c r="L525" s="71"/>
      <c r="M525" s="71"/>
      <c r="N525" s="71"/>
      <c r="R525" s="46"/>
      <c r="S525" s="45"/>
      <c r="T525" s="44"/>
      <c r="U525" s="44"/>
      <c r="V525" s="44"/>
    </row>
    <row r="526" spans="1:58" ht="18.600000000000001" hidden="1" customHeight="1">
      <c r="A526" s="570"/>
      <c r="B526" s="575"/>
      <c r="C526" s="170" t="s">
        <v>205</v>
      </c>
      <c r="D526" s="170"/>
      <c r="E526" s="170"/>
      <c r="F526" s="170"/>
      <c r="G526" s="170"/>
      <c r="H526" s="360">
        <f>+'видатки по розпорядниках'!M527</f>
        <v>0</v>
      </c>
      <c r="I526" s="162">
        <f t="shared" si="7"/>
        <v>0</v>
      </c>
      <c r="K526" s="71"/>
      <c r="L526" s="71"/>
      <c r="M526" s="71"/>
      <c r="N526" s="71"/>
      <c r="R526" s="46">
        <v>120300</v>
      </c>
      <c r="S526" s="45" t="s">
        <v>1074</v>
      </c>
      <c r="T526" s="44">
        <f>+U526+X526</f>
        <v>43</v>
      </c>
      <c r="U526" s="44">
        <v>43</v>
      </c>
      <c r="V526" s="44">
        <v>24</v>
      </c>
    </row>
    <row r="527" spans="1:58" ht="22.15" hidden="1" customHeight="1" outlineLevel="1">
      <c r="A527" s="570"/>
      <c r="B527" s="570"/>
      <c r="C527" s="616" t="s">
        <v>265</v>
      </c>
      <c r="D527" s="616"/>
      <c r="E527" s="616"/>
      <c r="F527" s="616"/>
      <c r="G527" s="616"/>
      <c r="H527" s="360">
        <f>+'видатки по розпорядниках'!M528</f>
        <v>0</v>
      </c>
      <c r="I527" s="162">
        <f t="shared" si="7"/>
        <v>0</v>
      </c>
      <c r="J527" s="2"/>
      <c r="K527" s="7" t="e">
        <f>+#REF!+#REF!</f>
        <v>#REF!</v>
      </c>
      <c r="L527" s="7"/>
      <c r="M527" s="7"/>
      <c r="N527" s="7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</row>
    <row r="528" spans="1:58" ht="74.45" hidden="1" customHeight="1" outlineLevel="1">
      <c r="A528" s="570"/>
      <c r="B528" s="575"/>
      <c r="C528" s="170" t="s">
        <v>59</v>
      </c>
      <c r="D528" s="170"/>
      <c r="E528" s="170"/>
      <c r="F528" s="170"/>
      <c r="G528" s="170"/>
      <c r="H528" s="360">
        <f>+'видатки по розпорядниках'!M529</f>
        <v>0</v>
      </c>
      <c r="I528" s="162">
        <f t="shared" si="7"/>
        <v>0</v>
      </c>
      <c r="J528" s="2"/>
      <c r="K528" s="7"/>
      <c r="L528" s="7"/>
      <c r="M528" s="7"/>
      <c r="N528" s="7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</row>
    <row r="529" spans="1:58" ht="27.6" hidden="1" customHeight="1" outlineLevel="1">
      <c r="A529" s="569" t="s">
        <v>1378</v>
      </c>
      <c r="B529" s="569" t="s">
        <v>1512</v>
      </c>
      <c r="C529" s="364" t="s">
        <v>49</v>
      </c>
      <c r="D529" s="364"/>
      <c r="E529" s="364"/>
      <c r="F529" s="364"/>
      <c r="G529" s="364"/>
      <c r="H529" s="360">
        <f>+'видатки по розпорядниках'!M530</f>
        <v>0</v>
      </c>
      <c r="I529" s="162">
        <f t="shared" si="7"/>
        <v>0</v>
      </c>
      <c r="J529" s="2"/>
      <c r="K529" s="124"/>
      <c r="L529" s="124"/>
      <c r="M529" s="124"/>
      <c r="N529" s="12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</row>
    <row r="530" spans="1:58" ht="21.6" hidden="1" customHeight="1" outlineLevel="1">
      <c r="A530" s="569" t="s">
        <v>1384</v>
      </c>
      <c r="B530" s="569" t="s">
        <v>1287</v>
      </c>
      <c r="C530" s="364" t="s">
        <v>866</v>
      </c>
      <c r="D530" s="364"/>
      <c r="E530" s="364"/>
      <c r="F530" s="364"/>
      <c r="G530" s="364"/>
      <c r="H530" s="360">
        <f>+'видатки по розпорядниках'!M532</f>
        <v>0</v>
      </c>
      <c r="I530" s="162">
        <f t="shared" si="7"/>
        <v>0</v>
      </c>
      <c r="J530" s="2"/>
      <c r="K530" s="124"/>
      <c r="L530" s="124"/>
      <c r="M530" s="124"/>
      <c r="N530" s="12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</row>
    <row r="531" spans="1:58" ht="23.45" hidden="1" customHeight="1" outlineLevel="1">
      <c r="A531" s="570"/>
      <c r="B531" s="570"/>
      <c r="C531" s="364" t="s">
        <v>1598</v>
      </c>
      <c r="D531" s="364"/>
      <c r="E531" s="364"/>
      <c r="F531" s="364"/>
      <c r="G531" s="364"/>
      <c r="H531" s="360">
        <f>+'видатки по розпорядниках'!M533</f>
        <v>0</v>
      </c>
      <c r="I531" s="162">
        <f t="shared" si="7"/>
        <v>0</v>
      </c>
      <c r="J531" s="2"/>
      <c r="K531" s="124" t="e">
        <f>+#REF!</f>
        <v>#REF!</v>
      </c>
      <c r="L531" s="124"/>
      <c r="M531" s="124"/>
      <c r="N531" s="12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</row>
    <row r="532" spans="1:58" ht="49.15" hidden="1" customHeight="1" outlineLevel="1" collapsed="1">
      <c r="A532" s="570"/>
      <c r="B532" s="570"/>
      <c r="C532" s="364" t="s">
        <v>548</v>
      </c>
      <c r="D532" s="364"/>
      <c r="E532" s="364"/>
      <c r="F532" s="364"/>
      <c r="G532" s="364"/>
      <c r="H532" s="360">
        <f>+'видатки по розпорядниках'!M534</f>
        <v>0</v>
      </c>
      <c r="I532" s="162">
        <f t="shared" si="7"/>
        <v>0</v>
      </c>
      <c r="J532" s="2"/>
      <c r="K532" s="124"/>
      <c r="L532" s="124"/>
      <c r="M532" s="124"/>
      <c r="N532" s="12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</row>
    <row r="533" spans="1:58" ht="36.6" hidden="1" customHeight="1" outlineLevel="1">
      <c r="A533" s="570"/>
      <c r="B533" s="570"/>
      <c r="C533" s="364" t="s">
        <v>549</v>
      </c>
      <c r="D533" s="364"/>
      <c r="E533" s="364"/>
      <c r="F533" s="364"/>
      <c r="G533" s="364"/>
      <c r="H533" s="360">
        <f>+'видатки по розпорядниках'!M535</f>
        <v>0</v>
      </c>
      <c r="I533" s="162">
        <f t="shared" si="7"/>
        <v>0</v>
      </c>
      <c r="J533" s="2"/>
      <c r="K533" s="124" t="e">
        <f>+#REF!</f>
        <v>#REF!</v>
      </c>
      <c r="L533" s="124"/>
      <c r="M533" s="124"/>
      <c r="N533" s="12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</row>
    <row r="534" spans="1:58" ht="15.75" hidden="1" outlineLevel="1">
      <c r="A534" s="570"/>
      <c r="B534" s="570"/>
      <c r="C534" s="171"/>
      <c r="D534" s="171"/>
      <c r="E534" s="171"/>
      <c r="F534" s="171"/>
      <c r="G534" s="171"/>
      <c r="H534" s="360">
        <f>+'видатки по розпорядниках'!M536</f>
        <v>0</v>
      </c>
      <c r="I534" s="162">
        <f t="shared" ref="I534:I597" si="8">+H534</f>
        <v>0</v>
      </c>
      <c r="J534" s="2"/>
      <c r="K534" s="124"/>
      <c r="L534" s="124"/>
      <c r="M534" s="124"/>
      <c r="N534" s="12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</row>
    <row r="535" spans="1:58" ht="15.75" hidden="1" outlineLevel="1">
      <c r="A535" s="570"/>
      <c r="B535" s="570"/>
      <c r="C535" s="617"/>
      <c r="D535" s="617"/>
      <c r="E535" s="617"/>
      <c r="F535" s="617"/>
      <c r="G535" s="617"/>
      <c r="H535" s="360">
        <f>+'видатки по розпорядниках'!M537</f>
        <v>0</v>
      </c>
      <c r="I535" s="162">
        <f t="shared" si="8"/>
        <v>0</v>
      </c>
      <c r="J535" s="2"/>
      <c r="K535" s="124" t="e">
        <f>+#REF!</f>
        <v>#REF!</v>
      </c>
      <c r="L535" s="124"/>
      <c r="M535" s="124"/>
      <c r="N535" s="12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</row>
    <row r="536" spans="1:58" ht="15.75" hidden="1" outlineLevel="1">
      <c r="A536" s="570"/>
      <c r="B536" s="570"/>
      <c r="C536" s="171"/>
      <c r="D536" s="171"/>
      <c r="E536" s="171"/>
      <c r="F536" s="171"/>
      <c r="G536" s="171"/>
      <c r="H536" s="360">
        <f>+'видатки по розпорядниках'!M538</f>
        <v>0</v>
      </c>
      <c r="I536" s="162">
        <f t="shared" si="8"/>
        <v>0</v>
      </c>
      <c r="J536" s="2"/>
      <c r="K536" s="124"/>
      <c r="L536" s="124"/>
      <c r="M536" s="124"/>
      <c r="N536" s="12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</row>
    <row r="537" spans="1:58" ht="24" hidden="1" customHeight="1" outlineLevel="1">
      <c r="A537" s="570"/>
      <c r="B537" s="575"/>
      <c r="C537" s="170" t="s">
        <v>1302</v>
      </c>
      <c r="D537" s="170"/>
      <c r="E537" s="170"/>
      <c r="F537" s="170"/>
      <c r="G537" s="170"/>
      <c r="H537" s="360">
        <f>+'видатки по розпорядниках'!M539</f>
        <v>0</v>
      </c>
      <c r="I537" s="162">
        <f t="shared" si="8"/>
        <v>0</v>
      </c>
      <c r="J537" s="2"/>
      <c r="K537" s="132"/>
      <c r="L537" s="132"/>
      <c r="M537" s="132"/>
      <c r="N537" s="13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</row>
    <row r="538" spans="1:58" ht="28.5" hidden="1">
      <c r="A538" s="359" t="s">
        <v>1173</v>
      </c>
      <c r="B538" s="359" t="s">
        <v>1479</v>
      </c>
      <c r="C538" s="360" t="s">
        <v>1189</v>
      </c>
      <c r="D538" s="360"/>
      <c r="E538" s="360"/>
      <c r="F538" s="360"/>
      <c r="G538" s="360"/>
      <c r="H538" s="360">
        <f>+'видатки по розпорядниках'!M540</f>
        <v>0</v>
      </c>
      <c r="I538" s="162">
        <f t="shared" si="8"/>
        <v>0</v>
      </c>
      <c r="K538" s="71" t="e">
        <f>+#REF!</f>
        <v>#REF!</v>
      </c>
      <c r="L538" s="71"/>
      <c r="M538" s="71"/>
      <c r="N538" s="71"/>
    </row>
    <row r="539" spans="1:58" ht="44.45" hidden="1" customHeight="1">
      <c r="A539" s="570"/>
      <c r="B539" s="569" t="s">
        <v>172</v>
      </c>
      <c r="C539" s="202" t="s">
        <v>1024</v>
      </c>
      <c r="D539" s="202"/>
      <c r="E539" s="202"/>
      <c r="F539" s="202"/>
      <c r="G539" s="202"/>
      <c r="H539" s="360">
        <f>+'видатки по розпорядниках'!M541</f>
        <v>0</v>
      </c>
      <c r="I539" s="162">
        <f t="shared" si="8"/>
        <v>0</v>
      </c>
      <c r="K539" s="71"/>
      <c r="L539" s="71"/>
      <c r="M539" s="71"/>
      <c r="N539" s="71"/>
    </row>
    <row r="540" spans="1:58" ht="46.15" hidden="1" customHeight="1">
      <c r="A540" s="643" t="s">
        <v>630</v>
      </c>
      <c r="B540" s="569" t="s">
        <v>645</v>
      </c>
      <c r="C540" s="364" t="s">
        <v>758</v>
      </c>
      <c r="D540" s="364"/>
      <c r="E540" s="364"/>
      <c r="F540" s="364"/>
      <c r="G540" s="364"/>
      <c r="H540" s="360">
        <f>+'видатки по розпорядниках'!M542</f>
        <v>0</v>
      </c>
      <c r="I540" s="162">
        <f t="shared" si="8"/>
        <v>0</v>
      </c>
      <c r="K540" s="71"/>
      <c r="L540" s="71"/>
      <c r="M540" s="71"/>
      <c r="N540" s="71"/>
    </row>
    <row r="541" spans="1:58" ht="56.45" hidden="1" customHeight="1">
      <c r="A541" s="570"/>
      <c r="B541" s="621"/>
      <c r="C541" s="364" t="s">
        <v>1468</v>
      </c>
      <c r="D541" s="364"/>
      <c r="E541" s="364"/>
      <c r="F541" s="364"/>
      <c r="G541" s="364"/>
      <c r="H541" s="360">
        <f>+'видатки по розпорядниках'!M543</f>
        <v>0</v>
      </c>
      <c r="I541" s="162">
        <f t="shared" si="8"/>
        <v>0</v>
      </c>
      <c r="K541" s="71"/>
      <c r="L541" s="71"/>
      <c r="M541" s="71"/>
      <c r="N541" s="71"/>
    </row>
    <row r="542" spans="1:58" ht="51" hidden="1" customHeight="1">
      <c r="A542" s="570"/>
      <c r="B542" s="575"/>
      <c r="C542" s="170" t="s">
        <v>1197</v>
      </c>
      <c r="D542" s="170"/>
      <c r="E542" s="170"/>
      <c r="F542" s="170"/>
      <c r="G542" s="170"/>
      <c r="H542" s="360">
        <f>+'видатки по розпорядниках'!M544</f>
        <v>0</v>
      </c>
      <c r="I542" s="162">
        <f t="shared" si="8"/>
        <v>0</v>
      </c>
      <c r="J542" s="2"/>
      <c r="K542" s="7"/>
      <c r="L542" s="7"/>
      <c r="M542" s="7"/>
      <c r="N542" s="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</row>
    <row r="543" spans="1:58" ht="23.45" hidden="1" customHeight="1">
      <c r="A543" s="570"/>
      <c r="B543" s="570" t="s">
        <v>1508</v>
      </c>
      <c r="C543" s="622" t="s">
        <v>532</v>
      </c>
      <c r="D543" s="622"/>
      <c r="E543" s="622"/>
      <c r="F543" s="622"/>
      <c r="G543" s="622"/>
      <c r="H543" s="360">
        <f>+'видатки по розпорядниках'!M545</f>
        <v>0</v>
      </c>
      <c r="I543" s="162">
        <f t="shared" si="8"/>
        <v>0</v>
      </c>
      <c r="J543" s="2"/>
      <c r="K543" s="132"/>
      <c r="L543" s="132"/>
      <c r="M543" s="132"/>
      <c r="N543" s="13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</row>
    <row r="544" spans="1:58" ht="39.6" hidden="1" customHeight="1">
      <c r="A544" s="570"/>
      <c r="B544" s="570" t="s">
        <v>68</v>
      </c>
      <c r="C544" s="171" t="s">
        <v>69</v>
      </c>
      <c r="D544" s="171"/>
      <c r="E544" s="171"/>
      <c r="F544" s="171"/>
      <c r="G544" s="171"/>
      <c r="H544" s="360">
        <f>+'видатки по розпорядниках'!M546</f>
        <v>0</v>
      </c>
      <c r="I544" s="162">
        <f t="shared" si="8"/>
        <v>0</v>
      </c>
      <c r="J544" s="24"/>
      <c r="K544" s="44"/>
      <c r="L544" s="44"/>
      <c r="M544" s="44"/>
      <c r="N544" s="44"/>
      <c r="O544" s="24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</row>
    <row r="545" spans="1:58" ht="62.45" hidden="1" customHeight="1">
      <c r="A545" s="570"/>
      <c r="B545" s="570" t="s">
        <v>1034</v>
      </c>
      <c r="C545" s="595" t="s">
        <v>517</v>
      </c>
      <c r="D545" s="595"/>
      <c r="E545" s="595"/>
      <c r="F545" s="595"/>
      <c r="G545" s="595"/>
      <c r="H545" s="360">
        <f>+'видатки по розпорядниках'!M547</f>
        <v>0</v>
      </c>
      <c r="I545" s="162">
        <f t="shared" si="8"/>
        <v>0</v>
      </c>
      <c r="J545" s="24"/>
      <c r="K545" s="44"/>
      <c r="L545" s="44"/>
      <c r="M545" s="44"/>
      <c r="N545" s="44"/>
      <c r="O545" s="24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</row>
    <row r="546" spans="1:58" ht="33.6" hidden="1" customHeight="1">
      <c r="A546" s="570"/>
      <c r="B546" s="567" t="s">
        <v>225</v>
      </c>
      <c r="C546" s="197" t="s">
        <v>226</v>
      </c>
      <c r="D546" s="197"/>
      <c r="E546" s="197"/>
      <c r="F546" s="197"/>
      <c r="G546" s="197"/>
      <c r="H546" s="360">
        <f>+'видатки по розпорядниках'!M548</f>
        <v>0</v>
      </c>
      <c r="I546" s="162">
        <f t="shared" si="8"/>
        <v>0</v>
      </c>
      <c r="K546" s="71"/>
      <c r="L546" s="71"/>
      <c r="M546" s="71"/>
      <c r="N546" s="71"/>
    </row>
    <row r="547" spans="1:58" ht="70.900000000000006" hidden="1" customHeight="1">
      <c r="A547" s="570"/>
      <c r="B547" s="550" t="s">
        <v>1127</v>
      </c>
      <c r="C547" s="542" t="s">
        <v>819</v>
      </c>
      <c r="D547" s="542"/>
      <c r="E547" s="542"/>
      <c r="F547" s="542"/>
      <c r="G547" s="542"/>
      <c r="H547" s="360">
        <f>+'видатки по розпорядниках'!M549</f>
        <v>0</v>
      </c>
      <c r="I547" s="162">
        <f t="shared" si="8"/>
        <v>0</v>
      </c>
      <c r="K547" s="71"/>
      <c r="L547" s="71"/>
      <c r="M547" s="71"/>
      <c r="N547" s="71"/>
    </row>
    <row r="548" spans="1:58" ht="19.149999999999999" hidden="1" customHeight="1">
      <c r="A548" s="570"/>
      <c r="B548" s="578">
        <v>250380</v>
      </c>
      <c r="C548" s="202" t="s">
        <v>1246</v>
      </c>
      <c r="D548" s="202"/>
      <c r="E548" s="202"/>
      <c r="F548" s="202"/>
      <c r="G548" s="202"/>
      <c r="H548" s="360">
        <f>+'видатки по розпорядниках'!M550</f>
        <v>0</v>
      </c>
      <c r="I548" s="162">
        <f t="shared" si="8"/>
        <v>0</v>
      </c>
      <c r="K548" s="71"/>
      <c r="L548" s="71"/>
      <c r="M548" s="71"/>
      <c r="N548" s="71"/>
    </row>
    <row r="549" spans="1:58" ht="43.9" hidden="1" customHeight="1">
      <c r="A549" s="570"/>
      <c r="B549" s="567"/>
      <c r="C549" s="623" t="s">
        <v>1223</v>
      </c>
      <c r="D549" s="623"/>
      <c r="E549" s="623"/>
      <c r="F549" s="623"/>
      <c r="G549" s="623"/>
      <c r="H549" s="360">
        <f>+'видатки по розпорядниках'!M551</f>
        <v>0</v>
      </c>
      <c r="I549" s="162">
        <f t="shared" si="8"/>
        <v>0</v>
      </c>
      <c r="K549" s="71"/>
      <c r="L549" s="71"/>
      <c r="M549" s="71"/>
      <c r="N549" s="71"/>
    </row>
    <row r="550" spans="1:58" ht="22.9" hidden="1" customHeight="1">
      <c r="A550" s="570"/>
      <c r="B550" s="567"/>
      <c r="C550" s="623" t="s">
        <v>1199</v>
      </c>
      <c r="D550" s="623"/>
      <c r="E550" s="623"/>
      <c r="F550" s="623"/>
      <c r="G550" s="623"/>
      <c r="H550" s="360">
        <f>+'видатки по розпорядниках'!M552</f>
        <v>0</v>
      </c>
      <c r="I550" s="162">
        <f t="shared" si="8"/>
        <v>0</v>
      </c>
      <c r="K550" s="71"/>
      <c r="L550" s="71"/>
      <c r="M550" s="71"/>
      <c r="N550" s="71"/>
    </row>
    <row r="551" spans="1:58" ht="24" customHeight="1">
      <c r="A551" s="359" t="s">
        <v>1174</v>
      </c>
      <c r="B551" s="359" t="s">
        <v>1003</v>
      </c>
      <c r="C551" s="360" t="s">
        <v>311</v>
      </c>
      <c r="D551" s="360"/>
      <c r="E551" s="360"/>
      <c r="F551" s="360"/>
      <c r="G551" s="360"/>
      <c r="H551" s="503">
        <f>+'видатки по розпорядниках'!M553</f>
        <v>1597400</v>
      </c>
      <c r="I551" s="162">
        <f t="shared" si="8"/>
        <v>1597400</v>
      </c>
      <c r="K551" s="71" t="e">
        <f>+#REF!</f>
        <v>#REF!</v>
      </c>
      <c r="L551" s="71"/>
      <c r="M551" s="71"/>
      <c r="N551" s="71"/>
    </row>
    <row r="552" spans="1:58" ht="21.6" customHeight="1">
      <c r="A552" s="1416" t="s">
        <v>1623</v>
      </c>
      <c r="B552" s="1416"/>
      <c r="C552" s="364" t="s">
        <v>1075</v>
      </c>
      <c r="D552" s="1351" t="s">
        <v>828</v>
      </c>
      <c r="E552" s="364"/>
      <c r="F552" s="364"/>
      <c r="G552" s="364"/>
      <c r="H552" s="360">
        <f>+'видатки по розпорядниках'!M554</f>
        <v>1597400</v>
      </c>
      <c r="I552" s="162">
        <f t="shared" si="8"/>
        <v>1597400</v>
      </c>
      <c r="K552" s="71"/>
      <c r="L552" s="71"/>
      <c r="M552" s="71"/>
      <c r="N552" s="71"/>
    </row>
    <row r="553" spans="1:58" ht="18.600000000000001" hidden="1" customHeight="1">
      <c r="A553" s="1417"/>
      <c r="B553" s="1417"/>
      <c r="C553" s="364" t="s">
        <v>1046</v>
      </c>
      <c r="D553" s="364"/>
      <c r="E553" s="364"/>
      <c r="F553" s="364"/>
      <c r="G553" s="364"/>
      <c r="H553" s="360">
        <f>+'видатки по розпорядниках'!M555</f>
        <v>0</v>
      </c>
      <c r="I553" s="162"/>
      <c r="K553" s="71"/>
      <c r="L553" s="71"/>
      <c r="M553" s="71"/>
      <c r="N553" s="71"/>
    </row>
    <row r="554" spans="1:58" ht="22.9" hidden="1" customHeight="1">
      <c r="A554" s="1417"/>
      <c r="B554" s="1417"/>
      <c r="C554" s="364" t="s">
        <v>1047</v>
      </c>
      <c r="D554" s="1351" t="s">
        <v>828</v>
      </c>
      <c r="E554" s="364"/>
      <c r="F554" s="364"/>
      <c r="G554" s="364"/>
      <c r="H554" s="360">
        <f>+'видатки по розпорядниках'!M556</f>
        <v>335000</v>
      </c>
      <c r="I554" s="162"/>
      <c r="K554" s="71"/>
      <c r="L554" s="71"/>
      <c r="M554" s="71"/>
      <c r="N554" s="71"/>
    </row>
    <row r="555" spans="1:58" ht="29.45" hidden="1" customHeight="1">
      <c r="A555" s="570"/>
      <c r="B555" s="569"/>
      <c r="C555" s="559" t="s">
        <v>1150</v>
      </c>
      <c r="D555" s="559"/>
      <c r="E555" s="559"/>
      <c r="F555" s="559"/>
      <c r="G555" s="559"/>
      <c r="H555" s="360">
        <f>+'видатки по розпорядниках'!M557</f>
        <v>0</v>
      </c>
      <c r="I555" s="162">
        <f t="shared" si="8"/>
        <v>0</v>
      </c>
      <c r="K555" s="71"/>
      <c r="L555" s="71"/>
      <c r="M555" s="71"/>
      <c r="N555" s="71"/>
    </row>
    <row r="556" spans="1:58" ht="21.6" hidden="1" customHeight="1">
      <c r="A556" s="1417"/>
      <c r="B556" s="1417"/>
      <c r="C556" s="364" t="s">
        <v>423</v>
      </c>
      <c r="D556" s="1351" t="s">
        <v>828</v>
      </c>
      <c r="E556" s="364"/>
      <c r="F556" s="364"/>
      <c r="G556" s="364"/>
      <c r="H556" s="360">
        <f>+'видатки по розпорядниках'!M558</f>
        <v>1262400</v>
      </c>
      <c r="I556" s="162"/>
      <c r="K556" s="71"/>
      <c r="L556" s="71"/>
      <c r="M556" s="71"/>
      <c r="N556" s="71"/>
    </row>
    <row r="557" spans="1:58" ht="34.15" hidden="1" customHeight="1">
      <c r="A557" s="570"/>
      <c r="B557" s="550" t="s">
        <v>1140</v>
      </c>
      <c r="C557" s="197" t="s">
        <v>57</v>
      </c>
      <c r="D557" s="197"/>
      <c r="E557" s="197"/>
      <c r="F557" s="197"/>
      <c r="G557" s="197"/>
      <c r="H557" s="360">
        <f>+'видатки по розпорядниках'!M559</f>
        <v>0</v>
      </c>
      <c r="I557" s="162">
        <f t="shared" si="8"/>
        <v>0</v>
      </c>
      <c r="K557" s="71"/>
      <c r="L557" s="71"/>
      <c r="M557" s="71"/>
      <c r="N557" s="71"/>
    </row>
    <row r="558" spans="1:58" ht="60" hidden="1" customHeight="1">
      <c r="A558" s="570"/>
      <c r="B558" s="567"/>
      <c r="C558" s="171" t="s">
        <v>188</v>
      </c>
      <c r="D558" s="171"/>
      <c r="E558" s="171"/>
      <c r="F558" s="171"/>
      <c r="G558" s="171"/>
      <c r="H558" s="360">
        <f>+'видатки по розпорядниках'!M560</f>
        <v>0</v>
      </c>
      <c r="I558" s="162">
        <f t="shared" si="8"/>
        <v>0</v>
      </c>
      <c r="K558" s="71"/>
      <c r="L558" s="71"/>
      <c r="M558" s="71"/>
      <c r="N558" s="71"/>
    </row>
    <row r="559" spans="1:58" ht="51.6" hidden="1" customHeight="1">
      <c r="A559" s="570"/>
      <c r="B559" s="550" t="s">
        <v>224</v>
      </c>
      <c r="C559" s="215" t="s">
        <v>998</v>
      </c>
      <c r="D559" s="215"/>
      <c r="E559" s="215"/>
      <c r="F559" s="215"/>
      <c r="G559" s="215"/>
      <c r="H559" s="360">
        <f>+'видатки по розпорядниках'!M561</f>
        <v>0</v>
      </c>
      <c r="I559" s="162">
        <f t="shared" si="8"/>
        <v>0</v>
      </c>
      <c r="K559" s="71"/>
      <c r="L559" s="71"/>
      <c r="M559" s="71"/>
      <c r="N559" s="71"/>
    </row>
    <row r="560" spans="1:58" ht="66" hidden="1" customHeight="1">
      <c r="A560" s="570"/>
      <c r="B560" s="570" t="s">
        <v>1127</v>
      </c>
      <c r="C560" s="605" t="s">
        <v>42</v>
      </c>
      <c r="D560" s="605"/>
      <c r="E560" s="605"/>
      <c r="F560" s="605"/>
      <c r="G560" s="605"/>
      <c r="H560" s="360">
        <f>+'видатки по розпорядниках'!M562</f>
        <v>0</v>
      </c>
      <c r="I560" s="162">
        <f t="shared" si="8"/>
        <v>0</v>
      </c>
      <c r="J560" s="24"/>
      <c r="K560" s="44" t="e">
        <f>+#REF!</f>
        <v>#REF!</v>
      </c>
      <c r="L560" s="44"/>
      <c r="M560" s="44"/>
      <c r="N560" s="44"/>
      <c r="O560" s="24"/>
    </row>
    <row r="561" spans="1:58" ht="33" hidden="1" customHeight="1">
      <c r="A561" s="570"/>
      <c r="B561" s="570"/>
      <c r="C561" s="605" t="s">
        <v>451</v>
      </c>
      <c r="D561" s="605"/>
      <c r="E561" s="605"/>
      <c r="F561" s="605"/>
      <c r="G561" s="605"/>
      <c r="H561" s="360">
        <f>+'видатки по розпорядниках'!M563</f>
        <v>0</v>
      </c>
      <c r="I561" s="162">
        <f t="shared" si="8"/>
        <v>0</v>
      </c>
      <c r="J561" s="24"/>
      <c r="K561" s="44"/>
      <c r="L561" s="44"/>
      <c r="M561" s="44"/>
      <c r="N561" s="44"/>
      <c r="O561" s="24"/>
    </row>
    <row r="562" spans="1:58" ht="41.45" hidden="1" customHeight="1">
      <c r="A562" s="570"/>
      <c r="B562" s="570"/>
      <c r="C562" s="171" t="s">
        <v>1136</v>
      </c>
      <c r="D562" s="171"/>
      <c r="E562" s="171"/>
      <c r="F562" s="171"/>
      <c r="G562" s="171"/>
      <c r="H562" s="360">
        <f>+'видатки по розпорядниках'!M564</f>
        <v>0</v>
      </c>
      <c r="I562" s="162">
        <f t="shared" si="8"/>
        <v>0</v>
      </c>
      <c r="J562" s="24"/>
      <c r="K562" s="44"/>
      <c r="L562" s="44"/>
      <c r="M562" s="44"/>
      <c r="N562" s="44"/>
      <c r="O562" s="24"/>
    </row>
    <row r="563" spans="1:58" ht="87" hidden="1" customHeight="1">
      <c r="A563" s="570"/>
      <c r="B563" s="550" t="s">
        <v>501</v>
      </c>
      <c r="C563" s="436" t="s">
        <v>1471</v>
      </c>
      <c r="D563" s="436"/>
      <c r="E563" s="436"/>
      <c r="F563" s="436"/>
      <c r="G563" s="436"/>
      <c r="H563" s="360">
        <f>+'видатки по розпорядниках'!M565</f>
        <v>0</v>
      </c>
      <c r="I563" s="162">
        <f t="shared" si="8"/>
        <v>0</v>
      </c>
      <c r="J563" s="24"/>
      <c r="K563" s="44"/>
      <c r="L563" s="44"/>
      <c r="M563" s="44"/>
      <c r="N563" s="44"/>
      <c r="O563" s="24"/>
    </row>
    <row r="564" spans="1:58" ht="27" hidden="1" customHeight="1">
      <c r="A564" s="570"/>
      <c r="B564" s="550" t="s">
        <v>1508</v>
      </c>
      <c r="C564" s="197" t="s">
        <v>650</v>
      </c>
      <c r="D564" s="197"/>
      <c r="E564" s="197"/>
      <c r="F564" s="197"/>
      <c r="G564" s="197"/>
      <c r="H564" s="360">
        <f>+'видатки по розпорядниках'!M566</f>
        <v>0</v>
      </c>
      <c r="I564" s="162">
        <f t="shared" si="8"/>
        <v>0</v>
      </c>
      <c r="J564" s="24"/>
      <c r="K564" s="44"/>
      <c r="L564" s="44"/>
      <c r="M564" s="44"/>
      <c r="N564" s="44"/>
      <c r="O564" s="24"/>
    </row>
    <row r="565" spans="1:58" ht="31.9" hidden="1" customHeight="1">
      <c r="A565" s="570"/>
      <c r="B565" s="567" t="s">
        <v>1243</v>
      </c>
      <c r="C565" s="170" t="s">
        <v>649</v>
      </c>
      <c r="D565" s="170"/>
      <c r="E565" s="170"/>
      <c r="F565" s="170"/>
      <c r="G565" s="170"/>
      <c r="H565" s="360">
        <f>+'видатки по розпорядниках'!M567</f>
        <v>0</v>
      </c>
      <c r="I565" s="162">
        <f t="shared" si="8"/>
        <v>0</v>
      </c>
      <c r="J565" s="24"/>
      <c r="K565" s="44"/>
      <c r="L565" s="44"/>
      <c r="M565" s="44"/>
      <c r="N565" s="44"/>
      <c r="O565" s="24"/>
    </row>
    <row r="566" spans="1:58" ht="92.45" hidden="1" customHeight="1">
      <c r="A566" s="570"/>
      <c r="B566" s="550" t="s">
        <v>1034</v>
      </c>
      <c r="C566" s="448" t="s">
        <v>1521</v>
      </c>
      <c r="D566" s="448"/>
      <c r="E566" s="448"/>
      <c r="F566" s="448"/>
      <c r="G566" s="448"/>
      <c r="H566" s="360">
        <f>+'видатки по розпорядниках'!M568</f>
        <v>0</v>
      </c>
      <c r="I566" s="162">
        <f t="shared" si="8"/>
        <v>0</v>
      </c>
      <c r="J566" s="24"/>
      <c r="K566" s="44"/>
      <c r="L566" s="44"/>
      <c r="M566" s="44"/>
      <c r="N566" s="44"/>
      <c r="O566" s="24"/>
    </row>
    <row r="567" spans="1:58" ht="37.9" hidden="1" customHeight="1">
      <c r="A567" s="643" t="s">
        <v>631</v>
      </c>
      <c r="B567" s="569" t="s">
        <v>1512</v>
      </c>
      <c r="C567" s="364" t="s">
        <v>268</v>
      </c>
      <c r="D567" s="364"/>
      <c r="E567" s="364"/>
      <c r="F567" s="364"/>
      <c r="G567" s="364"/>
      <c r="H567" s="360">
        <f>+'видатки по розпорядниках'!M569</f>
        <v>0</v>
      </c>
      <c r="I567" s="162">
        <f t="shared" si="8"/>
        <v>0</v>
      </c>
      <c r="J567" s="24"/>
      <c r="K567" s="44"/>
      <c r="L567" s="44"/>
      <c r="M567" s="44"/>
      <c r="N567" s="44"/>
      <c r="O567" s="24"/>
    </row>
    <row r="568" spans="1:58" ht="21.6" hidden="1" customHeight="1">
      <c r="A568" s="570"/>
      <c r="B568" s="569"/>
      <c r="C568" s="213" t="s">
        <v>747</v>
      </c>
      <c r="D568" s="213"/>
      <c r="E568" s="213"/>
      <c r="F568" s="213"/>
      <c r="G568" s="213"/>
      <c r="H568" s="360">
        <f>+'видатки по розпорядниках'!M570</f>
        <v>0</v>
      </c>
      <c r="I568" s="162">
        <f t="shared" si="8"/>
        <v>0</v>
      </c>
      <c r="J568" s="24"/>
      <c r="K568" s="44"/>
      <c r="L568" s="44"/>
      <c r="M568" s="44"/>
      <c r="N568" s="44"/>
      <c r="O568" s="24"/>
    </row>
    <row r="569" spans="1:58" ht="119.45" hidden="1" customHeight="1">
      <c r="A569" s="570"/>
      <c r="B569" s="569"/>
      <c r="C569" s="213" t="s">
        <v>1149</v>
      </c>
      <c r="D569" s="213"/>
      <c r="E569" s="213"/>
      <c r="F569" s="213"/>
      <c r="G569" s="213"/>
      <c r="H569" s="360">
        <f>+'видатки по розпорядниках'!M571</f>
        <v>0</v>
      </c>
      <c r="I569" s="162">
        <f t="shared" si="8"/>
        <v>0</v>
      </c>
      <c r="J569" s="24"/>
      <c r="K569" s="44"/>
      <c r="L569" s="44"/>
      <c r="M569" s="44"/>
      <c r="N569" s="44"/>
      <c r="O569" s="24"/>
    </row>
    <row r="570" spans="1:58" ht="29.45" hidden="1" customHeight="1">
      <c r="A570" s="570"/>
      <c r="B570" s="569"/>
      <c r="C570" s="213" t="s">
        <v>1638</v>
      </c>
      <c r="D570" s="213"/>
      <c r="E570" s="213"/>
      <c r="F570" s="213"/>
      <c r="G570" s="213"/>
      <c r="H570" s="360">
        <f>+'видатки по розпорядниках'!M572</f>
        <v>0</v>
      </c>
      <c r="I570" s="162">
        <f t="shared" si="8"/>
        <v>0</v>
      </c>
      <c r="J570" s="24"/>
      <c r="K570" s="44"/>
      <c r="L570" s="44"/>
      <c r="M570" s="44"/>
      <c r="N570" s="44"/>
      <c r="O570" s="24"/>
    </row>
    <row r="571" spans="1:58" ht="29.45" hidden="1" customHeight="1">
      <c r="A571" s="570"/>
      <c r="B571" s="569"/>
      <c r="C571" s="213" t="s">
        <v>342</v>
      </c>
      <c r="D571" s="213"/>
      <c r="E571" s="213"/>
      <c r="F571" s="213"/>
      <c r="G571" s="213"/>
      <c r="H571" s="360">
        <f>+'видатки по розпорядниках'!M573</f>
        <v>0</v>
      </c>
      <c r="I571" s="162">
        <f t="shared" si="8"/>
        <v>0</v>
      </c>
      <c r="J571" s="24"/>
      <c r="K571" s="44"/>
      <c r="L571" s="44"/>
      <c r="M571" s="44"/>
      <c r="N571" s="44"/>
      <c r="O571" s="24"/>
    </row>
    <row r="572" spans="1:58" ht="46.9" hidden="1" customHeight="1">
      <c r="A572" s="570"/>
      <c r="B572" s="569"/>
      <c r="C572" s="213" t="s">
        <v>941</v>
      </c>
      <c r="D572" s="213"/>
      <c r="E572" s="213"/>
      <c r="F572" s="213"/>
      <c r="G572" s="213"/>
      <c r="H572" s="360">
        <f>+'видатки по розпорядниках'!M574</f>
        <v>0</v>
      </c>
      <c r="I572" s="162">
        <f t="shared" si="8"/>
        <v>0</v>
      </c>
      <c r="J572" s="24"/>
      <c r="K572" s="44"/>
      <c r="L572" s="44"/>
      <c r="M572" s="44"/>
      <c r="N572" s="44"/>
      <c r="O572" s="24"/>
    </row>
    <row r="573" spans="1:58" ht="68.45" hidden="1" customHeight="1">
      <c r="A573" s="643" t="s">
        <v>1386</v>
      </c>
      <c r="B573" s="569" t="s">
        <v>1287</v>
      </c>
      <c r="C573" s="364" t="s">
        <v>257</v>
      </c>
      <c r="D573" s="364"/>
      <c r="E573" s="364"/>
      <c r="F573" s="364"/>
      <c r="G573" s="364"/>
      <c r="H573" s="360">
        <f>+'видатки по розпорядниках'!M575</f>
        <v>0</v>
      </c>
      <c r="I573" s="162">
        <f t="shared" si="8"/>
        <v>0</v>
      </c>
      <c r="J573" s="24"/>
      <c r="K573" s="44"/>
      <c r="L573" s="44"/>
      <c r="M573" s="44"/>
      <c r="N573" s="44"/>
      <c r="O573" s="24"/>
    </row>
    <row r="574" spans="1:58" ht="30" hidden="1">
      <c r="A574" s="624" t="s">
        <v>1177</v>
      </c>
      <c r="B574" s="624"/>
      <c r="C574" s="560" t="s">
        <v>1076</v>
      </c>
      <c r="D574" s="560"/>
      <c r="E574" s="560"/>
      <c r="F574" s="560"/>
      <c r="G574" s="560"/>
      <c r="H574" s="360">
        <f>+'видатки по розпорядниках'!M576</f>
        <v>0</v>
      </c>
      <c r="I574" s="162">
        <f t="shared" si="8"/>
        <v>0</v>
      </c>
      <c r="K574" s="71"/>
      <c r="L574" s="71"/>
      <c r="M574" s="71"/>
      <c r="N574" s="71"/>
    </row>
    <row r="575" spans="1:58" ht="30" hidden="1" customHeight="1">
      <c r="A575" s="570"/>
      <c r="B575" s="570" t="s">
        <v>1623</v>
      </c>
      <c r="C575" s="171" t="s">
        <v>1075</v>
      </c>
      <c r="D575" s="171"/>
      <c r="E575" s="171"/>
      <c r="F575" s="171"/>
      <c r="G575" s="171"/>
      <c r="H575" s="360">
        <f>+'видатки по розпорядниках'!M577</f>
        <v>0</v>
      </c>
      <c r="I575" s="162">
        <f t="shared" si="8"/>
        <v>0</v>
      </c>
      <c r="K575" s="71" t="e">
        <f>+#REF!</f>
        <v>#REF!</v>
      </c>
      <c r="L575" s="71"/>
      <c r="M575" s="71"/>
      <c r="N575" s="71"/>
    </row>
    <row r="576" spans="1:58" ht="15.6" hidden="1" customHeight="1" outlineLevel="1">
      <c r="A576" s="570"/>
      <c r="B576" s="570"/>
      <c r="C576" s="561"/>
      <c r="D576" s="561"/>
      <c r="E576" s="561"/>
      <c r="F576" s="561"/>
      <c r="G576" s="561"/>
      <c r="H576" s="360">
        <f>+'видатки по розпорядниках'!M578</f>
        <v>0</v>
      </c>
      <c r="I576" s="162">
        <f t="shared" si="8"/>
        <v>0</v>
      </c>
      <c r="J576" s="2"/>
      <c r="K576" s="124" t="e">
        <f>+#REF!</f>
        <v>#REF!</v>
      </c>
      <c r="L576" s="124"/>
      <c r="M576" s="124"/>
      <c r="N576" s="12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</row>
    <row r="577" spans="1:58" ht="15.6" hidden="1" customHeight="1" outlineLevel="1">
      <c r="A577" s="570"/>
      <c r="B577" s="570"/>
      <c r="C577" s="171"/>
      <c r="D577" s="171"/>
      <c r="E577" s="171"/>
      <c r="F577" s="171"/>
      <c r="G577" s="171"/>
      <c r="H577" s="360">
        <f>+'видатки по розпорядниках'!M579</f>
        <v>0</v>
      </c>
      <c r="I577" s="162">
        <f t="shared" si="8"/>
        <v>0</v>
      </c>
      <c r="J577" s="2"/>
      <c r="K577" s="124"/>
      <c r="L577" s="124"/>
      <c r="M577" s="124"/>
      <c r="N577" s="12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</row>
    <row r="578" spans="1:58" ht="15.6" hidden="1" customHeight="1" outlineLevel="1">
      <c r="A578" s="570"/>
      <c r="B578" s="570"/>
      <c r="C578" s="561"/>
      <c r="D578" s="561"/>
      <c r="E578" s="561"/>
      <c r="F578" s="561"/>
      <c r="G578" s="561"/>
      <c r="H578" s="360">
        <f>+'видатки по розпорядниках'!M580</f>
        <v>0</v>
      </c>
      <c r="I578" s="162">
        <f t="shared" si="8"/>
        <v>0</v>
      </c>
      <c r="J578" s="2"/>
      <c r="K578" s="124"/>
      <c r="L578" s="124"/>
      <c r="M578" s="124"/>
      <c r="N578" s="12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</row>
    <row r="579" spans="1:58" ht="15.75" hidden="1" outlineLevel="1">
      <c r="A579" s="570"/>
      <c r="B579" s="570"/>
      <c r="C579" s="171"/>
      <c r="D579" s="171"/>
      <c r="E579" s="171"/>
      <c r="F579" s="171"/>
      <c r="G579" s="171"/>
      <c r="H579" s="360">
        <f>+'видатки по розпорядниках'!M581</f>
        <v>0</v>
      </c>
      <c r="I579" s="162">
        <f t="shared" si="8"/>
        <v>0</v>
      </c>
      <c r="J579" s="2"/>
      <c r="K579" s="124"/>
      <c r="L579" s="124"/>
      <c r="M579" s="124"/>
      <c r="N579" s="12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</row>
    <row r="580" spans="1:58" ht="15.6" hidden="1" customHeight="1" outlineLevel="1">
      <c r="A580" s="570"/>
      <c r="B580" s="570"/>
      <c r="C580" s="561"/>
      <c r="D580" s="561"/>
      <c r="E580" s="561"/>
      <c r="F580" s="561"/>
      <c r="G580" s="561"/>
      <c r="H580" s="360">
        <f>+'видатки по розпорядниках'!M582</f>
        <v>0</v>
      </c>
      <c r="I580" s="162">
        <f t="shared" si="8"/>
        <v>0</v>
      </c>
      <c r="J580" s="2"/>
      <c r="K580" s="124"/>
      <c r="L580" s="124"/>
      <c r="M580" s="124"/>
      <c r="N580" s="12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</row>
    <row r="581" spans="1:58" ht="15.6" hidden="1" customHeight="1" outlineLevel="1">
      <c r="A581" s="570"/>
      <c r="B581" s="570"/>
      <c r="C581" s="171"/>
      <c r="D581" s="171"/>
      <c r="E581" s="171"/>
      <c r="F581" s="171"/>
      <c r="G581" s="171"/>
      <c r="H581" s="360">
        <f>+'видатки по розпорядниках'!M583</f>
        <v>0</v>
      </c>
      <c r="I581" s="162">
        <f t="shared" si="8"/>
        <v>0</v>
      </c>
      <c r="J581" s="2"/>
      <c r="K581" s="124"/>
      <c r="L581" s="124"/>
      <c r="M581" s="124"/>
      <c r="N581" s="12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</row>
    <row r="582" spans="1:58" ht="15.75" hidden="1" outlineLevel="1">
      <c r="A582" s="570"/>
      <c r="B582" s="570"/>
      <c r="C582" s="171"/>
      <c r="D582" s="171"/>
      <c r="E582" s="171"/>
      <c r="F582" s="171"/>
      <c r="G582" s="171"/>
      <c r="H582" s="360">
        <f>+'видатки по розпорядниках'!M584</f>
        <v>0</v>
      </c>
      <c r="I582" s="162">
        <f t="shared" si="8"/>
        <v>0</v>
      </c>
      <c r="J582" s="2"/>
      <c r="K582" s="124"/>
      <c r="L582" s="124"/>
      <c r="M582" s="124"/>
      <c r="N582" s="12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</row>
    <row r="583" spans="1:58" ht="15.6" hidden="1" customHeight="1" outlineLevel="1">
      <c r="A583" s="570"/>
      <c r="B583" s="570"/>
      <c r="C583" s="171"/>
      <c r="D583" s="171"/>
      <c r="E583" s="171"/>
      <c r="F583" s="171"/>
      <c r="G583" s="171"/>
      <c r="H583" s="360">
        <f>+'видатки по розпорядниках'!M585</f>
        <v>0</v>
      </c>
      <c r="I583" s="162">
        <f t="shared" si="8"/>
        <v>0</v>
      </c>
      <c r="J583" s="2"/>
      <c r="K583" s="124"/>
      <c r="L583" s="124"/>
      <c r="M583" s="124"/>
      <c r="N583" s="12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</row>
    <row r="584" spans="1:58" ht="15.6" hidden="1" customHeight="1" outlineLevel="1">
      <c r="A584" s="570"/>
      <c r="B584" s="570"/>
      <c r="C584" s="171"/>
      <c r="D584" s="171"/>
      <c r="E584" s="171"/>
      <c r="F584" s="171"/>
      <c r="G584" s="171"/>
      <c r="H584" s="360">
        <f>+'видатки по розпорядниках'!M586</f>
        <v>0</v>
      </c>
      <c r="I584" s="162">
        <f t="shared" si="8"/>
        <v>0</v>
      </c>
      <c r="J584" s="2"/>
      <c r="K584" s="124"/>
      <c r="L584" s="124"/>
      <c r="M584" s="124"/>
      <c r="N584" s="12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</row>
    <row r="585" spans="1:58" ht="15.6" hidden="1" customHeight="1" outlineLevel="1">
      <c r="A585" s="570"/>
      <c r="B585" s="570"/>
      <c r="C585" s="171"/>
      <c r="D585" s="171"/>
      <c r="E585" s="171"/>
      <c r="F585" s="171"/>
      <c r="G585" s="171"/>
      <c r="H585" s="360">
        <f>+'видатки по розпорядниках'!M587</f>
        <v>0</v>
      </c>
      <c r="I585" s="162">
        <f t="shared" si="8"/>
        <v>0</v>
      </c>
      <c r="J585" s="2"/>
      <c r="K585" s="124"/>
      <c r="L585" s="124"/>
      <c r="M585" s="124"/>
      <c r="N585" s="12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</row>
    <row r="586" spans="1:58" ht="15.6" hidden="1" customHeight="1" outlineLevel="1">
      <c r="A586" s="570"/>
      <c r="B586" s="570"/>
      <c r="C586" s="171"/>
      <c r="D586" s="171"/>
      <c r="E586" s="171"/>
      <c r="F586" s="171"/>
      <c r="G586" s="171"/>
      <c r="H586" s="360">
        <f>+'видатки по розпорядниках'!M588</f>
        <v>0</v>
      </c>
      <c r="I586" s="162">
        <f t="shared" si="8"/>
        <v>0</v>
      </c>
      <c r="J586" s="2"/>
      <c r="K586" s="124"/>
      <c r="L586" s="124"/>
      <c r="M586" s="124"/>
      <c r="N586" s="12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</row>
    <row r="587" spans="1:58" ht="15.6" hidden="1" customHeight="1" outlineLevel="1">
      <c r="A587" s="570"/>
      <c r="B587" s="570"/>
      <c r="C587" s="561"/>
      <c r="D587" s="561"/>
      <c r="E587" s="561"/>
      <c r="F587" s="561"/>
      <c r="G587" s="561"/>
      <c r="H587" s="360">
        <f>+'видатки по розпорядниках'!M589</f>
        <v>0</v>
      </c>
      <c r="I587" s="162">
        <f t="shared" si="8"/>
        <v>0</v>
      </c>
      <c r="J587" s="2"/>
      <c r="K587" s="124"/>
      <c r="L587" s="124"/>
      <c r="M587" s="124"/>
      <c r="N587" s="12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</row>
    <row r="588" spans="1:58" ht="15.6" hidden="1" customHeight="1" outlineLevel="1">
      <c r="A588" s="570"/>
      <c r="B588" s="570"/>
      <c r="C588" s="171"/>
      <c r="D588" s="171"/>
      <c r="E588" s="171"/>
      <c r="F588" s="171"/>
      <c r="G588" s="171"/>
      <c r="H588" s="360">
        <f>+'видатки по розпорядниках'!M590</f>
        <v>0</v>
      </c>
      <c r="I588" s="162">
        <f t="shared" si="8"/>
        <v>0</v>
      </c>
      <c r="J588" s="2"/>
      <c r="K588" s="124"/>
      <c r="L588" s="124"/>
      <c r="M588" s="124"/>
      <c r="N588" s="12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</row>
    <row r="589" spans="1:58" ht="15.6" hidden="1" customHeight="1" outlineLevel="1">
      <c r="A589" s="570"/>
      <c r="B589" s="570"/>
      <c r="C589" s="561"/>
      <c r="D589" s="561"/>
      <c r="E589" s="561"/>
      <c r="F589" s="561"/>
      <c r="G589" s="561"/>
      <c r="H589" s="360">
        <f>+'видатки по розпорядниках'!M591</f>
        <v>0</v>
      </c>
      <c r="I589" s="162">
        <f t="shared" si="8"/>
        <v>0</v>
      </c>
      <c r="J589" s="2"/>
      <c r="K589" s="124"/>
      <c r="L589" s="124"/>
      <c r="M589" s="124"/>
      <c r="N589" s="12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</row>
    <row r="590" spans="1:58" ht="15.6" hidden="1" customHeight="1" outlineLevel="1">
      <c r="A590" s="570"/>
      <c r="B590" s="570"/>
      <c r="C590" s="561"/>
      <c r="D590" s="561"/>
      <c r="E590" s="561"/>
      <c r="F590" s="561"/>
      <c r="G590" s="561"/>
      <c r="H590" s="360">
        <f>+'видатки по розпорядниках'!M592</f>
        <v>0</v>
      </c>
      <c r="I590" s="162">
        <f t="shared" si="8"/>
        <v>0</v>
      </c>
      <c r="J590" s="2"/>
      <c r="K590" s="124"/>
      <c r="L590" s="124"/>
      <c r="M590" s="124"/>
      <c r="N590" s="12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</row>
    <row r="591" spans="1:58" ht="15.6" hidden="1" customHeight="1" outlineLevel="1">
      <c r="A591" s="570"/>
      <c r="B591" s="570"/>
      <c r="C591" s="171"/>
      <c r="D591" s="171"/>
      <c r="E591" s="171"/>
      <c r="F591" s="171"/>
      <c r="G591" s="171"/>
      <c r="H591" s="360">
        <f>+'видатки по розпорядниках'!M593</f>
        <v>0</v>
      </c>
      <c r="I591" s="162">
        <f t="shared" si="8"/>
        <v>0</v>
      </c>
      <c r="J591" s="2"/>
      <c r="K591" s="124"/>
      <c r="L591" s="124"/>
      <c r="M591" s="124"/>
      <c r="N591" s="12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</row>
    <row r="592" spans="1:58" ht="15.6" hidden="1" customHeight="1" outlineLevel="1">
      <c r="A592" s="570"/>
      <c r="B592" s="569"/>
      <c r="C592" s="213" t="s">
        <v>747</v>
      </c>
      <c r="D592" s="213"/>
      <c r="E592" s="213"/>
      <c r="F592" s="213"/>
      <c r="G592" s="213"/>
      <c r="H592" s="360">
        <f>+'видатки по розпорядниках'!M594</f>
        <v>0</v>
      </c>
      <c r="I592" s="162">
        <f t="shared" si="8"/>
        <v>0</v>
      </c>
      <c r="J592" s="2"/>
      <c r="K592" s="132"/>
      <c r="L592" s="132"/>
      <c r="M592" s="132"/>
      <c r="N592" s="13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</row>
    <row r="593" spans="1:58" ht="44.25" hidden="1" customHeight="1" outlineLevel="1">
      <c r="A593" s="570"/>
      <c r="B593" s="569"/>
      <c r="C593" s="213" t="s">
        <v>1226</v>
      </c>
      <c r="D593" s="213"/>
      <c r="E593" s="213"/>
      <c r="F593" s="213"/>
      <c r="G593" s="213"/>
      <c r="H593" s="360">
        <f>+'видатки по розпорядниках'!M595</f>
        <v>0</v>
      </c>
      <c r="I593" s="162">
        <f t="shared" si="8"/>
        <v>0</v>
      </c>
      <c r="J593" s="2"/>
      <c r="K593" s="132"/>
      <c r="L593" s="132"/>
      <c r="M593" s="132"/>
      <c r="N593" s="13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</row>
    <row r="594" spans="1:58" ht="36" hidden="1" customHeight="1" outlineLevel="1">
      <c r="A594" s="570"/>
      <c r="B594" s="569"/>
      <c r="C594" s="215" t="s">
        <v>882</v>
      </c>
      <c r="D594" s="215"/>
      <c r="E594" s="215"/>
      <c r="F594" s="215"/>
      <c r="G594" s="215"/>
      <c r="H594" s="360">
        <f>+'видатки по розпорядниках'!M596</f>
        <v>0</v>
      </c>
      <c r="I594" s="162">
        <f t="shared" si="8"/>
        <v>0</v>
      </c>
      <c r="J594" s="2"/>
      <c r="K594" s="132"/>
      <c r="L594" s="132"/>
      <c r="M594" s="132"/>
      <c r="N594" s="13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</row>
    <row r="595" spans="1:58" ht="57" hidden="1" customHeight="1" outlineLevel="1">
      <c r="A595" s="570"/>
      <c r="B595" s="569"/>
      <c r="C595" s="215" t="s">
        <v>941</v>
      </c>
      <c r="D595" s="215"/>
      <c r="E595" s="215"/>
      <c r="F595" s="215"/>
      <c r="G595" s="215"/>
      <c r="H595" s="360">
        <f>+'видатки по розпорядниках'!M597</f>
        <v>0</v>
      </c>
      <c r="I595" s="162">
        <f t="shared" si="8"/>
        <v>0</v>
      </c>
      <c r="J595" s="2"/>
      <c r="K595" s="132"/>
      <c r="L595" s="132"/>
      <c r="M595" s="132"/>
      <c r="N595" s="13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</row>
    <row r="596" spans="1:58" ht="37.9" hidden="1" customHeight="1">
      <c r="A596" s="359" t="s">
        <v>1174</v>
      </c>
      <c r="B596" s="359" t="s">
        <v>73</v>
      </c>
      <c r="C596" s="360" t="s">
        <v>701</v>
      </c>
      <c r="D596" s="360"/>
      <c r="E596" s="360"/>
      <c r="F596" s="360"/>
      <c r="G596" s="360"/>
      <c r="H596" s="503">
        <f>+'видатки по розпорядниках'!M598</f>
        <v>0</v>
      </c>
      <c r="I596" s="162">
        <f t="shared" si="8"/>
        <v>0</v>
      </c>
      <c r="K596" s="71"/>
      <c r="L596" s="71"/>
      <c r="M596" s="71"/>
      <c r="N596" s="71"/>
    </row>
    <row r="597" spans="1:58" ht="34.15" hidden="1" customHeight="1">
      <c r="A597" s="1416">
        <v>150101</v>
      </c>
      <c r="B597" s="1416"/>
      <c r="C597" s="364" t="s">
        <v>532</v>
      </c>
      <c r="D597" s="1351"/>
      <c r="E597" s="364"/>
      <c r="F597" s="364"/>
      <c r="G597" s="364"/>
      <c r="H597" s="360">
        <f>+'видатки по розпорядниках'!M599</f>
        <v>0</v>
      </c>
      <c r="I597" s="162">
        <f t="shared" si="8"/>
        <v>0</v>
      </c>
      <c r="K597" s="71"/>
      <c r="L597" s="71"/>
      <c r="M597" s="71"/>
      <c r="N597" s="71"/>
      <c r="T597" s="24">
        <v>2502.4</v>
      </c>
      <c r="U597" s="38" t="e">
        <f>+#REF!-T597</f>
        <v>#REF!</v>
      </c>
    </row>
    <row r="598" spans="1:58" ht="22.9" hidden="1" customHeight="1">
      <c r="A598" s="1418"/>
      <c r="B598" s="1419"/>
      <c r="C598" s="364" t="s">
        <v>52</v>
      </c>
      <c r="D598" s="364"/>
      <c r="E598" s="364"/>
      <c r="F598" s="364"/>
      <c r="G598" s="364"/>
      <c r="H598" s="360">
        <f>+'видатки по розпорядниках'!M600</f>
        <v>0</v>
      </c>
      <c r="I598" s="162"/>
      <c r="K598" s="71"/>
      <c r="L598" s="71"/>
      <c r="M598" s="71"/>
      <c r="N598" s="71"/>
      <c r="U598" s="38"/>
    </row>
    <row r="599" spans="1:58" ht="56.45" hidden="1" customHeight="1">
      <c r="A599" s="1418"/>
      <c r="B599" s="1419"/>
      <c r="C599" s="362" t="s">
        <v>430</v>
      </c>
      <c r="D599" s="362"/>
      <c r="E599" s="362"/>
      <c r="F599" s="362"/>
      <c r="G599" s="362"/>
      <c r="H599" s="360"/>
      <c r="I599" s="162">
        <f t="shared" ref="I599:I663" si="9">+H599</f>
        <v>0</v>
      </c>
      <c r="K599" s="71"/>
      <c r="L599" s="71"/>
      <c r="M599" s="71"/>
      <c r="N599" s="71"/>
      <c r="U599" s="38"/>
    </row>
    <row r="600" spans="1:58" ht="56.45" hidden="1" customHeight="1">
      <c r="A600" s="643"/>
      <c r="B600" s="644"/>
      <c r="C600" s="362" t="s">
        <v>95</v>
      </c>
      <c r="D600" s="362"/>
      <c r="E600" s="362"/>
      <c r="F600" s="362"/>
      <c r="G600" s="362"/>
      <c r="H600" s="360"/>
      <c r="I600" s="162">
        <f t="shared" si="9"/>
        <v>0</v>
      </c>
      <c r="K600" s="71"/>
      <c r="L600" s="71"/>
      <c r="M600" s="71"/>
      <c r="N600" s="71"/>
      <c r="U600" s="38"/>
    </row>
    <row r="601" spans="1:58" ht="36.6" hidden="1" customHeight="1">
      <c r="A601" s="643"/>
      <c r="B601" s="644"/>
      <c r="C601" s="362" t="s">
        <v>96</v>
      </c>
      <c r="D601" s="362"/>
      <c r="E601" s="362"/>
      <c r="F601" s="362"/>
      <c r="G601" s="362"/>
      <c r="H601" s="360"/>
      <c r="I601" s="162">
        <f t="shared" si="9"/>
        <v>0</v>
      </c>
      <c r="K601" s="71"/>
      <c r="L601" s="71"/>
      <c r="M601" s="71"/>
      <c r="N601" s="71"/>
      <c r="U601" s="38"/>
    </row>
    <row r="602" spans="1:58" ht="25.9" hidden="1" customHeight="1">
      <c r="A602" s="570"/>
      <c r="B602" s="550">
        <v>150107</v>
      </c>
      <c r="C602" s="518" t="s">
        <v>421</v>
      </c>
      <c r="D602" s="518"/>
      <c r="E602" s="518"/>
      <c r="F602" s="518"/>
      <c r="G602" s="518"/>
      <c r="H602" s="360">
        <f>+'видатки по розпорядниках'!M602</f>
        <v>0</v>
      </c>
      <c r="I602" s="162">
        <f t="shared" si="9"/>
        <v>0</v>
      </c>
      <c r="K602" s="71"/>
      <c r="L602" s="71"/>
      <c r="M602" s="71"/>
      <c r="N602" s="71"/>
    </row>
    <row r="603" spans="1:58" ht="39" hidden="1" customHeight="1">
      <c r="A603" s="570"/>
      <c r="B603" s="550" t="s">
        <v>901</v>
      </c>
      <c r="C603" s="197" t="s">
        <v>1234</v>
      </c>
      <c r="D603" s="197"/>
      <c r="E603" s="197"/>
      <c r="F603" s="197"/>
      <c r="G603" s="197"/>
      <c r="H603" s="360">
        <f>+'видатки по розпорядниках'!M603</f>
        <v>0</v>
      </c>
      <c r="I603" s="162">
        <f t="shared" si="9"/>
        <v>0</v>
      </c>
      <c r="K603" s="71"/>
      <c r="L603" s="71"/>
      <c r="M603" s="71"/>
      <c r="N603" s="71"/>
    </row>
    <row r="604" spans="1:58" ht="57" hidden="1" customHeight="1">
      <c r="A604" s="570"/>
      <c r="B604" s="550" t="s">
        <v>895</v>
      </c>
      <c r="C604" s="197" t="s">
        <v>575</v>
      </c>
      <c r="D604" s="197"/>
      <c r="E604" s="197"/>
      <c r="F604" s="197"/>
      <c r="G604" s="197"/>
      <c r="H604" s="360">
        <f>+'видатки по розпорядниках'!M604</f>
        <v>0</v>
      </c>
      <c r="I604" s="162">
        <f t="shared" si="9"/>
        <v>0</v>
      </c>
      <c r="K604" s="71"/>
      <c r="L604" s="71"/>
      <c r="M604" s="71"/>
      <c r="N604" s="71"/>
    </row>
    <row r="605" spans="1:58" ht="51.6" hidden="1" customHeight="1">
      <c r="A605" s="570"/>
      <c r="B605" s="570" t="s">
        <v>383</v>
      </c>
      <c r="C605" s="171" t="s">
        <v>767</v>
      </c>
      <c r="D605" s="171"/>
      <c r="E605" s="171"/>
      <c r="F605" s="171"/>
      <c r="G605" s="171"/>
      <c r="H605" s="360">
        <f>+'видатки по розпорядниках'!M605</f>
        <v>0</v>
      </c>
      <c r="I605" s="162">
        <f t="shared" si="9"/>
        <v>0</v>
      </c>
      <c r="K605" s="71"/>
      <c r="L605" s="71"/>
      <c r="M605" s="71"/>
      <c r="N605" s="71"/>
    </row>
    <row r="606" spans="1:58" ht="46.9" hidden="1" customHeight="1">
      <c r="A606" s="570"/>
      <c r="B606" s="550" t="s">
        <v>902</v>
      </c>
      <c r="C606" s="197" t="s">
        <v>715</v>
      </c>
      <c r="D606" s="197"/>
      <c r="E606" s="197"/>
      <c r="F606" s="197"/>
      <c r="G606" s="197"/>
      <c r="H606" s="360">
        <f>+'видатки по розпорядниках'!M606</f>
        <v>0</v>
      </c>
      <c r="I606" s="162">
        <f t="shared" si="9"/>
        <v>0</v>
      </c>
      <c r="K606" s="71"/>
      <c r="L606" s="71"/>
      <c r="M606" s="71"/>
      <c r="N606" s="71"/>
    </row>
    <row r="607" spans="1:58" ht="36" hidden="1" customHeight="1">
      <c r="A607" s="570"/>
      <c r="B607" s="550" t="s">
        <v>1242</v>
      </c>
      <c r="C607" s="197" t="s">
        <v>940</v>
      </c>
      <c r="D607" s="197"/>
      <c r="E607" s="197"/>
      <c r="F607" s="197"/>
      <c r="G607" s="197"/>
      <c r="H607" s="360">
        <f>+'видатки по розпорядниках'!M607</f>
        <v>0</v>
      </c>
      <c r="I607" s="162">
        <f t="shared" si="9"/>
        <v>0</v>
      </c>
      <c r="K607" s="71"/>
      <c r="L607" s="71"/>
      <c r="M607" s="71"/>
      <c r="N607" s="71"/>
    </row>
    <row r="608" spans="1:58" ht="39.6" hidden="1" customHeight="1">
      <c r="A608" s="570"/>
      <c r="B608" s="550" t="s">
        <v>1243</v>
      </c>
      <c r="C608" s="197" t="s">
        <v>230</v>
      </c>
      <c r="D608" s="197"/>
      <c r="E608" s="197"/>
      <c r="F608" s="197"/>
      <c r="G608" s="197"/>
      <c r="H608" s="360">
        <f>+'видатки по розпорядниках'!M608</f>
        <v>0</v>
      </c>
      <c r="I608" s="162">
        <f t="shared" si="9"/>
        <v>0</v>
      </c>
      <c r="K608" s="71"/>
      <c r="L608" s="71"/>
      <c r="M608" s="71"/>
      <c r="N608" s="71"/>
    </row>
    <row r="609" spans="1:58" ht="58.9" hidden="1" customHeight="1">
      <c r="A609" s="570"/>
      <c r="B609" s="575" t="s">
        <v>71</v>
      </c>
      <c r="C609" s="169" t="s">
        <v>266</v>
      </c>
      <c r="D609" s="169"/>
      <c r="E609" s="169"/>
      <c r="F609" s="169"/>
      <c r="G609" s="169"/>
      <c r="H609" s="360">
        <f>+'видатки по розпорядниках'!M609</f>
        <v>0</v>
      </c>
      <c r="I609" s="162">
        <f t="shared" si="9"/>
        <v>0</v>
      </c>
      <c r="K609" s="71"/>
      <c r="L609" s="71"/>
      <c r="M609" s="71"/>
      <c r="N609" s="71"/>
    </row>
    <row r="610" spans="1:58" ht="49.15" hidden="1" customHeight="1">
      <c r="A610" s="570"/>
      <c r="B610" s="575" t="s">
        <v>1125</v>
      </c>
      <c r="C610" s="173" t="s">
        <v>1126</v>
      </c>
      <c r="D610" s="173"/>
      <c r="E610" s="173"/>
      <c r="F610" s="173"/>
      <c r="G610" s="173"/>
      <c r="H610" s="360">
        <f>+'видатки по розпорядниках'!M610</f>
        <v>0</v>
      </c>
      <c r="I610" s="162">
        <f t="shared" si="9"/>
        <v>0</v>
      </c>
      <c r="K610" s="71"/>
      <c r="L610" s="71"/>
      <c r="M610" s="71"/>
      <c r="N610" s="71"/>
    </row>
    <row r="611" spans="1:58" ht="39" hidden="1" customHeight="1">
      <c r="A611" s="570"/>
      <c r="B611" s="550" t="s">
        <v>72</v>
      </c>
      <c r="C611" s="197" t="s">
        <v>377</v>
      </c>
      <c r="D611" s="197"/>
      <c r="E611" s="197"/>
      <c r="F611" s="197"/>
      <c r="G611" s="197"/>
      <c r="H611" s="360">
        <f>+'видатки по розпорядниках'!M611</f>
        <v>0</v>
      </c>
      <c r="I611" s="162">
        <f t="shared" si="9"/>
        <v>0</v>
      </c>
      <c r="K611" s="71"/>
      <c r="L611" s="71"/>
      <c r="M611" s="71"/>
      <c r="N611" s="71"/>
    </row>
    <row r="612" spans="1:58" ht="51.6" hidden="1" customHeight="1">
      <c r="A612" s="570"/>
      <c r="B612" s="570" t="s">
        <v>1510</v>
      </c>
      <c r="C612" s="171" t="s">
        <v>1509</v>
      </c>
      <c r="D612" s="171"/>
      <c r="E612" s="171"/>
      <c r="F612" s="171"/>
      <c r="G612" s="171"/>
      <c r="H612" s="360">
        <f>+'видатки по розпорядниках'!M612</f>
        <v>0</v>
      </c>
      <c r="I612" s="162">
        <f t="shared" si="9"/>
        <v>0</v>
      </c>
      <c r="K612" s="71"/>
      <c r="L612" s="71"/>
      <c r="M612" s="71"/>
      <c r="N612" s="71"/>
    </row>
    <row r="613" spans="1:58" ht="51.6" customHeight="1">
      <c r="A613" s="359" t="s">
        <v>1175</v>
      </c>
      <c r="B613" s="359" t="s">
        <v>1180</v>
      </c>
      <c r="C613" s="360" t="s">
        <v>1181</v>
      </c>
      <c r="D613" s="360"/>
      <c r="E613" s="360"/>
      <c r="F613" s="360"/>
      <c r="G613" s="360"/>
      <c r="H613" s="503">
        <f>+'видатки по розпорядниках'!M613</f>
        <v>700000</v>
      </c>
      <c r="I613" s="162">
        <f t="shared" si="9"/>
        <v>700000</v>
      </c>
      <c r="J613" s="2"/>
      <c r="K613" s="7"/>
      <c r="L613" s="7"/>
      <c r="M613" s="7"/>
      <c r="N613" s="7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</row>
    <row r="614" spans="1:58" ht="37.9" hidden="1" customHeight="1">
      <c r="A614" s="643" t="s">
        <v>555</v>
      </c>
      <c r="B614" s="569" t="s">
        <v>225</v>
      </c>
      <c r="C614" s="217" t="s">
        <v>226</v>
      </c>
      <c r="D614" s="217"/>
      <c r="E614" s="217"/>
      <c r="F614" s="217"/>
      <c r="G614" s="217"/>
      <c r="H614" s="360">
        <f>+'видатки по розпорядниках'!M614</f>
        <v>0</v>
      </c>
      <c r="I614" s="162">
        <f t="shared" si="9"/>
        <v>0</v>
      </c>
      <c r="J614" s="2"/>
      <c r="K614" s="7"/>
      <c r="L614" s="7"/>
      <c r="M614" s="7"/>
      <c r="N614" s="7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</row>
    <row r="615" spans="1:58" ht="50.25" hidden="1" customHeight="1">
      <c r="A615" s="570"/>
      <c r="B615" s="550" t="s">
        <v>1033</v>
      </c>
      <c r="C615" s="202" t="s">
        <v>1032</v>
      </c>
      <c r="D615" s="202"/>
      <c r="E615" s="202"/>
      <c r="F615" s="202"/>
      <c r="G615" s="202"/>
      <c r="H615" s="360">
        <f>+'видатки по розпорядниках'!M615</f>
        <v>0</v>
      </c>
      <c r="I615" s="162">
        <f t="shared" si="9"/>
        <v>0</v>
      </c>
      <c r="J615" s="2"/>
      <c r="K615" s="7"/>
      <c r="L615" s="7"/>
      <c r="M615" s="7"/>
      <c r="N615" s="7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</row>
    <row r="616" spans="1:58" ht="39" hidden="1" customHeight="1">
      <c r="A616" s="570"/>
      <c r="B616" s="550" t="s">
        <v>1510</v>
      </c>
      <c r="C616" s="197" t="s">
        <v>1509</v>
      </c>
      <c r="D616" s="197"/>
      <c r="E616" s="197"/>
      <c r="F616" s="197"/>
      <c r="G616" s="197"/>
      <c r="H616" s="360">
        <f>+'видатки по розпорядниках'!M616</f>
        <v>0</v>
      </c>
      <c r="I616" s="162">
        <f t="shared" si="9"/>
        <v>0</v>
      </c>
      <c r="J616" s="2"/>
      <c r="K616" s="124"/>
      <c r="L616" s="124"/>
      <c r="M616" s="124"/>
      <c r="N616" s="12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</row>
    <row r="617" spans="1:58" ht="39.6" hidden="1" customHeight="1">
      <c r="A617" s="569" t="s">
        <v>1387</v>
      </c>
      <c r="B617" s="569" t="s">
        <v>1183</v>
      </c>
      <c r="C617" s="518" t="s">
        <v>559</v>
      </c>
      <c r="D617" s="518"/>
      <c r="E617" s="518"/>
      <c r="F617" s="518"/>
      <c r="G617" s="518"/>
      <c r="H617" s="360">
        <f>+'видатки по розпорядниках'!M617</f>
        <v>0</v>
      </c>
      <c r="I617" s="162">
        <f t="shared" si="9"/>
        <v>0</v>
      </c>
      <c r="J617" s="2"/>
      <c r="K617" s="124"/>
      <c r="L617" s="124"/>
      <c r="M617" s="124"/>
      <c r="N617" s="12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</row>
    <row r="618" spans="1:58" ht="35.450000000000003" hidden="1" customHeight="1">
      <c r="A618" s="569" t="s">
        <v>1388</v>
      </c>
      <c r="B618" s="569" t="s">
        <v>1512</v>
      </c>
      <c r="C618" s="217" t="s">
        <v>547</v>
      </c>
      <c r="D618" s="217"/>
      <c r="E618" s="217"/>
      <c r="F618" s="217"/>
      <c r="G618" s="217"/>
      <c r="H618" s="360">
        <f>+'видатки по розпорядниках'!M618</f>
        <v>0</v>
      </c>
      <c r="I618" s="162">
        <f t="shared" si="9"/>
        <v>0</v>
      </c>
      <c r="J618" s="2"/>
      <c r="K618" s="124"/>
      <c r="L618" s="124"/>
      <c r="M618" s="124"/>
      <c r="N618" s="12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</row>
    <row r="619" spans="1:58" ht="51" hidden="1" customHeight="1">
      <c r="A619" s="570"/>
      <c r="B619" s="551"/>
      <c r="C619" s="217" t="s">
        <v>145</v>
      </c>
      <c r="D619" s="217"/>
      <c r="E619" s="217"/>
      <c r="F619" s="217"/>
      <c r="G619" s="217"/>
      <c r="H619" s="360">
        <f>+'видатки по розпорядниках'!M619</f>
        <v>0</v>
      </c>
      <c r="I619" s="162">
        <f t="shared" si="9"/>
        <v>0</v>
      </c>
      <c r="J619" s="2"/>
      <c r="K619" s="124"/>
      <c r="L619" s="124"/>
      <c r="M619" s="124"/>
      <c r="N619" s="12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</row>
    <row r="620" spans="1:58" ht="53.45" hidden="1" customHeight="1">
      <c r="A620" s="570"/>
      <c r="B620" s="551"/>
      <c r="C620" s="625" t="s">
        <v>652</v>
      </c>
      <c r="D620" s="625"/>
      <c r="E620" s="625"/>
      <c r="F620" s="625"/>
      <c r="G620" s="625"/>
      <c r="H620" s="360">
        <f>+'видатки по розпорядниках'!M620</f>
        <v>0</v>
      </c>
      <c r="I620" s="162">
        <f t="shared" si="9"/>
        <v>0</v>
      </c>
      <c r="J620" s="2"/>
      <c r="K620" s="124"/>
      <c r="L620" s="124"/>
      <c r="M620" s="124"/>
      <c r="N620" s="12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</row>
    <row r="621" spans="1:58" ht="46.15" hidden="1" customHeight="1">
      <c r="A621" s="570"/>
      <c r="B621" s="550"/>
      <c r="C621" s="213" t="s">
        <v>534</v>
      </c>
      <c r="D621" s="213"/>
      <c r="E621" s="213"/>
      <c r="F621" s="213"/>
      <c r="G621" s="213"/>
      <c r="H621" s="360">
        <f>+'видатки по розпорядниках'!M621</f>
        <v>0</v>
      </c>
      <c r="I621" s="162">
        <f t="shared" si="9"/>
        <v>0</v>
      </c>
      <c r="J621" s="2"/>
      <c r="K621" s="124"/>
      <c r="L621" s="124"/>
      <c r="M621" s="124"/>
      <c r="N621" s="12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</row>
    <row r="622" spans="1:58" ht="32.450000000000003" hidden="1" customHeight="1">
      <c r="A622" s="570"/>
      <c r="B622" s="569" t="s">
        <v>225</v>
      </c>
      <c r="C622" s="448" t="s">
        <v>226</v>
      </c>
      <c r="D622" s="448"/>
      <c r="E622" s="448"/>
      <c r="F622" s="448"/>
      <c r="G622" s="448"/>
      <c r="H622" s="360">
        <f>+'видатки по розпорядниках'!M622</f>
        <v>0</v>
      </c>
      <c r="I622" s="162">
        <f t="shared" si="9"/>
        <v>0</v>
      </c>
      <c r="J622" s="2"/>
      <c r="K622" s="124"/>
      <c r="L622" s="124"/>
      <c r="M622" s="124"/>
      <c r="N622" s="12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</row>
    <row r="623" spans="1:58" ht="20.45" hidden="1" customHeight="1">
      <c r="A623" s="570"/>
      <c r="B623" s="569"/>
      <c r="C623" s="213" t="s">
        <v>747</v>
      </c>
      <c r="D623" s="213"/>
      <c r="E623" s="213"/>
      <c r="F623" s="213"/>
      <c r="G623" s="213"/>
      <c r="H623" s="360">
        <f>+'видатки по розпорядниках'!M623</f>
        <v>0</v>
      </c>
      <c r="I623" s="162">
        <f t="shared" si="9"/>
        <v>0</v>
      </c>
      <c r="J623" s="2"/>
      <c r="K623" s="124"/>
      <c r="L623" s="124"/>
      <c r="M623" s="124"/>
      <c r="N623" s="12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</row>
    <row r="624" spans="1:58" ht="30.6" hidden="1" customHeight="1">
      <c r="A624" s="570"/>
      <c r="B624" s="569"/>
      <c r="C624" s="215" t="s">
        <v>626</v>
      </c>
      <c r="D624" s="215"/>
      <c r="E624" s="215"/>
      <c r="F624" s="215"/>
      <c r="G624" s="215"/>
      <c r="H624" s="360">
        <f>+'видатки по розпорядниках'!M624</f>
        <v>0</v>
      </c>
      <c r="I624" s="162">
        <f t="shared" si="9"/>
        <v>0</v>
      </c>
      <c r="J624" s="2"/>
      <c r="K624" s="124"/>
      <c r="L624" s="124"/>
      <c r="M624" s="124"/>
      <c r="N624" s="12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</row>
    <row r="625" spans="1:58" ht="32.450000000000003" hidden="1" customHeight="1">
      <c r="A625" s="570"/>
      <c r="B625" s="569"/>
      <c r="C625" s="215" t="s">
        <v>684</v>
      </c>
      <c r="D625" s="215"/>
      <c r="E625" s="215"/>
      <c r="F625" s="215"/>
      <c r="G625" s="215"/>
      <c r="H625" s="360">
        <f>+'видатки по розпорядниках'!M625</f>
        <v>0</v>
      </c>
      <c r="I625" s="162">
        <f t="shared" si="9"/>
        <v>0</v>
      </c>
      <c r="J625" s="2"/>
      <c r="K625" s="124"/>
      <c r="L625" s="124"/>
      <c r="M625" s="124"/>
      <c r="N625" s="12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</row>
    <row r="626" spans="1:58" ht="69.599999999999994" hidden="1" customHeight="1">
      <c r="A626" s="570"/>
      <c r="B626" s="569" t="s">
        <v>1127</v>
      </c>
      <c r="C626" s="217" t="s">
        <v>1268</v>
      </c>
      <c r="D626" s="217"/>
      <c r="E626" s="217"/>
      <c r="F626" s="217"/>
      <c r="G626" s="217"/>
      <c r="H626" s="360">
        <f>+'видатки по розпорядниках'!M626</f>
        <v>0</v>
      </c>
      <c r="I626" s="162">
        <f t="shared" si="9"/>
        <v>0</v>
      </c>
      <c r="J626" s="2"/>
      <c r="K626" s="124"/>
      <c r="L626" s="124"/>
      <c r="M626" s="124"/>
      <c r="N626" s="12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</row>
    <row r="627" spans="1:58" ht="40.15" customHeight="1">
      <c r="A627" s="1416" t="s">
        <v>1247</v>
      </c>
      <c r="B627" s="1416"/>
      <c r="C627" s="217" t="s">
        <v>1246</v>
      </c>
      <c r="D627" s="1351" t="s">
        <v>828</v>
      </c>
      <c r="E627" s="217"/>
      <c r="F627" s="217"/>
      <c r="G627" s="217"/>
      <c r="H627" s="360">
        <f>+'видатки по розпорядниках'!M627</f>
        <v>700000</v>
      </c>
      <c r="I627" s="162">
        <f t="shared" si="9"/>
        <v>700000</v>
      </c>
      <c r="J627" s="2"/>
      <c r="K627" s="124"/>
      <c r="L627" s="124"/>
      <c r="M627" s="124"/>
      <c r="N627" s="12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</row>
    <row r="628" spans="1:58" ht="90.6" customHeight="1">
      <c r="A628" s="1438"/>
      <c r="B628" s="1438"/>
      <c r="C628" s="217" t="s">
        <v>260</v>
      </c>
      <c r="D628" s="1351" t="s">
        <v>828</v>
      </c>
      <c r="E628" s="217"/>
      <c r="F628" s="217"/>
      <c r="G628" s="217"/>
      <c r="H628" s="360">
        <f>+'видатки по розпорядниках'!M628</f>
        <v>700000</v>
      </c>
      <c r="I628" s="162">
        <f t="shared" si="9"/>
        <v>700000</v>
      </c>
      <c r="J628" s="2"/>
      <c r="K628" s="124"/>
      <c r="L628" s="124"/>
      <c r="M628" s="124"/>
      <c r="N628" s="12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</row>
    <row r="629" spans="1:58" ht="45.6" hidden="1" customHeight="1">
      <c r="A629" s="570"/>
      <c r="B629" s="575"/>
      <c r="C629" s="623" t="s">
        <v>1253</v>
      </c>
      <c r="D629" s="623"/>
      <c r="E629" s="623"/>
      <c r="F629" s="623"/>
      <c r="G629" s="623"/>
      <c r="H629" s="360">
        <f>+'видатки по розпорядниках'!M629</f>
        <v>0</v>
      </c>
      <c r="I629" s="162">
        <f t="shared" si="9"/>
        <v>0</v>
      </c>
      <c r="J629" s="2"/>
      <c r="K629" s="124"/>
      <c r="L629" s="124"/>
      <c r="M629" s="124"/>
      <c r="N629" s="12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</row>
    <row r="630" spans="1:58" ht="32.450000000000003" hidden="1" customHeight="1">
      <c r="A630" s="570"/>
      <c r="B630" s="575" t="s">
        <v>500</v>
      </c>
      <c r="C630" s="626" t="s">
        <v>499</v>
      </c>
      <c r="D630" s="626"/>
      <c r="E630" s="626"/>
      <c r="F630" s="626"/>
      <c r="G630" s="626"/>
      <c r="H630" s="360">
        <f>+'видатки по розпорядниках'!M630</f>
        <v>0</v>
      </c>
      <c r="I630" s="162">
        <f t="shared" si="9"/>
        <v>0</v>
      </c>
      <c r="J630" s="2"/>
      <c r="K630" s="124"/>
      <c r="L630" s="124"/>
      <c r="M630" s="124"/>
      <c r="N630" s="12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</row>
    <row r="631" spans="1:58" ht="15.75" hidden="1" outlineLevel="1">
      <c r="A631" s="624" t="s">
        <v>1178</v>
      </c>
      <c r="B631" s="624"/>
      <c r="C631" s="560" t="s">
        <v>219</v>
      </c>
      <c r="D631" s="560"/>
      <c r="E631" s="560"/>
      <c r="F631" s="560"/>
      <c r="G631" s="560"/>
      <c r="H631" s="360">
        <f>+'видатки по розпорядниках'!M631</f>
        <v>0</v>
      </c>
      <c r="I631" s="162">
        <f t="shared" si="9"/>
        <v>0</v>
      </c>
      <c r="J631" s="2"/>
      <c r="K631" s="124"/>
      <c r="L631" s="124"/>
      <c r="M631" s="124"/>
      <c r="N631" s="12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</row>
    <row r="632" spans="1:58" ht="13.9" hidden="1" customHeight="1" outlineLevel="1">
      <c r="A632" s="570"/>
      <c r="B632" s="570">
        <v>150101</v>
      </c>
      <c r="C632" s="171" t="s">
        <v>532</v>
      </c>
      <c r="D632" s="171"/>
      <c r="E632" s="171"/>
      <c r="F632" s="171"/>
      <c r="G632" s="171"/>
      <c r="H632" s="360">
        <f>+'видатки по розпорядниках'!M632</f>
        <v>0</v>
      </c>
      <c r="I632" s="162">
        <f t="shared" si="9"/>
        <v>0</v>
      </c>
      <c r="J632" s="2"/>
      <c r="K632" s="124"/>
      <c r="L632" s="124"/>
      <c r="M632" s="124"/>
      <c r="N632" s="12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</row>
    <row r="633" spans="1:58" ht="33.75" hidden="1" customHeight="1" outlineLevel="1">
      <c r="A633" s="624" t="s">
        <v>871</v>
      </c>
      <c r="B633" s="624" t="s">
        <v>871</v>
      </c>
      <c r="C633" s="560" t="s">
        <v>220</v>
      </c>
      <c r="D633" s="560"/>
      <c r="E633" s="560"/>
      <c r="F633" s="560"/>
      <c r="G633" s="560"/>
      <c r="H633" s="360">
        <f>+'видатки по розпорядниках'!M633</f>
        <v>0</v>
      </c>
      <c r="I633" s="162">
        <f t="shared" si="9"/>
        <v>0</v>
      </c>
      <c r="J633" s="2"/>
      <c r="K633" s="124"/>
      <c r="L633" s="124"/>
      <c r="M633" s="124"/>
      <c r="N633" s="12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</row>
    <row r="634" spans="1:58" ht="13.9" hidden="1" customHeight="1" outlineLevel="1">
      <c r="A634" s="570"/>
      <c r="B634" s="570">
        <v>150101</v>
      </c>
      <c r="C634" s="171" t="s">
        <v>532</v>
      </c>
      <c r="D634" s="171"/>
      <c r="E634" s="171"/>
      <c r="F634" s="171"/>
      <c r="G634" s="171"/>
      <c r="H634" s="360">
        <f>+'видатки по розпорядниках'!M634</f>
        <v>0</v>
      </c>
      <c r="I634" s="162">
        <f t="shared" si="9"/>
        <v>0</v>
      </c>
      <c r="J634" s="2"/>
      <c r="K634" s="124"/>
      <c r="L634" s="124"/>
      <c r="M634" s="124"/>
      <c r="N634" s="12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</row>
    <row r="635" spans="1:58" ht="30" hidden="1" outlineLevel="1">
      <c r="A635" s="624" t="s">
        <v>618</v>
      </c>
      <c r="B635" s="624" t="s">
        <v>618</v>
      </c>
      <c r="C635" s="560" t="s">
        <v>404</v>
      </c>
      <c r="D635" s="560"/>
      <c r="E635" s="560"/>
      <c r="F635" s="560"/>
      <c r="G635" s="560"/>
      <c r="H635" s="360">
        <f>+'видатки по розпорядниках'!M635</f>
        <v>0</v>
      </c>
      <c r="I635" s="162">
        <f t="shared" si="9"/>
        <v>0</v>
      </c>
      <c r="J635" s="2"/>
      <c r="K635" s="124"/>
      <c r="L635" s="124"/>
      <c r="M635" s="124"/>
      <c r="N635" s="12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</row>
    <row r="636" spans="1:58" ht="13.9" hidden="1" customHeight="1" outlineLevel="1">
      <c r="A636" s="570"/>
      <c r="B636" s="570">
        <v>150101</v>
      </c>
      <c r="C636" s="171" t="s">
        <v>532</v>
      </c>
      <c r="D636" s="171"/>
      <c r="E636" s="171"/>
      <c r="F636" s="171"/>
      <c r="G636" s="171"/>
      <c r="H636" s="360">
        <f>+'видатки по розпорядниках'!M636</f>
        <v>0</v>
      </c>
      <c r="I636" s="162">
        <f t="shared" si="9"/>
        <v>0</v>
      </c>
      <c r="J636" s="2"/>
      <c r="K636" s="124"/>
      <c r="L636" s="124"/>
      <c r="M636" s="124"/>
      <c r="N636" s="12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</row>
    <row r="637" spans="1:58" ht="28.9" hidden="1" customHeight="1" outlineLevel="1">
      <c r="A637" s="624" t="s">
        <v>1176</v>
      </c>
      <c r="B637" s="624" t="s">
        <v>1176</v>
      </c>
      <c r="C637" s="560" t="s">
        <v>405</v>
      </c>
      <c r="D637" s="560"/>
      <c r="E637" s="560"/>
      <c r="F637" s="560"/>
      <c r="G637" s="560"/>
      <c r="H637" s="360">
        <f>+'видатки по розпорядниках'!M637</f>
        <v>0</v>
      </c>
      <c r="I637" s="162">
        <f t="shared" si="9"/>
        <v>0</v>
      </c>
      <c r="J637" s="2"/>
      <c r="K637" s="124"/>
      <c r="L637" s="124"/>
      <c r="M637" s="124"/>
      <c r="N637" s="12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</row>
    <row r="638" spans="1:58" ht="13.9" hidden="1" customHeight="1">
      <c r="A638" s="570"/>
      <c r="B638" s="570">
        <v>150101</v>
      </c>
      <c r="C638" s="171" t="s">
        <v>532</v>
      </c>
      <c r="D638" s="171"/>
      <c r="E638" s="171"/>
      <c r="F638" s="171"/>
      <c r="G638" s="171"/>
      <c r="H638" s="360">
        <f>+'видатки по розпорядниках'!M638</f>
        <v>0</v>
      </c>
      <c r="I638" s="162">
        <f t="shared" si="9"/>
        <v>0</v>
      </c>
      <c r="J638" s="2"/>
      <c r="K638" s="124"/>
      <c r="L638" s="124"/>
      <c r="M638" s="124"/>
      <c r="N638" s="12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</row>
    <row r="639" spans="1:58" ht="23.45" hidden="1" customHeight="1">
      <c r="A639" s="624" t="s">
        <v>1592</v>
      </c>
      <c r="B639" s="624" t="s">
        <v>1592</v>
      </c>
      <c r="C639" s="560" t="s">
        <v>405</v>
      </c>
      <c r="D639" s="560"/>
      <c r="E639" s="560"/>
      <c r="F639" s="560"/>
      <c r="G639" s="560"/>
      <c r="H639" s="360">
        <f>+'видатки по розпорядниках'!M639</f>
        <v>0</v>
      </c>
      <c r="I639" s="162">
        <f t="shared" si="9"/>
        <v>0</v>
      </c>
      <c r="J639" s="2"/>
      <c r="K639" s="124"/>
      <c r="L639" s="124"/>
      <c r="M639" s="124"/>
      <c r="N639" s="12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</row>
    <row r="640" spans="1:58" ht="23.45" hidden="1" customHeight="1">
      <c r="A640" s="627"/>
      <c r="B640" s="627">
        <v>150101</v>
      </c>
      <c r="C640" s="171" t="s">
        <v>532</v>
      </c>
      <c r="D640" s="171"/>
      <c r="E640" s="171"/>
      <c r="F640" s="171"/>
      <c r="G640" s="171"/>
      <c r="H640" s="360">
        <f>+'видатки по розпорядниках'!M640</f>
        <v>0</v>
      </c>
      <c r="I640" s="162">
        <f t="shared" si="9"/>
        <v>0</v>
      </c>
      <c r="J640" s="2"/>
      <c r="K640" s="124"/>
      <c r="L640" s="124"/>
      <c r="M640" s="124"/>
      <c r="N640" s="12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</row>
    <row r="641" spans="1:58" ht="25.9" hidden="1" customHeight="1">
      <c r="A641" s="624" t="s">
        <v>1289</v>
      </c>
      <c r="B641" s="624" t="s">
        <v>1289</v>
      </c>
      <c r="C641" s="560" t="s">
        <v>406</v>
      </c>
      <c r="D641" s="560"/>
      <c r="E641" s="560"/>
      <c r="F641" s="560"/>
      <c r="G641" s="560"/>
      <c r="H641" s="360">
        <f>+'видатки по розпорядниках'!M641</f>
        <v>0</v>
      </c>
      <c r="I641" s="162">
        <f t="shared" si="9"/>
        <v>0</v>
      </c>
      <c r="J641" s="2"/>
      <c r="K641" s="124"/>
      <c r="L641" s="124"/>
      <c r="M641" s="124"/>
      <c r="N641" s="12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</row>
    <row r="642" spans="1:58" ht="13.9" hidden="1" customHeight="1">
      <c r="A642" s="570"/>
      <c r="B642" s="570">
        <v>150101</v>
      </c>
      <c r="C642" s="171" t="s">
        <v>532</v>
      </c>
      <c r="D642" s="171"/>
      <c r="E642" s="171"/>
      <c r="F642" s="171"/>
      <c r="G642" s="171"/>
      <c r="H642" s="360">
        <f>+'видатки по розпорядниках'!M642</f>
        <v>0</v>
      </c>
      <c r="I642" s="162">
        <f t="shared" si="9"/>
        <v>0</v>
      </c>
      <c r="J642" s="2"/>
      <c r="K642" s="124"/>
      <c r="L642" s="124"/>
      <c r="M642" s="124"/>
      <c r="N642" s="12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</row>
    <row r="643" spans="1:58" ht="15.75" hidden="1">
      <c r="A643" s="624" t="s">
        <v>1296</v>
      </c>
      <c r="B643" s="624" t="s">
        <v>1296</v>
      </c>
      <c r="C643" s="560" t="s">
        <v>407</v>
      </c>
      <c r="D643" s="560"/>
      <c r="E643" s="560"/>
      <c r="F643" s="560"/>
      <c r="G643" s="560"/>
      <c r="H643" s="360">
        <f>+'видатки по розпорядниках'!M643</f>
        <v>0</v>
      </c>
      <c r="I643" s="162">
        <f t="shared" si="9"/>
        <v>0</v>
      </c>
      <c r="J643" s="2"/>
      <c r="K643" s="124"/>
      <c r="L643" s="124"/>
      <c r="M643" s="124"/>
      <c r="N643" s="12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</row>
    <row r="644" spans="1:58" ht="13.9" hidden="1" customHeight="1">
      <c r="A644" s="570"/>
      <c r="B644" s="570">
        <v>150101</v>
      </c>
      <c r="C644" s="171" t="s">
        <v>532</v>
      </c>
      <c r="D644" s="171"/>
      <c r="E644" s="171"/>
      <c r="F644" s="171"/>
      <c r="G644" s="171"/>
      <c r="H644" s="360">
        <f>+'видатки по розпорядниках'!M644</f>
        <v>0</v>
      </c>
      <c r="I644" s="162">
        <f t="shared" si="9"/>
        <v>0</v>
      </c>
      <c r="J644" s="2"/>
      <c r="K644" s="124"/>
      <c r="L644" s="124"/>
      <c r="M644" s="124"/>
      <c r="N644" s="12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</row>
    <row r="645" spans="1:58" ht="15.75" hidden="1">
      <c r="A645" s="624" t="s">
        <v>1296</v>
      </c>
      <c r="B645" s="624" t="s">
        <v>1296</v>
      </c>
      <c r="C645" s="560" t="s">
        <v>408</v>
      </c>
      <c r="D645" s="560"/>
      <c r="E645" s="560"/>
      <c r="F645" s="560"/>
      <c r="G645" s="560"/>
      <c r="H645" s="360">
        <f>+'видатки по розпорядниках'!M645</f>
        <v>0</v>
      </c>
      <c r="I645" s="162">
        <f t="shared" si="9"/>
        <v>0</v>
      </c>
      <c r="J645" s="2"/>
      <c r="K645" s="124"/>
      <c r="L645" s="124"/>
      <c r="M645" s="124"/>
      <c r="N645" s="12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</row>
    <row r="646" spans="1:58" ht="13.9" hidden="1" customHeight="1">
      <c r="A646" s="570"/>
      <c r="B646" s="570">
        <v>150101</v>
      </c>
      <c r="C646" s="171" t="s">
        <v>532</v>
      </c>
      <c r="D646" s="171"/>
      <c r="E646" s="171"/>
      <c r="F646" s="171"/>
      <c r="G646" s="171"/>
      <c r="H646" s="360">
        <f>+'видатки по розпорядниках'!M646</f>
        <v>0</v>
      </c>
      <c r="I646" s="162">
        <f t="shared" si="9"/>
        <v>0</v>
      </c>
      <c r="J646" s="2"/>
      <c r="K646" s="124"/>
      <c r="L646" s="124"/>
      <c r="M646" s="124"/>
      <c r="N646" s="12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</row>
    <row r="647" spans="1:58" ht="15.75" hidden="1">
      <c r="A647" s="624" t="s">
        <v>1297</v>
      </c>
      <c r="B647" s="624" t="s">
        <v>1297</v>
      </c>
      <c r="C647" s="560" t="s">
        <v>1294</v>
      </c>
      <c r="D647" s="560"/>
      <c r="E647" s="560"/>
      <c r="F647" s="560"/>
      <c r="G647" s="560"/>
      <c r="H647" s="360">
        <f>+'видатки по розпорядниках'!M647</f>
        <v>0</v>
      </c>
      <c r="I647" s="162">
        <f t="shared" si="9"/>
        <v>0</v>
      </c>
      <c r="J647" s="2"/>
      <c r="K647" s="124"/>
      <c r="L647" s="124"/>
      <c r="M647" s="124"/>
      <c r="N647" s="12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</row>
    <row r="648" spans="1:58" ht="13.9" hidden="1" customHeight="1">
      <c r="A648" s="570"/>
      <c r="B648" s="570">
        <v>150101</v>
      </c>
      <c r="C648" s="171" t="s">
        <v>532</v>
      </c>
      <c r="D648" s="171"/>
      <c r="E648" s="171"/>
      <c r="F648" s="171"/>
      <c r="G648" s="171"/>
      <c r="H648" s="360">
        <f>+'видатки по розпорядниках'!M648</f>
        <v>0</v>
      </c>
      <c r="I648" s="162">
        <f t="shared" si="9"/>
        <v>0</v>
      </c>
      <c r="J648" s="2"/>
      <c r="K648" s="124"/>
      <c r="L648" s="124"/>
      <c r="M648" s="124"/>
      <c r="N648" s="12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</row>
    <row r="649" spans="1:58" ht="15.75" hidden="1">
      <c r="A649" s="624" t="s">
        <v>1298</v>
      </c>
      <c r="B649" s="624" t="s">
        <v>1298</v>
      </c>
      <c r="C649" s="560" t="s">
        <v>1511</v>
      </c>
      <c r="D649" s="560"/>
      <c r="E649" s="560"/>
      <c r="F649" s="560"/>
      <c r="G649" s="560"/>
      <c r="H649" s="360">
        <f>+'видатки по розпорядниках'!M649</f>
        <v>0</v>
      </c>
      <c r="I649" s="162">
        <f t="shared" si="9"/>
        <v>0</v>
      </c>
      <c r="J649" s="2"/>
      <c r="K649" s="124"/>
      <c r="L649" s="124"/>
      <c r="M649" s="124"/>
      <c r="N649" s="12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</row>
    <row r="650" spans="1:58" ht="15.75" hidden="1">
      <c r="A650" s="570"/>
      <c r="B650" s="570">
        <v>150101</v>
      </c>
      <c r="C650" s="171" t="s">
        <v>532</v>
      </c>
      <c r="D650" s="171"/>
      <c r="E650" s="171"/>
      <c r="F650" s="171"/>
      <c r="G650" s="171"/>
      <c r="H650" s="360">
        <f>+'видатки по розпорядниках'!M650</f>
        <v>0</v>
      </c>
      <c r="I650" s="162">
        <f t="shared" si="9"/>
        <v>0</v>
      </c>
      <c r="J650" s="2"/>
      <c r="K650" s="124"/>
      <c r="L650" s="124"/>
      <c r="M650" s="124"/>
      <c r="N650" s="12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</row>
    <row r="651" spans="1:58" ht="24.6" hidden="1" customHeight="1">
      <c r="A651" s="570"/>
      <c r="B651" s="570">
        <v>150101</v>
      </c>
      <c r="C651" s="171" t="s">
        <v>700</v>
      </c>
      <c r="D651" s="171"/>
      <c r="E651" s="171"/>
      <c r="F651" s="171"/>
      <c r="G651" s="171"/>
      <c r="H651" s="360">
        <f>+'видатки по розпорядниках'!M651</f>
        <v>0</v>
      </c>
      <c r="I651" s="162">
        <f t="shared" si="9"/>
        <v>0</v>
      </c>
      <c r="J651" s="54"/>
      <c r="K651" s="125"/>
      <c r="L651" s="125"/>
      <c r="M651" s="125"/>
      <c r="N651" s="125"/>
      <c r="O651" s="5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</row>
    <row r="652" spans="1:58" ht="18.600000000000001" hidden="1" customHeight="1">
      <c r="A652" s="624" t="s">
        <v>1299</v>
      </c>
      <c r="B652" s="624" t="s">
        <v>1299</v>
      </c>
      <c r="C652" s="560" t="s">
        <v>578</v>
      </c>
      <c r="D652" s="560"/>
      <c r="E652" s="560"/>
      <c r="F652" s="560"/>
      <c r="G652" s="560"/>
      <c r="H652" s="360">
        <f>+'видатки по розпорядниках'!M652</f>
        <v>0</v>
      </c>
      <c r="I652" s="162">
        <f t="shared" si="9"/>
        <v>0</v>
      </c>
      <c r="J652" s="2"/>
      <c r="K652" s="124"/>
      <c r="L652" s="124"/>
      <c r="M652" s="124"/>
      <c r="N652" s="12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</row>
    <row r="653" spans="1:58" ht="19.149999999999999" hidden="1" customHeight="1">
      <c r="A653" s="570"/>
      <c r="B653" s="570">
        <v>150101</v>
      </c>
      <c r="C653" s="171" t="s">
        <v>532</v>
      </c>
      <c r="D653" s="171"/>
      <c r="E653" s="171"/>
      <c r="F653" s="171"/>
      <c r="G653" s="171"/>
      <c r="H653" s="360">
        <f>+'видатки по розпорядниках'!M653</f>
        <v>0</v>
      </c>
      <c r="I653" s="162">
        <f t="shared" si="9"/>
        <v>0</v>
      </c>
      <c r="J653" s="2"/>
      <c r="K653" s="124"/>
      <c r="L653" s="124"/>
      <c r="M653" s="124"/>
      <c r="N653" s="12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</row>
    <row r="654" spans="1:58" ht="17.45" hidden="1" customHeight="1">
      <c r="A654" s="624" t="s">
        <v>1300</v>
      </c>
      <c r="B654" s="624" t="s">
        <v>1300</v>
      </c>
      <c r="C654" s="560" t="s">
        <v>579</v>
      </c>
      <c r="D654" s="560"/>
      <c r="E654" s="560"/>
      <c r="F654" s="560"/>
      <c r="G654" s="560"/>
      <c r="H654" s="360">
        <f>+'видатки по розпорядниках'!M654</f>
        <v>0</v>
      </c>
      <c r="I654" s="162">
        <f t="shared" si="9"/>
        <v>0</v>
      </c>
      <c r="J654" s="2"/>
      <c r="K654" s="124"/>
      <c r="L654" s="124"/>
      <c r="M654" s="124"/>
      <c r="N654" s="12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</row>
    <row r="655" spans="1:58" ht="18.600000000000001" hidden="1" customHeight="1">
      <c r="A655" s="570"/>
      <c r="B655" s="570">
        <v>150101</v>
      </c>
      <c r="C655" s="171" t="s">
        <v>532</v>
      </c>
      <c r="D655" s="171"/>
      <c r="E655" s="171"/>
      <c r="F655" s="171"/>
      <c r="G655" s="171"/>
      <c r="H655" s="360">
        <f>+'видатки по розпорядниках'!M655</f>
        <v>0</v>
      </c>
      <c r="I655" s="162">
        <f t="shared" si="9"/>
        <v>0</v>
      </c>
      <c r="J655" s="2"/>
      <c r="K655" s="124"/>
      <c r="L655" s="124"/>
      <c r="M655" s="124"/>
      <c r="N655" s="12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</row>
    <row r="656" spans="1:58" ht="15" hidden="1" customHeight="1">
      <c r="A656" s="624" t="s">
        <v>1501</v>
      </c>
      <c r="B656" s="624" t="s">
        <v>1501</v>
      </c>
      <c r="C656" s="560" t="s">
        <v>1290</v>
      </c>
      <c r="D656" s="560"/>
      <c r="E656" s="560"/>
      <c r="F656" s="560"/>
      <c r="G656" s="560"/>
      <c r="H656" s="360">
        <f>+'видатки по розпорядниках'!M656</f>
        <v>0</v>
      </c>
      <c r="I656" s="162">
        <f t="shared" si="9"/>
        <v>0</v>
      </c>
      <c r="J656" s="2"/>
      <c r="K656" s="124"/>
      <c r="L656" s="124"/>
      <c r="M656" s="124"/>
      <c r="N656" s="12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</row>
    <row r="657" spans="1:58" ht="18.600000000000001" hidden="1" customHeight="1">
      <c r="A657" s="570"/>
      <c r="B657" s="570">
        <v>150101</v>
      </c>
      <c r="C657" s="171" t="s">
        <v>532</v>
      </c>
      <c r="D657" s="171"/>
      <c r="E657" s="171"/>
      <c r="F657" s="171"/>
      <c r="G657" s="171"/>
      <c r="H657" s="360">
        <f>+'видатки по розпорядниках'!M657</f>
        <v>0</v>
      </c>
      <c r="I657" s="162">
        <f t="shared" si="9"/>
        <v>0</v>
      </c>
      <c r="J657" s="2"/>
      <c r="K657" s="124"/>
      <c r="L657" s="124"/>
      <c r="M657" s="124"/>
      <c r="N657" s="12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</row>
    <row r="658" spans="1:58" ht="19.149999999999999" hidden="1" customHeight="1">
      <c r="A658" s="624" t="s">
        <v>1502</v>
      </c>
      <c r="B658" s="624" t="s">
        <v>1502</v>
      </c>
      <c r="C658" s="560" t="s">
        <v>227</v>
      </c>
      <c r="D658" s="560"/>
      <c r="E658" s="560"/>
      <c r="F658" s="560"/>
      <c r="G658" s="560"/>
      <c r="H658" s="360">
        <f>+'видатки по розпорядниках'!M658</f>
        <v>0</v>
      </c>
      <c r="I658" s="162">
        <f t="shared" si="9"/>
        <v>0</v>
      </c>
      <c r="J658" s="2"/>
      <c r="K658" s="124"/>
      <c r="L658" s="124"/>
      <c r="M658" s="124"/>
      <c r="N658" s="12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</row>
    <row r="659" spans="1:58" ht="21.6" hidden="1" customHeight="1">
      <c r="A659" s="570"/>
      <c r="B659" s="570">
        <v>150101</v>
      </c>
      <c r="C659" s="171" t="s">
        <v>532</v>
      </c>
      <c r="D659" s="171"/>
      <c r="E659" s="171"/>
      <c r="F659" s="171"/>
      <c r="G659" s="171"/>
      <c r="H659" s="360">
        <f>+'видатки по розпорядниках'!M659</f>
        <v>0</v>
      </c>
      <c r="I659" s="162">
        <f t="shared" si="9"/>
        <v>0</v>
      </c>
      <c r="J659" s="2"/>
      <c r="K659" s="124"/>
      <c r="L659" s="124"/>
      <c r="M659" s="124"/>
      <c r="N659" s="12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</row>
    <row r="660" spans="1:58" ht="18.600000000000001" hidden="1" customHeight="1">
      <c r="A660" s="624" t="s">
        <v>1503</v>
      </c>
      <c r="B660" s="624" t="s">
        <v>1503</v>
      </c>
      <c r="C660" s="560" t="s">
        <v>228</v>
      </c>
      <c r="D660" s="560"/>
      <c r="E660" s="560"/>
      <c r="F660" s="560"/>
      <c r="G660" s="560"/>
      <c r="H660" s="360">
        <f>+'видатки по розпорядниках'!M660</f>
        <v>0</v>
      </c>
      <c r="I660" s="162">
        <f t="shared" si="9"/>
        <v>0</v>
      </c>
      <c r="J660" s="2"/>
      <c r="K660" s="124"/>
      <c r="L660" s="124"/>
      <c r="M660" s="124"/>
      <c r="N660" s="12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</row>
    <row r="661" spans="1:58" ht="21" hidden="1" customHeight="1">
      <c r="A661" s="570"/>
      <c r="B661" s="570">
        <v>150101</v>
      </c>
      <c r="C661" s="171" t="s">
        <v>532</v>
      </c>
      <c r="D661" s="171"/>
      <c r="E661" s="171"/>
      <c r="F661" s="171"/>
      <c r="G661" s="171"/>
      <c r="H661" s="360">
        <f>+'видатки по розпорядниках'!M661</f>
        <v>0</v>
      </c>
      <c r="I661" s="162">
        <f t="shared" si="9"/>
        <v>0</v>
      </c>
      <c r="J661" s="2"/>
      <c r="K661" s="124"/>
      <c r="L661" s="124"/>
      <c r="M661" s="124"/>
      <c r="N661" s="12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</row>
    <row r="662" spans="1:58" ht="21" hidden="1" customHeight="1">
      <c r="A662" s="624" t="s">
        <v>1504</v>
      </c>
      <c r="B662" s="624" t="s">
        <v>1504</v>
      </c>
      <c r="C662" s="560" t="s">
        <v>43</v>
      </c>
      <c r="D662" s="560"/>
      <c r="E662" s="560"/>
      <c r="F662" s="560"/>
      <c r="G662" s="560"/>
      <c r="H662" s="360">
        <f>+'видатки по розпорядниках'!M662</f>
        <v>0</v>
      </c>
      <c r="I662" s="162">
        <f t="shared" si="9"/>
        <v>0</v>
      </c>
      <c r="J662" s="2"/>
      <c r="K662" s="124"/>
      <c r="L662" s="124"/>
      <c r="M662" s="124"/>
      <c r="N662" s="12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</row>
    <row r="663" spans="1:58" ht="26.45" hidden="1" customHeight="1">
      <c r="A663" s="570"/>
      <c r="B663" s="570">
        <v>150101</v>
      </c>
      <c r="C663" s="171" t="s">
        <v>532</v>
      </c>
      <c r="D663" s="171"/>
      <c r="E663" s="171"/>
      <c r="F663" s="171"/>
      <c r="G663" s="171"/>
      <c r="H663" s="360">
        <f>+'видатки по розпорядниках'!M663</f>
        <v>0</v>
      </c>
      <c r="I663" s="162">
        <f t="shared" si="9"/>
        <v>0</v>
      </c>
      <c r="J663" s="2"/>
      <c r="K663" s="124"/>
      <c r="L663" s="124"/>
      <c r="M663" s="124"/>
      <c r="N663" s="12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</row>
    <row r="664" spans="1:58" ht="22.15" hidden="1" customHeight="1">
      <c r="A664" s="624" t="s">
        <v>1505</v>
      </c>
      <c r="B664" s="624" t="s">
        <v>1505</v>
      </c>
      <c r="C664" s="560" t="s">
        <v>44</v>
      </c>
      <c r="D664" s="560"/>
      <c r="E664" s="560"/>
      <c r="F664" s="560"/>
      <c r="G664" s="560"/>
      <c r="H664" s="360">
        <f>+'видатки по розпорядниках'!M664</f>
        <v>0</v>
      </c>
      <c r="I664" s="162">
        <f t="shared" ref="I664:I727" si="10">+H664</f>
        <v>0</v>
      </c>
      <c r="J664" s="2"/>
      <c r="K664" s="124"/>
      <c r="L664" s="124"/>
      <c r="M664" s="124"/>
      <c r="N664" s="12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</row>
    <row r="665" spans="1:58" ht="23.45" hidden="1" customHeight="1">
      <c r="A665" s="570"/>
      <c r="B665" s="570">
        <v>150101</v>
      </c>
      <c r="C665" s="171" t="s">
        <v>532</v>
      </c>
      <c r="D665" s="171"/>
      <c r="E665" s="171"/>
      <c r="F665" s="171"/>
      <c r="G665" s="171"/>
      <c r="H665" s="360">
        <f>+'видатки по розпорядниках'!M665</f>
        <v>0</v>
      </c>
      <c r="I665" s="162">
        <f t="shared" si="10"/>
        <v>0</v>
      </c>
      <c r="J665" s="2"/>
      <c r="K665" s="124"/>
      <c r="L665" s="124"/>
      <c r="M665" s="124"/>
      <c r="N665" s="12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</row>
    <row r="666" spans="1:58" ht="31.9" hidden="1" customHeight="1">
      <c r="A666" s="624" t="s">
        <v>1506</v>
      </c>
      <c r="B666" s="624" t="s">
        <v>1506</v>
      </c>
      <c r="C666" s="560" t="s">
        <v>617</v>
      </c>
      <c r="D666" s="560"/>
      <c r="E666" s="560"/>
      <c r="F666" s="560"/>
      <c r="G666" s="560"/>
      <c r="H666" s="360">
        <f>+'видатки по розпорядниках'!M666</f>
        <v>0</v>
      </c>
      <c r="I666" s="162">
        <f t="shared" si="10"/>
        <v>0</v>
      </c>
      <c r="J666" s="2"/>
      <c r="K666" s="124"/>
      <c r="L666" s="124"/>
      <c r="M666" s="124"/>
      <c r="N666" s="12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</row>
    <row r="667" spans="1:58" ht="27" hidden="1" customHeight="1">
      <c r="A667" s="570"/>
      <c r="B667" s="570">
        <v>150101</v>
      </c>
      <c r="C667" s="171" t="s">
        <v>532</v>
      </c>
      <c r="D667" s="171"/>
      <c r="E667" s="171"/>
      <c r="F667" s="171"/>
      <c r="G667" s="171"/>
      <c r="H667" s="360">
        <f>+'видатки по розпорядниках'!M667</f>
        <v>0</v>
      </c>
      <c r="I667" s="162">
        <f t="shared" si="10"/>
        <v>0</v>
      </c>
      <c r="J667" s="2"/>
      <c r="K667" s="124"/>
      <c r="L667" s="124"/>
      <c r="M667" s="124"/>
      <c r="N667" s="12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</row>
    <row r="668" spans="1:58" s="120" customFormat="1" ht="34.15" hidden="1" customHeight="1">
      <c r="A668" s="359"/>
      <c r="B668" s="359" t="s">
        <v>686</v>
      </c>
      <c r="C668" s="360" t="s">
        <v>1295</v>
      </c>
      <c r="D668" s="360"/>
      <c r="E668" s="360"/>
      <c r="F668" s="360"/>
      <c r="G668" s="360"/>
      <c r="H668" s="360">
        <f>+'видатки по розпорядниках'!M668</f>
        <v>0</v>
      </c>
      <c r="I668" s="162">
        <f t="shared" si="10"/>
        <v>0</v>
      </c>
      <c r="J668" s="356"/>
      <c r="K668" s="357"/>
      <c r="L668" s="357"/>
      <c r="M668" s="357"/>
      <c r="N668" s="357"/>
      <c r="O668" s="356"/>
      <c r="P668" s="356"/>
      <c r="Q668" s="356"/>
      <c r="R668" s="356"/>
      <c r="S668" s="356"/>
      <c r="T668" s="356"/>
      <c r="U668" s="356"/>
      <c r="V668" s="356"/>
      <c r="W668" s="356"/>
      <c r="X668" s="356"/>
      <c r="Y668" s="356"/>
      <c r="Z668" s="356"/>
      <c r="AA668" s="356"/>
      <c r="AB668" s="356"/>
      <c r="AC668" s="356"/>
      <c r="AD668" s="356"/>
      <c r="AE668" s="356"/>
      <c r="AF668" s="356"/>
      <c r="AG668" s="356"/>
      <c r="AH668" s="356"/>
      <c r="AI668" s="356"/>
      <c r="AJ668" s="356"/>
      <c r="AK668" s="358"/>
      <c r="AL668" s="358"/>
      <c r="AM668" s="358"/>
      <c r="AN668" s="358"/>
      <c r="AO668" s="358"/>
      <c r="AP668" s="358"/>
      <c r="AQ668" s="358"/>
      <c r="AR668" s="358"/>
      <c r="AS668" s="358"/>
      <c r="AT668" s="358"/>
      <c r="AU668" s="358"/>
      <c r="AV668" s="358"/>
      <c r="AW668" s="358"/>
      <c r="AX668" s="358"/>
      <c r="AY668" s="358"/>
      <c r="AZ668" s="358"/>
      <c r="BA668" s="358"/>
      <c r="BB668" s="358"/>
      <c r="BC668" s="358"/>
      <c r="BD668" s="358"/>
      <c r="BE668" s="358"/>
      <c r="BF668" s="358"/>
    </row>
    <row r="669" spans="1:58" ht="26.45" hidden="1" customHeight="1">
      <c r="A669" s="570"/>
      <c r="B669" s="570" t="s">
        <v>811</v>
      </c>
      <c r="C669" s="628" t="s">
        <v>1051</v>
      </c>
      <c r="D669" s="628"/>
      <c r="E669" s="628"/>
      <c r="F669" s="628"/>
      <c r="G669" s="628"/>
      <c r="H669" s="360">
        <f>+'видатки по розпорядниках'!M669</f>
        <v>0</v>
      </c>
      <c r="I669" s="162">
        <f t="shared" si="10"/>
        <v>0</v>
      </c>
      <c r="J669" s="24"/>
      <c r="K669" s="44"/>
      <c r="L669" s="44"/>
      <c r="M669" s="44"/>
      <c r="N669" s="44"/>
      <c r="O669" s="24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</row>
    <row r="670" spans="1:58" ht="24" hidden="1" customHeight="1">
      <c r="A670" s="570"/>
      <c r="B670" s="570" t="s">
        <v>980</v>
      </c>
      <c r="C670" s="628" t="s">
        <v>981</v>
      </c>
      <c r="D670" s="628"/>
      <c r="E670" s="628"/>
      <c r="F670" s="628"/>
      <c r="G670" s="628"/>
      <c r="H670" s="360">
        <f>+'видатки по розпорядниках'!M670</f>
        <v>0</v>
      </c>
      <c r="I670" s="162">
        <f t="shared" si="10"/>
        <v>0</v>
      </c>
      <c r="J670" s="2"/>
      <c r="K670" s="7"/>
      <c r="L670" s="7"/>
      <c r="M670" s="7"/>
      <c r="N670" s="7"/>
      <c r="O670" s="2"/>
      <c r="P670" s="2"/>
      <c r="Q670" s="2"/>
      <c r="R670" s="2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</row>
    <row r="671" spans="1:58" ht="24" hidden="1" customHeight="1">
      <c r="A671" s="570"/>
      <c r="B671" s="570" t="s">
        <v>643</v>
      </c>
      <c r="C671" s="629" t="s">
        <v>79</v>
      </c>
      <c r="D671" s="629"/>
      <c r="E671" s="629"/>
      <c r="F671" s="629"/>
      <c r="G671" s="629"/>
      <c r="H671" s="360">
        <f>+'видатки по розпорядниках'!M671</f>
        <v>0</v>
      </c>
      <c r="I671" s="162">
        <f t="shared" si="10"/>
        <v>0</v>
      </c>
      <c r="J671" s="2"/>
      <c r="K671" s="124"/>
      <c r="L671" s="124"/>
      <c r="M671" s="124"/>
      <c r="N671" s="12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</row>
    <row r="672" spans="1:58" ht="54" hidden="1" customHeight="1">
      <c r="A672" s="570"/>
      <c r="B672" s="569" t="s">
        <v>1512</v>
      </c>
      <c r="C672" s="545" t="s">
        <v>402</v>
      </c>
      <c r="D672" s="545"/>
      <c r="E672" s="545"/>
      <c r="F672" s="545"/>
      <c r="G672" s="545"/>
      <c r="H672" s="360">
        <f>+'видатки по розпорядниках'!M672</f>
        <v>0</v>
      </c>
      <c r="I672" s="162">
        <f t="shared" si="10"/>
        <v>0</v>
      </c>
      <c r="J672" s="2"/>
      <c r="K672" s="124"/>
      <c r="L672" s="124"/>
      <c r="M672" s="124"/>
      <c r="N672" s="12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</row>
    <row r="673" spans="1:58" ht="24.6" hidden="1" customHeight="1">
      <c r="A673" s="570"/>
      <c r="B673" s="570"/>
      <c r="C673" s="370"/>
      <c r="D673" s="370"/>
      <c r="E673" s="370"/>
      <c r="F673" s="370"/>
      <c r="G673" s="370"/>
      <c r="H673" s="360">
        <f>+'видатки по розпорядниках'!M673</f>
        <v>0</v>
      </c>
      <c r="I673" s="162">
        <f t="shared" si="10"/>
        <v>0</v>
      </c>
      <c r="J673" s="2"/>
      <c r="K673" s="124"/>
      <c r="L673" s="124"/>
      <c r="M673" s="124"/>
      <c r="N673" s="12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</row>
    <row r="674" spans="1:58" ht="24.6" hidden="1" customHeight="1">
      <c r="A674" s="570"/>
      <c r="B674" s="570"/>
      <c r="C674" s="545"/>
      <c r="D674" s="545"/>
      <c r="E674" s="545"/>
      <c r="F674" s="545"/>
      <c r="G674" s="545"/>
      <c r="H674" s="360">
        <f>+'видатки по розпорядниках'!M674</f>
        <v>0</v>
      </c>
      <c r="I674" s="162">
        <f t="shared" si="10"/>
        <v>0</v>
      </c>
      <c r="J674" s="2"/>
      <c r="K674" s="124"/>
      <c r="L674" s="124"/>
      <c r="M674" s="124"/>
      <c r="N674" s="12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</row>
    <row r="675" spans="1:58" ht="24" hidden="1" customHeight="1">
      <c r="A675" s="570"/>
      <c r="B675" s="570">
        <v>100202</v>
      </c>
      <c r="C675" s="629" t="s">
        <v>1052</v>
      </c>
      <c r="D675" s="629"/>
      <c r="E675" s="629"/>
      <c r="F675" s="629"/>
      <c r="G675" s="629"/>
      <c r="H675" s="360">
        <f>+'видатки по розпорядниках'!M675</f>
        <v>0</v>
      </c>
      <c r="I675" s="162">
        <f t="shared" si="10"/>
        <v>0</v>
      </c>
      <c r="J675" s="2"/>
      <c r="K675" s="124"/>
      <c r="L675" s="124"/>
      <c r="M675" s="124"/>
      <c r="N675" s="12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</row>
    <row r="676" spans="1:58" ht="26.45" hidden="1" customHeight="1">
      <c r="A676" s="570"/>
      <c r="B676" s="570">
        <v>100203</v>
      </c>
      <c r="C676" s="629" t="s">
        <v>65</v>
      </c>
      <c r="D676" s="629"/>
      <c r="E676" s="629"/>
      <c r="F676" s="629"/>
      <c r="G676" s="629"/>
      <c r="H676" s="360">
        <f>+'видатки по розпорядниках'!M676</f>
        <v>0</v>
      </c>
      <c r="I676" s="162">
        <f t="shared" si="10"/>
        <v>0</v>
      </c>
      <c r="J676" s="2"/>
      <c r="K676" s="124"/>
      <c r="L676" s="124"/>
      <c r="M676" s="124"/>
      <c r="N676" s="12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</row>
    <row r="677" spans="1:58" ht="33" hidden="1" customHeight="1">
      <c r="A677" s="570"/>
      <c r="B677" s="564" t="s">
        <v>1395</v>
      </c>
      <c r="C677" s="501" t="s">
        <v>379</v>
      </c>
      <c r="D677" s="501"/>
      <c r="E677" s="501"/>
      <c r="F677" s="501"/>
      <c r="G677" s="501"/>
      <c r="H677" s="360">
        <f>+'видатки по розпорядниках'!M677</f>
        <v>0</v>
      </c>
      <c r="I677" s="162">
        <f t="shared" si="10"/>
        <v>0</v>
      </c>
      <c r="J677" s="2"/>
      <c r="K677" s="124"/>
      <c r="L677" s="124"/>
      <c r="M677" s="124"/>
      <c r="N677" s="12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</row>
    <row r="678" spans="1:58" ht="40.15" hidden="1" customHeight="1">
      <c r="A678" s="570"/>
      <c r="B678" s="569" t="s">
        <v>1287</v>
      </c>
      <c r="C678" s="217" t="s">
        <v>967</v>
      </c>
      <c r="D678" s="217"/>
      <c r="E678" s="217"/>
      <c r="F678" s="217"/>
      <c r="G678" s="217"/>
      <c r="H678" s="360">
        <f>+'видатки по розпорядниках'!M678</f>
        <v>0</v>
      </c>
      <c r="I678" s="162">
        <f t="shared" si="10"/>
        <v>0</v>
      </c>
      <c r="J678" s="100">
        <f>+I678</f>
        <v>0</v>
      </c>
      <c r="K678" s="124"/>
      <c r="L678" s="124"/>
      <c r="M678" s="124"/>
      <c r="N678" s="12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</row>
    <row r="679" spans="1:58" ht="21.6" hidden="1" customHeight="1">
      <c r="A679" s="570"/>
      <c r="B679" s="569"/>
      <c r="C679" s="370" t="s">
        <v>1598</v>
      </c>
      <c r="D679" s="370"/>
      <c r="E679" s="370"/>
      <c r="F679" s="370"/>
      <c r="G679" s="370"/>
      <c r="H679" s="360">
        <f>+'видатки по розпорядниках'!M679</f>
        <v>0</v>
      </c>
      <c r="I679" s="162">
        <f t="shared" si="10"/>
        <v>0</v>
      </c>
      <c r="J679" s="100"/>
      <c r="K679" s="124"/>
      <c r="L679" s="124"/>
      <c r="M679" s="124"/>
      <c r="N679" s="12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</row>
    <row r="680" spans="1:58" ht="52.15" hidden="1" customHeight="1">
      <c r="A680" s="570"/>
      <c r="B680" s="569"/>
      <c r="C680" s="217" t="s">
        <v>687</v>
      </c>
      <c r="D680" s="217"/>
      <c r="E680" s="217"/>
      <c r="F680" s="217"/>
      <c r="G680" s="217"/>
      <c r="H680" s="360">
        <f>+'видатки по розпорядниках'!M680</f>
        <v>0</v>
      </c>
      <c r="I680" s="162">
        <f t="shared" si="10"/>
        <v>0</v>
      </c>
      <c r="J680" s="100"/>
      <c r="K680" s="124"/>
      <c r="L680" s="124"/>
      <c r="M680" s="124"/>
      <c r="N680" s="12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</row>
    <row r="681" spans="1:58" ht="40.15" hidden="1" customHeight="1">
      <c r="A681" s="570"/>
      <c r="B681" s="569"/>
      <c r="C681" s="217" t="s">
        <v>688</v>
      </c>
      <c r="D681" s="217"/>
      <c r="E681" s="217"/>
      <c r="F681" s="217"/>
      <c r="G681" s="217"/>
      <c r="H681" s="360">
        <f>+'видатки по розпорядниках'!M681</f>
        <v>0</v>
      </c>
      <c r="I681" s="162">
        <f t="shared" si="10"/>
        <v>0</v>
      </c>
      <c r="J681" s="100"/>
      <c r="K681" s="124"/>
      <c r="L681" s="124"/>
      <c r="M681" s="124"/>
      <c r="N681" s="12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</row>
    <row r="682" spans="1:58" ht="54.75" hidden="1" customHeight="1">
      <c r="A682" s="570"/>
      <c r="B682" s="569"/>
      <c r="C682" s="217" t="s">
        <v>1256</v>
      </c>
      <c r="D682" s="217"/>
      <c r="E682" s="217"/>
      <c r="F682" s="217"/>
      <c r="G682" s="217"/>
      <c r="H682" s="360">
        <f>+'видатки по розпорядниках'!M682</f>
        <v>0</v>
      </c>
      <c r="I682" s="162">
        <f t="shared" si="10"/>
        <v>0</v>
      </c>
      <c r="J682" s="100"/>
      <c r="K682" s="124"/>
      <c r="L682" s="124"/>
      <c r="M682" s="124"/>
      <c r="N682" s="12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</row>
    <row r="683" spans="1:58" ht="27" hidden="1" customHeight="1">
      <c r="A683" s="570"/>
      <c r="B683" s="570" t="s">
        <v>88</v>
      </c>
      <c r="C683" s="585" t="s">
        <v>1301</v>
      </c>
      <c r="D683" s="585"/>
      <c r="E683" s="585"/>
      <c r="F683" s="585"/>
      <c r="G683" s="585"/>
      <c r="H683" s="360">
        <f>+'видатки по розпорядниках'!M683</f>
        <v>0</v>
      </c>
      <c r="I683" s="162">
        <f t="shared" si="10"/>
        <v>0</v>
      </c>
      <c r="J683" s="2"/>
      <c r="K683" s="124"/>
      <c r="L683" s="124"/>
      <c r="M683" s="124"/>
      <c r="N683" s="12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</row>
    <row r="684" spans="1:58" ht="42.6" hidden="1" customHeight="1">
      <c r="A684" s="359" t="s">
        <v>1174</v>
      </c>
      <c r="B684" s="359" t="s">
        <v>572</v>
      </c>
      <c r="C684" s="360" t="s">
        <v>574</v>
      </c>
      <c r="D684" s="360"/>
      <c r="E684" s="360"/>
      <c r="F684" s="360"/>
      <c r="G684" s="360"/>
      <c r="H684" s="360">
        <f>+'видатки по розпорядниках'!M684</f>
        <v>0</v>
      </c>
      <c r="I684" s="162">
        <f t="shared" si="10"/>
        <v>0</v>
      </c>
      <c r="J684" s="2"/>
      <c r="K684" s="132"/>
      <c r="L684" s="132"/>
      <c r="M684" s="132"/>
      <c r="N684" s="13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</row>
    <row r="685" spans="1:58" ht="31.9" hidden="1" customHeight="1">
      <c r="A685" s="643" t="s">
        <v>573</v>
      </c>
      <c r="B685" s="569" t="s">
        <v>997</v>
      </c>
      <c r="C685" s="217" t="s">
        <v>996</v>
      </c>
      <c r="D685" s="217"/>
      <c r="E685" s="217"/>
      <c r="F685" s="217"/>
      <c r="G685" s="217"/>
      <c r="H685" s="360">
        <f>+'видатки по розпорядниках'!M685</f>
        <v>0</v>
      </c>
      <c r="I685" s="162">
        <f t="shared" si="10"/>
        <v>0</v>
      </c>
      <c r="J685" s="2"/>
      <c r="K685" s="132"/>
      <c r="L685" s="132"/>
      <c r="M685" s="132"/>
      <c r="N685" s="13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</row>
    <row r="686" spans="1:58" ht="48.6" customHeight="1">
      <c r="A686" s="359" t="s">
        <v>1176</v>
      </c>
      <c r="B686" s="359" t="s">
        <v>1477</v>
      </c>
      <c r="C686" s="360" t="s">
        <v>432</v>
      </c>
      <c r="D686" s="360"/>
      <c r="E686" s="360"/>
      <c r="F686" s="360"/>
      <c r="G686" s="360"/>
      <c r="H686" s="360">
        <f>+'видатки по розпорядниках'!M687</f>
        <v>250000</v>
      </c>
      <c r="I686" s="162">
        <f t="shared" si="10"/>
        <v>250000</v>
      </c>
      <c r="K686" s="71"/>
      <c r="L686" s="71"/>
      <c r="M686" s="71"/>
      <c r="N686" s="71"/>
    </row>
    <row r="687" spans="1:58" ht="34.9" hidden="1" customHeight="1">
      <c r="A687" s="643" t="s">
        <v>1389</v>
      </c>
      <c r="B687" s="569" t="s">
        <v>222</v>
      </c>
      <c r="C687" s="364" t="s">
        <v>397</v>
      </c>
      <c r="D687" s="364"/>
      <c r="E687" s="364"/>
      <c r="F687" s="364"/>
      <c r="G687" s="364"/>
      <c r="H687" s="360">
        <f>+'видатки по розпорядниках'!M688</f>
        <v>0</v>
      </c>
      <c r="I687" s="162">
        <f t="shared" si="10"/>
        <v>0</v>
      </c>
      <c r="K687" s="71"/>
      <c r="L687" s="71"/>
      <c r="M687" s="71"/>
      <c r="N687" s="71"/>
    </row>
    <row r="688" spans="1:58" ht="64.900000000000006" hidden="1" customHeight="1">
      <c r="A688" s="570"/>
      <c r="B688" s="569" t="s">
        <v>1034</v>
      </c>
      <c r="C688" s="448" t="s">
        <v>1233</v>
      </c>
      <c r="D688" s="448"/>
      <c r="E688" s="448"/>
      <c r="F688" s="448"/>
      <c r="G688" s="448"/>
      <c r="H688" s="360">
        <f>+'видатки по розпорядниках'!M689</f>
        <v>0</v>
      </c>
      <c r="I688" s="162">
        <f t="shared" si="10"/>
        <v>0</v>
      </c>
      <c r="K688" s="71"/>
      <c r="L688" s="71"/>
      <c r="M688" s="71"/>
      <c r="N688" s="71"/>
    </row>
    <row r="689" spans="1:58" ht="48" hidden="1" customHeight="1">
      <c r="A689" s="570"/>
      <c r="B689" s="569"/>
      <c r="C689" s="448" t="s">
        <v>56</v>
      </c>
      <c r="D689" s="448"/>
      <c r="E689" s="448"/>
      <c r="F689" s="448"/>
      <c r="G689" s="448"/>
      <c r="H689" s="360">
        <f>+'видатки по розпорядниках'!M690</f>
        <v>0</v>
      </c>
      <c r="I689" s="162">
        <f t="shared" si="10"/>
        <v>0</v>
      </c>
      <c r="K689" s="71"/>
      <c r="L689" s="71"/>
      <c r="M689" s="71"/>
      <c r="N689" s="71"/>
    </row>
    <row r="690" spans="1:58" ht="34.9" hidden="1" customHeight="1">
      <c r="A690" s="643" t="s">
        <v>1390</v>
      </c>
      <c r="B690" s="569" t="s">
        <v>1512</v>
      </c>
      <c r="C690" s="364" t="s">
        <v>547</v>
      </c>
      <c r="D690" s="364"/>
      <c r="E690" s="364"/>
      <c r="F690" s="364"/>
      <c r="G690" s="364"/>
      <c r="H690" s="360">
        <f>+'видатки по розпорядниках'!M691</f>
        <v>0</v>
      </c>
      <c r="I690" s="162">
        <f t="shared" si="10"/>
        <v>0</v>
      </c>
      <c r="K690" s="71"/>
      <c r="L690" s="71"/>
      <c r="M690" s="71"/>
      <c r="N690" s="71"/>
    </row>
    <row r="691" spans="1:58" ht="40.15" hidden="1" customHeight="1">
      <c r="A691" s="570"/>
      <c r="B691" s="570"/>
      <c r="C691" s="171" t="s">
        <v>1007</v>
      </c>
      <c r="D691" s="171"/>
      <c r="E691" s="171"/>
      <c r="F691" s="171"/>
      <c r="G691" s="171"/>
      <c r="H691" s="360">
        <f>+'видатки по розпорядниках'!M692</f>
        <v>0</v>
      </c>
      <c r="I691" s="162">
        <f t="shared" si="10"/>
        <v>0</v>
      </c>
      <c r="J691" s="2"/>
      <c r="K691" s="7"/>
      <c r="L691" s="7"/>
      <c r="M691" s="7"/>
      <c r="N691" s="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</row>
    <row r="692" spans="1:58" ht="34.9" hidden="1" customHeight="1">
      <c r="A692" s="570"/>
      <c r="B692" s="570"/>
      <c r="C692" s="171" t="s">
        <v>978</v>
      </c>
      <c r="D692" s="171"/>
      <c r="E692" s="171"/>
      <c r="F692" s="171"/>
      <c r="G692" s="171"/>
      <c r="H692" s="360">
        <f>+'видатки по розпорядниках'!M693</f>
        <v>0</v>
      </c>
      <c r="I692" s="162">
        <f t="shared" si="10"/>
        <v>0</v>
      </c>
      <c r="J692" s="2"/>
      <c r="K692" s="124"/>
      <c r="L692" s="124"/>
      <c r="M692" s="124"/>
      <c r="N692" s="12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</row>
    <row r="693" spans="1:58" ht="42.6" hidden="1" customHeight="1">
      <c r="A693" s="643" t="s">
        <v>149</v>
      </c>
      <c r="B693" s="569" t="s">
        <v>88</v>
      </c>
      <c r="C693" s="367" t="s">
        <v>229</v>
      </c>
      <c r="D693" s="367"/>
      <c r="E693" s="367"/>
      <c r="F693" s="367"/>
      <c r="G693" s="367"/>
      <c r="H693" s="360">
        <f>+'видатки по розпорядниках'!M694</f>
        <v>0</v>
      </c>
      <c r="I693" s="162">
        <f t="shared" si="10"/>
        <v>0</v>
      </c>
      <c r="J693" s="2"/>
      <c r="K693" s="124"/>
      <c r="L693" s="124"/>
      <c r="M693" s="124"/>
      <c r="N693" s="12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</row>
    <row r="694" spans="1:58" ht="17.25" hidden="1" customHeight="1">
      <c r="A694" s="570"/>
      <c r="B694" s="569"/>
      <c r="C694" s="367" t="s">
        <v>1042</v>
      </c>
      <c r="D694" s="367"/>
      <c r="E694" s="367"/>
      <c r="F694" s="367"/>
      <c r="G694" s="367"/>
      <c r="H694" s="360">
        <f>+'видатки по розпорядниках'!M695</f>
        <v>0</v>
      </c>
      <c r="I694" s="162">
        <f t="shared" si="10"/>
        <v>0</v>
      </c>
      <c r="J694" s="2"/>
      <c r="K694" s="124"/>
      <c r="L694" s="124"/>
      <c r="M694" s="124"/>
      <c r="N694" s="12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</row>
    <row r="695" spans="1:58" ht="18.600000000000001" hidden="1" customHeight="1">
      <c r="A695" s="570"/>
      <c r="B695" s="569"/>
      <c r="C695" s="367" t="s">
        <v>747</v>
      </c>
      <c r="D695" s="367"/>
      <c r="E695" s="367"/>
      <c r="F695" s="367"/>
      <c r="G695" s="367"/>
      <c r="H695" s="360">
        <f>+'видатки по розпорядниках'!M696</f>
        <v>0</v>
      </c>
      <c r="I695" s="162">
        <f t="shared" si="10"/>
        <v>0</v>
      </c>
      <c r="J695" s="2"/>
      <c r="K695" s="124"/>
      <c r="L695" s="124"/>
      <c r="M695" s="124"/>
      <c r="N695" s="12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</row>
    <row r="696" spans="1:58" ht="37.9" hidden="1" customHeight="1">
      <c r="A696" s="570"/>
      <c r="B696" s="569"/>
      <c r="C696" s="367" t="s">
        <v>629</v>
      </c>
      <c r="D696" s="367"/>
      <c r="E696" s="367"/>
      <c r="F696" s="367"/>
      <c r="G696" s="367"/>
      <c r="H696" s="360">
        <f>+'видатки по розпорядниках'!M697</f>
        <v>0</v>
      </c>
      <c r="I696" s="162">
        <f t="shared" si="10"/>
        <v>0</v>
      </c>
      <c r="J696" s="2"/>
      <c r="K696" s="124"/>
      <c r="L696" s="124"/>
      <c r="M696" s="124"/>
      <c r="N696" s="12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</row>
    <row r="697" spans="1:58" ht="50.25" hidden="1" customHeight="1" outlineLevel="1">
      <c r="A697" s="570"/>
      <c r="B697" s="569"/>
      <c r="C697" s="367" t="s">
        <v>755</v>
      </c>
      <c r="D697" s="367"/>
      <c r="E697" s="367"/>
      <c r="F697" s="367"/>
      <c r="G697" s="367"/>
      <c r="H697" s="360">
        <f>+'видатки по розпорядниках'!M698</f>
        <v>0</v>
      </c>
      <c r="I697" s="162">
        <f t="shared" si="10"/>
        <v>0</v>
      </c>
      <c r="J697" s="2"/>
      <c r="K697" s="124"/>
      <c r="L697" s="124"/>
      <c r="M697" s="124"/>
      <c r="N697" s="12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</row>
    <row r="698" spans="1:58" ht="36" hidden="1" customHeight="1" outlineLevel="1">
      <c r="A698" s="570"/>
      <c r="B698" s="569"/>
      <c r="C698" s="214" t="s">
        <v>189</v>
      </c>
      <c r="D698" s="214"/>
      <c r="E698" s="214"/>
      <c r="F698" s="214"/>
      <c r="G698" s="214"/>
      <c r="H698" s="360">
        <f>+'видатки по розпорядниках'!M699</f>
        <v>0</v>
      </c>
      <c r="I698" s="162">
        <f t="shared" si="10"/>
        <v>0</v>
      </c>
      <c r="J698" s="2"/>
      <c r="K698" s="124"/>
      <c r="L698" s="124"/>
      <c r="M698" s="124"/>
      <c r="N698" s="12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</row>
    <row r="699" spans="1:58" ht="15.75" hidden="1" outlineLevel="1">
      <c r="A699" s="570"/>
      <c r="B699" s="570"/>
      <c r="C699" s="560"/>
      <c r="D699" s="560"/>
      <c r="E699" s="560"/>
      <c r="F699" s="560"/>
      <c r="G699" s="560"/>
      <c r="H699" s="360">
        <f>+'видатки по розпорядниках'!M700</f>
        <v>0</v>
      </c>
      <c r="I699" s="162">
        <f t="shared" si="10"/>
        <v>0</v>
      </c>
      <c r="J699" s="2"/>
      <c r="K699" s="124"/>
      <c r="L699" s="124"/>
      <c r="M699" s="124"/>
      <c r="N699" s="12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</row>
    <row r="700" spans="1:58" ht="39.6" hidden="1" customHeight="1" outlineLevel="1">
      <c r="A700" s="643" t="s">
        <v>633</v>
      </c>
      <c r="B700" s="569" t="s">
        <v>997</v>
      </c>
      <c r="C700" s="217" t="s">
        <v>996</v>
      </c>
      <c r="D700" s="217"/>
      <c r="E700" s="217"/>
      <c r="F700" s="217"/>
      <c r="G700" s="217"/>
      <c r="H700" s="360">
        <f>+'видатки по розпорядниках'!M701</f>
        <v>0</v>
      </c>
      <c r="I700" s="162">
        <f t="shared" si="10"/>
        <v>0</v>
      </c>
      <c r="J700" s="2"/>
      <c r="K700" s="124"/>
      <c r="L700" s="124"/>
      <c r="M700" s="124"/>
      <c r="N700" s="12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</row>
    <row r="701" spans="1:58" ht="30" hidden="1" outlineLevel="1">
      <c r="A701" s="570"/>
      <c r="B701" s="570"/>
      <c r="C701" s="560" t="s">
        <v>892</v>
      </c>
      <c r="D701" s="560"/>
      <c r="E701" s="560"/>
      <c r="F701" s="560"/>
      <c r="G701" s="560"/>
      <c r="H701" s="360">
        <f>+'видатки по розпорядниках'!M702</f>
        <v>0</v>
      </c>
      <c r="I701" s="162">
        <f t="shared" si="10"/>
        <v>0</v>
      </c>
      <c r="J701" s="2"/>
      <c r="K701" s="7"/>
      <c r="L701" s="7"/>
      <c r="M701" s="7"/>
      <c r="N701" s="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</row>
    <row r="702" spans="1:58" ht="40.5" hidden="1" outlineLevel="1">
      <c r="A702" s="570"/>
      <c r="B702" s="570"/>
      <c r="C702" s="630" t="s">
        <v>146</v>
      </c>
      <c r="D702" s="630"/>
      <c r="E702" s="630"/>
      <c r="F702" s="630"/>
      <c r="G702" s="630"/>
      <c r="H702" s="360">
        <f>+'видатки по розпорядниках'!M703</f>
        <v>0</v>
      </c>
      <c r="I702" s="162">
        <f t="shared" si="10"/>
        <v>0</v>
      </c>
      <c r="J702" s="2"/>
      <c r="K702" s="132"/>
      <c r="L702" s="132"/>
      <c r="M702" s="132"/>
      <c r="N702" s="13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</row>
    <row r="703" spans="1:58" ht="30" hidden="1" outlineLevel="1">
      <c r="A703" s="570"/>
      <c r="B703" s="550" t="s">
        <v>1410</v>
      </c>
      <c r="C703" s="197" t="s">
        <v>535</v>
      </c>
      <c r="D703" s="197"/>
      <c r="E703" s="197"/>
      <c r="F703" s="197"/>
      <c r="G703" s="197"/>
      <c r="H703" s="360">
        <f>+'видатки по розпорядниках'!M704</f>
        <v>0</v>
      </c>
      <c r="I703" s="162">
        <f t="shared" si="10"/>
        <v>0</v>
      </c>
      <c r="K703" s="71"/>
      <c r="L703" s="71"/>
      <c r="M703" s="71"/>
      <c r="N703" s="71"/>
    </row>
    <row r="704" spans="1:58" ht="39" hidden="1" customHeight="1" outlineLevel="1">
      <c r="A704" s="570"/>
      <c r="B704" s="570"/>
      <c r="C704" s="631" t="s">
        <v>982</v>
      </c>
      <c r="D704" s="631"/>
      <c r="E704" s="631"/>
      <c r="F704" s="631"/>
      <c r="G704" s="631"/>
      <c r="H704" s="360">
        <f>+'видатки по розпорядниках'!M705</f>
        <v>0</v>
      </c>
      <c r="I704" s="162">
        <f t="shared" si="10"/>
        <v>0</v>
      </c>
      <c r="J704" s="2"/>
      <c r="K704" s="7"/>
      <c r="L704" s="7"/>
      <c r="M704" s="7"/>
      <c r="N704" s="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</row>
    <row r="705" spans="1:58" ht="42.6" hidden="1" customHeight="1" outlineLevel="1">
      <c r="A705" s="643" t="s">
        <v>634</v>
      </c>
      <c r="B705" s="569">
        <v>240601</v>
      </c>
      <c r="C705" s="211" t="s">
        <v>979</v>
      </c>
      <c r="D705" s="211"/>
      <c r="E705" s="211"/>
      <c r="F705" s="211"/>
      <c r="G705" s="211"/>
      <c r="H705" s="360">
        <f>+'видатки по розпорядниках'!M706</f>
        <v>0</v>
      </c>
      <c r="I705" s="162">
        <f t="shared" si="10"/>
        <v>0</v>
      </c>
      <c r="K705" s="71"/>
      <c r="L705" s="71"/>
      <c r="M705" s="71"/>
      <c r="N705" s="71"/>
    </row>
    <row r="706" spans="1:58" ht="22.9" hidden="1" customHeight="1" outlineLevel="1">
      <c r="A706" s="564" t="s">
        <v>439</v>
      </c>
      <c r="B706" s="550">
        <v>240602</v>
      </c>
      <c r="C706" s="632" t="s">
        <v>1248</v>
      </c>
      <c r="D706" s="632"/>
      <c r="E706" s="632"/>
      <c r="F706" s="632"/>
      <c r="G706" s="632"/>
      <c r="H706" s="360">
        <f>+'видатки по розпорядниках'!M707</f>
        <v>0</v>
      </c>
      <c r="I706" s="162">
        <f t="shared" si="10"/>
        <v>0</v>
      </c>
      <c r="K706" s="71"/>
      <c r="L706" s="71"/>
      <c r="M706" s="71"/>
      <c r="N706" s="71"/>
    </row>
    <row r="707" spans="1:58" ht="39" hidden="1" customHeight="1" outlineLevel="1">
      <c r="A707" s="570"/>
      <c r="B707" s="575">
        <v>240603</v>
      </c>
      <c r="C707" s="632" t="s">
        <v>993</v>
      </c>
      <c r="D707" s="632"/>
      <c r="E707" s="632"/>
      <c r="F707" s="632"/>
      <c r="G707" s="632"/>
      <c r="H707" s="360">
        <f>+'видатки по розпорядниках'!M708</f>
        <v>0</v>
      </c>
      <c r="I707" s="162">
        <f t="shared" si="10"/>
        <v>0</v>
      </c>
      <c r="K707" s="71"/>
      <c r="L707" s="71"/>
      <c r="M707" s="71"/>
      <c r="N707" s="71"/>
    </row>
    <row r="708" spans="1:58" ht="39" hidden="1" customHeight="1" outlineLevel="1">
      <c r="A708" s="564" t="s">
        <v>440</v>
      </c>
      <c r="B708" s="550">
        <v>240604</v>
      </c>
      <c r="C708" s="208" t="s">
        <v>994</v>
      </c>
      <c r="D708" s="208"/>
      <c r="E708" s="208"/>
      <c r="F708" s="208"/>
      <c r="G708" s="208"/>
      <c r="H708" s="360">
        <f>+'видатки по розпорядниках'!M709</f>
        <v>0</v>
      </c>
      <c r="I708" s="162">
        <f t="shared" si="10"/>
        <v>0</v>
      </c>
      <c r="K708" s="71"/>
      <c r="L708" s="71"/>
      <c r="M708" s="71"/>
      <c r="N708" s="71"/>
    </row>
    <row r="709" spans="1:58" ht="21.6" hidden="1" customHeight="1" outlineLevel="1">
      <c r="A709" s="564" t="s">
        <v>441</v>
      </c>
      <c r="B709" s="550">
        <v>240605</v>
      </c>
      <c r="C709" s="208" t="s">
        <v>1249</v>
      </c>
      <c r="D709" s="208"/>
      <c r="E709" s="208"/>
      <c r="F709" s="208"/>
      <c r="G709" s="208"/>
      <c r="H709" s="360">
        <f>+'видатки по розпорядниках'!M710</f>
        <v>0</v>
      </c>
      <c r="I709" s="162">
        <f t="shared" si="10"/>
        <v>0</v>
      </c>
      <c r="K709" s="71"/>
      <c r="L709" s="71"/>
      <c r="M709" s="71"/>
      <c r="N709" s="71"/>
    </row>
    <row r="710" spans="1:58" ht="30" customHeight="1" outlineLevel="1">
      <c r="A710" s="1418" t="s">
        <v>1247</v>
      </c>
      <c r="B710" s="1419"/>
      <c r="C710" s="211" t="s">
        <v>1246</v>
      </c>
      <c r="D710" s="1351" t="s">
        <v>828</v>
      </c>
      <c r="E710" s="211"/>
      <c r="F710" s="211"/>
      <c r="G710" s="211"/>
      <c r="H710" s="360">
        <f>+'видатки по розпорядниках'!M711</f>
        <v>250000</v>
      </c>
      <c r="I710" s="162">
        <f t="shared" si="10"/>
        <v>250000</v>
      </c>
      <c r="K710" s="71"/>
      <c r="L710" s="71"/>
      <c r="M710" s="71"/>
      <c r="N710" s="71"/>
    </row>
    <row r="711" spans="1:58" ht="31.9" hidden="1" customHeight="1" outlineLevel="1">
      <c r="A711" s="643"/>
      <c r="B711" s="569"/>
      <c r="C711" s="211" t="s">
        <v>550</v>
      </c>
      <c r="D711" s="211"/>
      <c r="E711" s="211"/>
      <c r="F711" s="211"/>
      <c r="G711" s="211"/>
      <c r="H711" s="360">
        <f>+'видатки по розпорядниках'!M712</f>
        <v>0</v>
      </c>
      <c r="I711" s="162">
        <f t="shared" si="10"/>
        <v>0</v>
      </c>
      <c r="K711" s="71"/>
      <c r="L711" s="71"/>
      <c r="M711" s="71"/>
      <c r="N711" s="71"/>
    </row>
    <row r="712" spans="1:58" ht="49.15" hidden="1" customHeight="1" outlineLevel="1">
      <c r="A712" s="643"/>
      <c r="B712" s="569"/>
      <c r="C712" s="370" t="s">
        <v>201</v>
      </c>
      <c r="D712" s="370"/>
      <c r="E712" s="370"/>
      <c r="F712" s="370"/>
      <c r="G712" s="370"/>
      <c r="H712" s="360">
        <f>+'видатки по розпорядниках'!M714</f>
        <v>0</v>
      </c>
      <c r="I712" s="162">
        <f t="shared" si="10"/>
        <v>0</v>
      </c>
      <c r="K712" s="71"/>
      <c r="L712" s="71"/>
      <c r="M712" s="71"/>
      <c r="N712" s="71"/>
    </row>
    <row r="713" spans="1:58" ht="66.599999999999994" hidden="1" customHeight="1" outlineLevel="1">
      <c r="A713" s="570"/>
      <c r="B713" s="550" t="s">
        <v>1127</v>
      </c>
      <c r="C713" s="221" t="s">
        <v>819</v>
      </c>
      <c r="D713" s="221"/>
      <c r="E713" s="221"/>
      <c r="F713" s="221"/>
      <c r="G713" s="221"/>
      <c r="H713" s="360">
        <f>+'видатки по розпорядниках'!M715</f>
        <v>0</v>
      </c>
      <c r="I713" s="162">
        <f t="shared" si="10"/>
        <v>0</v>
      </c>
      <c r="K713" s="71"/>
      <c r="L713" s="71"/>
      <c r="M713" s="71"/>
      <c r="N713" s="71"/>
    </row>
    <row r="714" spans="1:58" ht="21" hidden="1" customHeight="1" outlineLevel="1">
      <c r="A714" s="570"/>
      <c r="B714" s="570" t="s">
        <v>1287</v>
      </c>
      <c r="C714" s="631" t="s">
        <v>967</v>
      </c>
      <c r="D714" s="631"/>
      <c r="E714" s="631"/>
      <c r="F714" s="631"/>
      <c r="G714" s="631"/>
      <c r="H714" s="360">
        <f>+'видатки по розпорядниках'!M716</f>
        <v>0</v>
      </c>
      <c r="I714" s="162">
        <f t="shared" si="10"/>
        <v>0</v>
      </c>
      <c r="J714" s="2"/>
      <c r="K714" s="7"/>
      <c r="L714" s="7"/>
      <c r="M714" s="7"/>
      <c r="N714" s="7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</row>
    <row r="715" spans="1:58" ht="34.9" hidden="1" customHeight="1" outlineLevel="1">
      <c r="A715" s="1346"/>
      <c r="B715" s="570"/>
      <c r="C715" s="386" t="s">
        <v>181</v>
      </c>
      <c r="D715" s="386"/>
      <c r="E715" s="386"/>
      <c r="F715" s="386"/>
      <c r="G715" s="386"/>
      <c r="H715" s="360">
        <f>+'видатки по розпорядниках'!M717</f>
        <v>0</v>
      </c>
      <c r="I715" s="162">
        <f t="shared" si="10"/>
        <v>0</v>
      </c>
      <c r="J715" s="2"/>
      <c r="K715" s="132"/>
      <c r="L715" s="132"/>
      <c r="M715" s="132"/>
      <c r="N715" s="13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</row>
    <row r="716" spans="1:58" ht="38.450000000000003" hidden="1" customHeight="1" outlineLevel="1">
      <c r="A716" s="359" t="s">
        <v>1176</v>
      </c>
      <c r="B716" s="359" t="s">
        <v>1476</v>
      </c>
      <c r="C716" s="220" t="s">
        <v>1184</v>
      </c>
      <c r="D716" s="220"/>
      <c r="E716" s="220"/>
      <c r="F716" s="220"/>
      <c r="G716" s="220"/>
      <c r="H716" s="360">
        <f>+'видатки по розпорядниках'!M718</f>
        <v>0</v>
      </c>
      <c r="I716" s="162">
        <f t="shared" si="10"/>
        <v>0</v>
      </c>
      <c r="K716" s="71"/>
      <c r="L716" s="71"/>
      <c r="M716" s="71"/>
      <c r="N716" s="71"/>
    </row>
    <row r="717" spans="1:58" ht="33.75" hidden="1" customHeight="1" outlineLevel="1">
      <c r="A717" s="570"/>
      <c r="B717" s="570" t="s">
        <v>1140</v>
      </c>
      <c r="C717" s="171" t="s">
        <v>336</v>
      </c>
      <c r="D717" s="171"/>
      <c r="E717" s="171"/>
      <c r="F717" s="171"/>
      <c r="G717" s="171"/>
      <c r="H717" s="360">
        <f>+'видатки по розпорядниках'!M719</f>
        <v>0</v>
      </c>
      <c r="I717" s="162">
        <f t="shared" si="10"/>
        <v>0</v>
      </c>
      <c r="J717" s="2"/>
      <c r="K717" s="7"/>
      <c r="L717" s="7"/>
      <c r="M717" s="7"/>
      <c r="N717" s="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</row>
    <row r="718" spans="1:58" ht="22.5" hidden="1" customHeight="1" outlineLevel="1">
      <c r="A718" s="570"/>
      <c r="B718" s="575" t="s">
        <v>1508</v>
      </c>
      <c r="C718" s="170" t="s">
        <v>532</v>
      </c>
      <c r="D718" s="170"/>
      <c r="E718" s="170"/>
      <c r="F718" s="170"/>
      <c r="G718" s="170"/>
      <c r="H718" s="360">
        <f>+'видатки по розпорядниках'!M720</f>
        <v>0</v>
      </c>
      <c r="I718" s="162">
        <f t="shared" si="10"/>
        <v>0</v>
      </c>
      <c r="J718" s="2"/>
      <c r="K718" s="7"/>
      <c r="L718" s="7"/>
      <c r="M718" s="7"/>
      <c r="N718" s="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</row>
    <row r="719" spans="1:58" ht="74.45" hidden="1" customHeight="1" outlineLevel="1">
      <c r="A719" s="643" t="s">
        <v>1391</v>
      </c>
      <c r="B719" s="569" t="s">
        <v>224</v>
      </c>
      <c r="C719" s="364" t="s">
        <v>653</v>
      </c>
      <c r="D719" s="364"/>
      <c r="E719" s="364"/>
      <c r="F719" s="364"/>
      <c r="G719" s="364"/>
      <c r="H719" s="360">
        <f>+'видатки по розпорядниках'!M721</f>
        <v>0</v>
      </c>
      <c r="I719" s="162">
        <f t="shared" si="10"/>
        <v>0</v>
      </c>
      <c r="K719" s="71"/>
      <c r="L719" s="71"/>
      <c r="M719" s="71"/>
      <c r="N719" s="71"/>
    </row>
    <row r="720" spans="1:58" ht="34.15" hidden="1" customHeight="1" outlineLevel="1">
      <c r="A720" s="570"/>
      <c r="B720" s="570"/>
      <c r="C720" s="633"/>
      <c r="D720" s="633"/>
      <c r="E720" s="633"/>
      <c r="F720" s="633"/>
      <c r="G720" s="633"/>
      <c r="H720" s="360">
        <f>+'видатки по розпорядниках'!M722</f>
        <v>0</v>
      </c>
      <c r="I720" s="162">
        <f t="shared" si="10"/>
        <v>0</v>
      </c>
      <c r="K720" s="71"/>
      <c r="L720" s="71"/>
      <c r="M720" s="71"/>
      <c r="N720" s="71"/>
    </row>
    <row r="721" spans="1:58" ht="30" hidden="1" customHeight="1" outlineLevel="1">
      <c r="A721" s="643" t="s">
        <v>1379</v>
      </c>
      <c r="B721" s="569" t="s">
        <v>1408</v>
      </c>
      <c r="C721" s="364" t="s">
        <v>1409</v>
      </c>
      <c r="D721" s="364"/>
      <c r="E721" s="364"/>
      <c r="F721" s="364"/>
      <c r="G721" s="364"/>
      <c r="H721" s="360">
        <f>+'видатки по розпорядниках'!M723</f>
        <v>0</v>
      </c>
      <c r="I721" s="162">
        <f t="shared" si="10"/>
        <v>0</v>
      </c>
      <c r="K721" s="71"/>
      <c r="L721" s="71"/>
      <c r="M721" s="71"/>
      <c r="N721" s="71"/>
    </row>
    <row r="722" spans="1:58" ht="49.9" hidden="1" customHeight="1" outlineLevel="1">
      <c r="A722" s="570"/>
      <c r="B722" s="567"/>
      <c r="C722" s="170" t="s">
        <v>662</v>
      </c>
      <c r="D722" s="170"/>
      <c r="E722" s="170"/>
      <c r="F722" s="170"/>
      <c r="G722" s="170"/>
      <c r="H722" s="360">
        <f>+'видатки по розпорядниках'!M724</f>
        <v>0</v>
      </c>
      <c r="I722" s="162">
        <f t="shared" si="10"/>
        <v>0</v>
      </c>
      <c r="K722" s="71"/>
      <c r="L722" s="71"/>
      <c r="M722" s="71"/>
      <c r="N722" s="71"/>
    </row>
    <row r="723" spans="1:58" ht="56.45" hidden="1" customHeight="1" outlineLevel="1">
      <c r="A723" s="570"/>
      <c r="B723" s="567" t="s">
        <v>1127</v>
      </c>
      <c r="C723" s="605" t="s">
        <v>819</v>
      </c>
      <c r="D723" s="605"/>
      <c r="E723" s="605"/>
      <c r="F723" s="605"/>
      <c r="G723" s="605"/>
      <c r="H723" s="360">
        <f>+'видатки по розпорядниках'!M725</f>
        <v>0</v>
      </c>
      <c r="I723" s="162">
        <f t="shared" si="10"/>
        <v>0</v>
      </c>
      <c r="K723" s="71"/>
      <c r="L723" s="71"/>
      <c r="M723" s="71"/>
      <c r="N723" s="71"/>
    </row>
    <row r="724" spans="1:58" ht="25.9" hidden="1" customHeight="1" outlineLevel="1">
      <c r="A724" s="643" t="s">
        <v>1392</v>
      </c>
      <c r="B724" s="569" t="s">
        <v>1287</v>
      </c>
      <c r="C724" s="364" t="s">
        <v>866</v>
      </c>
      <c r="D724" s="364"/>
      <c r="E724" s="364"/>
      <c r="F724" s="364"/>
      <c r="G724" s="364"/>
      <c r="H724" s="360">
        <f>+'видатки по розпорядниках'!M726</f>
        <v>0</v>
      </c>
      <c r="I724" s="162">
        <f t="shared" si="10"/>
        <v>0</v>
      </c>
      <c r="K724" s="71"/>
      <c r="L724" s="71"/>
      <c r="M724" s="71"/>
      <c r="N724" s="71"/>
    </row>
    <row r="725" spans="1:58" ht="36.6" customHeight="1" outlineLevel="1">
      <c r="A725" s="359" t="s">
        <v>1177</v>
      </c>
      <c r="B725" s="359" t="s">
        <v>1172</v>
      </c>
      <c r="C725" s="360" t="s">
        <v>1185</v>
      </c>
      <c r="D725" s="360"/>
      <c r="E725" s="360"/>
      <c r="F725" s="360"/>
      <c r="G725" s="360"/>
      <c r="H725" s="503">
        <f>+'видатки по розпорядниках'!M727</f>
        <v>1000000</v>
      </c>
      <c r="I725" s="162">
        <f t="shared" si="10"/>
        <v>1000000</v>
      </c>
      <c r="K725" s="71"/>
      <c r="L725" s="71"/>
      <c r="M725" s="71"/>
      <c r="N725" s="71"/>
    </row>
    <row r="726" spans="1:58" ht="34.9" customHeight="1" outlineLevel="1">
      <c r="A726" s="1418" t="s">
        <v>1512</v>
      </c>
      <c r="B726" s="1419"/>
      <c r="C726" s="364" t="s">
        <v>547</v>
      </c>
      <c r="D726" s="1351" t="s">
        <v>828</v>
      </c>
      <c r="E726" s="364"/>
      <c r="F726" s="364"/>
      <c r="G726" s="364"/>
      <c r="H726" s="360">
        <f>+'видатки по розпорядниках'!M728</f>
        <v>1000000</v>
      </c>
      <c r="I726" s="162">
        <f t="shared" si="10"/>
        <v>1000000</v>
      </c>
      <c r="K726" s="71"/>
      <c r="L726" s="71"/>
      <c r="M726" s="71"/>
      <c r="N726" s="71"/>
    </row>
    <row r="727" spans="1:58" ht="17.45" hidden="1" customHeight="1" outlineLevel="1">
      <c r="A727" s="570"/>
      <c r="B727" s="570"/>
      <c r="C727" s="634"/>
      <c r="D727" s="634"/>
      <c r="E727" s="634"/>
      <c r="F727" s="634"/>
      <c r="G727" s="634"/>
      <c r="H727" s="360">
        <f>+'видатки по розпорядниках'!M729</f>
        <v>0</v>
      </c>
      <c r="I727" s="162">
        <f t="shared" si="10"/>
        <v>0</v>
      </c>
      <c r="J727" s="2"/>
      <c r="K727" s="7"/>
      <c r="L727" s="7"/>
      <c r="M727" s="7"/>
      <c r="N727" s="7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</row>
    <row r="728" spans="1:58" ht="44.45" hidden="1" customHeight="1" outlineLevel="1">
      <c r="A728" s="570"/>
      <c r="B728" s="570"/>
      <c r="C728" s="171" t="s">
        <v>1008</v>
      </c>
      <c r="D728" s="171"/>
      <c r="E728" s="171"/>
      <c r="F728" s="171"/>
      <c r="G728" s="171"/>
      <c r="H728" s="360">
        <f>+'видатки по розпорядниках'!M730</f>
        <v>0</v>
      </c>
      <c r="I728" s="162">
        <f t="shared" ref="I728:I756" si="11">+H728</f>
        <v>0</v>
      </c>
      <c r="K728" s="71"/>
      <c r="L728" s="71"/>
      <c r="M728" s="71"/>
      <c r="N728" s="71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</row>
    <row r="729" spans="1:58" ht="19.899999999999999" hidden="1" customHeight="1" outlineLevel="1">
      <c r="A729" s="570"/>
      <c r="B729" s="570" t="s">
        <v>1287</v>
      </c>
      <c r="C729" s="171" t="s">
        <v>1288</v>
      </c>
      <c r="D729" s="171"/>
      <c r="E729" s="171"/>
      <c r="F729" s="171"/>
      <c r="G729" s="171"/>
      <c r="H729" s="360">
        <f>+'видатки по розпорядниках'!M731</f>
        <v>0</v>
      </c>
      <c r="I729" s="162">
        <f t="shared" si="11"/>
        <v>0</v>
      </c>
      <c r="J729" s="2"/>
      <c r="K729" s="7"/>
      <c r="L729" s="7"/>
      <c r="M729" s="7"/>
      <c r="N729" s="7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</row>
    <row r="730" spans="1:58" ht="38.450000000000003" hidden="1" customHeight="1" outlineLevel="1">
      <c r="A730" s="536" t="s">
        <v>1592</v>
      </c>
      <c r="B730" s="536"/>
      <c r="C730" s="562" t="s">
        <v>1593</v>
      </c>
      <c r="D730" s="562"/>
      <c r="E730" s="562"/>
      <c r="F730" s="562"/>
      <c r="G730" s="562"/>
      <c r="H730" s="360">
        <f>+'видатки по розпорядниках'!M732</f>
        <v>0</v>
      </c>
      <c r="I730" s="162">
        <f t="shared" si="11"/>
        <v>0</v>
      </c>
      <c r="K730" s="71"/>
      <c r="L730" s="71"/>
      <c r="M730" s="71"/>
      <c r="N730" s="71"/>
    </row>
    <row r="731" spans="1:58" ht="51" hidden="1" customHeight="1" outlineLevel="1">
      <c r="A731" s="570"/>
      <c r="B731" s="570" t="s">
        <v>501</v>
      </c>
      <c r="C731" s="171" t="s">
        <v>1286</v>
      </c>
      <c r="D731" s="171"/>
      <c r="E731" s="171"/>
      <c r="F731" s="171"/>
      <c r="G731" s="171"/>
      <c r="H731" s="360">
        <f>+'видатки по розпорядниках'!M733</f>
        <v>0</v>
      </c>
      <c r="I731" s="162">
        <f t="shared" si="11"/>
        <v>0</v>
      </c>
      <c r="K731" s="71"/>
      <c r="L731" s="71"/>
      <c r="M731" s="71"/>
      <c r="N731" s="71"/>
    </row>
    <row r="732" spans="1:58" ht="28.15" hidden="1" customHeight="1" outlineLevel="1">
      <c r="A732" s="570"/>
      <c r="B732" s="570" t="s">
        <v>1512</v>
      </c>
      <c r="C732" s="171" t="s">
        <v>218</v>
      </c>
      <c r="D732" s="171"/>
      <c r="E732" s="171"/>
      <c r="F732" s="171"/>
      <c r="G732" s="171"/>
      <c r="H732" s="360">
        <f>+'видатки по розпорядниках'!M734</f>
        <v>0</v>
      </c>
      <c r="I732" s="162">
        <f t="shared" si="11"/>
        <v>0</v>
      </c>
      <c r="K732" s="71"/>
      <c r="L732" s="71"/>
      <c r="M732" s="71"/>
      <c r="N732" s="71"/>
    </row>
    <row r="733" spans="1:58" ht="16.899999999999999" hidden="1" customHeight="1" outlineLevel="1">
      <c r="A733" s="570"/>
      <c r="B733" s="627"/>
      <c r="C733" s="171" t="s">
        <v>1009</v>
      </c>
      <c r="D733" s="171"/>
      <c r="E733" s="171"/>
      <c r="F733" s="171"/>
      <c r="G733" s="171"/>
      <c r="H733" s="360">
        <f>+'видатки по розпорядниках'!M735</f>
        <v>0</v>
      </c>
      <c r="I733" s="162">
        <f t="shared" si="11"/>
        <v>0</v>
      </c>
      <c r="K733" s="71"/>
      <c r="L733" s="71"/>
      <c r="M733" s="71"/>
      <c r="N733" s="71"/>
    </row>
    <row r="734" spans="1:58" ht="31.9" hidden="1" customHeight="1" outlineLevel="1">
      <c r="A734" s="359" t="s">
        <v>1296</v>
      </c>
      <c r="B734" s="359" t="s">
        <v>1297</v>
      </c>
      <c r="C734" s="360" t="s">
        <v>327</v>
      </c>
      <c r="D734" s="360"/>
      <c r="E734" s="360"/>
      <c r="F734" s="360"/>
      <c r="G734" s="360"/>
      <c r="H734" s="360">
        <f>+'видатки по розпорядниках'!M736</f>
        <v>0</v>
      </c>
      <c r="I734" s="162">
        <f t="shared" si="11"/>
        <v>0</v>
      </c>
      <c r="K734" s="71"/>
      <c r="L734" s="71"/>
      <c r="M734" s="71"/>
      <c r="N734" s="71"/>
    </row>
    <row r="735" spans="1:58" ht="23.45" hidden="1" customHeight="1" outlineLevel="1">
      <c r="A735" s="570"/>
      <c r="B735" s="567" t="s">
        <v>1512</v>
      </c>
      <c r="C735" s="593" t="s">
        <v>268</v>
      </c>
      <c r="D735" s="593"/>
      <c r="E735" s="593"/>
      <c r="F735" s="593"/>
      <c r="G735" s="593"/>
      <c r="H735" s="360">
        <f>+'видатки по розпорядниках'!M737</f>
        <v>0</v>
      </c>
      <c r="I735" s="162">
        <f t="shared" si="11"/>
        <v>0</v>
      </c>
      <c r="K735" s="71"/>
      <c r="L735" s="71"/>
      <c r="M735" s="71"/>
      <c r="N735" s="71"/>
    </row>
    <row r="736" spans="1:58" ht="31.15" hidden="1" customHeight="1" outlineLevel="1">
      <c r="A736" s="570"/>
      <c r="B736" s="569" t="s">
        <v>1287</v>
      </c>
      <c r="C736" s="364" t="s">
        <v>1288</v>
      </c>
      <c r="D736" s="364"/>
      <c r="E736" s="364"/>
      <c r="F736" s="364"/>
      <c r="G736" s="364"/>
      <c r="H736" s="360">
        <f>+'видатки по розпорядниках'!M738</f>
        <v>0</v>
      </c>
      <c r="I736" s="162">
        <f t="shared" si="11"/>
        <v>0</v>
      </c>
      <c r="K736" s="71"/>
      <c r="L736" s="71"/>
      <c r="M736" s="71"/>
      <c r="N736" s="71"/>
    </row>
    <row r="737" spans="1:36" ht="21.6" hidden="1" customHeight="1" outlineLevel="1">
      <c r="A737" s="570"/>
      <c r="B737" s="570"/>
      <c r="C737" s="173" t="s">
        <v>680</v>
      </c>
      <c r="D737" s="173"/>
      <c r="E737" s="173"/>
      <c r="F737" s="173"/>
      <c r="G737" s="173"/>
      <c r="H737" s="360">
        <f>+'видатки по розпорядниках'!M739</f>
        <v>0</v>
      </c>
      <c r="I737" s="162">
        <f t="shared" si="11"/>
        <v>0</v>
      </c>
      <c r="K737" s="71"/>
      <c r="L737" s="71"/>
      <c r="M737" s="71"/>
      <c r="N737" s="71"/>
    </row>
    <row r="738" spans="1:36" ht="65.45" hidden="1" customHeight="1" outlineLevel="1">
      <c r="A738" s="570"/>
      <c r="B738" s="570" t="s">
        <v>1243</v>
      </c>
      <c r="C738" s="589" t="s">
        <v>230</v>
      </c>
      <c r="D738" s="589"/>
      <c r="E738" s="589"/>
      <c r="F738" s="589"/>
      <c r="G738" s="589"/>
      <c r="H738" s="360">
        <f>+'видатки по розпорядниках'!M740</f>
        <v>0</v>
      </c>
      <c r="I738" s="162">
        <f t="shared" si="11"/>
        <v>0</v>
      </c>
      <c r="K738" s="71"/>
      <c r="L738" s="71"/>
      <c r="M738" s="71"/>
      <c r="N738" s="71"/>
    </row>
    <row r="739" spans="1:36" ht="32.450000000000003" hidden="1" customHeight="1" outlineLevel="1">
      <c r="A739" s="359" t="s">
        <v>1297</v>
      </c>
      <c r="B739" s="359" t="s">
        <v>1071</v>
      </c>
      <c r="C739" s="360" t="s">
        <v>526</v>
      </c>
      <c r="D739" s="360"/>
      <c r="E739" s="360"/>
      <c r="F739" s="360"/>
      <c r="G739" s="360"/>
      <c r="H739" s="360">
        <f>+'видатки по розпорядниках'!M741</f>
        <v>0</v>
      </c>
      <c r="I739" s="162">
        <f t="shared" si="11"/>
        <v>0</v>
      </c>
      <c r="J739" s="2"/>
      <c r="K739" s="7"/>
      <c r="L739" s="7"/>
      <c r="M739" s="7"/>
      <c r="N739" s="7"/>
      <c r="O739" s="2"/>
      <c r="P739" s="2"/>
      <c r="Q739" s="2"/>
      <c r="R739" s="2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</row>
    <row r="740" spans="1:36" ht="30" hidden="1" customHeight="1" outlineLevel="1">
      <c r="A740" s="570"/>
      <c r="B740" s="569" t="s">
        <v>719</v>
      </c>
      <c r="C740" s="364" t="s">
        <v>526</v>
      </c>
      <c r="D740" s="364"/>
      <c r="E740" s="364"/>
      <c r="F740" s="364"/>
      <c r="G740" s="364"/>
      <c r="H740" s="360">
        <f>+'видатки по розпорядниках'!M742</f>
        <v>0</v>
      </c>
      <c r="I740" s="162">
        <f t="shared" si="11"/>
        <v>0</v>
      </c>
      <c r="J740" s="2"/>
      <c r="K740" s="7"/>
      <c r="L740" s="7"/>
      <c r="M740" s="7"/>
      <c r="N740" s="7"/>
      <c r="O740" s="2"/>
      <c r="P740" s="2"/>
      <c r="Q740" s="2"/>
      <c r="R740" s="2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</row>
    <row r="741" spans="1:36" ht="52.15" hidden="1" customHeight="1" outlineLevel="1">
      <c r="A741" s="627"/>
      <c r="B741" s="627"/>
      <c r="C741" s="171" t="s">
        <v>738</v>
      </c>
      <c r="D741" s="171"/>
      <c r="E741" s="171"/>
      <c r="F741" s="171"/>
      <c r="G741" s="171"/>
      <c r="H741" s="360">
        <f>+'видатки по розпорядниках'!M743</f>
        <v>0</v>
      </c>
      <c r="I741" s="162">
        <f t="shared" si="11"/>
        <v>0</v>
      </c>
      <c r="J741" s="2"/>
      <c r="K741" s="7"/>
      <c r="L741" s="7"/>
      <c r="M741" s="7"/>
      <c r="N741" s="7"/>
      <c r="O741" s="2"/>
      <c r="P741" s="2"/>
      <c r="Q741" s="2"/>
      <c r="R741" s="2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</row>
    <row r="742" spans="1:36" ht="32.450000000000003" hidden="1" customHeight="1" outlineLevel="1">
      <c r="A742" s="536" t="s">
        <v>1296</v>
      </c>
      <c r="B742" s="536" t="s">
        <v>877</v>
      </c>
      <c r="C742" s="634" t="s">
        <v>876</v>
      </c>
      <c r="D742" s="634"/>
      <c r="E742" s="634"/>
      <c r="F742" s="634"/>
      <c r="G742" s="634"/>
      <c r="H742" s="360">
        <f>+'видатки по розпорядниках'!M744</f>
        <v>0</v>
      </c>
      <c r="I742" s="162">
        <f t="shared" si="11"/>
        <v>0</v>
      </c>
      <c r="J742" s="24"/>
      <c r="K742" s="44"/>
      <c r="L742" s="44"/>
      <c r="M742" s="44"/>
      <c r="N742" s="44"/>
      <c r="O742" s="24"/>
    </row>
    <row r="743" spans="1:36" ht="45.6" hidden="1" customHeight="1" outlineLevel="1">
      <c r="A743" s="570"/>
      <c r="B743" s="570" t="s">
        <v>645</v>
      </c>
      <c r="C743" s="171" t="s">
        <v>69</v>
      </c>
      <c r="D743" s="171"/>
      <c r="E743" s="171"/>
      <c r="F743" s="171"/>
      <c r="G743" s="171"/>
      <c r="H743" s="360">
        <f>+'видатки по розпорядниках'!M745</f>
        <v>0</v>
      </c>
      <c r="I743" s="162">
        <f t="shared" si="11"/>
        <v>0</v>
      </c>
      <c r="J743" s="24"/>
      <c r="K743" s="44"/>
      <c r="L743" s="44"/>
      <c r="M743" s="44"/>
      <c r="N743" s="44"/>
      <c r="O743" s="24"/>
    </row>
    <row r="744" spans="1:36" ht="54" hidden="1" customHeight="1" outlineLevel="1">
      <c r="A744" s="372" t="s">
        <v>1299</v>
      </c>
      <c r="B744" s="372" t="s">
        <v>740</v>
      </c>
      <c r="C744" s="360" t="s">
        <v>1465</v>
      </c>
      <c r="D744" s="360"/>
      <c r="E744" s="360"/>
      <c r="F744" s="360"/>
      <c r="G744" s="360"/>
      <c r="H744" s="360">
        <f>+'видатки по розпорядниках'!M746</f>
        <v>0</v>
      </c>
      <c r="I744" s="162">
        <f t="shared" si="11"/>
        <v>0</v>
      </c>
      <c r="J744" s="24"/>
      <c r="K744" s="44"/>
      <c r="L744" s="44"/>
      <c r="M744" s="44"/>
      <c r="N744" s="44"/>
      <c r="O744" s="24"/>
    </row>
    <row r="745" spans="1:36" ht="36" hidden="1" customHeight="1" outlineLevel="1">
      <c r="A745" s="570"/>
      <c r="B745" s="576" t="s">
        <v>88</v>
      </c>
      <c r="C745" s="214" t="s">
        <v>663</v>
      </c>
      <c r="D745" s="214"/>
      <c r="E745" s="214"/>
      <c r="F745" s="214"/>
      <c r="G745" s="214"/>
      <c r="H745" s="360">
        <f>+'видатки по розпорядниках'!M747</f>
        <v>0</v>
      </c>
      <c r="I745" s="162">
        <f t="shared" si="11"/>
        <v>0</v>
      </c>
      <c r="J745" s="24"/>
      <c r="K745" s="44"/>
      <c r="L745" s="44"/>
      <c r="M745" s="44"/>
      <c r="N745" s="44"/>
      <c r="O745" s="24"/>
    </row>
    <row r="746" spans="1:36" ht="69.75" hidden="1" customHeight="1" outlineLevel="1">
      <c r="A746" s="570"/>
      <c r="B746" s="576"/>
      <c r="C746" s="214" t="s">
        <v>399</v>
      </c>
      <c r="D746" s="214"/>
      <c r="E746" s="214"/>
      <c r="F746" s="214"/>
      <c r="G746" s="214"/>
      <c r="H746" s="360">
        <f>+'видатки по розпорядниках'!M748</f>
        <v>0</v>
      </c>
      <c r="I746" s="162">
        <f t="shared" si="11"/>
        <v>0</v>
      </c>
      <c r="J746" s="24"/>
      <c r="K746" s="44"/>
      <c r="L746" s="44"/>
      <c r="M746" s="44"/>
      <c r="N746" s="44"/>
      <c r="O746" s="24"/>
    </row>
    <row r="747" spans="1:36" ht="51.6" hidden="1" customHeight="1" outlineLevel="1">
      <c r="A747" s="359" t="s">
        <v>1178</v>
      </c>
      <c r="B747" s="359" t="s">
        <v>962</v>
      </c>
      <c r="C747" s="360" t="s">
        <v>433</v>
      </c>
      <c r="D747" s="360"/>
      <c r="E747" s="360"/>
      <c r="F747" s="360"/>
      <c r="G747" s="360"/>
      <c r="H747" s="360">
        <f>+'видатки по розпорядниках'!M749</f>
        <v>0</v>
      </c>
      <c r="I747" s="162">
        <f t="shared" si="11"/>
        <v>0</v>
      </c>
      <c r="J747" s="24"/>
      <c r="K747" s="44"/>
      <c r="L747" s="44"/>
      <c r="M747" s="44"/>
      <c r="N747" s="44"/>
      <c r="O747" s="24"/>
    </row>
    <row r="748" spans="1:36" ht="37.9" hidden="1" customHeight="1" outlineLevel="1">
      <c r="A748" s="643" t="s">
        <v>660</v>
      </c>
      <c r="B748" s="569" t="s">
        <v>1622</v>
      </c>
      <c r="C748" s="364" t="s">
        <v>1200</v>
      </c>
      <c r="D748" s="364"/>
      <c r="E748" s="364"/>
      <c r="F748" s="364"/>
      <c r="G748" s="364"/>
      <c r="H748" s="360">
        <f>+'видатки по розпорядниках'!M750</f>
        <v>0</v>
      </c>
      <c r="I748" s="162">
        <f t="shared" si="11"/>
        <v>0</v>
      </c>
      <c r="J748" s="24"/>
      <c r="K748" s="44"/>
      <c r="L748" s="44"/>
      <c r="M748" s="44"/>
      <c r="N748" s="44"/>
      <c r="O748" s="24"/>
    </row>
    <row r="749" spans="1:36" ht="24" hidden="1" customHeight="1" outlineLevel="1">
      <c r="A749" s="643" t="s">
        <v>657</v>
      </c>
      <c r="B749" s="569" t="s">
        <v>1287</v>
      </c>
      <c r="C749" s="364" t="s">
        <v>1288</v>
      </c>
      <c r="D749" s="364"/>
      <c r="E749" s="364"/>
      <c r="F749" s="364"/>
      <c r="G749" s="364"/>
      <c r="H749" s="360">
        <f>+'видатки по розпорядниках'!M751</f>
        <v>0</v>
      </c>
      <c r="I749" s="162">
        <f t="shared" si="11"/>
        <v>0</v>
      </c>
      <c r="J749" s="24"/>
      <c r="K749" s="44"/>
      <c r="L749" s="44"/>
      <c r="M749" s="44"/>
      <c r="N749" s="44"/>
      <c r="O749" s="24"/>
    </row>
    <row r="750" spans="1:36" ht="40.9" hidden="1" customHeight="1" outlineLevel="1">
      <c r="A750" s="569" t="s">
        <v>658</v>
      </c>
      <c r="B750" s="636" t="str">
        <f>+'видатки_затв '!A148</f>
        <v>091103</v>
      </c>
      <c r="C750" s="456" t="s">
        <v>1049</v>
      </c>
      <c r="D750" s="456"/>
      <c r="E750" s="456"/>
      <c r="F750" s="456"/>
      <c r="G750" s="456"/>
      <c r="H750" s="360">
        <f>+'видатки по розпорядниках'!M752</f>
        <v>0</v>
      </c>
      <c r="I750" s="162">
        <f t="shared" si="11"/>
        <v>0</v>
      </c>
      <c r="J750" s="24"/>
      <c r="K750" s="44"/>
      <c r="L750" s="44"/>
      <c r="M750" s="44"/>
      <c r="N750" s="44"/>
      <c r="O750" s="24"/>
    </row>
    <row r="751" spans="1:36" ht="93.6" hidden="1" customHeight="1" outlineLevel="1">
      <c r="A751" s="569" t="s">
        <v>659</v>
      </c>
      <c r="B751" s="569" t="s">
        <v>900</v>
      </c>
      <c r="C751" s="364" t="s">
        <v>62</v>
      </c>
      <c r="D751" s="364"/>
      <c r="E751" s="364"/>
      <c r="F751" s="364"/>
      <c r="G751" s="364"/>
      <c r="H751" s="360">
        <f>+'видатки по розпорядниках'!M753</f>
        <v>0</v>
      </c>
      <c r="I751" s="162">
        <f t="shared" si="11"/>
        <v>0</v>
      </c>
      <c r="J751" s="24"/>
      <c r="K751" s="44"/>
      <c r="L751" s="44"/>
      <c r="M751" s="44"/>
      <c r="N751" s="44"/>
      <c r="O751" s="24"/>
    </row>
    <row r="752" spans="1:36" ht="38.450000000000003" hidden="1" customHeight="1" outlineLevel="1">
      <c r="A752" s="372" t="s">
        <v>1298</v>
      </c>
      <c r="B752" s="372" t="s">
        <v>169</v>
      </c>
      <c r="C752" s="360" t="s">
        <v>236</v>
      </c>
      <c r="D752" s="360"/>
      <c r="E752" s="360"/>
      <c r="F752" s="360"/>
      <c r="G752" s="360"/>
      <c r="H752" s="360">
        <f>+'видатки по розпорядниках'!M754</f>
        <v>0</v>
      </c>
      <c r="I752" s="162">
        <f t="shared" si="11"/>
        <v>0</v>
      </c>
      <c r="J752" s="24"/>
      <c r="K752" s="44"/>
      <c r="L752" s="44"/>
      <c r="M752" s="44"/>
      <c r="N752" s="44"/>
      <c r="O752" s="24"/>
    </row>
    <row r="753" spans="1:58" ht="37.15" hidden="1" customHeight="1" outlineLevel="1">
      <c r="A753" s="570"/>
      <c r="B753" s="576" t="s">
        <v>1287</v>
      </c>
      <c r="C753" s="364" t="s">
        <v>1288</v>
      </c>
      <c r="D753" s="364"/>
      <c r="E753" s="364"/>
      <c r="F753" s="364"/>
      <c r="G753" s="364"/>
      <c r="H753" s="360">
        <f>+'видатки по розпорядниках'!M755</f>
        <v>0</v>
      </c>
      <c r="I753" s="162">
        <f t="shared" si="11"/>
        <v>0</v>
      </c>
      <c r="J753" s="24"/>
      <c r="K753" s="44"/>
      <c r="L753" s="44"/>
      <c r="M753" s="44"/>
      <c r="N753" s="44"/>
      <c r="O753" s="24"/>
    </row>
    <row r="754" spans="1:58" ht="27" hidden="1" customHeight="1" outlineLevel="1">
      <c r="A754" s="536" t="s">
        <v>1298</v>
      </c>
      <c r="B754" s="536" t="s">
        <v>1072</v>
      </c>
      <c r="C754" s="635" t="s">
        <v>711</v>
      </c>
      <c r="D754" s="635"/>
      <c r="E754" s="635"/>
      <c r="F754" s="635"/>
      <c r="G754" s="635"/>
      <c r="H754" s="360">
        <f>+'видатки по розпорядниках'!M756</f>
        <v>0</v>
      </c>
      <c r="I754" s="162">
        <f t="shared" si="11"/>
        <v>0</v>
      </c>
      <c r="K754" s="71"/>
      <c r="L754" s="71"/>
      <c r="M754" s="71"/>
      <c r="N754" s="71"/>
    </row>
    <row r="755" spans="1:58" ht="23.45" hidden="1" customHeight="1" outlineLevel="1">
      <c r="A755" s="1415"/>
      <c r="B755" s="1415"/>
      <c r="C755" s="171" t="s">
        <v>899</v>
      </c>
      <c r="D755" s="171"/>
      <c r="E755" s="171"/>
      <c r="F755" s="171"/>
      <c r="G755" s="171"/>
      <c r="H755" s="360">
        <f>+'видатки по розпорядниках'!M757</f>
        <v>0</v>
      </c>
      <c r="I755" s="162">
        <f t="shared" si="11"/>
        <v>0</v>
      </c>
      <c r="K755" s="71"/>
      <c r="L755" s="71"/>
      <c r="M755" s="71"/>
      <c r="N755" s="71"/>
    </row>
    <row r="756" spans="1:58" ht="29.45" customHeight="1" collapsed="1">
      <c r="A756" s="1439"/>
      <c r="B756" s="1439"/>
      <c r="C756" s="503" t="s">
        <v>560</v>
      </c>
      <c r="D756" s="503"/>
      <c r="E756" s="503"/>
      <c r="F756" s="503"/>
      <c r="G756" s="503"/>
      <c r="H756" s="503">
        <f>+H19+H78+H136+H221+H397+H443+H437+H459+H487+H516+H538+H551+H574+H576+H578+H580+H587+H589+H596+H641+H686+H701+H200+H716+H725+H727+H730+H734+H631+H633+H635+H637+H639+H643+H645+H647+H652+H654+H656+H658+H660+H662+H664+H666+H668+H739+H742+H754+H378+H613+H752+H744+H435+H218+H747+H684+H196</f>
        <v>60322400</v>
      </c>
      <c r="I756" s="162">
        <f t="shared" si="11"/>
        <v>60322400</v>
      </c>
      <c r="J756" s="72">
        <f>+J19+J78+J136+J221+J397+J443+J487+J516+J538+J551+J574+J576+J578+J580+J587+J589+J596+J638+J686+J701</f>
        <v>0</v>
      </c>
      <c r="K756" s="73"/>
      <c r="L756" s="73"/>
      <c r="M756" s="73"/>
      <c r="N756" s="73"/>
    </row>
    <row r="757" spans="1:58" ht="47.45" hidden="1" customHeight="1">
      <c r="A757" s="1439"/>
      <c r="B757" s="1439"/>
      <c r="C757" s="539" t="s">
        <v>46</v>
      </c>
      <c r="D757" s="539"/>
      <c r="E757" s="539"/>
      <c r="F757" s="539"/>
      <c r="G757" s="539"/>
      <c r="H757" s="539"/>
      <c r="I757" s="162"/>
      <c r="J757" s="72"/>
      <c r="K757" s="73"/>
      <c r="L757" s="73"/>
      <c r="M757" s="73"/>
      <c r="N757" s="73"/>
    </row>
    <row r="758" spans="1:58" ht="15.75" hidden="1">
      <c r="A758" s="150"/>
      <c r="B758" s="150"/>
      <c r="C758" s="134"/>
      <c r="D758" s="134"/>
      <c r="E758" s="134"/>
      <c r="F758" s="134"/>
      <c r="G758" s="134"/>
      <c r="H758" s="134"/>
      <c r="I758" s="162"/>
      <c r="J758" s="72"/>
      <c r="K758" s="73"/>
      <c r="L758" s="73"/>
      <c r="M758" s="73"/>
      <c r="N758" s="73"/>
    </row>
    <row r="759" spans="1:58" s="126" customFormat="1" ht="51.6" customHeight="1">
      <c r="A759" s="872" t="s">
        <v>232</v>
      </c>
      <c r="B759" s="697"/>
      <c r="C759" s="538"/>
      <c r="D759" s="538"/>
      <c r="E759" s="538"/>
      <c r="F759" s="538"/>
      <c r="G759" s="873" t="s">
        <v>709</v>
      </c>
      <c r="H759" s="1344"/>
      <c r="I759" s="162">
        <v>1</v>
      </c>
      <c r="J759" s="102"/>
      <c r="K759" s="102"/>
      <c r="L759" s="102"/>
      <c r="M759" s="102"/>
      <c r="N759" s="102"/>
      <c r="O759" s="102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  <c r="AE759" s="103"/>
      <c r="AF759" s="103"/>
      <c r="AG759" s="103"/>
      <c r="AH759" s="103"/>
      <c r="AI759" s="103"/>
      <c r="AJ759" s="103"/>
      <c r="AK759" s="101"/>
      <c r="AL759" s="101"/>
      <c r="AM759" s="101"/>
      <c r="AN759" s="101"/>
      <c r="AO759" s="101"/>
      <c r="AP759" s="101"/>
      <c r="AQ759" s="101"/>
      <c r="AR759" s="101"/>
      <c r="AS759" s="101"/>
      <c r="AT759" s="101"/>
      <c r="AU759" s="101"/>
      <c r="AV759" s="101"/>
      <c r="AW759" s="101"/>
      <c r="AX759" s="101"/>
      <c r="AY759" s="101"/>
      <c r="AZ759" s="101"/>
      <c r="BA759" s="101"/>
      <c r="BB759" s="101"/>
      <c r="BC759" s="101"/>
      <c r="BD759" s="101"/>
      <c r="BE759" s="101"/>
      <c r="BF759" s="101"/>
    </row>
    <row r="760" spans="1:58" s="54" customFormat="1" ht="36" customHeight="1">
      <c r="A760" s="136"/>
      <c r="B760" s="136"/>
      <c r="C760" s="137"/>
      <c r="D760" s="137"/>
      <c r="E760" s="137"/>
      <c r="F760" s="137"/>
      <c r="G760" s="137"/>
      <c r="H760" s="137"/>
      <c r="I760" s="100" t="e">
        <f>+#REF!</f>
        <v>#REF!</v>
      </c>
      <c r="J760" s="52">
        <v>1110</v>
      </c>
      <c r="K760" s="52">
        <v>1160</v>
      </c>
      <c r="L760" s="50">
        <v>200</v>
      </c>
      <c r="M760" s="50" t="s">
        <v>496</v>
      </c>
      <c r="N760" s="52">
        <v>1000</v>
      </c>
      <c r="O760" s="52">
        <v>1110</v>
      </c>
      <c r="P760" s="52">
        <v>1160</v>
      </c>
      <c r="Q760" s="50">
        <v>200</v>
      </c>
      <c r="R760" s="52" t="s">
        <v>497</v>
      </c>
      <c r="S760" s="52">
        <v>1000</v>
      </c>
      <c r="T760" s="52">
        <v>1110</v>
      </c>
      <c r="U760" s="52">
        <v>1160</v>
      </c>
      <c r="V760" s="50">
        <v>200</v>
      </c>
      <c r="W760" s="50" t="s">
        <v>496</v>
      </c>
      <c r="X760" s="52">
        <v>1000</v>
      </c>
      <c r="Y760" s="52">
        <v>1110</v>
      </c>
      <c r="Z760" s="52">
        <v>1160</v>
      </c>
      <c r="AA760" s="50">
        <v>200</v>
      </c>
      <c r="AB760" s="50"/>
      <c r="AC760" s="50"/>
      <c r="AD760" s="50"/>
      <c r="AE760" s="50"/>
      <c r="AF760" s="50"/>
      <c r="AG760" s="50"/>
      <c r="AH760" s="50"/>
      <c r="AI760" s="50"/>
      <c r="AJ760" s="50"/>
    </row>
    <row r="761" spans="1:58" s="50" customFormat="1">
      <c r="A761" s="28"/>
      <c r="B761" s="28"/>
      <c r="C761" s="116"/>
      <c r="D761" s="116"/>
      <c r="E761" s="116"/>
      <c r="F761" s="116"/>
      <c r="G761" s="116"/>
      <c r="H761" s="116"/>
      <c r="I761" s="100" t="e">
        <f>+#REF!</f>
        <v>#REF!</v>
      </c>
      <c r="J761" s="55"/>
      <c r="K761" s="55"/>
      <c r="L761" s="55"/>
      <c r="M761" s="55"/>
      <c r="N761" s="55"/>
      <c r="O761" s="55"/>
      <c r="P761" s="55"/>
      <c r="Q761" s="55"/>
      <c r="R761" s="55"/>
      <c r="S761" s="52"/>
      <c r="T761" s="52"/>
      <c r="U761" s="52"/>
      <c r="V761" s="52"/>
      <c r="W761" s="52"/>
      <c r="X761" s="52"/>
      <c r="Y761" s="52"/>
      <c r="Z761" s="52"/>
      <c r="AA761" s="52"/>
      <c r="AB761" s="1428"/>
      <c r="AC761" s="1428"/>
      <c r="AD761" s="1428"/>
      <c r="AE761" s="1428"/>
      <c r="AF761" s="1428"/>
      <c r="AG761" s="1428"/>
      <c r="AH761" s="1428"/>
      <c r="AI761" s="1428"/>
    </row>
    <row r="762" spans="1:58" s="50" customFormat="1">
      <c r="A762" s="51"/>
      <c r="B762" s="51"/>
      <c r="C762" s="113" t="s">
        <v>495</v>
      </c>
      <c r="D762" s="113"/>
      <c r="E762" s="113"/>
      <c r="F762" s="113"/>
      <c r="G762" s="113"/>
      <c r="H762" s="113"/>
      <c r="I762" s="100" t="e">
        <f>+#REF!</f>
        <v>#REF!</v>
      </c>
      <c r="J762" s="56"/>
      <c r="K762" s="56"/>
      <c r="L762" s="56"/>
      <c r="M762" s="56"/>
      <c r="N762" s="56"/>
      <c r="O762" s="56"/>
      <c r="P762" s="56"/>
      <c r="Q762" s="56"/>
      <c r="R762" s="53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</row>
    <row r="763" spans="1:58" s="50" customFormat="1">
      <c r="A763" s="141"/>
      <c r="B763" s="141"/>
      <c r="C763" s="112"/>
      <c r="D763" s="112"/>
      <c r="E763" s="112"/>
      <c r="F763" s="112"/>
      <c r="G763" s="112"/>
      <c r="H763" s="112"/>
      <c r="I763" s="162" t="e">
        <f>+#REF!</f>
        <v>#REF!</v>
      </c>
      <c r="J763" s="57" t="e">
        <f>+#REF!</f>
        <v>#REF!</v>
      </c>
      <c r="K763" s="57" t="e">
        <f>+#REF!</f>
        <v>#REF!</v>
      </c>
      <c r="L763" s="57" t="e">
        <f>+#REF!</f>
        <v>#REF!</v>
      </c>
      <c r="M763" s="57" t="e">
        <f>+#REF!</f>
        <v>#REF!</v>
      </c>
      <c r="N763" s="57" t="e">
        <f>+#REF!</f>
        <v>#REF!</v>
      </c>
      <c r="O763" s="57" t="e">
        <f>+#REF!</f>
        <v>#REF!</v>
      </c>
      <c r="P763" s="57" t="e">
        <f>+#REF!</f>
        <v>#REF!</v>
      </c>
      <c r="Q763" s="57" t="e">
        <f>+#REF!</f>
        <v>#REF!</v>
      </c>
      <c r="S763" s="57"/>
      <c r="T763" s="52"/>
      <c r="U763" s="52"/>
      <c r="V763" s="52"/>
      <c r="W763" s="52"/>
      <c r="X763" s="52"/>
      <c r="Y763" s="52"/>
      <c r="Z763" s="52"/>
      <c r="AA763" s="52"/>
      <c r="AB763" s="52"/>
    </row>
    <row r="764" spans="1:58" s="53" customFormat="1" ht="20.25">
      <c r="A764" s="143"/>
      <c r="B764" s="143"/>
      <c r="C764" s="144" t="s">
        <v>742</v>
      </c>
      <c r="D764" s="144"/>
      <c r="E764" s="144"/>
      <c r="F764" s="144"/>
      <c r="G764" s="144"/>
      <c r="H764" s="144"/>
      <c r="I764" s="162" t="e">
        <f>+#REF!</f>
        <v>#REF!</v>
      </c>
      <c r="J764" s="56" t="e">
        <f t="shared" ref="J764:Q764" si="12">+J763-J785</f>
        <v>#REF!</v>
      </c>
      <c r="K764" s="56" t="e">
        <f t="shared" si="12"/>
        <v>#REF!</v>
      </c>
      <c r="L764" s="56" t="e">
        <f t="shared" si="12"/>
        <v>#REF!</v>
      </c>
      <c r="M764" s="56" t="e">
        <f t="shared" si="12"/>
        <v>#REF!</v>
      </c>
      <c r="N764" s="56" t="e">
        <f t="shared" si="12"/>
        <v>#REF!</v>
      </c>
      <c r="O764" s="56" t="e">
        <f t="shared" si="12"/>
        <v>#REF!</v>
      </c>
      <c r="P764" s="56" t="e">
        <f t="shared" si="12"/>
        <v>#REF!</v>
      </c>
      <c r="Q764" s="56" t="e">
        <f t="shared" si="12"/>
        <v>#REF!</v>
      </c>
    </row>
    <row r="765" spans="1:58" s="53" customFormat="1">
      <c r="A765" s="53">
        <v>250313</v>
      </c>
      <c r="B765" s="53">
        <v>250313</v>
      </c>
      <c r="C765" s="115"/>
      <c r="D765" s="115"/>
      <c r="E765" s="115"/>
      <c r="F765" s="115"/>
      <c r="G765" s="115"/>
      <c r="H765" s="115"/>
      <c r="I765" s="162" t="e">
        <f>+#REF!</f>
        <v>#REF!</v>
      </c>
      <c r="J765" s="58">
        <f>+'видатки_затв '!D348</f>
        <v>0</v>
      </c>
      <c r="K765" s="58">
        <f>+'видатки_затв '!E348</f>
        <v>0</v>
      </c>
      <c r="L765" s="58" t="e">
        <f>+'видатки_затв '!#REF!</f>
        <v>#REF!</v>
      </c>
      <c r="M765" s="58">
        <f>+'видатки_затв '!F348</f>
        <v>53447500</v>
      </c>
      <c r="N765" s="58">
        <f>+'видатки_затв '!G348</f>
        <v>16799200</v>
      </c>
      <c r="O765" s="58">
        <f>+'видатки_затв '!H348</f>
        <v>0</v>
      </c>
      <c r="P765" s="58">
        <f>+'видатки_затв '!I348</f>
        <v>0</v>
      </c>
      <c r="Q765" s="58">
        <f>+'видатки_затв '!J348</f>
        <v>36648300</v>
      </c>
      <c r="R765" s="58" t="e">
        <f>+#REF!-#REF!</f>
        <v>#REF!</v>
      </c>
      <c r="S765" s="58" t="e">
        <f>+#REF!-I765</f>
        <v>#REF!</v>
      </c>
      <c r="T765" s="58" t="e">
        <f>+#REF!-J765</f>
        <v>#REF!</v>
      </c>
      <c r="U765" s="58" t="e">
        <f>+#REF!-K765</f>
        <v>#REF!</v>
      </c>
      <c r="V765" s="58" t="e">
        <f>+#REF!-L765</f>
        <v>#REF!</v>
      </c>
      <c r="W765" s="58" t="e">
        <f>+#REF!-M765</f>
        <v>#REF!</v>
      </c>
      <c r="X765" s="58" t="e">
        <f>+#REF!-N765</f>
        <v>#REF!</v>
      </c>
      <c r="Y765" s="58" t="e">
        <f>+#REF!-O765</f>
        <v>#REF!</v>
      </c>
      <c r="Z765" s="58" t="e">
        <f>+#REF!-P765</f>
        <v>#REF!</v>
      </c>
      <c r="AA765" s="58" t="e">
        <f>+#REF!-Q765</f>
        <v>#REF!</v>
      </c>
      <c r="AB765" s="58" t="e">
        <f>+#REF!-R765</f>
        <v>#REF!</v>
      </c>
      <c r="AC765" s="58" t="e">
        <f>+#REF!-S765</f>
        <v>#REF!</v>
      </c>
      <c r="AD765" s="58" t="e">
        <f t="shared" ref="AD765:AD784" si="13">+I765-T765</f>
        <v>#REF!</v>
      </c>
      <c r="AE765" s="58" t="e">
        <f t="shared" ref="AE765:AE784" si="14">+J765-U765</f>
        <v>#REF!</v>
      </c>
      <c r="AF765" s="58" t="e">
        <f t="shared" ref="AF765:AF784" si="15">+K765-V765</f>
        <v>#REF!</v>
      </c>
      <c r="AG765" s="58" t="e">
        <f t="shared" ref="AG765:AG784" si="16">+L765-W765</f>
        <v>#REF!</v>
      </c>
      <c r="AH765" s="58" t="e">
        <f t="shared" ref="AH765:AH784" si="17">+M765-X765</f>
        <v>#REF!</v>
      </c>
    </row>
    <row r="766" spans="1:58" ht="15.75">
      <c r="A766" s="27">
        <v>240000</v>
      </c>
      <c r="B766" s="27">
        <v>240000</v>
      </c>
      <c r="C766" s="112"/>
      <c r="D766" s="112"/>
      <c r="E766" s="112"/>
      <c r="F766" s="112"/>
      <c r="G766" s="112"/>
      <c r="H766" s="112"/>
      <c r="I766" s="100" t="e">
        <f>+#REF!</f>
        <v>#REF!</v>
      </c>
      <c r="J766" s="163">
        <f>+'видатки_затв '!D314</f>
        <v>0</v>
      </c>
      <c r="K766" s="163">
        <f>+'видатки_затв '!E314</f>
        <v>0</v>
      </c>
      <c r="L766" s="163" t="e">
        <f>+'видатки_затв '!#REF!</f>
        <v>#REF!</v>
      </c>
      <c r="M766" s="163">
        <f>+'видатки_затв '!F314</f>
        <v>0</v>
      </c>
      <c r="N766" s="163">
        <f>+'видатки_затв '!G314</f>
        <v>0</v>
      </c>
      <c r="O766" s="163">
        <f>+'видатки_затв '!H314</f>
        <v>0</v>
      </c>
      <c r="P766" s="163">
        <f>+'видатки_затв '!I314</f>
        <v>0</v>
      </c>
      <c r="Q766" s="163">
        <f>+'видатки_затв '!J314</f>
        <v>0</v>
      </c>
      <c r="R766" s="29" t="e">
        <f>+#REF!-#REF!</f>
        <v>#REF!</v>
      </c>
      <c r="S766" s="29" t="e">
        <f>+#REF!-I766</f>
        <v>#REF!</v>
      </c>
      <c r="T766" s="29" t="e">
        <f>+#REF!-J766</f>
        <v>#REF!</v>
      </c>
      <c r="U766" s="29" t="e">
        <f>+#REF!-K766</f>
        <v>#REF!</v>
      </c>
      <c r="V766" s="29" t="e">
        <f>+#REF!-L766</f>
        <v>#REF!</v>
      </c>
      <c r="W766" s="29" t="e">
        <f>+#REF!-M766</f>
        <v>#REF!</v>
      </c>
      <c r="X766" s="29" t="e">
        <f>+#REF!-N766</f>
        <v>#REF!</v>
      </c>
      <c r="Y766" s="29" t="e">
        <f>+#REF!-O766</f>
        <v>#REF!</v>
      </c>
      <c r="Z766" s="29" t="e">
        <f>+#REF!-P766</f>
        <v>#REF!</v>
      </c>
      <c r="AA766" s="29" t="e">
        <f>+#REF!-Q766</f>
        <v>#REF!</v>
      </c>
      <c r="AB766" s="29" t="e">
        <f>+#REF!-R766</f>
        <v>#REF!</v>
      </c>
      <c r="AC766" s="29" t="e">
        <f>+#REF!-S766</f>
        <v>#REF!</v>
      </c>
      <c r="AD766" s="29" t="e">
        <f t="shared" si="13"/>
        <v>#REF!</v>
      </c>
      <c r="AE766" s="29" t="e">
        <f t="shared" si="14"/>
        <v>#REF!</v>
      </c>
      <c r="AF766" s="29" t="e">
        <f t="shared" si="15"/>
        <v>#REF!</v>
      </c>
      <c r="AG766" s="29" t="e">
        <f t="shared" si="16"/>
        <v>#REF!</v>
      </c>
      <c r="AH766" s="29" t="e">
        <f t="shared" si="17"/>
        <v>#REF!</v>
      </c>
      <c r="AI766" s="28"/>
    </row>
    <row r="767" spans="1:58" s="54" customFormat="1" ht="15.75">
      <c r="A767" s="27">
        <v>10000</v>
      </c>
      <c r="B767" s="27">
        <v>10000</v>
      </c>
      <c r="C767" s="112"/>
      <c r="D767" s="112"/>
      <c r="E767" s="112"/>
      <c r="F767" s="112"/>
      <c r="G767" s="112"/>
      <c r="H767" s="112"/>
      <c r="I767" s="162" t="e">
        <f>+#REF!</f>
        <v>#REF!</v>
      </c>
      <c r="J767" s="60">
        <f>+'видатки_затв '!D19</f>
        <v>7327200</v>
      </c>
      <c r="K767" s="60">
        <f>+'видатки_затв '!E19</f>
        <v>1016500</v>
      </c>
      <c r="L767" s="60" t="e">
        <f>+'видатки_затв '!#REF!</f>
        <v>#REF!</v>
      </c>
      <c r="M767" s="60">
        <f>+'видатки_затв '!F19</f>
        <v>3631400</v>
      </c>
      <c r="N767" s="60">
        <f>+'видатки_затв '!G19</f>
        <v>2034000</v>
      </c>
      <c r="O767" s="60">
        <f>+'видатки_затв '!H19</f>
        <v>0</v>
      </c>
      <c r="P767" s="60">
        <f>+'видатки_затв '!I19</f>
        <v>1264000</v>
      </c>
      <c r="Q767" s="60">
        <f>+'видатки_затв '!J19</f>
        <v>1597400</v>
      </c>
      <c r="R767" s="58" t="e">
        <f>+#REF!-#REF!</f>
        <v>#REF!</v>
      </c>
      <c r="S767" s="58" t="e">
        <f>+#REF!-I767</f>
        <v>#REF!</v>
      </c>
      <c r="T767" s="58" t="e">
        <f>+#REF!-J767</f>
        <v>#REF!</v>
      </c>
      <c r="U767" s="58" t="e">
        <f>+#REF!-K767</f>
        <v>#REF!</v>
      </c>
      <c r="V767" s="58" t="e">
        <f>+#REF!-L767</f>
        <v>#REF!</v>
      </c>
      <c r="W767" s="58" t="e">
        <f>+#REF!-M767</f>
        <v>#REF!</v>
      </c>
      <c r="X767" s="58" t="e">
        <f>+#REF!-N767</f>
        <v>#REF!</v>
      </c>
      <c r="Y767" s="58" t="e">
        <f>+#REF!-O767</f>
        <v>#REF!</v>
      </c>
      <c r="Z767" s="58" t="e">
        <f>+#REF!-P767</f>
        <v>#REF!</v>
      </c>
      <c r="AA767" s="58" t="e">
        <f>+#REF!-Q767</f>
        <v>#REF!</v>
      </c>
      <c r="AB767" s="58" t="e">
        <f>+#REF!-R767</f>
        <v>#REF!</v>
      </c>
      <c r="AC767" s="58" t="e">
        <f>+#REF!-S767</f>
        <v>#REF!</v>
      </c>
      <c r="AD767" s="58" t="e">
        <f t="shared" si="13"/>
        <v>#REF!</v>
      </c>
      <c r="AE767" s="58" t="e">
        <f t="shared" si="14"/>
        <v>#REF!</v>
      </c>
      <c r="AF767" s="58" t="e">
        <f t="shared" si="15"/>
        <v>#REF!</v>
      </c>
      <c r="AG767" s="58" t="e">
        <f t="shared" si="16"/>
        <v>#REF!</v>
      </c>
      <c r="AH767" s="58" t="e">
        <f t="shared" si="17"/>
        <v>#REF!</v>
      </c>
      <c r="AI767" s="50"/>
      <c r="AJ767" s="50"/>
    </row>
    <row r="768" spans="1:58" ht="15.75">
      <c r="A768" s="27">
        <v>60000</v>
      </c>
      <c r="B768" s="27">
        <v>60000</v>
      </c>
      <c r="C768" s="116"/>
      <c r="D768" s="116"/>
      <c r="E768" s="116"/>
      <c r="F768" s="116"/>
      <c r="G768" s="116"/>
      <c r="H768" s="116"/>
      <c r="I768" s="100" t="e">
        <f>+#REF!</f>
        <v>#REF!</v>
      </c>
      <c r="J768" s="146">
        <f>+'видатки_затв '!D38</f>
        <v>0</v>
      </c>
      <c r="K768" s="146">
        <f>+'видатки_затв '!E38</f>
        <v>0</v>
      </c>
      <c r="L768" s="146" t="e">
        <f>+'видатки_затв '!#REF!</f>
        <v>#REF!</v>
      </c>
      <c r="M768" s="146">
        <f>+'видатки_затв '!F38</f>
        <v>0</v>
      </c>
      <c r="N768" s="146">
        <f>+'видатки_затв '!G38</f>
        <v>0</v>
      </c>
      <c r="O768" s="146">
        <f>+'видатки_затв '!H38</f>
        <v>0</v>
      </c>
      <c r="P768" s="146">
        <f>+'видатки_затв '!I38</f>
        <v>0</v>
      </c>
      <c r="Q768" s="146">
        <f>+'видатки_затв '!J38</f>
        <v>0</v>
      </c>
      <c r="R768" s="29" t="e">
        <f>+#REF!-#REF!</f>
        <v>#REF!</v>
      </c>
      <c r="S768" s="29" t="e">
        <f>+#REF!-I768</f>
        <v>#REF!</v>
      </c>
      <c r="T768" s="29" t="e">
        <f>+#REF!-J768</f>
        <v>#REF!</v>
      </c>
      <c r="U768" s="29" t="e">
        <f>+#REF!-K768</f>
        <v>#REF!</v>
      </c>
      <c r="V768" s="29" t="e">
        <f>+#REF!-L768</f>
        <v>#REF!</v>
      </c>
      <c r="W768" s="29" t="e">
        <f>+#REF!-M768</f>
        <v>#REF!</v>
      </c>
      <c r="X768" s="29" t="e">
        <f>+#REF!-N768</f>
        <v>#REF!</v>
      </c>
      <c r="Y768" s="29" t="e">
        <f>+#REF!-O768</f>
        <v>#REF!</v>
      </c>
      <c r="Z768" s="29" t="e">
        <f>+#REF!-P768</f>
        <v>#REF!</v>
      </c>
      <c r="AA768" s="29" t="e">
        <f>+#REF!-Q768</f>
        <v>#REF!</v>
      </c>
      <c r="AB768" s="29" t="e">
        <f>+#REF!-R768</f>
        <v>#REF!</v>
      </c>
      <c r="AC768" s="29" t="e">
        <f>+#REF!-S768</f>
        <v>#REF!</v>
      </c>
      <c r="AD768" s="29" t="e">
        <f t="shared" si="13"/>
        <v>#REF!</v>
      </c>
      <c r="AE768" s="29" t="e">
        <f t="shared" si="14"/>
        <v>#REF!</v>
      </c>
      <c r="AF768" s="29" t="e">
        <f t="shared" si="15"/>
        <v>#REF!</v>
      </c>
      <c r="AG768" s="29" t="e">
        <f t="shared" si="16"/>
        <v>#REF!</v>
      </c>
      <c r="AH768" s="29" t="e">
        <f t="shared" si="17"/>
        <v>#REF!</v>
      </c>
      <c r="AI768" s="28"/>
    </row>
    <row r="769" spans="1:36" s="54" customFormat="1" ht="15.75">
      <c r="A769" s="27">
        <v>70000</v>
      </c>
      <c r="B769" s="27">
        <v>70000</v>
      </c>
      <c r="C769" s="147" t="e">
        <f>+#REF!-#REF!</f>
        <v>#REF!</v>
      </c>
      <c r="D769" s="147"/>
      <c r="E769" s="147"/>
      <c r="F769" s="147"/>
      <c r="G769" s="147"/>
      <c r="H769" s="147"/>
      <c r="I769" s="162" t="e">
        <f>+#REF!</f>
        <v>#REF!</v>
      </c>
      <c r="J769" s="60">
        <f>+'видатки_затв '!D39</f>
        <v>302146600</v>
      </c>
      <c r="K769" s="60">
        <f>+'видатки_затв '!E39</f>
        <v>49812900</v>
      </c>
      <c r="L769" s="60" t="e">
        <f>+'видатки_затв '!#REF!</f>
        <v>#REF!</v>
      </c>
      <c r="M769" s="60">
        <f>+'видатки_затв '!F39</f>
        <v>49989200</v>
      </c>
      <c r="N769" s="60">
        <f>+'видатки_затв '!G39</f>
        <v>33354200</v>
      </c>
      <c r="O769" s="60">
        <f>+'видатки_затв '!H39</f>
        <v>4894600</v>
      </c>
      <c r="P769" s="60">
        <f>+'видатки_затв '!I39</f>
        <v>1349000</v>
      </c>
      <c r="Q769" s="60">
        <f>+'видатки_затв '!J39</f>
        <v>16635000</v>
      </c>
      <c r="R769" s="58" t="e">
        <f>+#REF!-#REF!</f>
        <v>#REF!</v>
      </c>
      <c r="S769" s="58" t="e">
        <f>+#REF!-I769</f>
        <v>#REF!</v>
      </c>
      <c r="T769" s="58" t="e">
        <f>+#REF!-J769</f>
        <v>#REF!</v>
      </c>
      <c r="U769" s="58" t="e">
        <f>+#REF!-K769</f>
        <v>#REF!</v>
      </c>
      <c r="V769" s="58" t="e">
        <f>+#REF!-L769</f>
        <v>#REF!</v>
      </c>
      <c r="W769" s="58" t="e">
        <f>+#REF!-M769</f>
        <v>#REF!</v>
      </c>
      <c r="X769" s="58" t="e">
        <f>+#REF!-N769</f>
        <v>#REF!</v>
      </c>
      <c r="Y769" s="58" t="e">
        <f>+#REF!-O769</f>
        <v>#REF!</v>
      </c>
      <c r="Z769" s="58" t="e">
        <f>+#REF!-P769</f>
        <v>#REF!</v>
      </c>
      <c r="AA769" s="58" t="e">
        <f>+#REF!-Q769</f>
        <v>#REF!</v>
      </c>
      <c r="AB769" s="58" t="e">
        <f>+#REF!-R769</f>
        <v>#REF!</v>
      </c>
      <c r="AC769" s="58" t="e">
        <f>+#REF!-S769</f>
        <v>#REF!</v>
      </c>
      <c r="AD769" s="58" t="e">
        <f t="shared" si="13"/>
        <v>#REF!</v>
      </c>
      <c r="AE769" s="58" t="e">
        <f t="shared" si="14"/>
        <v>#REF!</v>
      </c>
      <c r="AF769" s="58" t="e">
        <f t="shared" si="15"/>
        <v>#REF!</v>
      </c>
      <c r="AG769" s="58" t="e">
        <f t="shared" si="16"/>
        <v>#REF!</v>
      </c>
      <c r="AH769" s="58" t="e">
        <f t="shared" si="17"/>
        <v>#REF!</v>
      </c>
      <c r="AI769" s="50"/>
      <c r="AJ769" s="50"/>
    </row>
    <row r="770" spans="1:36" s="54" customFormat="1" ht="15.75">
      <c r="A770" s="27">
        <v>80000</v>
      </c>
      <c r="B770" s="27">
        <v>80000</v>
      </c>
      <c r="C770" s="116"/>
      <c r="D770" s="116"/>
      <c r="E770" s="116"/>
      <c r="F770" s="116"/>
      <c r="G770" s="116"/>
      <c r="H770" s="116"/>
      <c r="I770" s="162" t="e">
        <f>+#REF!</f>
        <v>#REF!</v>
      </c>
      <c r="J770" s="60">
        <f>+'видатки_затв '!D111</f>
        <v>40020100</v>
      </c>
      <c r="K770" s="60">
        <f>+'видатки_затв '!E111</f>
        <v>10028800</v>
      </c>
      <c r="L770" s="60" t="e">
        <f>+'видатки_затв '!#REF!</f>
        <v>#REF!</v>
      </c>
      <c r="M770" s="60">
        <f>+'видатки_затв '!F111</f>
        <v>23732000</v>
      </c>
      <c r="N770" s="60">
        <f>+'видатки_затв '!G111</f>
        <v>21350000</v>
      </c>
      <c r="O770" s="60">
        <f>+'видатки_затв '!H111</f>
        <v>0</v>
      </c>
      <c r="P770" s="60">
        <f>+'видатки_затв '!I111</f>
        <v>68000</v>
      </c>
      <c r="Q770" s="60">
        <f>+'видатки_затв '!J111</f>
        <v>2382000</v>
      </c>
      <c r="R770" s="58" t="e">
        <f>+#REF!-#REF!</f>
        <v>#REF!</v>
      </c>
      <c r="S770" s="58" t="e">
        <f>+#REF!-I770</f>
        <v>#REF!</v>
      </c>
      <c r="T770" s="58" t="e">
        <f>+#REF!-J770</f>
        <v>#REF!</v>
      </c>
      <c r="U770" s="58" t="e">
        <f>+#REF!-K770</f>
        <v>#REF!</v>
      </c>
      <c r="V770" s="58" t="e">
        <f>+#REF!-L770</f>
        <v>#REF!</v>
      </c>
      <c r="W770" s="58" t="e">
        <f>+#REF!-M770</f>
        <v>#REF!</v>
      </c>
      <c r="X770" s="58" t="e">
        <f>+#REF!-N770</f>
        <v>#REF!</v>
      </c>
      <c r="Y770" s="58" t="e">
        <f>+#REF!-O770</f>
        <v>#REF!</v>
      </c>
      <c r="Z770" s="58" t="e">
        <f>+#REF!-P770</f>
        <v>#REF!</v>
      </c>
      <c r="AA770" s="58" t="e">
        <f>+#REF!-Q770</f>
        <v>#REF!</v>
      </c>
      <c r="AB770" s="58" t="e">
        <f>+#REF!-R770</f>
        <v>#REF!</v>
      </c>
      <c r="AC770" s="58" t="e">
        <f>+#REF!-S770</f>
        <v>#REF!</v>
      </c>
      <c r="AD770" s="58" t="e">
        <f t="shared" si="13"/>
        <v>#REF!</v>
      </c>
      <c r="AE770" s="58" t="e">
        <f t="shared" si="14"/>
        <v>#REF!</v>
      </c>
      <c r="AF770" s="58" t="e">
        <f t="shared" si="15"/>
        <v>#REF!</v>
      </c>
      <c r="AG770" s="58" t="e">
        <f t="shared" si="16"/>
        <v>#REF!</v>
      </c>
      <c r="AH770" s="58" t="e">
        <f t="shared" si="17"/>
        <v>#REF!</v>
      </c>
      <c r="AI770" s="50"/>
      <c r="AJ770" s="50"/>
    </row>
    <row r="771" spans="1:36" s="54" customFormat="1" ht="15.75">
      <c r="A771" s="27">
        <v>90000</v>
      </c>
      <c r="B771" s="27">
        <v>90000</v>
      </c>
      <c r="C771" s="112"/>
      <c r="D771" s="112"/>
      <c r="E771" s="112"/>
      <c r="F771" s="112"/>
      <c r="G771" s="112"/>
      <c r="H771" s="112"/>
      <c r="I771" s="100" t="e">
        <f>+#REF!</f>
        <v>#REF!</v>
      </c>
      <c r="J771" s="60">
        <f>+'видатки_затв '!D117</f>
        <v>0</v>
      </c>
      <c r="K771" s="60">
        <f>+'видатки_затв '!E117</f>
        <v>0</v>
      </c>
      <c r="L771" s="60" t="e">
        <f>+'видатки_затв '!#REF!</f>
        <v>#REF!</v>
      </c>
      <c r="M771" s="60">
        <f>+'видатки_затв '!F117</f>
        <v>0</v>
      </c>
      <c r="N771" s="60">
        <f>+'видатки_затв '!G117</f>
        <v>0</v>
      </c>
      <c r="O771" s="60">
        <f>+'видатки_затв '!H117</f>
        <v>0</v>
      </c>
      <c r="P771" s="60">
        <f>+'видатки_затв '!I117</f>
        <v>0</v>
      </c>
      <c r="Q771" s="60">
        <f>+'видатки_затв '!J117</f>
        <v>0</v>
      </c>
      <c r="R771" s="58" t="e">
        <f>+#REF!-#REF!</f>
        <v>#REF!</v>
      </c>
      <c r="S771" s="58" t="e">
        <f>+#REF!-I771</f>
        <v>#REF!</v>
      </c>
      <c r="T771" s="58" t="e">
        <f>+#REF!-J771</f>
        <v>#REF!</v>
      </c>
      <c r="U771" s="58" t="e">
        <f>+#REF!-K771</f>
        <v>#REF!</v>
      </c>
      <c r="V771" s="58" t="e">
        <f>+#REF!-L771</f>
        <v>#REF!</v>
      </c>
      <c r="W771" s="58" t="e">
        <f>+#REF!-M771</f>
        <v>#REF!</v>
      </c>
      <c r="X771" s="58" t="e">
        <f>+#REF!-N771</f>
        <v>#REF!</v>
      </c>
      <c r="Y771" s="58" t="e">
        <f>+#REF!-O771</f>
        <v>#REF!</v>
      </c>
      <c r="Z771" s="58" t="e">
        <f>+#REF!-P771</f>
        <v>#REF!</v>
      </c>
      <c r="AA771" s="58" t="e">
        <f>+#REF!-Q771</f>
        <v>#REF!</v>
      </c>
      <c r="AB771" s="58" t="e">
        <f>+#REF!-R771</f>
        <v>#REF!</v>
      </c>
      <c r="AC771" s="58" t="e">
        <f>+#REF!-S771</f>
        <v>#REF!</v>
      </c>
      <c r="AD771" s="58" t="e">
        <f t="shared" si="13"/>
        <v>#REF!</v>
      </c>
      <c r="AE771" s="58" t="e">
        <f t="shared" si="14"/>
        <v>#REF!</v>
      </c>
      <c r="AF771" s="58" t="e">
        <f t="shared" si="15"/>
        <v>#REF!</v>
      </c>
      <c r="AG771" s="58" t="e">
        <f t="shared" si="16"/>
        <v>#REF!</v>
      </c>
      <c r="AH771" s="58" t="e">
        <f t="shared" si="17"/>
        <v>#REF!</v>
      </c>
      <c r="AI771" s="50"/>
      <c r="AJ771" s="50"/>
    </row>
    <row r="772" spans="1:36" s="54" customFormat="1" ht="15.75">
      <c r="A772" s="27">
        <v>10000</v>
      </c>
      <c r="B772" s="27">
        <v>10000</v>
      </c>
      <c r="C772" s="112"/>
      <c r="D772" s="112"/>
      <c r="E772" s="112"/>
      <c r="F772" s="112"/>
      <c r="G772" s="112"/>
      <c r="H772" s="112"/>
      <c r="I772" s="100" t="e">
        <f>+#REF!</f>
        <v>#REF!</v>
      </c>
      <c r="J772" s="60">
        <f>+'видатки_затв '!D175</f>
        <v>0</v>
      </c>
      <c r="K772" s="60">
        <f>+'видатки_затв '!E175</f>
        <v>0</v>
      </c>
      <c r="L772" s="60" t="e">
        <f>+'видатки_затв '!#REF!</f>
        <v>#REF!</v>
      </c>
      <c r="M772" s="60">
        <f>+'видатки_затв '!F175</f>
        <v>0</v>
      </c>
      <c r="N772" s="60">
        <f>+'видатки_затв '!G175</f>
        <v>0</v>
      </c>
      <c r="O772" s="60">
        <f>+'видатки_затв '!H175</f>
        <v>0</v>
      </c>
      <c r="P772" s="60">
        <f>+'видатки_затв '!I175</f>
        <v>0</v>
      </c>
      <c r="Q772" s="60">
        <f>+'видатки_затв '!J175</f>
        <v>0</v>
      </c>
      <c r="R772" s="58" t="e">
        <f>+#REF!-#REF!</f>
        <v>#REF!</v>
      </c>
      <c r="S772" s="58" t="e">
        <f>+#REF!-I772</f>
        <v>#REF!</v>
      </c>
      <c r="T772" s="58" t="e">
        <f>+#REF!-J772</f>
        <v>#REF!</v>
      </c>
      <c r="U772" s="58" t="e">
        <f>+#REF!-K772</f>
        <v>#REF!</v>
      </c>
      <c r="V772" s="58" t="e">
        <f>+#REF!-L772</f>
        <v>#REF!</v>
      </c>
      <c r="W772" s="58" t="e">
        <f>+#REF!-M772</f>
        <v>#REF!</v>
      </c>
      <c r="X772" s="58" t="e">
        <f>+#REF!-N772</f>
        <v>#REF!</v>
      </c>
      <c r="Y772" s="58" t="e">
        <f>+#REF!-O772</f>
        <v>#REF!</v>
      </c>
      <c r="Z772" s="58" t="e">
        <f>+#REF!-P772</f>
        <v>#REF!</v>
      </c>
      <c r="AA772" s="58" t="e">
        <f>+#REF!-Q772</f>
        <v>#REF!</v>
      </c>
      <c r="AB772" s="58" t="e">
        <f>+#REF!-R772</f>
        <v>#REF!</v>
      </c>
      <c r="AC772" s="58" t="e">
        <f>+#REF!-S772</f>
        <v>#REF!</v>
      </c>
      <c r="AD772" s="58" t="e">
        <f t="shared" si="13"/>
        <v>#REF!</v>
      </c>
      <c r="AE772" s="58" t="e">
        <f t="shared" si="14"/>
        <v>#REF!</v>
      </c>
      <c r="AF772" s="58" t="e">
        <f t="shared" si="15"/>
        <v>#REF!</v>
      </c>
      <c r="AG772" s="58" t="e">
        <f t="shared" si="16"/>
        <v>#REF!</v>
      </c>
      <c r="AH772" s="58" t="e">
        <f t="shared" si="17"/>
        <v>#REF!</v>
      </c>
      <c r="AI772" s="50"/>
      <c r="AJ772" s="50"/>
    </row>
    <row r="773" spans="1:36" s="54" customFormat="1" ht="15.75">
      <c r="A773" s="27">
        <v>120000</v>
      </c>
      <c r="B773" s="27">
        <v>120000</v>
      </c>
      <c r="C773" s="112"/>
      <c r="D773" s="112"/>
      <c r="E773" s="112"/>
      <c r="F773" s="112"/>
      <c r="G773" s="112"/>
      <c r="H773" s="112"/>
      <c r="I773" s="162" t="e">
        <f>+#REF!</f>
        <v>#REF!</v>
      </c>
      <c r="J773" s="60">
        <f>+'видатки_затв '!D210</f>
        <v>0</v>
      </c>
      <c r="K773" s="60">
        <f>+'видатки_затв '!E210</f>
        <v>0</v>
      </c>
      <c r="L773" s="60" t="e">
        <f>+'видатки_затв '!#REF!</f>
        <v>#REF!</v>
      </c>
      <c r="M773" s="60">
        <f>+'видатки_затв '!F210</f>
        <v>0</v>
      </c>
      <c r="N773" s="60">
        <f>+'видатки_затв '!G210</f>
        <v>0</v>
      </c>
      <c r="O773" s="60">
        <f>+'видатки_затв '!H210</f>
        <v>0</v>
      </c>
      <c r="P773" s="60">
        <f>+'видатки_затв '!I210</f>
        <v>0</v>
      </c>
      <c r="Q773" s="60">
        <f>+'видатки_затв '!J210</f>
        <v>0</v>
      </c>
      <c r="R773" s="58" t="e">
        <f>+#REF!-#REF!</f>
        <v>#REF!</v>
      </c>
      <c r="S773" s="58" t="e">
        <f>+#REF!-I773</f>
        <v>#REF!</v>
      </c>
      <c r="T773" s="58" t="e">
        <f>+#REF!-J773</f>
        <v>#REF!</v>
      </c>
      <c r="U773" s="58" t="e">
        <f>+#REF!-K773</f>
        <v>#REF!</v>
      </c>
      <c r="V773" s="58" t="e">
        <f>+#REF!-L773</f>
        <v>#REF!</v>
      </c>
      <c r="W773" s="58" t="e">
        <f>+#REF!-M773</f>
        <v>#REF!</v>
      </c>
      <c r="X773" s="58" t="e">
        <f>+#REF!-N773</f>
        <v>#REF!</v>
      </c>
      <c r="Y773" s="58" t="e">
        <f>+#REF!-O773</f>
        <v>#REF!</v>
      </c>
      <c r="Z773" s="58" t="e">
        <f>+#REF!-P773</f>
        <v>#REF!</v>
      </c>
      <c r="AA773" s="58" t="e">
        <f>+#REF!-Q773</f>
        <v>#REF!</v>
      </c>
      <c r="AB773" s="58" t="e">
        <f>+#REF!-R773</f>
        <v>#REF!</v>
      </c>
      <c r="AC773" s="58" t="e">
        <f>+#REF!-S773</f>
        <v>#REF!</v>
      </c>
      <c r="AD773" s="58" t="e">
        <f t="shared" si="13"/>
        <v>#REF!</v>
      </c>
      <c r="AE773" s="58" t="e">
        <f t="shared" si="14"/>
        <v>#REF!</v>
      </c>
      <c r="AF773" s="58" t="e">
        <f t="shared" si="15"/>
        <v>#REF!</v>
      </c>
      <c r="AG773" s="58" t="e">
        <f t="shared" si="16"/>
        <v>#REF!</v>
      </c>
      <c r="AH773" s="58" t="e">
        <f t="shared" si="17"/>
        <v>#REF!</v>
      </c>
      <c r="AI773" s="50"/>
      <c r="AJ773" s="50"/>
    </row>
    <row r="774" spans="1:36" s="54" customFormat="1" ht="15.75">
      <c r="A774" s="27">
        <v>130000</v>
      </c>
      <c r="B774" s="27">
        <v>130000</v>
      </c>
      <c r="C774" s="149" t="e">
        <f>+#REF!-#REF!</f>
        <v>#REF!</v>
      </c>
      <c r="D774" s="149"/>
      <c r="E774" s="149"/>
      <c r="F774" s="149"/>
      <c r="G774" s="149"/>
      <c r="H774" s="149"/>
      <c r="I774" s="100" t="e">
        <f>+#REF!</f>
        <v>#REF!</v>
      </c>
      <c r="J774" s="60">
        <f>+'видатки_затв '!D229</f>
        <v>0</v>
      </c>
      <c r="K774" s="60">
        <f>+'видатки_затв '!E229</f>
        <v>0</v>
      </c>
      <c r="L774" s="60" t="e">
        <f>+'видатки_затв '!#REF!</f>
        <v>#REF!</v>
      </c>
      <c r="M774" s="60">
        <f>+'видатки_затв '!F229</f>
        <v>18047800</v>
      </c>
      <c r="N774" s="60">
        <f>+'видатки_затв '!G229</f>
        <v>0</v>
      </c>
      <c r="O774" s="60">
        <f>+'видатки_затв '!H229</f>
        <v>0</v>
      </c>
      <c r="P774" s="60">
        <f>+'видатки_затв '!I229</f>
        <v>0</v>
      </c>
      <c r="Q774" s="60">
        <f>+'видатки_затв '!J229</f>
        <v>18047800</v>
      </c>
      <c r="R774" s="58" t="e">
        <f>+#REF!-#REF!</f>
        <v>#REF!</v>
      </c>
      <c r="S774" s="58" t="e">
        <f>+#REF!-I774</f>
        <v>#REF!</v>
      </c>
      <c r="T774" s="58" t="e">
        <f>+#REF!-J774</f>
        <v>#REF!</v>
      </c>
      <c r="U774" s="58" t="e">
        <f>+#REF!-K774</f>
        <v>#REF!</v>
      </c>
      <c r="V774" s="58" t="e">
        <f>+#REF!-L774</f>
        <v>#REF!</v>
      </c>
      <c r="W774" s="58" t="e">
        <f>+#REF!-M774</f>
        <v>#REF!</v>
      </c>
      <c r="X774" s="58" t="e">
        <f>+#REF!-N774</f>
        <v>#REF!</v>
      </c>
      <c r="Y774" s="58" t="e">
        <f>+#REF!-O774</f>
        <v>#REF!</v>
      </c>
      <c r="Z774" s="58" t="e">
        <f>+#REF!-P774</f>
        <v>#REF!</v>
      </c>
      <c r="AA774" s="58" t="e">
        <f>+#REF!-Q774</f>
        <v>#REF!</v>
      </c>
      <c r="AB774" s="58" t="e">
        <f>+#REF!-R774</f>
        <v>#REF!</v>
      </c>
      <c r="AC774" s="58" t="e">
        <f>+#REF!-S774</f>
        <v>#REF!</v>
      </c>
      <c r="AD774" s="58" t="e">
        <f t="shared" si="13"/>
        <v>#REF!</v>
      </c>
      <c r="AE774" s="58" t="e">
        <f t="shared" si="14"/>
        <v>#REF!</v>
      </c>
      <c r="AF774" s="58" t="e">
        <f t="shared" si="15"/>
        <v>#REF!</v>
      </c>
      <c r="AG774" s="58" t="e">
        <f t="shared" si="16"/>
        <v>#REF!</v>
      </c>
      <c r="AH774" s="58" t="e">
        <f t="shared" si="17"/>
        <v>#REF!</v>
      </c>
      <c r="AI774" s="50"/>
      <c r="AJ774" s="50"/>
    </row>
    <row r="775" spans="1:36" s="54" customFormat="1" ht="15.75">
      <c r="A775" s="27">
        <v>110000</v>
      </c>
      <c r="B775" s="27">
        <v>110000</v>
      </c>
      <c r="C775" s="112"/>
      <c r="D775" s="112"/>
      <c r="E775" s="112"/>
      <c r="F775" s="112"/>
      <c r="G775" s="112"/>
      <c r="H775" s="112"/>
      <c r="I775" s="162" t="e">
        <f>+#REF!</f>
        <v>#REF!</v>
      </c>
      <c r="J775" s="60">
        <f>+'видатки_затв '!D187</f>
        <v>0</v>
      </c>
      <c r="K775" s="60">
        <f>+'видатки_затв '!E187</f>
        <v>0</v>
      </c>
      <c r="L775" s="60" t="e">
        <f>+'видатки_затв '!#REF!</f>
        <v>#REF!</v>
      </c>
      <c r="M775" s="60">
        <f>+'видатки_затв '!F187</f>
        <v>0</v>
      </c>
      <c r="N775" s="60">
        <f>+'видатки_затв '!G187</f>
        <v>0</v>
      </c>
      <c r="O775" s="60">
        <f>+'видатки_затв '!H187</f>
        <v>0</v>
      </c>
      <c r="P775" s="60">
        <f>+'видатки_затв '!I187</f>
        <v>0</v>
      </c>
      <c r="Q775" s="60">
        <f>+'видатки_затв '!J187</f>
        <v>0</v>
      </c>
      <c r="R775" s="58" t="e">
        <f>+#REF!-#REF!</f>
        <v>#REF!</v>
      </c>
      <c r="S775" s="58" t="e">
        <f>+#REF!-I775</f>
        <v>#REF!</v>
      </c>
      <c r="T775" s="58" t="e">
        <f>+#REF!-J775</f>
        <v>#REF!</v>
      </c>
      <c r="U775" s="58" t="e">
        <f>+#REF!-K775</f>
        <v>#REF!</v>
      </c>
      <c r="V775" s="58" t="e">
        <f>+#REF!-L775</f>
        <v>#REF!</v>
      </c>
      <c r="W775" s="58" t="e">
        <f>+#REF!-M775</f>
        <v>#REF!</v>
      </c>
      <c r="X775" s="58" t="e">
        <f>+#REF!-N775</f>
        <v>#REF!</v>
      </c>
      <c r="Y775" s="58" t="e">
        <f>+#REF!-O775</f>
        <v>#REF!</v>
      </c>
      <c r="Z775" s="58" t="e">
        <f>+#REF!-P775</f>
        <v>#REF!</v>
      </c>
      <c r="AA775" s="58" t="e">
        <f>+#REF!-Q775</f>
        <v>#REF!</v>
      </c>
      <c r="AB775" s="58" t="e">
        <f>+#REF!-R775</f>
        <v>#REF!</v>
      </c>
      <c r="AC775" s="58" t="e">
        <f>+#REF!-S775</f>
        <v>#REF!</v>
      </c>
      <c r="AD775" s="58" t="e">
        <f t="shared" si="13"/>
        <v>#REF!</v>
      </c>
      <c r="AE775" s="58" t="e">
        <f t="shared" si="14"/>
        <v>#REF!</v>
      </c>
      <c r="AF775" s="58" t="e">
        <f t="shared" si="15"/>
        <v>#REF!</v>
      </c>
      <c r="AG775" s="58" t="e">
        <f t="shared" si="16"/>
        <v>#REF!</v>
      </c>
      <c r="AH775" s="58" t="e">
        <f t="shared" si="17"/>
        <v>#REF!</v>
      </c>
      <c r="AI775" s="50"/>
      <c r="AJ775" s="50"/>
    </row>
    <row r="776" spans="1:36" s="54" customFormat="1" ht="15.75">
      <c r="A776" s="59">
        <v>150000</v>
      </c>
      <c r="B776" s="59">
        <v>150000</v>
      </c>
      <c r="C776" s="114"/>
      <c r="D776" s="114"/>
      <c r="E776" s="114"/>
      <c r="F776" s="114"/>
      <c r="G776" s="114"/>
      <c r="H776" s="114"/>
      <c r="I776" s="100" t="e">
        <f>+#REF!</f>
        <v>#REF!</v>
      </c>
      <c r="J776" s="60">
        <f>+'видатки_затв '!D233</f>
        <v>0</v>
      </c>
      <c r="K776" s="60">
        <f>+'видатки_затв '!E233</f>
        <v>0</v>
      </c>
      <c r="L776" s="60" t="e">
        <f>+'видатки_затв '!#REF!</f>
        <v>#REF!</v>
      </c>
      <c r="M776" s="60">
        <f>+'видатки_затв '!F233</f>
        <v>0</v>
      </c>
      <c r="N776" s="60">
        <f>+'видатки_затв '!G233</f>
        <v>0</v>
      </c>
      <c r="O776" s="60">
        <f>+'видатки_затв '!H233</f>
        <v>0</v>
      </c>
      <c r="P776" s="60">
        <f>+'видатки_затв '!I233</f>
        <v>0</v>
      </c>
      <c r="Q776" s="60">
        <f>+'видатки_затв '!J233</f>
        <v>0</v>
      </c>
      <c r="R776" s="58" t="e">
        <f>+#REF!-#REF!</f>
        <v>#REF!</v>
      </c>
      <c r="S776" s="58" t="e">
        <f>+#REF!-I776</f>
        <v>#REF!</v>
      </c>
      <c r="T776" s="58" t="e">
        <f>+#REF!-J776</f>
        <v>#REF!</v>
      </c>
      <c r="U776" s="58" t="e">
        <f>+#REF!-K776</f>
        <v>#REF!</v>
      </c>
      <c r="V776" s="58" t="e">
        <f>+#REF!-L776</f>
        <v>#REF!</v>
      </c>
      <c r="W776" s="58" t="e">
        <f>+#REF!-M776</f>
        <v>#REF!</v>
      </c>
      <c r="X776" s="58" t="e">
        <f>+#REF!-N776</f>
        <v>#REF!</v>
      </c>
      <c r="Y776" s="58" t="e">
        <f>+#REF!-O776</f>
        <v>#REF!</v>
      </c>
      <c r="Z776" s="58" t="e">
        <f>+#REF!-P776</f>
        <v>#REF!</v>
      </c>
      <c r="AA776" s="58" t="e">
        <f>+#REF!-Q776</f>
        <v>#REF!</v>
      </c>
      <c r="AB776" s="58" t="e">
        <f>+#REF!-R776</f>
        <v>#REF!</v>
      </c>
      <c r="AC776" s="58" t="e">
        <f>+#REF!-S776</f>
        <v>#REF!</v>
      </c>
      <c r="AD776" s="58" t="e">
        <f t="shared" si="13"/>
        <v>#REF!</v>
      </c>
      <c r="AE776" s="58" t="e">
        <f t="shared" si="14"/>
        <v>#REF!</v>
      </c>
      <c r="AF776" s="58" t="e">
        <f t="shared" si="15"/>
        <v>#REF!</v>
      </c>
      <c r="AG776" s="58" t="e">
        <f t="shared" si="16"/>
        <v>#REF!</v>
      </c>
      <c r="AH776" s="58" t="e">
        <f t="shared" si="17"/>
        <v>#REF!</v>
      </c>
      <c r="AI776" s="50"/>
      <c r="AJ776" s="50"/>
    </row>
    <row r="777" spans="1:36" s="54" customFormat="1" ht="15.75">
      <c r="A777" s="27">
        <v>160000</v>
      </c>
      <c r="B777" s="27">
        <v>160000</v>
      </c>
      <c r="C777" s="112"/>
      <c r="D777" s="112"/>
      <c r="E777" s="112"/>
      <c r="F777" s="112"/>
      <c r="G777" s="112"/>
      <c r="H777" s="112"/>
      <c r="I777" s="100" t="e">
        <f>+#REF!</f>
        <v>#REF!</v>
      </c>
      <c r="J777" s="60">
        <f>+'видатки_затв '!D253</f>
        <v>0</v>
      </c>
      <c r="K777" s="60">
        <f>+'видатки_затв '!E253</f>
        <v>0</v>
      </c>
      <c r="L777" s="60" t="e">
        <f>+'видатки_затв '!#REF!</f>
        <v>#REF!</v>
      </c>
      <c r="M777" s="60">
        <f>+'видатки_затв '!F253</f>
        <v>0</v>
      </c>
      <c r="N777" s="60">
        <f>+'видатки_затв '!G253</f>
        <v>0</v>
      </c>
      <c r="O777" s="60">
        <f>+'видатки_затв '!H253</f>
        <v>0</v>
      </c>
      <c r="P777" s="60">
        <f>+'видатки_затв '!I253</f>
        <v>0</v>
      </c>
      <c r="Q777" s="60">
        <f>+'видатки_затв '!J253</f>
        <v>0</v>
      </c>
      <c r="R777" s="58" t="e">
        <f>+#REF!-#REF!</f>
        <v>#REF!</v>
      </c>
      <c r="S777" s="58" t="e">
        <f>+#REF!-I777</f>
        <v>#REF!</v>
      </c>
      <c r="T777" s="58" t="e">
        <f>+#REF!-J777</f>
        <v>#REF!</v>
      </c>
      <c r="U777" s="58" t="e">
        <f>+#REF!-K777</f>
        <v>#REF!</v>
      </c>
      <c r="V777" s="58" t="e">
        <f>+#REF!-L777</f>
        <v>#REF!</v>
      </c>
      <c r="W777" s="58" t="e">
        <f>+#REF!-M777</f>
        <v>#REF!</v>
      </c>
      <c r="X777" s="58" t="e">
        <f>+#REF!-N777</f>
        <v>#REF!</v>
      </c>
      <c r="Y777" s="58" t="e">
        <f>+#REF!-O777</f>
        <v>#REF!</v>
      </c>
      <c r="Z777" s="58" t="e">
        <f>+#REF!-P777</f>
        <v>#REF!</v>
      </c>
      <c r="AA777" s="58" t="e">
        <f>+#REF!-Q777</f>
        <v>#REF!</v>
      </c>
      <c r="AB777" s="58" t="e">
        <f>+#REF!-R777</f>
        <v>#REF!</v>
      </c>
      <c r="AC777" s="58" t="e">
        <f>+#REF!-S777</f>
        <v>#REF!</v>
      </c>
      <c r="AD777" s="58" t="e">
        <f t="shared" si="13"/>
        <v>#REF!</v>
      </c>
      <c r="AE777" s="58" t="e">
        <f t="shared" si="14"/>
        <v>#REF!</v>
      </c>
      <c r="AF777" s="58" t="e">
        <f t="shared" si="15"/>
        <v>#REF!</v>
      </c>
      <c r="AG777" s="58" t="e">
        <f t="shared" si="16"/>
        <v>#REF!</v>
      </c>
      <c r="AH777" s="58" t="e">
        <f t="shared" si="17"/>
        <v>#REF!</v>
      </c>
      <c r="AI777" s="50"/>
      <c r="AJ777" s="50"/>
    </row>
    <row r="778" spans="1:36" s="54" customFormat="1" ht="15.75">
      <c r="A778" s="27">
        <v>170000</v>
      </c>
      <c r="B778" s="27">
        <v>170000</v>
      </c>
      <c r="C778" s="112"/>
      <c r="D778" s="112"/>
      <c r="E778" s="112"/>
      <c r="F778" s="112"/>
      <c r="G778" s="112"/>
      <c r="H778" s="112"/>
      <c r="I778" s="100" t="e">
        <f>+#REF!</f>
        <v>#REF!</v>
      </c>
      <c r="J778" s="60">
        <f>+'видатки_затв '!D265</f>
        <v>0</v>
      </c>
      <c r="K778" s="60">
        <f>+'видатки_затв '!E265</f>
        <v>0</v>
      </c>
      <c r="L778" s="60" t="e">
        <f>+'видатки_затв '!#REF!</f>
        <v>#REF!</v>
      </c>
      <c r="M778" s="60">
        <f>+'видатки_затв '!F265</f>
        <v>0</v>
      </c>
      <c r="N778" s="60">
        <f>+'видатки_затв '!G265</f>
        <v>0</v>
      </c>
      <c r="O778" s="60">
        <f>+'видатки_затв '!H265</f>
        <v>0</v>
      </c>
      <c r="P778" s="60">
        <f>+'видатки_затв '!I265</f>
        <v>0</v>
      </c>
      <c r="Q778" s="60">
        <f>+'видатки_затв '!J265</f>
        <v>0</v>
      </c>
      <c r="R778" s="58" t="e">
        <f>+#REF!-#REF!</f>
        <v>#REF!</v>
      </c>
      <c r="S778" s="58" t="e">
        <f>+#REF!-I778</f>
        <v>#REF!</v>
      </c>
      <c r="T778" s="58" t="e">
        <f>+#REF!-J778</f>
        <v>#REF!</v>
      </c>
      <c r="U778" s="58" t="e">
        <f>+#REF!-K778</f>
        <v>#REF!</v>
      </c>
      <c r="V778" s="58" t="e">
        <f>+#REF!-L778</f>
        <v>#REF!</v>
      </c>
      <c r="W778" s="58" t="e">
        <f>+#REF!-M778</f>
        <v>#REF!</v>
      </c>
      <c r="X778" s="58" t="e">
        <f>+#REF!-N778</f>
        <v>#REF!</v>
      </c>
      <c r="Y778" s="58" t="e">
        <f>+#REF!-O778</f>
        <v>#REF!</v>
      </c>
      <c r="Z778" s="58" t="e">
        <f>+#REF!-P778</f>
        <v>#REF!</v>
      </c>
      <c r="AA778" s="58" t="e">
        <f>+#REF!-Q778</f>
        <v>#REF!</v>
      </c>
      <c r="AB778" s="58" t="e">
        <f>+#REF!-R778</f>
        <v>#REF!</v>
      </c>
      <c r="AC778" s="58" t="e">
        <f>+#REF!-S778</f>
        <v>#REF!</v>
      </c>
      <c r="AD778" s="58" t="e">
        <f t="shared" si="13"/>
        <v>#REF!</v>
      </c>
      <c r="AE778" s="58" t="e">
        <f t="shared" si="14"/>
        <v>#REF!</v>
      </c>
      <c r="AF778" s="58" t="e">
        <f t="shared" si="15"/>
        <v>#REF!</v>
      </c>
      <c r="AG778" s="58" t="e">
        <f t="shared" si="16"/>
        <v>#REF!</v>
      </c>
      <c r="AH778" s="58" t="e">
        <f t="shared" si="17"/>
        <v>#REF!</v>
      </c>
      <c r="AI778" s="50"/>
      <c r="AJ778" s="50"/>
    </row>
    <row r="779" spans="1:36" s="54" customFormat="1" ht="15.75">
      <c r="A779" s="27">
        <v>180000</v>
      </c>
      <c r="B779" s="27">
        <v>180000</v>
      </c>
      <c r="C779" s="112"/>
      <c r="D779" s="112"/>
      <c r="E779" s="112"/>
      <c r="F779" s="112"/>
      <c r="G779" s="112"/>
      <c r="H779" s="112"/>
      <c r="I779" s="100" t="e">
        <f>+#REF!</f>
        <v>#REF!</v>
      </c>
      <c r="J779" s="60">
        <f>+'видатки_затв '!D276</f>
        <v>0</v>
      </c>
      <c r="K779" s="60">
        <f>+'видатки_затв '!E276</f>
        <v>0</v>
      </c>
      <c r="L779" s="60" t="e">
        <f>+'видатки_затв '!#REF!</f>
        <v>#REF!</v>
      </c>
      <c r="M779" s="60">
        <f>+'видатки_затв '!F276</f>
        <v>0</v>
      </c>
      <c r="N779" s="60">
        <f>+'видатки_затв '!G276</f>
        <v>0</v>
      </c>
      <c r="O779" s="60">
        <f>+'видатки_затв '!H276</f>
        <v>0</v>
      </c>
      <c r="P779" s="60">
        <f>+'видатки_затв '!I276</f>
        <v>0</v>
      </c>
      <c r="Q779" s="60">
        <f>+'видатки_затв '!J276</f>
        <v>0</v>
      </c>
      <c r="R779" s="58" t="e">
        <f>+#REF!-#REF!</f>
        <v>#REF!</v>
      </c>
      <c r="S779" s="58" t="e">
        <f>+#REF!-I779</f>
        <v>#REF!</v>
      </c>
      <c r="T779" s="58" t="e">
        <f>+#REF!-J779</f>
        <v>#REF!</v>
      </c>
      <c r="U779" s="58" t="e">
        <f>+#REF!-K779</f>
        <v>#REF!</v>
      </c>
      <c r="V779" s="58" t="e">
        <f>+#REF!-L779</f>
        <v>#REF!</v>
      </c>
      <c r="W779" s="58" t="e">
        <f>+#REF!-M779</f>
        <v>#REF!</v>
      </c>
      <c r="X779" s="58" t="e">
        <f>+#REF!-N779</f>
        <v>#REF!</v>
      </c>
      <c r="Y779" s="58" t="e">
        <f>+#REF!-O779</f>
        <v>#REF!</v>
      </c>
      <c r="Z779" s="58" t="e">
        <f>+#REF!-P779</f>
        <v>#REF!</v>
      </c>
      <c r="AA779" s="58" t="e">
        <f>+#REF!-Q779</f>
        <v>#REF!</v>
      </c>
      <c r="AB779" s="58" t="e">
        <f>+#REF!-R779</f>
        <v>#REF!</v>
      </c>
      <c r="AC779" s="58" t="e">
        <f>+#REF!-S779</f>
        <v>#REF!</v>
      </c>
      <c r="AD779" s="58" t="e">
        <f t="shared" si="13"/>
        <v>#REF!</v>
      </c>
      <c r="AE779" s="58" t="e">
        <f t="shared" si="14"/>
        <v>#REF!</v>
      </c>
      <c r="AF779" s="58" t="e">
        <f t="shared" si="15"/>
        <v>#REF!</v>
      </c>
      <c r="AG779" s="58" t="e">
        <f t="shared" si="16"/>
        <v>#REF!</v>
      </c>
      <c r="AH779" s="58" t="e">
        <f t="shared" si="17"/>
        <v>#REF!</v>
      </c>
      <c r="AI779" s="50"/>
      <c r="AJ779" s="50"/>
    </row>
    <row r="780" spans="1:36" s="54" customFormat="1" ht="15.75">
      <c r="A780" s="27">
        <v>210000</v>
      </c>
      <c r="B780" s="27">
        <v>210000</v>
      </c>
      <c r="C780" s="112"/>
      <c r="D780" s="112"/>
      <c r="E780" s="112"/>
      <c r="F780" s="112"/>
      <c r="G780" s="112"/>
      <c r="H780" s="112"/>
      <c r="I780" s="100" t="e">
        <f>+#REF!</f>
        <v>#REF!</v>
      </c>
      <c r="J780" s="60">
        <f>+'видатки_затв '!D303</f>
        <v>0</v>
      </c>
      <c r="K780" s="60">
        <f>+'видатки_затв '!E303</f>
        <v>0</v>
      </c>
      <c r="L780" s="60" t="e">
        <f>+'видатки_затв '!#REF!</f>
        <v>#REF!</v>
      </c>
      <c r="M780" s="60">
        <f>+'видатки_затв '!F303</f>
        <v>0</v>
      </c>
      <c r="N780" s="60">
        <f>+'видатки_затв '!G303</f>
        <v>0</v>
      </c>
      <c r="O780" s="60">
        <f>+'видатки_затв '!H303</f>
        <v>0</v>
      </c>
      <c r="P780" s="60">
        <f>+'видатки_затв '!I303</f>
        <v>0</v>
      </c>
      <c r="Q780" s="60">
        <f>+'видатки_затв '!J303</f>
        <v>0</v>
      </c>
      <c r="R780" s="58" t="e">
        <f>+#REF!-#REF!</f>
        <v>#REF!</v>
      </c>
      <c r="S780" s="58" t="e">
        <f>+#REF!-I780</f>
        <v>#REF!</v>
      </c>
      <c r="T780" s="58" t="e">
        <f>+#REF!-J780</f>
        <v>#REF!</v>
      </c>
      <c r="U780" s="58" t="e">
        <f>+#REF!-K780</f>
        <v>#REF!</v>
      </c>
      <c r="V780" s="58" t="e">
        <f>+#REF!-L780</f>
        <v>#REF!</v>
      </c>
      <c r="W780" s="58" t="e">
        <f>+#REF!-M780</f>
        <v>#REF!</v>
      </c>
      <c r="X780" s="58" t="e">
        <f>+#REF!-N780</f>
        <v>#REF!</v>
      </c>
      <c r="Y780" s="58" t="e">
        <f>+#REF!-O780</f>
        <v>#REF!</v>
      </c>
      <c r="Z780" s="58" t="e">
        <f>+#REF!-P780</f>
        <v>#REF!</v>
      </c>
      <c r="AA780" s="58" t="e">
        <f>+#REF!-Q780</f>
        <v>#REF!</v>
      </c>
      <c r="AB780" s="58" t="e">
        <f>+#REF!-R780</f>
        <v>#REF!</v>
      </c>
      <c r="AC780" s="58" t="e">
        <f>+#REF!-S780</f>
        <v>#REF!</v>
      </c>
      <c r="AD780" s="58" t="e">
        <f t="shared" si="13"/>
        <v>#REF!</v>
      </c>
      <c r="AE780" s="58" t="e">
        <f t="shared" si="14"/>
        <v>#REF!</v>
      </c>
      <c r="AF780" s="58" t="e">
        <f t="shared" si="15"/>
        <v>#REF!</v>
      </c>
      <c r="AG780" s="58" t="e">
        <f t="shared" si="16"/>
        <v>#REF!</v>
      </c>
      <c r="AH780" s="58" t="e">
        <f t="shared" si="17"/>
        <v>#REF!</v>
      </c>
      <c r="AI780" s="50"/>
      <c r="AJ780" s="50"/>
    </row>
    <row r="781" spans="1:36" s="54" customFormat="1" ht="15.75">
      <c r="A781" s="27">
        <v>250404</v>
      </c>
      <c r="B781" s="27">
        <v>250404</v>
      </c>
      <c r="C781" s="150"/>
      <c r="D781" s="150"/>
      <c r="E781" s="150"/>
      <c r="F781" s="150"/>
      <c r="G781" s="150"/>
      <c r="H781" s="150"/>
      <c r="I781" s="100" t="e">
        <f>+#REF!</f>
        <v>#REF!</v>
      </c>
      <c r="J781" s="60">
        <f>+'видатки_затв '!D325</f>
        <v>0</v>
      </c>
      <c r="K781" s="60">
        <f>+'видатки_затв '!E325</f>
        <v>0</v>
      </c>
      <c r="L781" s="60" t="e">
        <f>+'видатки_затв '!#REF!</f>
        <v>#REF!</v>
      </c>
      <c r="M781" s="60">
        <f>+'видатки_затв '!F325</f>
        <v>-147800</v>
      </c>
      <c r="N781" s="60">
        <f>+'видатки_затв '!G325</f>
        <v>0</v>
      </c>
      <c r="O781" s="60">
        <f>+'видатки_затв '!H325</f>
        <v>0</v>
      </c>
      <c r="P781" s="60">
        <f>+'видатки_затв '!I325</f>
        <v>0</v>
      </c>
      <c r="Q781" s="60">
        <f>+'видатки_затв '!J325</f>
        <v>-147800</v>
      </c>
      <c r="R781" s="58" t="e">
        <f>+#REF!-#REF!</f>
        <v>#REF!</v>
      </c>
      <c r="S781" s="58" t="e">
        <f>+#REF!-I781</f>
        <v>#REF!</v>
      </c>
      <c r="T781" s="58" t="e">
        <f>+#REF!-J781</f>
        <v>#REF!</v>
      </c>
      <c r="U781" s="58" t="e">
        <f>+#REF!-K781</f>
        <v>#REF!</v>
      </c>
      <c r="V781" s="58" t="e">
        <f>+#REF!-L781</f>
        <v>#REF!</v>
      </c>
      <c r="W781" s="58" t="e">
        <f>+#REF!-M781</f>
        <v>#REF!</v>
      </c>
      <c r="X781" s="58" t="e">
        <f>+#REF!-N781</f>
        <v>#REF!</v>
      </c>
      <c r="Y781" s="58" t="e">
        <f>+#REF!-O781</f>
        <v>#REF!</v>
      </c>
      <c r="Z781" s="58" t="e">
        <f>+#REF!-P781</f>
        <v>#REF!</v>
      </c>
      <c r="AA781" s="58" t="e">
        <f>+#REF!-Q781</f>
        <v>#REF!</v>
      </c>
      <c r="AB781" s="58" t="e">
        <f>+#REF!-R781</f>
        <v>#REF!</v>
      </c>
      <c r="AC781" s="58" t="e">
        <f>+#REF!-S781</f>
        <v>#REF!</v>
      </c>
      <c r="AD781" s="58" t="e">
        <f t="shared" si="13"/>
        <v>#REF!</v>
      </c>
      <c r="AE781" s="58" t="e">
        <f t="shared" si="14"/>
        <v>#REF!</v>
      </c>
      <c r="AF781" s="58" t="e">
        <f t="shared" si="15"/>
        <v>#REF!</v>
      </c>
      <c r="AG781" s="58" t="e">
        <f t="shared" si="16"/>
        <v>#REF!</v>
      </c>
      <c r="AH781" s="58" t="e">
        <f t="shared" si="17"/>
        <v>#REF!</v>
      </c>
      <c r="AI781" s="50"/>
      <c r="AJ781" s="50"/>
    </row>
    <row r="782" spans="1:36" ht="15.75">
      <c r="A782" s="27">
        <v>250102</v>
      </c>
      <c r="B782" s="27">
        <v>250102</v>
      </c>
      <c r="C782" s="112"/>
      <c r="D782" s="112"/>
      <c r="E782" s="112"/>
      <c r="F782" s="112"/>
      <c r="G782" s="112"/>
      <c r="H782" s="112"/>
      <c r="I782" s="100" t="e">
        <f>+#REF!</f>
        <v>#REF!</v>
      </c>
      <c r="J782" s="146">
        <f>+'видатки_затв '!D322</f>
        <v>0</v>
      </c>
      <c r="K782" s="146">
        <f>+'видатки_затв '!E322</f>
        <v>0</v>
      </c>
      <c r="L782" s="146" t="e">
        <f>+'видатки_затв '!#REF!</f>
        <v>#REF!</v>
      </c>
      <c r="M782" s="146">
        <f>+'видатки_затв '!F322</f>
        <v>0</v>
      </c>
      <c r="N782" s="146">
        <f>+'видатки_затв '!G322</f>
        <v>0</v>
      </c>
      <c r="O782" s="146">
        <f>+'видатки_затв '!H322</f>
        <v>0</v>
      </c>
      <c r="P782" s="146">
        <f>+'видатки_затв '!I322</f>
        <v>0</v>
      </c>
      <c r="Q782" s="146">
        <f>+'видатки_затв '!J322</f>
        <v>0</v>
      </c>
      <c r="R782" s="29" t="e">
        <f>+#REF!-#REF!</f>
        <v>#REF!</v>
      </c>
      <c r="S782" s="29" t="e">
        <f>+#REF!-I782</f>
        <v>#REF!</v>
      </c>
      <c r="T782" s="29" t="e">
        <f>+#REF!-J782</f>
        <v>#REF!</v>
      </c>
      <c r="U782" s="29" t="e">
        <f>+#REF!-K782</f>
        <v>#REF!</v>
      </c>
      <c r="V782" s="29" t="e">
        <f>+#REF!-L782</f>
        <v>#REF!</v>
      </c>
      <c r="W782" s="29" t="e">
        <f>+#REF!-M782</f>
        <v>#REF!</v>
      </c>
      <c r="X782" s="29" t="e">
        <f>+#REF!-N782</f>
        <v>#REF!</v>
      </c>
      <c r="Y782" s="29" t="e">
        <f>+#REF!-O782</f>
        <v>#REF!</v>
      </c>
      <c r="Z782" s="29" t="e">
        <f>+#REF!-P782</f>
        <v>#REF!</v>
      </c>
      <c r="AA782" s="29" t="e">
        <f>+#REF!-Q782</f>
        <v>#REF!</v>
      </c>
      <c r="AB782" s="29" t="e">
        <f>+#REF!-R782</f>
        <v>#REF!</v>
      </c>
      <c r="AC782" s="29" t="e">
        <f>+#REF!-S782</f>
        <v>#REF!</v>
      </c>
      <c r="AD782" s="29" t="e">
        <f t="shared" si="13"/>
        <v>#REF!</v>
      </c>
      <c r="AE782" s="29" t="e">
        <f t="shared" si="14"/>
        <v>#REF!</v>
      </c>
      <c r="AF782" s="29" t="e">
        <f t="shared" si="15"/>
        <v>#REF!</v>
      </c>
      <c r="AG782" s="29" t="e">
        <f t="shared" si="16"/>
        <v>#REF!</v>
      </c>
      <c r="AH782" s="29" t="e">
        <f t="shared" si="17"/>
        <v>#REF!</v>
      </c>
      <c r="AI782" s="28"/>
    </row>
    <row r="783" spans="1:36" s="54" customFormat="1" ht="15.75">
      <c r="A783" s="27">
        <v>250300</v>
      </c>
      <c r="B783" s="27">
        <v>250300</v>
      </c>
      <c r="C783" s="150"/>
      <c r="D783" s="150"/>
      <c r="E783" s="150"/>
      <c r="F783" s="150"/>
      <c r="G783" s="150"/>
      <c r="H783" s="150"/>
      <c r="I783" s="162" t="e">
        <f>+#REF!</f>
        <v>#REF!</v>
      </c>
      <c r="J783" s="60">
        <f>+'видатки_затв '!D353+'видатки_затв '!D418</f>
        <v>0</v>
      </c>
      <c r="K783" s="60">
        <f>+'видатки_затв '!E353+'видатки_затв '!E418</f>
        <v>0</v>
      </c>
      <c r="L783" s="60" t="e">
        <f>+'видатки_затв '!#REF!+'видатки_затв '!#REF!</f>
        <v>#REF!</v>
      </c>
      <c r="M783" s="60">
        <f>+'видатки_затв '!F353+'видатки_затв '!F418</f>
        <v>0</v>
      </c>
      <c r="N783" s="60">
        <f>+'видатки_затв '!G353+'видатки_затв '!G418</f>
        <v>0</v>
      </c>
      <c r="O783" s="60">
        <f>+'видатки_затв '!H353+'видатки_затв '!H418</f>
        <v>0</v>
      </c>
      <c r="P783" s="60">
        <f>+'видатки_затв '!I353+'видатки_затв '!I418</f>
        <v>0</v>
      </c>
      <c r="Q783" s="60">
        <f>+'видатки_затв '!J353+'видатки_затв '!J418</f>
        <v>0</v>
      </c>
      <c r="R783" s="58" t="e">
        <f>+#REF!-#REF!</f>
        <v>#REF!</v>
      </c>
      <c r="S783" s="58" t="e">
        <f>+#REF!-I783</f>
        <v>#REF!</v>
      </c>
      <c r="T783" s="58" t="e">
        <f>+#REF!-J783</f>
        <v>#REF!</v>
      </c>
      <c r="U783" s="58" t="e">
        <f>+#REF!-K783</f>
        <v>#REF!</v>
      </c>
      <c r="V783" s="58" t="e">
        <f>+#REF!-L783</f>
        <v>#REF!</v>
      </c>
      <c r="W783" s="58" t="e">
        <f>+#REF!-M783</f>
        <v>#REF!</v>
      </c>
      <c r="X783" s="58" t="e">
        <f>+#REF!-N783</f>
        <v>#REF!</v>
      </c>
      <c r="Y783" s="58" t="e">
        <f>+#REF!-O783</f>
        <v>#REF!</v>
      </c>
      <c r="Z783" s="58" t="e">
        <f>+#REF!-P783</f>
        <v>#REF!</v>
      </c>
      <c r="AA783" s="58" t="e">
        <f>+#REF!-Q783</f>
        <v>#REF!</v>
      </c>
      <c r="AB783" s="58" t="e">
        <f>+#REF!-R783</f>
        <v>#REF!</v>
      </c>
      <c r="AC783" s="58" t="e">
        <f>+#REF!-S783</f>
        <v>#REF!</v>
      </c>
      <c r="AD783" s="58" t="e">
        <f t="shared" si="13"/>
        <v>#REF!</v>
      </c>
      <c r="AE783" s="58" t="e">
        <f t="shared" si="14"/>
        <v>#REF!</v>
      </c>
      <c r="AF783" s="58" t="e">
        <f t="shared" si="15"/>
        <v>#REF!</v>
      </c>
      <c r="AG783" s="58" t="e">
        <f t="shared" si="16"/>
        <v>#REF!</v>
      </c>
      <c r="AH783" s="58" t="e">
        <f t="shared" si="17"/>
        <v>#REF!</v>
      </c>
      <c r="AI783" s="50"/>
      <c r="AJ783" s="50"/>
    </row>
    <row r="784" spans="1:36" ht="15.75">
      <c r="A784" s="27">
        <v>250904</v>
      </c>
      <c r="B784" s="27">
        <v>250904</v>
      </c>
      <c r="C784" s="112"/>
      <c r="D784" s="112"/>
      <c r="E784" s="112"/>
      <c r="F784" s="112"/>
      <c r="G784" s="112"/>
      <c r="H784" s="112"/>
      <c r="I784" s="162" t="e">
        <f>+#REF!</f>
        <v>#REF!</v>
      </c>
      <c r="J784" s="146">
        <f>+'видатки_затв '!D330</f>
        <v>0</v>
      </c>
      <c r="K784" s="146">
        <f>+'видатки_затв '!E330</f>
        <v>0</v>
      </c>
      <c r="L784" s="146" t="e">
        <f>+'видатки_затв '!#REF!</f>
        <v>#REF!</v>
      </c>
      <c r="M784" s="146">
        <f>+'видатки_затв '!F330</f>
        <v>0</v>
      </c>
      <c r="N784" s="146">
        <f>+'видатки_затв '!G330</f>
        <v>0</v>
      </c>
      <c r="O784" s="146">
        <f>+'видатки_затв '!H330</f>
        <v>0</v>
      </c>
      <c r="P784" s="146">
        <f>+'видатки_затв '!I330</f>
        <v>0</v>
      </c>
      <c r="Q784" s="146">
        <f>+'видатки_затв '!J330</f>
        <v>0</v>
      </c>
      <c r="R784" s="29" t="e">
        <f>+#REF!-#REF!</f>
        <v>#REF!</v>
      </c>
      <c r="S784" s="29" t="e">
        <f>+#REF!-I784</f>
        <v>#REF!</v>
      </c>
      <c r="T784" s="29" t="e">
        <f>+#REF!-J784</f>
        <v>#REF!</v>
      </c>
      <c r="U784" s="29" t="e">
        <f>+#REF!-K784</f>
        <v>#REF!</v>
      </c>
      <c r="V784" s="29" t="e">
        <f>+#REF!-L784</f>
        <v>#REF!</v>
      </c>
      <c r="W784" s="29" t="e">
        <f>+#REF!-M784</f>
        <v>#REF!</v>
      </c>
      <c r="X784" s="29" t="e">
        <f>+#REF!-N784</f>
        <v>#REF!</v>
      </c>
      <c r="Y784" s="29" t="e">
        <f>+#REF!-O784</f>
        <v>#REF!</v>
      </c>
      <c r="Z784" s="29" t="e">
        <f>+#REF!-P784</f>
        <v>#REF!</v>
      </c>
      <c r="AA784" s="29" t="e">
        <f>+#REF!-Q784</f>
        <v>#REF!</v>
      </c>
      <c r="AB784" s="29" t="e">
        <f>+#REF!-R784</f>
        <v>#REF!</v>
      </c>
      <c r="AC784" s="29" t="e">
        <f>+#REF!-S784</f>
        <v>#REF!</v>
      </c>
      <c r="AD784" s="29" t="e">
        <f t="shared" si="13"/>
        <v>#REF!</v>
      </c>
      <c r="AE784" s="29" t="e">
        <f t="shared" si="14"/>
        <v>#REF!</v>
      </c>
      <c r="AF784" s="29" t="e">
        <f t="shared" si="15"/>
        <v>#REF!</v>
      </c>
      <c r="AG784" s="29" t="e">
        <f t="shared" si="16"/>
        <v>#REF!</v>
      </c>
      <c r="AH784" s="29" t="e">
        <f t="shared" si="17"/>
        <v>#REF!</v>
      </c>
      <c r="AI784" s="28"/>
    </row>
    <row r="785" spans="1:36" s="54" customFormat="1" ht="15.75">
      <c r="A785" s="27" t="s">
        <v>452</v>
      </c>
      <c r="B785" s="27" t="s">
        <v>452</v>
      </c>
      <c r="C785" s="149"/>
      <c r="D785" s="149"/>
      <c r="E785" s="149"/>
      <c r="F785" s="149"/>
      <c r="G785" s="149"/>
      <c r="H785" s="149"/>
      <c r="I785" s="162" t="e">
        <f>+#REF!</f>
        <v>#REF!</v>
      </c>
      <c r="J785" s="63">
        <f t="shared" ref="J785:AC785" si="18">SUBTOTAL(9,J765:J784)</f>
        <v>349493900</v>
      </c>
      <c r="K785" s="63">
        <f t="shared" si="18"/>
        <v>60858200</v>
      </c>
      <c r="L785" s="63" t="e">
        <f t="shared" si="18"/>
        <v>#REF!</v>
      </c>
      <c r="M785" s="63">
        <f t="shared" si="18"/>
        <v>148700100</v>
      </c>
      <c r="N785" s="63">
        <f t="shared" si="18"/>
        <v>73537400</v>
      </c>
      <c r="O785" s="63">
        <f t="shared" si="18"/>
        <v>4894600</v>
      </c>
      <c r="P785" s="63">
        <f t="shared" si="18"/>
        <v>2681000</v>
      </c>
      <c r="Q785" s="63">
        <f t="shared" si="18"/>
        <v>75162700</v>
      </c>
      <c r="R785" s="63" t="e">
        <f t="shared" si="18"/>
        <v>#REF!</v>
      </c>
      <c r="S785" s="63" t="e">
        <f t="shared" si="18"/>
        <v>#REF!</v>
      </c>
      <c r="T785" s="63" t="e">
        <f t="shared" si="18"/>
        <v>#REF!</v>
      </c>
      <c r="U785" s="63" t="e">
        <f t="shared" si="18"/>
        <v>#REF!</v>
      </c>
      <c r="V785" s="63" t="e">
        <f t="shared" si="18"/>
        <v>#REF!</v>
      </c>
      <c r="W785" s="63" t="e">
        <f t="shared" si="18"/>
        <v>#REF!</v>
      </c>
      <c r="X785" s="63" t="e">
        <f t="shared" si="18"/>
        <v>#REF!</v>
      </c>
      <c r="Y785" s="63" t="e">
        <f t="shared" si="18"/>
        <v>#REF!</v>
      </c>
      <c r="Z785" s="63" t="e">
        <f t="shared" si="18"/>
        <v>#REF!</v>
      </c>
      <c r="AA785" s="63" t="e">
        <f t="shared" si="18"/>
        <v>#REF!</v>
      </c>
      <c r="AB785" s="63" t="e">
        <f t="shared" si="18"/>
        <v>#REF!</v>
      </c>
      <c r="AC785" s="63" t="e">
        <f t="shared" si="18"/>
        <v>#REF!</v>
      </c>
      <c r="AD785" s="58" t="e">
        <f>+I785-T785</f>
        <v>#REF!</v>
      </c>
      <c r="AE785" s="58" t="e">
        <f>+J785-U785</f>
        <v>#REF!</v>
      </c>
      <c r="AF785" s="58" t="e">
        <f>+K785-V785</f>
        <v>#REF!</v>
      </c>
      <c r="AG785" s="58" t="e">
        <f>+L785-W785</f>
        <v>#REF!</v>
      </c>
      <c r="AH785" s="58" t="e">
        <f>+M785-X785</f>
        <v>#REF!</v>
      </c>
      <c r="AI785" s="50"/>
      <c r="AJ785" s="50"/>
    </row>
    <row r="786" spans="1:36" s="54" customFormat="1" ht="15.75">
      <c r="A786" s="28"/>
      <c r="B786" s="28"/>
      <c r="C786" s="112"/>
      <c r="D786" s="112"/>
      <c r="E786" s="112"/>
      <c r="F786" s="112"/>
      <c r="G786" s="112"/>
      <c r="H786" s="112"/>
      <c r="I786" s="162" t="e">
        <f>+#REF!</f>
        <v>#REF!</v>
      </c>
      <c r="J786" s="64" t="s">
        <v>1292</v>
      </c>
      <c r="K786" s="66"/>
      <c r="L786" s="66"/>
      <c r="M786" s="66"/>
      <c r="N786" s="66"/>
      <c r="O786" s="66"/>
      <c r="P786" s="66"/>
      <c r="Q786" s="66"/>
      <c r="R786" s="66"/>
      <c r="S786" s="64"/>
      <c r="T786" s="65"/>
      <c r="U786" s="64"/>
      <c r="V786" s="65"/>
      <c r="W786" s="64"/>
      <c r="X786" s="65"/>
      <c r="Y786" s="64"/>
      <c r="Z786" s="65"/>
      <c r="AA786" s="64"/>
      <c r="AB786" s="50"/>
      <c r="AC786" s="50"/>
      <c r="AD786" s="50"/>
      <c r="AE786" s="50"/>
      <c r="AF786" s="50"/>
      <c r="AG786" s="50"/>
      <c r="AH786" s="50"/>
      <c r="AI786" s="50"/>
      <c r="AJ786" s="50"/>
    </row>
    <row r="787" spans="1:36" s="54" customFormat="1">
      <c r="A787" s="28"/>
      <c r="B787" s="28"/>
      <c r="C787" s="150" t="e">
        <f>+#REF!-#REF!</f>
        <v>#REF!</v>
      </c>
      <c r="D787" s="150"/>
      <c r="E787" s="150"/>
      <c r="F787" s="150"/>
      <c r="G787" s="150"/>
      <c r="H787" s="150"/>
      <c r="I787" s="100" t="e">
        <f>+#REF!</f>
        <v>#REF!</v>
      </c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1"/>
      <c r="U787" s="66"/>
      <c r="V787" s="61"/>
      <c r="W787" s="66"/>
      <c r="X787" s="61"/>
      <c r="Y787" s="66"/>
      <c r="Z787" s="61"/>
      <c r="AA787" s="66"/>
      <c r="AB787" s="50"/>
      <c r="AC787" s="50"/>
      <c r="AD787" s="50"/>
      <c r="AE787" s="50"/>
      <c r="AF787" s="50"/>
      <c r="AG787" s="50"/>
      <c r="AH787" s="50"/>
      <c r="AI787" s="50"/>
      <c r="AJ787" s="50"/>
    </row>
    <row r="788" spans="1:36" s="62" customFormat="1">
      <c r="A788" s="156"/>
      <c r="B788" s="156"/>
      <c r="C788" s="157" t="e">
        <f>+C787-1900</f>
        <v>#REF!</v>
      </c>
      <c r="D788" s="157"/>
      <c r="E788" s="157"/>
      <c r="F788" s="157"/>
      <c r="G788" s="157"/>
      <c r="H788" s="157"/>
      <c r="I788" s="162" t="e">
        <f>+#REF!</f>
        <v>#REF!</v>
      </c>
      <c r="J788" s="67">
        <v>1000</v>
      </c>
      <c r="K788" s="67">
        <v>1110</v>
      </c>
      <c r="L788" s="67">
        <v>1110</v>
      </c>
      <c r="M788" s="67">
        <v>1160</v>
      </c>
      <c r="N788" s="67">
        <v>1160</v>
      </c>
      <c r="O788" s="67">
        <v>2000</v>
      </c>
      <c r="P788" s="67">
        <v>2000</v>
      </c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 spans="1:36" s="59" customFormat="1" ht="15.75">
      <c r="A789" s="27"/>
      <c r="B789" s="27"/>
      <c r="C789" s="160"/>
      <c r="D789" s="160"/>
      <c r="E789" s="160"/>
      <c r="F789" s="160"/>
      <c r="G789" s="160"/>
      <c r="H789" s="160"/>
      <c r="I789" s="162" t="e">
        <f>+#REF!</f>
        <v>#REF!</v>
      </c>
      <c r="J789" s="68">
        <f t="shared" ref="J789:Q789" si="19">+J787-J785</f>
        <v>-349493900</v>
      </c>
      <c r="K789" s="68">
        <f t="shared" si="19"/>
        <v>-60858200</v>
      </c>
      <c r="L789" s="68" t="e">
        <f t="shared" si="19"/>
        <v>#REF!</v>
      </c>
      <c r="M789" s="68">
        <f t="shared" si="19"/>
        <v>-148700100</v>
      </c>
      <c r="N789" s="68">
        <f t="shared" si="19"/>
        <v>-73537400</v>
      </c>
      <c r="O789" s="68">
        <f t="shared" si="19"/>
        <v>-4894600</v>
      </c>
      <c r="P789" s="68">
        <f t="shared" si="19"/>
        <v>-2681000</v>
      </c>
      <c r="Q789" s="68">
        <f t="shared" si="19"/>
        <v>-75162700</v>
      </c>
      <c r="R789" s="68"/>
      <c r="S789" s="68"/>
      <c r="T789" s="68"/>
      <c r="U789" s="68"/>
      <c r="V789" s="68"/>
      <c r="W789" s="68"/>
      <c r="X789" s="68"/>
      <c r="Y789" s="68"/>
      <c r="Z789" s="68"/>
      <c r="AA789" s="68"/>
    </row>
    <row r="790" spans="1:36" s="54" customFormat="1">
      <c r="A790" s="28"/>
      <c r="B790" s="28"/>
      <c r="C790" s="112"/>
      <c r="D790" s="112"/>
      <c r="E790" s="112"/>
      <c r="F790" s="112"/>
      <c r="G790" s="112"/>
      <c r="H790" s="112"/>
      <c r="I790" s="100" t="e">
        <f>+#REF!</f>
        <v>#REF!</v>
      </c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</row>
    <row r="791" spans="1:36" s="54" customFormat="1">
      <c r="A791" s="28"/>
      <c r="B791" s="28"/>
      <c r="C791" s="112"/>
      <c r="D791" s="112"/>
      <c r="E791" s="112"/>
      <c r="F791" s="112"/>
      <c r="G791" s="112"/>
      <c r="H791" s="112"/>
      <c r="I791" s="100" t="e">
        <f>+#REF!</f>
        <v>#REF!</v>
      </c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</row>
    <row r="792" spans="1:36" s="54" customFormat="1">
      <c r="A792" s="28"/>
      <c r="B792" s="28"/>
      <c r="C792" s="112"/>
      <c r="D792" s="112"/>
      <c r="E792" s="112"/>
      <c r="F792" s="112"/>
      <c r="G792" s="112"/>
      <c r="H792" s="112"/>
      <c r="I792" s="100" t="e">
        <f>+#REF!</f>
        <v>#REF!</v>
      </c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</row>
    <row r="793" spans="1:36" s="54" customFormat="1">
      <c r="A793" s="28"/>
      <c r="B793" s="28"/>
      <c r="C793" s="112"/>
      <c r="D793" s="112"/>
      <c r="E793" s="112"/>
      <c r="F793" s="112"/>
      <c r="G793" s="112"/>
      <c r="H793" s="112"/>
      <c r="I793" s="100" t="e">
        <f>+#REF!</f>
        <v>#REF!</v>
      </c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</row>
    <row r="794" spans="1:36" s="54" customFormat="1">
      <c r="A794" s="28"/>
      <c r="B794" s="28"/>
      <c r="C794" s="112"/>
      <c r="D794" s="112"/>
      <c r="E794" s="112"/>
      <c r="F794" s="112"/>
      <c r="G794" s="112"/>
      <c r="H794" s="112"/>
      <c r="I794" s="100" t="e">
        <f>+#REF!</f>
        <v>#REF!</v>
      </c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</row>
    <row r="795" spans="1:36" s="54" customFormat="1">
      <c r="A795" s="28"/>
      <c r="B795" s="28"/>
      <c r="C795" s="112"/>
      <c r="D795" s="112"/>
      <c r="E795" s="112"/>
      <c r="F795" s="112"/>
      <c r="G795" s="112"/>
      <c r="H795" s="112"/>
      <c r="I795" s="100" t="e">
        <f>+#REF!</f>
        <v>#REF!</v>
      </c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</row>
    <row r="796" spans="1:36" s="50" customFormat="1">
      <c r="A796" s="28"/>
      <c r="B796" s="28"/>
      <c r="C796" s="112"/>
      <c r="D796" s="112"/>
      <c r="E796" s="112"/>
      <c r="F796" s="112"/>
      <c r="G796" s="112"/>
      <c r="H796" s="112"/>
      <c r="I796" s="100" t="e">
        <f>+#REF!</f>
        <v>#REF!</v>
      </c>
    </row>
    <row r="797" spans="1:36" s="50" customFormat="1">
      <c r="A797" s="28"/>
      <c r="B797" s="28"/>
      <c r="C797" s="112"/>
      <c r="D797" s="112"/>
      <c r="E797" s="112"/>
      <c r="F797" s="112"/>
      <c r="G797" s="112"/>
      <c r="H797" s="112"/>
      <c r="I797" s="100" t="e">
        <f>+#REF!</f>
        <v>#REF!</v>
      </c>
    </row>
    <row r="798" spans="1:36" s="50" customFormat="1">
      <c r="A798" s="28"/>
      <c r="B798" s="28"/>
      <c r="C798" s="112"/>
      <c r="D798" s="112"/>
      <c r="E798" s="112"/>
      <c r="F798" s="112"/>
      <c r="G798" s="112"/>
      <c r="H798" s="112"/>
      <c r="I798" s="100" t="e">
        <f>+#REF!</f>
        <v>#REF!</v>
      </c>
    </row>
    <row r="799" spans="1:36" s="50" customFormat="1">
      <c r="A799" s="28"/>
      <c r="B799" s="28"/>
      <c r="C799" s="112"/>
      <c r="D799" s="112"/>
      <c r="E799" s="112"/>
      <c r="F799" s="112"/>
      <c r="G799" s="112"/>
      <c r="H799" s="112"/>
      <c r="I799" s="100" t="e">
        <f>+#REF!</f>
        <v>#REF!</v>
      </c>
    </row>
    <row r="800" spans="1:36" s="50" customFormat="1">
      <c r="A800" s="28"/>
      <c r="B800" s="28"/>
      <c r="C800" s="112"/>
      <c r="D800" s="112"/>
      <c r="E800" s="112"/>
      <c r="F800" s="112"/>
      <c r="G800" s="112"/>
      <c r="H800" s="112"/>
      <c r="I800" s="100" t="e">
        <f>+#REF!</f>
        <v>#REF!</v>
      </c>
    </row>
    <row r="801" spans="1:58" s="50" customFormat="1">
      <c r="A801" s="28"/>
      <c r="B801" s="28"/>
      <c r="C801" s="112"/>
      <c r="D801" s="112"/>
      <c r="E801" s="112"/>
      <c r="F801" s="112"/>
      <c r="G801" s="112"/>
      <c r="H801" s="112"/>
      <c r="I801" s="100" t="e">
        <f>+#REF!</f>
        <v>#REF!</v>
      </c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</row>
    <row r="802" spans="1:58" s="50" customFormat="1">
      <c r="A802" s="28"/>
      <c r="B802" s="28"/>
      <c r="C802" s="112"/>
      <c r="D802" s="112"/>
      <c r="E802" s="112"/>
      <c r="F802" s="112"/>
      <c r="G802" s="112"/>
      <c r="H802" s="112"/>
      <c r="I802" s="100" t="e">
        <f>+#REF!</f>
        <v>#REF!</v>
      </c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</row>
    <row r="803" spans="1:58" s="50" customFormat="1">
      <c r="A803" s="28"/>
      <c r="B803" s="28"/>
      <c r="C803" s="112"/>
      <c r="D803" s="112"/>
      <c r="E803" s="112"/>
      <c r="F803" s="112"/>
      <c r="G803" s="112"/>
      <c r="H803" s="112"/>
      <c r="I803" s="100" t="e">
        <f>+#REF!</f>
        <v>#REF!</v>
      </c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</row>
    <row r="804" spans="1:58" s="50" customFormat="1">
      <c r="A804" s="28"/>
      <c r="B804" s="28"/>
      <c r="C804" s="112"/>
      <c r="D804" s="112"/>
      <c r="E804" s="112"/>
      <c r="F804" s="112"/>
      <c r="G804" s="112"/>
      <c r="H804" s="112"/>
      <c r="I804" s="100" t="e">
        <f>+#REF!</f>
        <v>#REF!</v>
      </c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</row>
    <row r="805" spans="1:58" s="50" customFormat="1">
      <c r="A805" s="28"/>
      <c r="B805" s="28"/>
      <c r="C805" s="112"/>
      <c r="D805" s="112"/>
      <c r="E805" s="112"/>
      <c r="F805" s="112"/>
      <c r="G805" s="112"/>
      <c r="H805" s="112"/>
      <c r="I805" s="100" t="e">
        <f>+#REF!</f>
        <v>#REF!</v>
      </c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</row>
    <row r="806" spans="1:58" s="50" customFormat="1">
      <c r="A806" s="28"/>
      <c r="B806" s="28"/>
      <c r="C806" s="112"/>
      <c r="D806" s="112"/>
      <c r="E806" s="112"/>
      <c r="F806" s="112"/>
      <c r="G806" s="112"/>
      <c r="H806" s="112"/>
      <c r="I806" s="100" t="e">
        <f>+#REF!</f>
        <v>#REF!</v>
      </c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</row>
    <row r="807" spans="1:58" s="50" customFormat="1">
      <c r="A807" s="28"/>
      <c r="B807" s="28"/>
      <c r="C807" s="112"/>
      <c r="D807" s="112"/>
      <c r="E807" s="112"/>
      <c r="F807" s="112"/>
      <c r="G807" s="112"/>
      <c r="H807" s="112"/>
      <c r="I807" s="100" t="e">
        <f>+#REF!</f>
        <v>#REF!</v>
      </c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</row>
    <row r="808" spans="1:58" s="50" customFormat="1">
      <c r="A808" s="28"/>
      <c r="B808" s="28"/>
      <c r="C808" s="112"/>
      <c r="D808" s="112"/>
      <c r="E808" s="112"/>
      <c r="F808" s="112"/>
      <c r="G808" s="112"/>
      <c r="H808" s="112"/>
      <c r="I808" s="100" t="e">
        <f>+#REF!</f>
        <v>#REF!</v>
      </c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</row>
    <row r="809" spans="1:58" s="50" customFormat="1">
      <c r="A809" s="28"/>
      <c r="B809" s="28"/>
      <c r="C809" s="112"/>
      <c r="D809" s="112"/>
      <c r="E809" s="112"/>
      <c r="F809" s="112"/>
      <c r="G809" s="112"/>
      <c r="H809" s="112"/>
      <c r="I809" s="100" t="e">
        <f>+#REF!</f>
        <v>#REF!</v>
      </c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</row>
    <row r="810" spans="1:58" s="50" customFormat="1">
      <c r="A810" s="28"/>
      <c r="B810" s="28"/>
      <c r="C810" s="112"/>
      <c r="D810" s="112"/>
      <c r="E810" s="112"/>
      <c r="F810" s="112"/>
      <c r="G810" s="112"/>
      <c r="H810" s="112"/>
      <c r="I810" s="100" t="e">
        <f>+#REF!</f>
        <v>#REF!</v>
      </c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</row>
    <row r="811" spans="1:58" s="50" customFormat="1">
      <c r="A811" s="28"/>
      <c r="B811" s="28"/>
      <c r="C811" s="112"/>
      <c r="D811" s="112"/>
      <c r="E811" s="112"/>
      <c r="F811" s="112"/>
      <c r="G811" s="112"/>
      <c r="H811" s="112"/>
      <c r="I811" s="100" t="e">
        <f>+#REF!</f>
        <v>#REF!</v>
      </c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</row>
    <row r="812" spans="1:58" s="50" customFormat="1">
      <c r="A812" s="28"/>
      <c r="B812" s="28"/>
      <c r="C812" s="112"/>
      <c r="D812" s="112"/>
      <c r="E812" s="112"/>
      <c r="F812" s="112"/>
      <c r="G812" s="112"/>
      <c r="H812" s="112"/>
      <c r="I812" s="100" t="e">
        <f>+#REF!</f>
        <v>#REF!</v>
      </c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</row>
    <row r="813" spans="1:58" s="50" customFormat="1">
      <c r="A813" s="28"/>
      <c r="B813" s="28"/>
      <c r="C813" s="112"/>
      <c r="D813" s="112"/>
      <c r="E813" s="112"/>
      <c r="F813" s="112"/>
      <c r="G813" s="112"/>
      <c r="H813" s="112"/>
      <c r="I813" s="100" t="e">
        <f>+#REF!</f>
        <v>#REF!</v>
      </c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</row>
    <row r="814" spans="1:58" s="50" customFormat="1">
      <c r="A814" s="28"/>
      <c r="B814" s="28"/>
      <c r="C814" s="112"/>
      <c r="D814" s="112"/>
      <c r="E814" s="112"/>
      <c r="F814" s="112"/>
      <c r="G814" s="112"/>
      <c r="H814" s="112"/>
      <c r="I814" s="100" t="e">
        <f>+#REF!</f>
        <v>#REF!</v>
      </c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</row>
    <row r="815" spans="1:58" s="50" customFormat="1">
      <c r="A815" s="28"/>
      <c r="B815" s="28"/>
      <c r="C815" s="112"/>
      <c r="D815" s="112"/>
      <c r="E815" s="112"/>
      <c r="F815" s="112"/>
      <c r="G815" s="112"/>
      <c r="H815" s="112"/>
      <c r="I815" s="100" t="e">
        <f>+#REF!</f>
        <v>#REF!</v>
      </c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</row>
    <row r="816" spans="1:58" s="50" customFormat="1">
      <c r="A816" s="28"/>
      <c r="B816" s="28"/>
      <c r="C816" s="112"/>
      <c r="D816" s="112"/>
      <c r="E816" s="112"/>
      <c r="F816" s="112"/>
      <c r="G816" s="112"/>
      <c r="H816" s="112"/>
      <c r="I816" s="100" t="e">
        <f>+#REF!</f>
        <v>#REF!</v>
      </c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</row>
    <row r="817" spans="1:36" s="50" customFormat="1">
      <c r="A817" s="28"/>
      <c r="B817" s="28"/>
      <c r="C817" s="112"/>
      <c r="D817" s="112"/>
      <c r="E817" s="112"/>
      <c r="F817" s="112"/>
      <c r="G817" s="112"/>
      <c r="H817" s="112"/>
      <c r="I817" s="100" t="e">
        <f>+#REF!</f>
        <v>#REF!</v>
      </c>
    </row>
    <row r="818" spans="1:36" s="50" customFormat="1">
      <c r="A818" s="28"/>
      <c r="B818" s="28"/>
      <c r="C818" s="112"/>
      <c r="D818" s="112"/>
      <c r="E818" s="112"/>
      <c r="F818" s="112"/>
      <c r="G818" s="112"/>
      <c r="H818" s="112"/>
      <c r="I818" s="100" t="e">
        <f>+#REF!</f>
        <v>#REF!</v>
      </c>
    </row>
    <row r="819" spans="1:36" s="50" customFormat="1">
      <c r="A819" s="28"/>
      <c r="B819" s="28"/>
      <c r="C819" s="112"/>
      <c r="D819" s="112"/>
      <c r="E819" s="112"/>
      <c r="F819" s="112"/>
      <c r="G819" s="112"/>
      <c r="H819" s="112"/>
      <c r="I819" s="100" t="e">
        <f>+#REF!</f>
        <v>#REF!</v>
      </c>
    </row>
    <row r="820" spans="1:36" s="50" customFormat="1">
      <c r="A820" s="28"/>
      <c r="B820" s="28"/>
      <c r="C820" s="112"/>
      <c r="D820" s="112"/>
      <c r="E820" s="112"/>
      <c r="F820" s="112"/>
      <c r="G820" s="112"/>
      <c r="H820" s="112"/>
      <c r="I820" s="100" t="e">
        <f>+#REF!</f>
        <v>#REF!</v>
      </c>
    </row>
    <row r="821" spans="1:36" s="50" customFormat="1">
      <c r="A821" s="28"/>
      <c r="B821" s="28"/>
      <c r="C821" s="112"/>
      <c r="D821" s="112"/>
      <c r="E821" s="112"/>
      <c r="F821" s="112"/>
      <c r="G821" s="112"/>
      <c r="H821" s="112"/>
      <c r="I821" s="100" t="e">
        <f>+#REF!</f>
        <v>#REF!</v>
      </c>
    </row>
    <row r="822" spans="1:36" s="50" customFormat="1">
      <c r="A822" s="28"/>
      <c r="B822" s="28"/>
      <c r="C822" s="112"/>
      <c r="D822" s="112"/>
      <c r="E822" s="112"/>
      <c r="F822" s="112"/>
      <c r="G822" s="112"/>
      <c r="H822" s="112"/>
      <c r="I822" s="100" t="e">
        <f>+#REF!</f>
        <v>#REF!</v>
      </c>
    </row>
    <row r="823" spans="1:36" s="54" customFormat="1">
      <c r="A823" s="2"/>
      <c r="B823" s="2"/>
      <c r="C823" s="111"/>
      <c r="D823" s="111"/>
      <c r="E823" s="111"/>
      <c r="F823" s="111"/>
      <c r="G823" s="111"/>
      <c r="H823" s="111"/>
      <c r="I823" s="100" t="e">
        <f>+#REF!</f>
        <v>#REF!</v>
      </c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</row>
    <row r="824" spans="1:36" s="54" customFormat="1">
      <c r="A824" s="2"/>
      <c r="B824" s="2"/>
      <c r="C824" s="111"/>
      <c r="D824" s="111"/>
      <c r="E824" s="111"/>
      <c r="F824" s="111"/>
      <c r="G824" s="111"/>
      <c r="H824" s="111"/>
      <c r="I824" s="100" t="e">
        <f>+#REF!</f>
        <v>#REF!</v>
      </c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</row>
    <row r="825" spans="1:36" s="54" customFormat="1">
      <c r="A825" s="2"/>
      <c r="B825" s="2"/>
      <c r="C825" s="111"/>
      <c r="D825" s="111"/>
      <c r="E825" s="111"/>
      <c r="F825" s="111"/>
      <c r="G825" s="111"/>
      <c r="H825" s="111"/>
      <c r="I825" s="100" t="e">
        <f>+#REF!</f>
        <v>#REF!</v>
      </c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</row>
    <row r="826" spans="1:36" s="54" customFormat="1">
      <c r="A826" s="2"/>
      <c r="B826" s="2"/>
      <c r="C826" s="111"/>
      <c r="D826" s="111"/>
      <c r="E826" s="111"/>
      <c r="F826" s="111"/>
      <c r="G826" s="111"/>
      <c r="H826" s="111"/>
      <c r="I826" s="100" t="e">
        <f>+#REF!</f>
        <v>#REF!</v>
      </c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</row>
    <row r="827" spans="1:36" s="54" customFormat="1">
      <c r="A827" s="2"/>
      <c r="B827" s="2"/>
      <c r="C827" s="111"/>
      <c r="D827" s="111"/>
      <c r="E827" s="111"/>
      <c r="F827" s="111"/>
      <c r="G827" s="111"/>
      <c r="H827" s="111"/>
      <c r="I827" s="100" t="e">
        <f>+#REF!</f>
        <v>#REF!</v>
      </c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</row>
    <row r="828" spans="1:36" s="54" customFormat="1">
      <c r="A828" s="2"/>
      <c r="B828" s="2"/>
      <c r="C828" s="111"/>
      <c r="D828" s="111"/>
      <c r="E828" s="111"/>
      <c r="F828" s="111"/>
      <c r="G828" s="111"/>
      <c r="H828" s="111"/>
      <c r="I828" s="100" t="e">
        <f>+#REF!</f>
        <v>#REF!</v>
      </c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</row>
    <row r="829" spans="1:36" s="54" customFormat="1">
      <c r="A829" s="2"/>
      <c r="B829" s="2"/>
      <c r="C829" s="111"/>
      <c r="D829" s="111"/>
      <c r="E829" s="111"/>
      <c r="F829" s="111"/>
      <c r="G829" s="111"/>
      <c r="H829" s="111"/>
      <c r="I829" s="100" t="e">
        <f>+#REF!</f>
        <v>#REF!</v>
      </c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</row>
    <row r="830" spans="1:36" s="54" customFormat="1">
      <c r="A830" s="2"/>
      <c r="B830" s="2"/>
      <c r="C830" s="111"/>
      <c r="D830" s="111"/>
      <c r="E830" s="111"/>
      <c r="F830" s="111"/>
      <c r="G830" s="111"/>
      <c r="H830" s="111"/>
      <c r="I830" s="100" t="e">
        <f>+#REF!</f>
        <v>#REF!</v>
      </c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</row>
    <row r="831" spans="1:36" s="54" customFormat="1">
      <c r="A831" s="2"/>
      <c r="B831" s="2"/>
      <c r="C831" s="111"/>
      <c r="D831" s="111"/>
      <c r="E831" s="111"/>
      <c r="F831" s="111"/>
      <c r="G831" s="111"/>
      <c r="H831" s="111"/>
      <c r="I831" s="100" t="e">
        <f>+#REF!</f>
        <v>#REF!</v>
      </c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</row>
    <row r="832" spans="1:36" s="54" customFormat="1">
      <c r="A832" s="2"/>
      <c r="B832" s="2"/>
      <c r="C832" s="111"/>
      <c r="D832" s="111"/>
      <c r="E832" s="111"/>
      <c r="F832" s="111"/>
      <c r="G832" s="111"/>
      <c r="H832" s="111"/>
      <c r="I832" s="100" t="e">
        <f>+#REF!</f>
        <v>#REF!</v>
      </c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</row>
    <row r="833" spans="1:36" s="54" customFormat="1">
      <c r="A833" s="2"/>
      <c r="B833" s="2"/>
      <c r="C833" s="111"/>
      <c r="D833" s="111"/>
      <c r="E833" s="111"/>
      <c r="F833" s="111"/>
      <c r="G833" s="111"/>
      <c r="H833" s="111"/>
      <c r="I833" s="100" t="e">
        <f>+#REF!</f>
        <v>#REF!</v>
      </c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</row>
    <row r="834" spans="1:36" s="54" customFormat="1">
      <c r="A834" s="2"/>
      <c r="B834" s="2"/>
      <c r="C834" s="111"/>
      <c r="D834" s="111"/>
      <c r="E834" s="111"/>
      <c r="F834" s="111"/>
      <c r="G834" s="111"/>
      <c r="H834" s="111"/>
      <c r="I834" s="100" t="e">
        <f>+#REF!</f>
        <v>#REF!</v>
      </c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</row>
    <row r="835" spans="1:36" s="54" customFormat="1">
      <c r="A835" s="2"/>
      <c r="B835" s="2"/>
      <c r="C835" s="111"/>
      <c r="D835" s="111"/>
      <c r="E835" s="111"/>
      <c r="F835" s="111"/>
      <c r="G835" s="111"/>
      <c r="H835" s="111"/>
      <c r="I835" s="100" t="e">
        <f>+#REF!</f>
        <v>#REF!</v>
      </c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</row>
    <row r="836" spans="1:36" s="54" customFormat="1">
      <c r="A836" s="2"/>
      <c r="B836" s="2"/>
      <c r="C836" s="111"/>
      <c r="D836" s="111"/>
      <c r="E836" s="111"/>
      <c r="F836" s="111"/>
      <c r="G836" s="111"/>
      <c r="H836" s="111"/>
      <c r="I836" s="100" t="e">
        <f>+#REF!</f>
        <v>#REF!</v>
      </c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</row>
    <row r="837" spans="1:36" s="54" customFormat="1">
      <c r="A837" s="2"/>
      <c r="B837" s="2"/>
      <c r="C837" s="111"/>
      <c r="D837" s="111"/>
      <c r="E837" s="111"/>
      <c r="F837" s="111"/>
      <c r="G837" s="111"/>
      <c r="H837" s="111"/>
      <c r="I837" s="100" t="e">
        <f>+#REF!</f>
        <v>#REF!</v>
      </c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</row>
    <row r="838" spans="1:36" s="54" customFormat="1">
      <c r="A838" s="2"/>
      <c r="B838" s="2"/>
      <c r="C838" s="111"/>
      <c r="D838" s="111"/>
      <c r="E838" s="111"/>
      <c r="F838" s="111"/>
      <c r="G838" s="111"/>
      <c r="H838" s="111"/>
      <c r="I838" s="100" t="e">
        <f>+#REF!</f>
        <v>#REF!</v>
      </c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</row>
    <row r="839" spans="1:36" s="54" customFormat="1">
      <c r="A839" s="2"/>
      <c r="B839" s="2"/>
      <c r="C839" s="111"/>
      <c r="D839" s="111"/>
      <c r="E839" s="111"/>
      <c r="F839" s="111"/>
      <c r="G839" s="111"/>
      <c r="H839" s="111"/>
      <c r="I839" s="100" t="e">
        <f>+#REF!</f>
        <v>#REF!</v>
      </c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</row>
    <row r="840" spans="1:36" s="54" customFormat="1">
      <c r="A840" s="2"/>
      <c r="B840" s="2"/>
      <c r="C840" s="111"/>
      <c r="D840" s="111"/>
      <c r="E840" s="111"/>
      <c r="F840" s="111"/>
      <c r="G840" s="111"/>
      <c r="H840" s="111"/>
      <c r="I840" s="100" t="e">
        <f>+#REF!</f>
        <v>#REF!</v>
      </c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</row>
    <row r="841" spans="1:36" s="54" customFormat="1">
      <c r="A841" s="2"/>
      <c r="B841" s="2"/>
      <c r="C841" s="111"/>
      <c r="D841" s="111"/>
      <c r="E841" s="111"/>
      <c r="F841" s="111"/>
      <c r="G841" s="111"/>
      <c r="H841" s="111"/>
      <c r="I841" s="100" t="e">
        <f>+#REF!</f>
        <v>#REF!</v>
      </c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</row>
    <row r="842" spans="1:36" s="54" customFormat="1">
      <c r="A842" s="2"/>
      <c r="B842" s="2"/>
      <c r="C842" s="111"/>
      <c r="D842" s="111"/>
      <c r="E842" s="111"/>
      <c r="F842" s="111"/>
      <c r="G842" s="111"/>
      <c r="H842" s="111"/>
      <c r="I842" s="100" t="e">
        <f>+#REF!</f>
        <v>#REF!</v>
      </c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</row>
    <row r="843" spans="1:36" s="48" customFormat="1">
      <c r="A843" s="2"/>
      <c r="B843" s="2"/>
      <c r="C843" s="111"/>
      <c r="D843" s="111"/>
      <c r="E843" s="111"/>
      <c r="F843" s="111"/>
      <c r="G843" s="111"/>
      <c r="H843" s="111"/>
      <c r="I843" s="100" t="e">
        <f>+#REF!</f>
        <v>#REF!</v>
      </c>
      <c r="J843" s="50"/>
      <c r="K843" s="50"/>
      <c r="L843" s="50"/>
      <c r="M843" s="50"/>
      <c r="N843" s="50"/>
      <c r="O843" s="50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</row>
    <row r="844" spans="1:36" s="48" customFormat="1">
      <c r="A844" s="2"/>
      <c r="B844" s="2"/>
      <c r="C844" s="111"/>
      <c r="D844" s="111"/>
      <c r="E844" s="111"/>
      <c r="F844" s="111"/>
      <c r="G844" s="111"/>
      <c r="H844" s="111"/>
      <c r="I844" s="100" t="e">
        <f>+#REF!</f>
        <v>#REF!</v>
      </c>
      <c r="J844" s="50"/>
      <c r="K844" s="50"/>
      <c r="L844" s="50"/>
      <c r="M844" s="50"/>
      <c r="N844" s="50"/>
      <c r="O844" s="50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</row>
    <row r="845" spans="1:36" s="48" customFormat="1">
      <c r="A845" s="2"/>
      <c r="B845" s="2"/>
      <c r="C845" s="111"/>
      <c r="D845" s="111"/>
      <c r="E845" s="111"/>
      <c r="F845" s="111"/>
      <c r="G845" s="111"/>
      <c r="H845" s="111"/>
      <c r="I845" s="100" t="e">
        <f>+#REF!</f>
        <v>#REF!</v>
      </c>
      <c r="J845" s="50"/>
      <c r="K845" s="50"/>
      <c r="L845" s="50"/>
      <c r="M845" s="50"/>
      <c r="N845" s="50"/>
      <c r="O845" s="50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</row>
    <row r="846" spans="1:36" s="48" customFormat="1">
      <c r="A846" s="2"/>
      <c r="B846" s="2"/>
      <c r="C846" s="111"/>
      <c r="D846" s="111"/>
      <c r="E846" s="111"/>
      <c r="F846" s="111"/>
      <c r="G846" s="111"/>
      <c r="H846" s="111"/>
      <c r="I846" s="100" t="e">
        <f>+#REF!</f>
        <v>#REF!</v>
      </c>
      <c r="J846" s="50"/>
      <c r="K846" s="50"/>
      <c r="L846" s="50"/>
      <c r="M846" s="50"/>
      <c r="N846" s="50"/>
      <c r="O846" s="50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</row>
    <row r="847" spans="1:36" s="48" customFormat="1">
      <c r="A847" s="2"/>
      <c r="B847" s="2"/>
      <c r="C847" s="111"/>
      <c r="D847" s="111"/>
      <c r="E847" s="111"/>
      <c r="F847" s="111"/>
      <c r="G847" s="111"/>
      <c r="H847" s="111"/>
      <c r="I847" s="100" t="e">
        <f>+#REF!</f>
        <v>#REF!</v>
      </c>
      <c r="J847" s="50"/>
      <c r="K847" s="50"/>
      <c r="L847" s="50"/>
      <c r="M847" s="50"/>
      <c r="N847" s="50"/>
      <c r="O847" s="50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</row>
    <row r="848" spans="1:36" s="48" customFormat="1">
      <c r="A848" s="2"/>
      <c r="B848" s="2"/>
      <c r="C848" s="111"/>
      <c r="D848" s="111"/>
      <c r="E848" s="111"/>
      <c r="F848" s="111"/>
      <c r="G848" s="111"/>
      <c r="H848" s="111"/>
      <c r="I848" s="100" t="e">
        <f>+#REF!</f>
        <v>#REF!</v>
      </c>
      <c r="J848" s="50"/>
      <c r="K848" s="50"/>
      <c r="L848" s="50"/>
      <c r="M848" s="50"/>
      <c r="N848" s="50"/>
      <c r="O848" s="50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</row>
    <row r="849" spans="1:36" s="48" customFormat="1">
      <c r="A849" s="2"/>
      <c r="B849" s="2"/>
      <c r="C849" s="111"/>
      <c r="D849" s="111"/>
      <c r="E849" s="111"/>
      <c r="F849" s="111"/>
      <c r="G849" s="111"/>
      <c r="H849" s="111"/>
      <c r="I849" s="100" t="e">
        <f>+#REF!</f>
        <v>#REF!</v>
      </c>
      <c r="J849" s="50"/>
      <c r="K849" s="50"/>
      <c r="L849" s="50"/>
      <c r="M849" s="50"/>
      <c r="N849" s="50"/>
      <c r="O849" s="50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</row>
    <row r="850" spans="1:36" s="48" customFormat="1">
      <c r="A850" s="2"/>
      <c r="B850" s="2"/>
      <c r="C850" s="111"/>
      <c r="D850" s="111"/>
      <c r="E850" s="111"/>
      <c r="F850" s="111"/>
      <c r="G850" s="111"/>
      <c r="H850" s="111"/>
      <c r="I850" s="100" t="e">
        <f>+#REF!</f>
        <v>#REF!</v>
      </c>
      <c r="J850" s="50"/>
      <c r="K850" s="50"/>
      <c r="L850" s="50"/>
      <c r="M850" s="50"/>
      <c r="N850" s="50"/>
      <c r="O850" s="50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</row>
    <row r="851" spans="1:36" s="48" customFormat="1">
      <c r="A851" s="2"/>
      <c r="B851" s="2"/>
      <c r="C851" s="111"/>
      <c r="D851" s="111"/>
      <c r="E851" s="111"/>
      <c r="F851" s="111"/>
      <c r="G851" s="111"/>
      <c r="H851" s="111"/>
      <c r="I851" s="100" t="e">
        <f>+#REF!</f>
        <v>#REF!</v>
      </c>
      <c r="J851" s="50"/>
      <c r="K851" s="50"/>
      <c r="L851" s="50"/>
      <c r="M851" s="50"/>
      <c r="N851" s="50"/>
      <c r="O851" s="50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</row>
    <row r="852" spans="1:36" s="48" customFormat="1">
      <c r="A852" s="2"/>
      <c r="B852" s="2"/>
      <c r="C852" s="111"/>
      <c r="D852" s="111"/>
      <c r="E852" s="111"/>
      <c r="F852" s="111"/>
      <c r="G852" s="111"/>
      <c r="H852" s="111"/>
      <c r="I852" s="100" t="e">
        <f>+#REF!</f>
        <v>#REF!</v>
      </c>
      <c r="J852" s="50"/>
      <c r="K852" s="50"/>
      <c r="L852" s="50"/>
      <c r="M852" s="50"/>
      <c r="N852" s="50"/>
      <c r="O852" s="50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</row>
    <row r="853" spans="1:36" s="48" customFormat="1">
      <c r="A853" s="2"/>
      <c r="B853" s="2"/>
      <c r="C853" s="111"/>
      <c r="D853" s="111"/>
      <c r="E853" s="111"/>
      <c r="F853" s="111"/>
      <c r="G853" s="111"/>
      <c r="H853" s="111"/>
      <c r="I853" s="100" t="e">
        <f>+#REF!</f>
        <v>#REF!</v>
      </c>
      <c r="J853" s="50"/>
      <c r="K853" s="50"/>
      <c r="L853" s="50"/>
      <c r="M853" s="50"/>
      <c r="N853" s="50"/>
      <c r="O853" s="50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</row>
    <row r="854" spans="1:36" s="48" customFormat="1">
      <c r="A854" s="2"/>
      <c r="B854" s="2"/>
      <c r="C854" s="111"/>
      <c r="D854" s="111"/>
      <c r="E854" s="111"/>
      <c r="F854" s="111"/>
      <c r="G854" s="111"/>
      <c r="H854" s="111"/>
      <c r="I854" s="100" t="e">
        <f>+#REF!</f>
        <v>#REF!</v>
      </c>
      <c r="J854" s="50"/>
      <c r="K854" s="50"/>
      <c r="L854" s="50"/>
      <c r="M854" s="50"/>
      <c r="N854" s="50"/>
      <c r="O854" s="50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</row>
    <row r="855" spans="1:36" s="48" customFormat="1">
      <c r="A855" s="2"/>
      <c r="B855" s="2"/>
      <c r="C855" s="111"/>
      <c r="D855" s="111"/>
      <c r="E855" s="111"/>
      <c r="F855" s="111"/>
      <c r="G855" s="111"/>
      <c r="H855" s="111"/>
      <c r="I855" s="100" t="e">
        <f>+#REF!</f>
        <v>#REF!</v>
      </c>
      <c r="J855" s="50"/>
      <c r="K855" s="50"/>
      <c r="L855" s="50"/>
      <c r="M855" s="50"/>
      <c r="N855" s="50"/>
      <c r="O855" s="50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</row>
    <row r="856" spans="1:36" s="48" customFormat="1">
      <c r="A856" s="2"/>
      <c r="B856" s="2"/>
      <c r="C856" s="111"/>
      <c r="D856" s="111"/>
      <c r="E856" s="111"/>
      <c r="F856" s="111"/>
      <c r="G856" s="111"/>
      <c r="H856" s="111"/>
      <c r="I856" s="100" t="e">
        <f>+#REF!</f>
        <v>#REF!</v>
      </c>
      <c r="J856" s="50"/>
      <c r="K856" s="50"/>
      <c r="L856" s="50"/>
      <c r="M856" s="50"/>
      <c r="N856" s="50"/>
      <c r="O856" s="50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</row>
    <row r="857" spans="1:36" s="48" customFormat="1">
      <c r="A857" s="2"/>
      <c r="B857" s="2"/>
      <c r="C857" s="111"/>
      <c r="D857" s="111"/>
      <c r="E857" s="111"/>
      <c r="F857" s="111"/>
      <c r="G857" s="111"/>
      <c r="H857" s="111"/>
      <c r="I857" s="100" t="e">
        <f>+#REF!</f>
        <v>#REF!</v>
      </c>
      <c r="J857" s="50"/>
      <c r="K857" s="50"/>
      <c r="L857" s="50"/>
      <c r="M857" s="50"/>
      <c r="N857" s="50"/>
      <c r="O857" s="50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</row>
    <row r="858" spans="1:36" s="48" customFormat="1">
      <c r="A858" s="2"/>
      <c r="B858" s="2"/>
      <c r="C858" s="111"/>
      <c r="D858" s="111"/>
      <c r="E858" s="111"/>
      <c r="F858" s="111"/>
      <c r="G858" s="111"/>
      <c r="H858" s="111"/>
      <c r="I858" s="100" t="e">
        <f>+#REF!</f>
        <v>#REF!</v>
      </c>
      <c r="J858" s="50"/>
      <c r="K858" s="50"/>
      <c r="L858" s="50"/>
      <c r="M858" s="50"/>
      <c r="N858" s="50"/>
      <c r="O858" s="50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</row>
    <row r="859" spans="1:36" s="48" customFormat="1">
      <c r="A859" s="2"/>
      <c r="B859" s="2"/>
      <c r="C859" s="111"/>
      <c r="D859" s="111"/>
      <c r="E859" s="111"/>
      <c r="F859" s="111"/>
      <c r="G859" s="111"/>
      <c r="H859" s="111"/>
      <c r="I859" s="100" t="e">
        <f>+#REF!</f>
        <v>#REF!</v>
      </c>
      <c r="J859" s="50"/>
      <c r="K859" s="50"/>
      <c r="L859" s="50"/>
      <c r="M859" s="50"/>
      <c r="N859" s="50"/>
      <c r="O859" s="50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</row>
    <row r="860" spans="1:36" s="48" customFormat="1">
      <c r="A860" s="2"/>
      <c r="B860" s="2"/>
      <c r="C860" s="111"/>
      <c r="D860" s="111"/>
      <c r="E860" s="111"/>
      <c r="F860" s="111"/>
      <c r="G860" s="111"/>
      <c r="H860" s="111"/>
      <c r="I860" s="100" t="e">
        <f>+#REF!</f>
        <v>#REF!</v>
      </c>
      <c r="J860" s="50"/>
      <c r="K860" s="50"/>
      <c r="L860" s="50"/>
      <c r="M860" s="50"/>
      <c r="N860" s="50"/>
      <c r="O860" s="50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</row>
    <row r="861" spans="1:36" s="48" customFormat="1">
      <c r="A861" s="2"/>
      <c r="B861" s="2"/>
      <c r="C861" s="111"/>
      <c r="D861" s="111"/>
      <c r="E861" s="111"/>
      <c r="F861" s="111"/>
      <c r="G861" s="111"/>
      <c r="H861" s="111"/>
      <c r="I861" s="100" t="e">
        <f>+#REF!</f>
        <v>#REF!</v>
      </c>
      <c r="J861" s="50"/>
      <c r="K861" s="50"/>
      <c r="L861" s="50"/>
      <c r="M861" s="50"/>
      <c r="N861" s="50"/>
      <c r="O861" s="50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</row>
    <row r="862" spans="1:36" s="48" customFormat="1">
      <c r="A862" s="2"/>
      <c r="B862" s="2"/>
      <c r="C862" s="111"/>
      <c r="D862" s="111"/>
      <c r="E862" s="111"/>
      <c r="F862" s="111"/>
      <c r="G862" s="111"/>
      <c r="H862" s="111"/>
      <c r="I862" s="100" t="e">
        <f>+#REF!</f>
        <v>#REF!</v>
      </c>
      <c r="J862" s="50"/>
      <c r="K862" s="50"/>
      <c r="L862" s="50"/>
      <c r="M862" s="50"/>
      <c r="N862" s="50"/>
      <c r="O862" s="50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</row>
    <row r="863" spans="1:36" s="48" customFormat="1">
      <c r="A863" s="2"/>
      <c r="B863" s="2"/>
      <c r="C863" s="111"/>
      <c r="D863" s="111"/>
      <c r="E863" s="111"/>
      <c r="F863" s="111"/>
      <c r="G863" s="111"/>
      <c r="H863" s="111"/>
      <c r="I863" s="100" t="e">
        <f>+#REF!</f>
        <v>#REF!</v>
      </c>
      <c r="J863" s="50"/>
      <c r="K863" s="50"/>
      <c r="L863" s="50"/>
      <c r="M863" s="50"/>
      <c r="N863" s="50"/>
      <c r="O863" s="50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</row>
    <row r="864" spans="1:36" s="48" customFormat="1">
      <c r="A864" s="2"/>
      <c r="B864" s="2"/>
      <c r="C864" s="111"/>
      <c r="D864" s="111"/>
      <c r="E864" s="111"/>
      <c r="F864" s="111"/>
      <c r="G864" s="111"/>
      <c r="H864" s="111"/>
      <c r="I864" s="100" t="e">
        <f>+#REF!</f>
        <v>#REF!</v>
      </c>
      <c r="J864" s="50"/>
      <c r="K864" s="50"/>
      <c r="L864" s="50"/>
      <c r="M864" s="50"/>
      <c r="N864" s="50"/>
      <c r="O864" s="50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</row>
    <row r="865" spans="1:36" s="48" customFormat="1">
      <c r="A865" s="2"/>
      <c r="B865" s="2"/>
      <c r="C865" s="111"/>
      <c r="D865" s="111"/>
      <c r="E865" s="111"/>
      <c r="F865" s="111"/>
      <c r="G865" s="111"/>
      <c r="H865" s="111"/>
      <c r="I865" s="100" t="e">
        <f>+#REF!</f>
        <v>#REF!</v>
      </c>
      <c r="J865" s="50"/>
      <c r="K865" s="50"/>
      <c r="L865" s="50"/>
      <c r="M865" s="50"/>
      <c r="N865" s="50"/>
      <c r="O865" s="50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</row>
    <row r="866" spans="1:36" s="48" customFormat="1">
      <c r="A866" s="2"/>
      <c r="B866" s="2"/>
      <c r="C866" s="111"/>
      <c r="D866" s="111"/>
      <c r="E866" s="111"/>
      <c r="F866" s="111"/>
      <c r="G866" s="111"/>
      <c r="H866" s="111"/>
      <c r="I866" s="100" t="e">
        <f>+#REF!</f>
        <v>#REF!</v>
      </c>
      <c r="J866" s="50"/>
      <c r="K866" s="50"/>
      <c r="L866" s="50"/>
      <c r="M866" s="50"/>
      <c r="N866" s="50"/>
      <c r="O866" s="50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</row>
    <row r="867" spans="1:36" s="48" customFormat="1">
      <c r="A867" s="2"/>
      <c r="B867" s="2"/>
      <c r="C867" s="111"/>
      <c r="D867" s="111"/>
      <c r="E867" s="111"/>
      <c r="F867" s="111"/>
      <c r="G867" s="111"/>
      <c r="H867" s="111"/>
      <c r="I867" s="100" t="e">
        <f>+#REF!</f>
        <v>#REF!</v>
      </c>
      <c r="J867" s="50"/>
      <c r="K867" s="50"/>
      <c r="L867" s="50"/>
      <c r="M867" s="50"/>
      <c r="N867" s="50"/>
      <c r="O867" s="50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</row>
    <row r="868" spans="1:36" s="48" customFormat="1">
      <c r="A868" s="2"/>
      <c r="B868" s="2"/>
      <c r="C868" s="111"/>
      <c r="D868" s="111"/>
      <c r="E868" s="111"/>
      <c r="F868" s="111"/>
      <c r="G868" s="111"/>
      <c r="H868" s="111"/>
      <c r="I868" s="100" t="e">
        <f>+#REF!</f>
        <v>#REF!</v>
      </c>
      <c r="J868" s="50"/>
      <c r="K868" s="50"/>
      <c r="L868" s="50"/>
      <c r="M868" s="50"/>
      <c r="N868" s="50"/>
      <c r="O868" s="50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</row>
    <row r="869" spans="1:36" s="48" customFormat="1">
      <c r="A869" s="2"/>
      <c r="B869" s="2"/>
      <c r="C869" s="111"/>
      <c r="D869" s="111"/>
      <c r="E869" s="111"/>
      <c r="F869" s="111"/>
      <c r="G869" s="111"/>
      <c r="H869" s="111"/>
      <c r="I869" s="100" t="e">
        <f>+#REF!</f>
        <v>#REF!</v>
      </c>
      <c r="J869" s="50"/>
      <c r="K869" s="50"/>
      <c r="L869" s="50"/>
      <c r="M869" s="50"/>
      <c r="N869" s="50"/>
      <c r="O869" s="50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</row>
    <row r="870" spans="1:36" s="48" customFormat="1">
      <c r="A870" s="2"/>
      <c r="B870" s="2"/>
      <c r="C870" s="111"/>
      <c r="D870" s="111"/>
      <c r="E870" s="111"/>
      <c r="F870" s="111"/>
      <c r="G870" s="111"/>
      <c r="H870" s="111"/>
      <c r="I870" s="100" t="e">
        <f>+#REF!</f>
        <v>#REF!</v>
      </c>
      <c r="J870" s="50"/>
      <c r="K870" s="50"/>
      <c r="L870" s="50"/>
      <c r="M870" s="50"/>
      <c r="N870" s="50"/>
      <c r="O870" s="50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</row>
    <row r="871" spans="1:36" s="48" customFormat="1">
      <c r="A871" s="2"/>
      <c r="B871" s="2"/>
      <c r="C871" s="111"/>
      <c r="D871" s="111"/>
      <c r="E871" s="111"/>
      <c r="F871" s="111"/>
      <c r="G871" s="111"/>
      <c r="H871" s="111"/>
      <c r="I871" s="100" t="e">
        <f>+#REF!</f>
        <v>#REF!</v>
      </c>
      <c r="J871" s="50"/>
      <c r="K871" s="50"/>
      <c r="L871" s="50"/>
      <c r="M871" s="50"/>
      <c r="N871" s="50"/>
      <c r="O871" s="50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</row>
    <row r="872" spans="1:36" s="48" customFormat="1">
      <c r="A872" s="2"/>
      <c r="B872" s="2"/>
      <c r="C872" s="111"/>
      <c r="D872" s="111"/>
      <c r="E872" s="111"/>
      <c r="F872" s="111"/>
      <c r="G872" s="111"/>
      <c r="H872" s="111"/>
      <c r="I872" s="100" t="e">
        <f>+#REF!</f>
        <v>#REF!</v>
      </c>
      <c r="J872" s="50"/>
      <c r="K872" s="50"/>
      <c r="L872" s="50"/>
      <c r="M872" s="50"/>
      <c r="N872" s="50"/>
      <c r="O872" s="50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</row>
    <row r="873" spans="1:36" s="48" customFormat="1">
      <c r="A873" s="2"/>
      <c r="B873" s="2"/>
      <c r="C873" s="111"/>
      <c r="D873" s="111"/>
      <c r="E873" s="111"/>
      <c r="F873" s="111"/>
      <c r="G873" s="111"/>
      <c r="H873" s="111"/>
      <c r="I873" s="100" t="e">
        <f>+#REF!</f>
        <v>#REF!</v>
      </c>
      <c r="J873" s="50"/>
      <c r="K873" s="50"/>
      <c r="L873" s="50"/>
      <c r="M873" s="50"/>
      <c r="N873" s="50"/>
      <c r="O873" s="50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</row>
    <row r="874" spans="1:36" s="48" customFormat="1">
      <c r="A874" s="2"/>
      <c r="B874" s="2"/>
      <c r="C874" s="111"/>
      <c r="D874" s="111"/>
      <c r="E874" s="111"/>
      <c r="F874" s="111"/>
      <c r="G874" s="111"/>
      <c r="H874" s="111"/>
      <c r="I874" s="100" t="e">
        <f>+#REF!</f>
        <v>#REF!</v>
      </c>
      <c r="J874" s="50"/>
      <c r="K874" s="50"/>
      <c r="L874" s="50"/>
      <c r="M874" s="50"/>
      <c r="N874" s="50"/>
      <c r="O874" s="50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</row>
    <row r="875" spans="1:36" s="48" customFormat="1">
      <c r="A875" s="2"/>
      <c r="B875" s="2"/>
      <c r="C875" s="111"/>
      <c r="D875" s="111"/>
      <c r="E875" s="111"/>
      <c r="F875" s="111"/>
      <c r="G875" s="111"/>
      <c r="H875" s="111"/>
      <c r="I875" s="100" t="e">
        <f>+#REF!</f>
        <v>#REF!</v>
      </c>
      <c r="J875" s="50"/>
      <c r="K875" s="50"/>
      <c r="L875" s="50"/>
      <c r="M875" s="50"/>
      <c r="N875" s="50"/>
      <c r="O875" s="50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</row>
    <row r="876" spans="1:36" s="48" customFormat="1">
      <c r="A876" s="2"/>
      <c r="B876" s="2"/>
      <c r="C876" s="111"/>
      <c r="D876" s="111"/>
      <c r="E876" s="111"/>
      <c r="F876" s="111"/>
      <c r="G876" s="111"/>
      <c r="H876" s="111"/>
      <c r="I876" s="100" t="e">
        <f>+#REF!</f>
        <v>#REF!</v>
      </c>
      <c r="J876" s="50"/>
      <c r="K876" s="50"/>
      <c r="L876" s="50"/>
      <c r="M876" s="50"/>
      <c r="N876" s="50"/>
      <c r="O876" s="50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</row>
    <row r="877" spans="1:36" s="48" customFormat="1">
      <c r="A877" s="2"/>
      <c r="B877" s="2"/>
      <c r="C877" s="111"/>
      <c r="D877" s="111"/>
      <c r="E877" s="111"/>
      <c r="F877" s="111"/>
      <c r="G877" s="111"/>
      <c r="H877" s="111"/>
      <c r="I877" s="100" t="e">
        <f>+#REF!</f>
        <v>#REF!</v>
      </c>
      <c r="J877" s="50"/>
      <c r="K877" s="50"/>
      <c r="L877" s="50"/>
      <c r="M877" s="50"/>
      <c r="N877" s="50"/>
      <c r="O877" s="50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</row>
    <row r="878" spans="1:36" s="48" customFormat="1">
      <c r="A878" s="2"/>
      <c r="B878" s="2"/>
      <c r="C878" s="111"/>
      <c r="D878" s="111"/>
      <c r="E878" s="111"/>
      <c r="F878" s="111"/>
      <c r="G878" s="111"/>
      <c r="H878" s="111"/>
      <c r="I878" s="100" t="e">
        <f>+#REF!</f>
        <v>#REF!</v>
      </c>
      <c r="J878" s="50"/>
      <c r="K878" s="50"/>
      <c r="L878" s="50"/>
      <c r="M878" s="50"/>
      <c r="N878" s="50"/>
      <c r="O878" s="50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</row>
    <row r="879" spans="1:36" s="48" customFormat="1">
      <c r="A879" s="2"/>
      <c r="B879" s="2"/>
      <c r="C879" s="111"/>
      <c r="D879" s="111"/>
      <c r="E879" s="111"/>
      <c r="F879" s="111"/>
      <c r="G879" s="111"/>
      <c r="H879" s="111"/>
      <c r="I879" s="100" t="e">
        <f>+#REF!</f>
        <v>#REF!</v>
      </c>
      <c r="J879" s="50"/>
      <c r="K879" s="50"/>
      <c r="L879" s="50"/>
      <c r="M879" s="50"/>
      <c r="N879" s="50"/>
      <c r="O879" s="50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</row>
    <row r="880" spans="1:36" s="48" customFormat="1">
      <c r="A880" s="2"/>
      <c r="B880" s="2"/>
      <c r="C880" s="111"/>
      <c r="D880" s="111"/>
      <c r="E880" s="111"/>
      <c r="F880" s="111"/>
      <c r="G880" s="111"/>
      <c r="H880" s="111"/>
      <c r="I880" s="100" t="e">
        <f>+#REF!</f>
        <v>#REF!</v>
      </c>
      <c r="J880" s="50"/>
      <c r="K880" s="50"/>
      <c r="L880" s="50"/>
      <c r="M880" s="50"/>
      <c r="N880" s="50"/>
      <c r="O880" s="50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</row>
    <row r="881" spans="1:36" s="48" customFormat="1">
      <c r="A881" s="2"/>
      <c r="B881" s="2"/>
      <c r="C881" s="111"/>
      <c r="D881" s="111"/>
      <c r="E881" s="111"/>
      <c r="F881" s="111"/>
      <c r="G881" s="111"/>
      <c r="H881" s="111"/>
      <c r="I881" s="100" t="e">
        <f>+#REF!</f>
        <v>#REF!</v>
      </c>
      <c r="J881" s="50"/>
      <c r="K881" s="50"/>
      <c r="L881" s="50"/>
      <c r="M881" s="50"/>
      <c r="N881" s="50"/>
      <c r="O881" s="50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</row>
    <row r="882" spans="1:36" s="48" customFormat="1">
      <c r="A882" s="2"/>
      <c r="B882" s="2"/>
      <c r="C882" s="111"/>
      <c r="D882" s="111"/>
      <c r="E882" s="111"/>
      <c r="F882" s="111"/>
      <c r="G882" s="111"/>
      <c r="H882" s="111"/>
      <c r="I882" s="100" t="e">
        <f>+#REF!</f>
        <v>#REF!</v>
      </c>
      <c r="J882" s="50"/>
      <c r="K882" s="50"/>
      <c r="L882" s="50"/>
      <c r="M882" s="50"/>
      <c r="N882" s="50"/>
      <c r="O882" s="50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</row>
    <row r="883" spans="1:36" s="48" customFormat="1">
      <c r="A883" s="2"/>
      <c r="B883" s="2"/>
      <c r="C883" s="111"/>
      <c r="D883" s="111"/>
      <c r="E883" s="111"/>
      <c r="F883" s="111"/>
      <c r="G883" s="111"/>
      <c r="H883" s="111"/>
      <c r="I883" s="100" t="e">
        <f>+#REF!</f>
        <v>#REF!</v>
      </c>
      <c r="J883" s="50"/>
      <c r="K883" s="50"/>
      <c r="L883" s="50"/>
      <c r="M883" s="50"/>
      <c r="N883" s="50"/>
      <c r="O883" s="50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</row>
    <row r="884" spans="1:36" s="48" customFormat="1">
      <c r="A884" s="2"/>
      <c r="B884" s="2"/>
      <c r="C884" s="111"/>
      <c r="D884" s="111"/>
      <c r="E884" s="111"/>
      <c r="F884" s="111"/>
      <c r="G884" s="111"/>
      <c r="H884" s="111"/>
      <c r="I884" s="100" t="e">
        <f>+#REF!</f>
        <v>#REF!</v>
      </c>
      <c r="J884" s="50"/>
      <c r="K884" s="50"/>
      <c r="L884" s="50"/>
      <c r="M884" s="50"/>
      <c r="N884" s="50"/>
      <c r="O884" s="50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</row>
    <row r="885" spans="1:36" s="48" customFormat="1">
      <c r="A885" s="2"/>
      <c r="B885" s="2"/>
      <c r="C885" s="111"/>
      <c r="D885" s="111"/>
      <c r="E885" s="111"/>
      <c r="F885" s="111"/>
      <c r="G885" s="111"/>
      <c r="H885" s="111"/>
      <c r="I885" s="100" t="e">
        <f>+#REF!</f>
        <v>#REF!</v>
      </c>
      <c r="J885" s="50"/>
      <c r="K885" s="50"/>
      <c r="L885" s="50"/>
      <c r="M885" s="50"/>
      <c r="N885" s="50"/>
      <c r="O885" s="50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</row>
    <row r="886" spans="1:36" s="48" customFormat="1">
      <c r="A886" s="2"/>
      <c r="B886" s="2"/>
      <c r="C886" s="111"/>
      <c r="D886" s="111"/>
      <c r="E886" s="111"/>
      <c r="F886" s="111"/>
      <c r="G886" s="111"/>
      <c r="H886" s="111"/>
      <c r="I886" s="100" t="e">
        <f>+#REF!</f>
        <v>#REF!</v>
      </c>
      <c r="J886" s="50"/>
      <c r="K886" s="50"/>
      <c r="L886" s="50"/>
      <c r="M886" s="50"/>
      <c r="N886" s="50"/>
      <c r="O886" s="50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</row>
    <row r="887" spans="1:36" s="48" customFormat="1">
      <c r="A887" s="2"/>
      <c r="B887" s="2"/>
      <c r="C887" s="111"/>
      <c r="D887" s="111"/>
      <c r="E887" s="111"/>
      <c r="F887" s="111"/>
      <c r="G887" s="111"/>
      <c r="H887" s="111"/>
      <c r="I887" s="100" t="e">
        <f>+#REF!</f>
        <v>#REF!</v>
      </c>
      <c r="J887" s="50"/>
      <c r="K887" s="50"/>
      <c r="L887" s="50"/>
      <c r="M887" s="50"/>
      <c r="N887" s="50"/>
      <c r="O887" s="50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</row>
    <row r="888" spans="1:36" s="48" customFormat="1">
      <c r="A888" s="2"/>
      <c r="B888" s="2"/>
      <c r="C888" s="111"/>
      <c r="D888" s="111"/>
      <c r="E888" s="111"/>
      <c r="F888" s="111"/>
      <c r="G888" s="111"/>
      <c r="H888" s="111"/>
      <c r="I888" s="100" t="e">
        <f>+#REF!</f>
        <v>#REF!</v>
      </c>
      <c r="J888" s="50"/>
      <c r="K888" s="50"/>
      <c r="L888" s="50"/>
      <c r="M888" s="50"/>
      <c r="N888" s="50"/>
      <c r="O888" s="50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</row>
    <row r="889" spans="1:36" s="48" customFormat="1">
      <c r="A889" s="2"/>
      <c r="B889" s="2"/>
      <c r="C889" s="111"/>
      <c r="D889" s="111"/>
      <c r="E889" s="111"/>
      <c r="F889" s="111"/>
      <c r="G889" s="111"/>
      <c r="H889" s="111"/>
      <c r="I889" s="100" t="e">
        <f>+#REF!</f>
        <v>#REF!</v>
      </c>
      <c r="J889" s="50"/>
      <c r="K889" s="50"/>
      <c r="L889" s="50"/>
      <c r="M889" s="50"/>
      <c r="N889" s="50"/>
      <c r="O889" s="50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</row>
    <row r="890" spans="1:36" s="48" customFormat="1">
      <c r="A890" s="2"/>
      <c r="B890" s="2"/>
      <c r="C890" s="111"/>
      <c r="D890" s="111"/>
      <c r="E890" s="111"/>
      <c r="F890" s="111"/>
      <c r="G890" s="111"/>
      <c r="H890" s="111"/>
      <c r="I890" s="100" t="e">
        <f>+#REF!</f>
        <v>#REF!</v>
      </c>
      <c r="J890" s="50"/>
      <c r="K890" s="50"/>
      <c r="L890" s="50"/>
      <c r="M890" s="50"/>
      <c r="N890" s="50"/>
      <c r="O890" s="50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</row>
    <row r="891" spans="1:36" s="48" customFormat="1">
      <c r="A891" s="2"/>
      <c r="B891" s="2"/>
      <c r="C891" s="111"/>
      <c r="D891" s="111"/>
      <c r="E891" s="111"/>
      <c r="F891" s="111"/>
      <c r="G891" s="111"/>
      <c r="H891" s="111"/>
      <c r="I891" s="100" t="e">
        <f>+#REF!</f>
        <v>#REF!</v>
      </c>
      <c r="J891" s="50"/>
      <c r="K891" s="50"/>
      <c r="L891" s="50"/>
      <c r="M891" s="50"/>
      <c r="N891" s="50"/>
      <c r="O891" s="50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</row>
    <row r="892" spans="1:36" s="48" customFormat="1">
      <c r="A892" s="2"/>
      <c r="B892" s="2"/>
      <c r="C892" s="111"/>
      <c r="D892" s="111"/>
      <c r="E892" s="111"/>
      <c r="F892" s="111"/>
      <c r="G892" s="111"/>
      <c r="H892" s="111"/>
      <c r="I892" s="100" t="e">
        <f>+#REF!</f>
        <v>#REF!</v>
      </c>
      <c r="J892" s="50"/>
      <c r="K892" s="50"/>
      <c r="L892" s="50"/>
      <c r="M892" s="50"/>
      <c r="N892" s="50"/>
      <c r="O892" s="50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</row>
    <row r="893" spans="1:36" s="48" customFormat="1">
      <c r="A893" s="2"/>
      <c r="B893" s="2"/>
      <c r="C893" s="111"/>
      <c r="D893" s="111"/>
      <c r="E893" s="111"/>
      <c r="F893" s="111"/>
      <c r="G893" s="111"/>
      <c r="H893" s="111"/>
      <c r="I893" s="100" t="e">
        <f>+#REF!</f>
        <v>#REF!</v>
      </c>
      <c r="J893" s="50"/>
      <c r="K893" s="50"/>
      <c r="L893" s="50"/>
      <c r="M893" s="50"/>
      <c r="N893" s="50"/>
      <c r="O893" s="50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</row>
    <row r="894" spans="1:36" s="48" customFormat="1">
      <c r="A894" s="2"/>
      <c r="B894" s="2"/>
      <c r="C894" s="111"/>
      <c r="D894" s="111"/>
      <c r="E894" s="111"/>
      <c r="F894" s="111"/>
      <c r="G894" s="111"/>
      <c r="H894" s="111"/>
      <c r="I894" s="100" t="e">
        <f>+#REF!</f>
        <v>#REF!</v>
      </c>
      <c r="J894" s="50"/>
      <c r="K894" s="50"/>
      <c r="L894" s="50"/>
      <c r="M894" s="50"/>
      <c r="N894" s="50"/>
      <c r="O894" s="50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</row>
    <row r="895" spans="1:36" s="48" customFormat="1">
      <c r="A895" s="2"/>
      <c r="B895" s="2"/>
      <c r="C895" s="111"/>
      <c r="D895" s="111"/>
      <c r="E895" s="111"/>
      <c r="F895" s="111"/>
      <c r="G895" s="111"/>
      <c r="H895" s="111"/>
      <c r="I895" s="100" t="e">
        <f>+#REF!</f>
        <v>#REF!</v>
      </c>
      <c r="J895" s="50"/>
      <c r="K895" s="50"/>
      <c r="L895" s="50"/>
      <c r="M895" s="50"/>
      <c r="N895" s="50"/>
      <c r="O895" s="50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</row>
    <row r="896" spans="1:36" s="48" customFormat="1">
      <c r="A896" s="2"/>
      <c r="B896" s="2"/>
      <c r="C896" s="111"/>
      <c r="D896" s="111"/>
      <c r="E896" s="111"/>
      <c r="F896" s="111"/>
      <c r="G896" s="111"/>
      <c r="H896" s="111"/>
      <c r="I896" s="100" t="e">
        <f>+#REF!</f>
        <v>#REF!</v>
      </c>
      <c r="J896" s="50"/>
      <c r="K896" s="50"/>
      <c r="L896" s="50"/>
      <c r="M896" s="50"/>
      <c r="N896" s="50"/>
      <c r="O896" s="50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</row>
    <row r="897" spans="1:36" s="48" customFormat="1">
      <c r="A897" s="2"/>
      <c r="B897" s="2"/>
      <c r="C897" s="111"/>
      <c r="D897" s="111"/>
      <c r="E897" s="111"/>
      <c r="F897" s="111"/>
      <c r="G897" s="111"/>
      <c r="H897" s="111"/>
      <c r="I897" s="100" t="e">
        <f>+#REF!</f>
        <v>#REF!</v>
      </c>
      <c r="J897" s="50"/>
      <c r="K897" s="50"/>
      <c r="L897" s="50"/>
      <c r="M897" s="50"/>
      <c r="N897" s="50"/>
      <c r="O897" s="50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</row>
    <row r="898" spans="1:36" s="48" customFormat="1">
      <c r="A898" s="2"/>
      <c r="B898" s="2"/>
      <c r="C898" s="111"/>
      <c r="D898" s="111"/>
      <c r="E898" s="111"/>
      <c r="F898" s="111"/>
      <c r="G898" s="111"/>
      <c r="H898" s="111"/>
      <c r="I898" s="100" t="e">
        <f>+#REF!</f>
        <v>#REF!</v>
      </c>
      <c r="J898" s="50"/>
      <c r="K898" s="50"/>
      <c r="L898" s="50"/>
      <c r="M898" s="50"/>
      <c r="N898" s="50"/>
      <c r="O898" s="50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</row>
    <row r="899" spans="1:36" s="48" customFormat="1">
      <c r="A899" s="2"/>
      <c r="B899" s="2"/>
      <c r="C899" s="111"/>
      <c r="D899" s="111"/>
      <c r="E899" s="111"/>
      <c r="F899" s="111"/>
      <c r="G899" s="111"/>
      <c r="H899" s="111"/>
      <c r="I899" s="100" t="e">
        <f>+#REF!</f>
        <v>#REF!</v>
      </c>
      <c r="J899" s="50"/>
      <c r="K899" s="50"/>
      <c r="L899" s="50"/>
      <c r="M899" s="50"/>
      <c r="N899" s="50"/>
      <c r="O899" s="50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</row>
    <row r="900" spans="1:36" s="48" customFormat="1">
      <c r="A900" s="2"/>
      <c r="B900" s="2"/>
      <c r="C900" s="111"/>
      <c r="D900" s="111"/>
      <c r="E900" s="111"/>
      <c r="F900" s="111"/>
      <c r="G900" s="111"/>
      <c r="H900" s="111"/>
      <c r="I900" s="100" t="e">
        <f>+#REF!</f>
        <v>#REF!</v>
      </c>
      <c r="J900" s="50"/>
      <c r="K900" s="50"/>
      <c r="L900" s="50"/>
      <c r="M900" s="50"/>
      <c r="N900" s="50"/>
      <c r="O900" s="50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</row>
    <row r="901" spans="1:36" s="48" customFormat="1">
      <c r="A901" s="2"/>
      <c r="B901" s="2"/>
      <c r="C901" s="111"/>
      <c r="D901" s="111"/>
      <c r="E901" s="111"/>
      <c r="F901" s="111"/>
      <c r="G901" s="111"/>
      <c r="H901" s="111"/>
      <c r="I901" s="100" t="e">
        <f>+#REF!</f>
        <v>#REF!</v>
      </c>
      <c r="J901" s="50"/>
      <c r="K901" s="50"/>
      <c r="L901" s="50"/>
      <c r="M901" s="50"/>
      <c r="N901" s="50"/>
      <c r="O901" s="50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</row>
    <row r="902" spans="1:36" s="48" customFormat="1">
      <c r="A902" s="2"/>
      <c r="B902" s="2"/>
      <c r="C902" s="111"/>
      <c r="D902" s="111"/>
      <c r="E902" s="111"/>
      <c r="F902" s="111"/>
      <c r="G902" s="111"/>
      <c r="H902" s="111"/>
      <c r="I902" s="100" t="e">
        <f>+#REF!</f>
        <v>#REF!</v>
      </c>
      <c r="J902" s="50"/>
      <c r="K902" s="50"/>
      <c r="L902" s="50"/>
      <c r="M902" s="50"/>
      <c r="N902" s="50"/>
      <c r="O902" s="50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</row>
    <row r="903" spans="1:36" s="48" customFormat="1">
      <c r="A903" s="2"/>
      <c r="B903" s="2"/>
      <c r="C903" s="111"/>
      <c r="D903" s="111"/>
      <c r="E903" s="111"/>
      <c r="F903" s="111"/>
      <c r="G903" s="111"/>
      <c r="H903" s="111"/>
      <c r="I903" s="100" t="e">
        <f>+#REF!</f>
        <v>#REF!</v>
      </c>
      <c r="J903" s="50"/>
      <c r="K903" s="50"/>
      <c r="L903" s="50"/>
      <c r="M903" s="50"/>
      <c r="N903" s="50"/>
      <c r="O903" s="50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</row>
    <row r="904" spans="1:36" s="48" customFormat="1">
      <c r="A904" s="2"/>
      <c r="B904" s="2"/>
      <c r="C904" s="111"/>
      <c r="D904" s="111"/>
      <c r="E904" s="111"/>
      <c r="F904" s="111"/>
      <c r="G904" s="111"/>
      <c r="H904" s="111"/>
      <c r="I904" s="100" t="e">
        <f>+#REF!</f>
        <v>#REF!</v>
      </c>
      <c r="J904" s="50"/>
      <c r="K904" s="50"/>
      <c r="L904" s="50"/>
      <c r="M904" s="50"/>
      <c r="N904" s="50"/>
      <c r="O904" s="50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</row>
    <row r="905" spans="1:36" s="48" customFormat="1">
      <c r="A905" s="2"/>
      <c r="B905" s="2"/>
      <c r="C905" s="111"/>
      <c r="D905" s="111"/>
      <c r="E905" s="111"/>
      <c r="F905" s="111"/>
      <c r="G905" s="111"/>
      <c r="H905" s="111"/>
      <c r="I905" s="100" t="e">
        <f>+#REF!</f>
        <v>#REF!</v>
      </c>
      <c r="J905" s="50"/>
      <c r="K905" s="50"/>
      <c r="L905" s="50"/>
      <c r="M905" s="50"/>
      <c r="N905" s="50"/>
      <c r="O905" s="50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</row>
    <row r="906" spans="1:36" s="48" customFormat="1">
      <c r="A906" s="2"/>
      <c r="B906" s="2"/>
      <c r="C906" s="111"/>
      <c r="D906" s="111"/>
      <c r="E906" s="111"/>
      <c r="F906" s="111"/>
      <c r="G906" s="111"/>
      <c r="H906" s="111"/>
      <c r="I906" s="100" t="e">
        <f>+#REF!</f>
        <v>#REF!</v>
      </c>
      <c r="J906" s="50"/>
      <c r="K906" s="50"/>
      <c r="L906" s="50"/>
      <c r="M906" s="50"/>
      <c r="N906" s="50"/>
      <c r="O906" s="50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</row>
    <row r="907" spans="1:36" s="48" customFormat="1">
      <c r="A907" s="2"/>
      <c r="B907" s="2"/>
      <c r="C907" s="111"/>
      <c r="D907" s="111"/>
      <c r="E907" s="111"/>
      <c r="F907" s="111"/>
      <c r="G907" s="111"/>
      <c r="H907" s="111"/>
      <c r="I907" s="100" t="e">
        <f>+#REF!</f>
        <v>#REF!</v>
      </c>
      <c r="J907" s="50"/>
      <c r="K907" s="50"/>
      <c r="L907" s="50"/>
      <c r="M907" s="50"/>
      <c r="N907" s="50"/>
      <c r="O907" s="50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</row>
    <row r="908" spans="1:36" s="48" customFormat="1">
      <c r="A908" s="2"/>
      <c r="B908" s="2"/>
      <c r="C908" s="111"/>
      <c r="D908" s="111"/>
      <c r="E908" s="111"/>
      <c r="F908" s="111"/>
      <c r="G908" s="111"/>
      <c r="H908" s="111"/>
      <c r="I908" s="100" t="e">
        <f>+#REF!</f>
        <v>#REF!</v>
      </c>
      <c r="J908" s="50"/>
      <c r="K908" s="50"/>
      <c r="L908" s="50"/>
      <c r="M908" s="50"/>
      <c r="N908" s="50"/>
      <c r="O908" s="50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</row>
    <row r="909" spans="1:36" s="48" customFormat="1">
      <c r="A909" s="2"/>
      <c r="B909" s="2"/>
      <c r="C909" s="111"/>
      <c r="D909" s="111"/>
      <c r="E909" s="111"/>
      <c r="F909" s="111"/>
      <c r="G909" s="111"/>
      <c r="H909" s="111"/>
      <c r="I909" s="100" t="e">
        <f>+#REF!</f>
        <v>#REF!</v>
      </c>
      <c r="J909" s="50"/>
      <c r="K909" s="50"/>
      <c r="L909" s="50"/>
      <c r="M909" s="50"/>
      <c r="N909" s="50"/>
      <c r="O909" s="50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</row>
    <row r="910" spans="1:36" s="48" customFormat="1">
      <c r="A910" s="2"/>
      <c r="B910" s="2"/>
      <c r="C910" s="111"/>
      <c r="D910" s="111"/>
      <c r="E910" s="111"/>
      <c r="F910" s="111"/>
      <c r="G910" s="111"/>
      <c r="H910" s="111"/>
      <c r="I910" s="100" t="e">
        <f>+#REF!</f>
        <v>#REF!</v>
      </c>
      <c r="J910" s="50"/>
      <c r="K910" s="50"/>
      <c r="L910" s="50"/>
      <c r="M910" s="50"/>
      <c r="N910" s="50"/>
      <c r="O910" s="50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</row>
    <row r="911" spans="1:36" s="48" customFormat="1">
      <c r="A911" s="2"/>
      <c r="B911" s="2"/>
      <c r="C911" s="111"/>
      <c r="D911" s="111"/>
      <c r="E911" s="111"/>
      <c r="F911" s="111"/>
      <c r="G911" s="111"/>
      <c r="H911" s="111"/>
      <c r="I911" s="100" t="e">
        <f>+#REF!</f>
        <v>#REF!</v>
      </c>
      <c r="J911" s="50"/>
      <c r="K911" s="50"/>
      <c r="L911" s="50"/>
      <c r="M911" s="50"/>
      <c r="N911" s="50"/>
      <c r="O911" s="50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</row>
    <row r="912" spans="1:36" s="48" customFormat="1">
      <c r="A912" s="2"/>
      <c r="B912" s="2"/>
      <c r="C912" s="111"/>
      <c r="D912" s="111"/>
      <c r="E912" s="111"/>
      <c r="F912" s="111"/>
      <c r="G912" s="111"/>
      <c r="H912" s="111"/>
      <c r="I912" s="100" t="e">
        <f>+#REF!</f>
        <v>#REF!</v>
      </c>
      <c r="J912" s="50"/>
      <c r="K912" s="50"/>
      <c r="L912" s="50"/>
      <c r="M912" s="50"/>
      <c r="N912" s="50"/>
      <c r="O912" s="50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</row>
    <row r="913" spans="1:36" s="48" customFormat="1">
      <c r="A913" s="2"/>
      <c r="B913" s="2"/>
      <c r="C913" s="111"/>
      <c r="D913" s="111"/>
      <c r="E913" s="111"/>
      <c r="F913" s="111"/>
      <c r="G913" s="111"/>
      <c r="H913" s="111"/>
      <c r="I913" s="100" t="e">
        <f>+#REF!</f>
        <v>#REF!</v>
      </c>
      <c r="J913" s="50"/>
      <c r="K913" s="50"/>
      <c r="L913" s="50"/>
      <c r="M913" s="50"/>
      <c r="N913" s="50"/>
      <c r="O913" s="50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</row>
    <row r="914" spans="1:36" s="48" customFormat="1">
      <c r="A914" s="2"/>
      <c r="B914" s="2"/>
      <c r="C914" s="111"/>
      <c r="D914" s="111"/>
      <c r="E914" s="111"/>
      <c r="F914" s="111"/>
      <c r="G914" s="111"/>
      <c r="H914" s="111"/>
      <c r="I914" s="100" t="e">
        <f>+#REF!</f>
        <v>#REF!</v>
      </c>
      <c r="J914" s="50"/>
      <c r="K914" s="50"/>
      <c r="L914" s="50"/>
      <c r="M914" s="50"/>
      <c r="N914" s="50"/>
      <c r="O914" s="50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</row>
    <row r="915" spans="1:36" s="48" customFormat="1">
      <c r="A915" s="2"/>
      <c r="B915" s="2"/>
      <c r="C915" s="111"/>
      <c r="D915" s="111"/>
      <c r="E915" s="111"/>
      <c r="F915" s="111"/>
      <c r="G915" s="111"/>
      <c r="H915" s="111"/>
      <c r="I915" s="100" t="e">
        <f>+#REF!</f>
        <v>#REF!</v>
      </c>
      <c r="J915" s="50"/>
      <c r="K915" s="50"/>
      <c r="L915" s="50"/>
      <c r="M915" s="50"/>
      <c r="N915" s="50"/>
      <c r="O915" s="50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</row>
    <row r="916" spans="1:36" s="48" customFormat="1">
      <c r="A916" s="2"/>
      <c r="B916" s="2"/>
      <c r="C916" s="111"/>
      <c r="D916" s="111"/>
      <c r="E916" s="111"/>
      <c r="F916" s="111"/>
      <c r="G916" s="111"/>
      <c r="H916" s="111"/>
      <c r="I916" s="100" t="e">
        <f>+#REF!</f>
        <v>#REF!</v>
      </c>
      <c r="J916" s="50"/>
      <c r="K916" s="50"/>
      <c r="L916" s="50"/>
      <c r="M916" s="50"/>
      <c r="N916" s="50"/>
      <c r="O916" s="50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</row>
    <row r="917" spans="1:36" s="48" customFormat="1">
      <c r="A917" s="2"/>
      <c r="B917" s="2"/>
      <c r="C917" s="111"/>
      <c r="D917" s="111"/>
      <c r="E917" s="111"/>
      <c r="F917" s="111"/>
      <c r="G917" s="111"/>
      <c r="H917" s="111"/>
      <c r="I917" s="100" t="e">
        <f>+#REF!</f>
        <v>#REF!</v>
      </c>
      <c r="J917" s="50"/>
      <c r="K917" s="50"/>
      <c r="L917" s="50"/>
      <c r="M917" s="50"/>
      <c r="N917" s="50"/>
      <c r="O917" s="50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</row>
    <row r="918" spans="1:36" s="48" customFormat="1">
      <c r="A918" s="2"/>
      <c r="B918" s="2"/>
      <c r="C918" s="111"/>
      <c r="D918" s="111"/>
      <c r="E918" s="111"/>
      <c r="F918" s="111"/>
      <c r="G918" s="111"/>
      <c r="H918" s="111"/>
      <c r="I918" s="100" t="e">
        <f>+#REF!</f>
        <v>#REF!</v>
      </c>
      <c r="J918" s="50"/>
      <c r="K918" s="50"/>
      <c r="L918" s="50"/>
      <c r="M918" s="50"/>
      <c r="N918" s="50"/>
      <c r="O918" s="50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</row>
    <row r="919" spans="1:36" s="48" customFormat="1">
      <c r="A919" s="2"/>
      <c r="B919" s="2"/>
      <c r="C919" s="111"/>
      <c r="D919" s="111"/>
      <c r="E919" s="111"/>
      <c r="F919" s="111"/>
      <c r="G919" s="111"/>
      <c r="H919" s="111"/>
      <c r="I919" s="100" t="e">
        <f>+#REF!</f>
        <v>#REF!</v>
      </c>
      <c r="J919" s="50"/>
      <c r="K919" s="50"/>
      <c r="L919" s="50"/>
      <c r="M919" s="50"/>
      <c r="N919" s="50"/>
      <c r="O919" s="50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</row>
    <row r="920" spans="1:36" s="48" customFormat="1">
      <c r="A920" s="2"/>
      <c r="B920" s="2"/>
      <c r="C920" s="111"/>
      <c r="D920" s="111"/>
      <c r="E920" s="111"/>
      <c r="F920" s="111"/>
      <c r="G920" s="111"/>
      <c r="H920" s="111"/>
      <c r="I920" s="100" t="e">
        <f>+#REF!</f>
        <v>#REF!</v>
      </c>
      <c r="J920" s="50"/>
      <c r="K920" s="50"/>
      <c r="L920" s="50"/>
      <c r="M920" s="50"/>
      <c r="N920" s="50"/>
      <c r="O920" s="50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</row>
    <row r="921" spans="1:36" s="48" customFormat="1">
      <c r="A921" s="2"/>
      <c r="B921" s="2"/>
      <c r="C921" s="111"/>
      <c r="D921" s="111"/>
      <c r="E921" s="111"/>
      <c r="F921" s="111"/>
      <c r="G921" s="111"/>
      <c r="H921" s="111"/>
      <c r="I921" s="100" t="e">
        <f>+#REF!</f>
        <v>#REF!</v>
      </c>
      <c r="J921" s="50"/>
      <c r="K921" s="50"/>
      <c r="L921" s="50"/>
      <c r="M921" s="50"/>
      <c r="N921" s="50"/>
      <c r="O921" s="50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</row>
    <row r="922" spans="1:36" s="48" customFormat="1">
      <c r="A922" s="2"/>
      <c r="B922" s="2"/>
      <c r="C922" s="111"/>
      <c r="D922" s="111"/>
      <c r="E922" s="111"/>
      <c r="F922" s="111"/>
      <c r="G922" s="111"/>
      <c r="H922" s="111"/>
      <c r="I922" s="100" t="e">
        <f>+#REF!</f>
        <v>#REF!</v>
      </c>
      <c r="J922" s="50"/>
      <c r="K922" s="50"/>
      <c r="L922" s="50"/>
      <c r="M922" s="50"/>
      <c r="N922" s="50"/>
      <c r="O922" s="50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</row>
    <row r="923" spans="1:36" s="48" customFormat="1">
      <c r="A923" s="2"/>
      <c r="B923" s="2"/>
      <c r="C923" s="111"/>
      <c r="D923" s="111"/>
      <c r="E923" s="111"/>
      <c r="F923" s="111"/>
      <c r="G923" s="111"/>
      <c r="H923" s="111"/>
      <c r="I923" s="100" t="e">
        <f>+#REF!</f>
        <v>#REF!</v>
      </c>
      <c r="J923" s="50"/>
      <c r="K923" s="50"/>
      <c r="L923" s="50"/>
      <c r="M923" s="50"/>
      <c r="N923" s="50"/>
      <c r="O923" s="50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</row>
    <row r="924" spans="1:36" s="48" customFormat="1">
      <c r="A924" s="2"/>
      <c r="B924" s="2"/>
      <c r="C924" s="111"/>
      <c r="D924" s="111"/>
      <c r="E924" s="111"/>
      <c r="F924" s="111"/>
      <c r="G924" s="111"/>
      <c r="H924" s="111"/>
      <c r="I924" s="100" t="e">
        <f>+#REF!</f>
        <v>#REF!</v>
      </c>
      <c r="J924" s="50"/>
      <c r="K924" s="50"/>
      <c r="L924" s="50"/>
      <c r="M924" s="50"/>
      <c r="N924" s="50"/>
      <c r="O924" s="50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</row>
    <row r="925" spans="1:36" s="48" customFormat="1">
      <c r="A925" s="2"/>
      <c r="B925" s="2"/>
      <c r="C925" s="111"/>
      <c r="D925" s="111"/>
      <c r="E925" s="111"/>
      <c r="F925" s="111"/>
      <c r="G925" s="111"/>
      <c r="H925" s="111"/>
      <c r="I925" s="100" t="e">
        <f>+#REF!</f>
        <v>#REF!</v>
      </c>
      <c r="J925" s="50"/>
      <c r="K925" s="50"/>
      <c r="L925" s="50"/>
      <c r="M925" s="50"/>
      <c r="N925" s="50"/>
      <c r="O925" s="50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</row>
    <row r="926" spans="1:36" s="48" customFormat="1">
      <c r="A926" s="2"/>
      <c r="B926" s="2"/>
      <c r="C926" s="111"/>
      <c r="D926" s="111"/>
      <c r="E926" s="111"/>
      <c r="F926" s="111"/>
      <c r="G926" s="111"/>
      <c r="H926" s="111"/>
      <c r="I926" s="100" t="e">
        <f>+#REF!</f>
        <v>#REF!</v>
      </c>
      <c r="J926" s="50"/>
      <c r="K926" s="50"/>
      <c r="L926" s="50"/>
      <c r="M926" s="50"/>
      <c r="N926" s="50"/>
      <c r="O926" s="50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</row>
    <row r="927" spans="1:36" s="48" customFormat="1">
      <c r="A927" s="2"/>
      <c r="B927" s="2"/>
      <c r="C927" s="111"/>
      <c r="D927" s="111"/>
      <c r="E927" s="111"/>
      <c r="F927" s="111"/>
      <c r="G927" s="111"/>
      <c r="H927" s="111"/>
      <c r="I927" s="100" t="e">
        <f>+#REF!</f>
        <v>#REF!</v>
      </c>
      <c r="J927" s="50"/>
      <c r="K927" s="50"/>
      <c r="L927" s="50"/>
      <c r="M927" s="50"/>
      <c r="N927" s="50"/>
      <c r="O927" s="50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</row>
    <row r="928" spans="1:36" s="48" customFormat="1">
      <c r="A928" s="2"/>
      <c r="B928" s="2"/>
      <c r="C928" s="111"/>
      <c r="D928" s="111"/>
      <c r="E928" s="111"/>
      <c r="F928" s="111"/>
      <c r="G928" s="111"/>
      <c r="H928" s="111"/>
      <c r="I928" s="100" t="e">
        <f>+#REF!</f>
        <v>#REF!</v>
      </c>
      <c r="J928" s="50"/>
      <c r="K928" s="50"/>
      <c r="L928" s="50"/>
      <c r="M928" s="50"/>
      <c r="N928" s="50"/>
      <c r="O928" s="50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</row>
    <row r="929" spans="1:36" s="48" customFormat="1">
      <c r="A929" s="2"/>
      <c r="B929" s="2"/>
      <c r="C929" s="111"/>
      <c r="D929" s="111"/>
      <c r="E929" s="111"/>
      <c r="F929" s="111"/>
      <c r="G929" s="111"/>
      <c r="H929" s="111"/>
      <c r="I929" s="100" t="e">
        <f>+#REF!</f>
        <v>#REF!</v>
      </c>
      <c r="J929" s="50"/>
      <c r="K929" s="50"/>
      <c r="L929" s="50"/>
      <c r="M929" s="50"/>
      <c r="N929" s="50"/>
      <c r="O929" s="50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</row>
    <row r="930" spans="1:36" s="48" customFormat="1">
      <c r="A930" s="2"/>
      <c r="B930" s="2"/>
      <c r="C930" s="111"/>
      <c r="D930" s="111"/>
      <c r="E930" s="111"/>
      <c r="F930" s="111"/>
      <c r="G930" s="111"/>
      <c r="H930" s="111"/>
      <c r="I930" s="100" t="e">
        <f>+#REF!</f>
        <v>#REF!</v>
      </c>
      <c r="J930" s="50"/>
      <c r="K930" s="50"/>
      <c r="L930" s="50"/>
      <c r="M930" s="50"/>
      <c r="N930" s="50"/>
      <c r="O930" s="50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</row>
    <row r="931" spans="1:36" s="48" customFormat="1">
      <c r="A931" s="2"/>
      <c r="B931" s="2"/>
      <c r="C931" s="111"/>
      <c r="D931" s="111"/>
      <c r="E931" s="111"/>
      <c r="F931" s="111"/>
      <c r="G931" s="111"/>
      <c r="H931" s="111"/>
      <c r="I931" s="100" t="e">
        <f>+#REF!</f>
        <v>#REF!</v>
      </c>
      <c r="J931" s="50"/>
      <c r="K931" s="50"/>
      <c r="L931" s="50"/>
      <c r="M931" s="50"/>
      <c r="N931" s="50"/>
      <c r="O931" s="50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</row>
    <row r="932" spans="1:36" s="48" customFormat="1">
      <c r="A932" s="2"/>
      <c r="B932" s="2"/>
      <c r="C932" s="111"/>
      <c r="D932" s="111"/>
      <c r="E932" s="111"/>
      <c r="F932" s="111"/>
      <c r="G932" s="111"/>
      <c r="H932" s="111"/>
      <c r="I932" s="100" t="e">
        <f>+#REF!</f>
        <v>#REF!</v>
      </c>
      <c r="J932" s="50"/>
      <c r="K932" s="50"/>
      <c r="L932" s="50"/>
      <c r="M932" s="50"/>
      <c r="N932" s="50"/>
      <c r="O932" s="50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</row>
    <row r="933" spans="1:36" s="48" customFormat="1">
      <c r="A933" s="2"/>
      <c r="B933" s="2"/>
      <c r="C933" s="111"/>
      <c r="D933" s="111"/>
      <c r="E933" s="111"/>
      <c r="F933" s="111"/>
      <c r="G933" s="111"/>
      <c r="H933" s="111"/>
      <c r="I933" s="100" t="e">
        <f>+#REF!</f>
        <v>#REF!</v>
      </c>
      <c r="J933" s="50"/>
      <c r="K933" s="50"/>
      <c r="L933" s="50"/>
      <c r="M933" s="50"/>
      <c r="N933" s="50"/>
      <c r="O933" s="50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</row>
    <row r="934" spans="1:36" s="48" customFormat="1">
      <c r="A934" s="2"/>
      <c r="B934" s="2"/>
      <c r="C934" s="111"/>
      <c r="D934" s="111"/>
      <c r="E934" s="111"/>
      <c r="F934" s="111"/>
      <c r="G934" s="111"/>
      <c r="H934" s="111"/>
      <c r="I934" s="100" t="e">
        <f>+#REF!</f>
        <v>#REF!</v>
      </c>
      <c r="J934" s="50"/>
      <c r="K934" s="50"/>
      <c r="L934" s="50"/>
      <c r="M934" s="50"/>
      <c r="N934" s="50"/>
      <c r="O934" s="50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</row>
    <row r="935" spans="1:36">
      <c r="I935" s="100" t="e">
        <f>+#REF!</f>
        <v>#REF!</v>
      </c>
    </row>
    <row r="936" spans="1:36">
      <c r="I936" s="100" t="e">
        <f>+#REF!</f>
        <v>#REF!</v>
      </c>
    </row>
    <row r="937" spans="1:36">
      <c r="I937" s="100" t="e">
        <f>+#REF!</f>
        <v>#REF!</v>
      </c>
    </row>
    <row r="938" spans="1:36">
      <c r="I938" s="100" t="e">
        <f>+#REF!</f>
        <v>#REF!</v>
      </c>
    </row>
    <row r="939" spans="1:36">
      <c r="I939" s="100" t="e">
        <f>+#REF!</f>
        <v>#REF!</v>
      </c>
    </row>
    <row r="940" spans="1:36">
      <c r="I940" s="100" t="e">
        <f>+#REF!</f>
        <v>#REF!</v>
      </c>
    </row>
    <row r="941" spans="1:36">
      <c r="I941" s="100" t="e">
        <f>+#REF!</f>
        <v>#REF!</v>
      </c>
    </row>
    <row r="942" spans="1:36">
      <c r="I942" s="100" t="e">
        <f>+#REF!</f>
        <v>#REF!</v>
      </c>
    </row>
    <row r="943" spans="1:36">
      <c r="I943" s="100" t="e">
        <f>+#REF!</f>
        <v>#REF!</v>
      </c>
    </row>
    <row r="944" spans="1:36">
      <c r="I944" s="100" t="e">
        <f>+#REF!</f>
        <v>#REF!</v>
      </c>
    </row>
    <row r="945" spans="9:9">
      <c r="I945" s="100" t="e">
        <f>+#REF!</f>
        <v>#REF!</v>
      </c>
    </row>
    <row r="946" spans="9:9">
      <c r="I946" s="100" t="e">
        <f>+#REF!</f>
        <v>#REF!</v>
      </c>
    </row>
    <row r="947" spans="9:9">
      <c r="I947" s="100" t="e">
        <f>+#REF!</f>
        <v>#REF!</v>
      </c>
    </row>
    <row r="948" spans="9:9">
      <c r="I948" s="100" t="e">
        <f>+#REF!</f>
        <v>#REF!</v>
      </c>
    </row>
    <row r="949" spans="9:9">
      <c r="I949" s="100" t="e">
        <f>+#REF!</f>
        <v>#REF!</v>
      </c>
    </row>
    <row r="950" spans="9:9">
      <c r="I950" s="100" t="e">
        <f>+#REF!</f>
        <v>#REF!</v>
      </c>
    </row>
    <row r="951" spans="9:9">
      <c r="I951" s="100" t="e">
        <f>+#REF!</f>
        <v>#REF!</v>
      </c>
    </row>
    <row r="952" spans="9:9">
      <c r="I952" s="100" t="e">
        <f>+#REF!</f>
        <v>#REF!</v>
      </c>
    </row>
    <row r="953" spans="9:9">
      <c r="I953" s="100" t="e">
        <f>+#REF!</f>
        <v>#REF!</v>
      </c>
    </row>
    <row r="954" spans="9:9">
      <c r="I954" s="100" t="e">
        <f>+#REF!</f>
        <v>#REF!</v>
      </c>
    </row>
    <row r="955" spans="9:9">
      <c r="I955" s="100" t="e">
        <f>+#REF!</f>
        <v>#REF!</v>
      </c>
    </row>
    <row r="956" spans="9:9">
      <c r="I956" s="100" t="e">
        <f>+#REF!</f>
        <v>#REF!</v>
      </c>
    </row>
    <row r="957" spans="9:9">
      <c r="I957" s="100" t="e">
        <f>+#REF!</f>
        <v>#REF!</v>
      </c>
    </row>
    <row r="958" spans="9:9">
      <c r="I958" s="100" t="e">
        <f>+#REF!</f>
        <v>#REF!</v>
      </c>
    </row>
    <row r="959" spans="9:9">
      <c r="I959" s="100" t="e">
        <f>+#REF!</f>
        <v>#REF!</v>
      </c>
    </row>
    <row r="960" spans="9:9">
      <c r="I960" s="100" t="e">
        <f>+#REF!</f>
        <v>#REF!</v>
      </c>
    </row>
    <row r="961" spans="9:9">
      <c r="I961" s="100" t="e">
        <f>+#REF!</f>
        <v>#REF!</v>
      </c>
    </row>
    <row r="962" spans="9:9">
      <c r="I962" s="100" t="e">
        <f>+#REF!</f>
        <v>#REF!</v>
      </c>
    </row>
    <row r="963" spans="9:9">
      <c r="I963" s="100" t="e">
        <f>+#REF!</f>
        <v>#REF!</v>
      </c>
    </row>
    <row r="964" spans="9:9">
      <c r="I964" s="100" t="e">
        <f>+#REF!</f>
        <v>#REF!</v>
      </c>
    </row>
    <row r="965" spans="9:9">
      <c r="I965" s="100" t="e">
        <f>+#REF!</f>
        <v>#REF!</v>
      </c>
    </row>
    <row r="966" spans="9:9">
      <c r="I966" s="100" t="e">
        <f>+#REF!</f>
        <v>#REF!</v>
      </c>
    </row>
    <row r="967" spans="9:9">
      <c r="I967" s="100" t="e">
        <f>+#REF!</f>
        <v>#REF!</v>
      </c>
    </row>
    <row r="968" spans="9:9">
      <c r="I968" s="100" t="e">
        <f>+#REF!</f>
        <v>#REF!</v>
      </c>
    </row>
    <row r="969" spans="9:9">
      <c r="I969" s="100" t="e">
        <f>+#REF!</f>
        <v>#REF!</v>
      </c>
    </row>
    <row r="970" spans="9:9">
      <c r="I970" s="100" t="e">
        <f>+#REF!</f>
        <v>#REF!</v>
      </c>
    </row>
    <row r="971" spans="9:9">
      <c r="I971" s="100" t="e">
        <f>+#REF!</f>
        <v>#REF!</v>
      </c>
    </row>
    <row r="972" spans="9:9">
      <c r="I972" s="100" t="e">
        <f>+#REF!</f>
        <v>#REF!</v>
      </c>
    </row>
    <row r="973" spans="9:9">
      <c r="I973" s="100" t="e">
        <f>+#REF!</f>
        <v>#REF!</v>
      </c>
    </row>
    <row r="974" spans="9:9">
      <c r="I974" s="100" t="e">
        <f>+#REF!</f>
        <v>#REF!</v>
      </c>
    </row>
    <row r="975" spans="9:9">
      <c r="I975" s="100" t="e">
        <f>+#REF!</f>
        <v>#REF!</v>
      </c>
    </row>
    <row r="976" spans="9:9">
      <c r="I976" s="100" t="e">
        <f>+#REF!</f>
        <v>#REF!</v>
      </c>
    </row>
    <row r="977" spans="9:9">
      <c r="I977" s="100" t="e">
        <f>+#REF!</f>
        <v>#REF!</v>
      </c>
    </row>
    <row r="978" spans="9:9">
      <c r="I978" s="100" t="e">
        <f>+#REF!</f>
        <v>#REF!</v>
      </c>
    </row>
    <row r="979" spans="9:9">
      <c r="I979" s="100" t="e">
        <f>+#REF!</f>
        <v>#REF!</v>
      </c>
    </row>
    <row r="980" spans="9:9">
      <c r="I980" s="100" t="e">
        <f>+#REF!</f>
        <v>#REF!</v>
      </c>
    </row>
    <row r="981" spans="9:9">
      <c r="I981" s="100" t="e">
        <f>+#REF!</f>
        <v>#REF!</v>
      </c>
    </row>
    <row r="982" spans="9:9">
      <c r="I982" s="100" t="e">
        <f>+#REF!</f>
        <v>#REF!</v>
      </c>
    </row>
    <row r="983" spans="9:9">
      <c r="I983" s="100" t="e">
        <f>+#REF!</f>
        <v>#REF!</v>
      </c>
    </row>
    <row r="984" spans="9:9">
      <c r="I984" s="100" t="e">
        <f>+#REF!</f>
        <v>#REF!</v>
      </c>
    </row>
    <row r="985" spans="9:9">
      <c r="I985" s="100" t="e">
        <f>+#REF!</f>
        <v>#REF!</v>
      </c>
    </row>
    <row r="986" spans="9:9">
      <c r="I986" s="100" t="e">
        <f>+#REF!</f>
        <v>#REF!</v>
      </c>
    </row>
    <row r="987" spans="9:9">
      <c r="I987" s="100" t="e">
        <f>+#REF!</f>
        <v>#REF!</v>
      </c>
    </row>
    <row r="988" spans="9:9">
      <c r="I988" s="100" t="e">
        <f>+#REF!</f>
        <v>#REF!</v>
      </c>
    </row>
    <row r="989" spans="9:9">
      <c r="I989" s="100" t="e">
        <f>+#REF!</f>
        <v>#REF!</v>
      </c>
    </row>
    <row r="990" spans="9:9">
      <c r="I990" s="100" t="e">
        <f>+#REF!</f>
        <v>#REF!</v>
      </c>
    </row>
    <row r="991" spans="9:9">
      <c r="I991" s="100" t="e">
        <f>+#REF!</f>
        <v>#REF!</v>
      </c>
    </row>
    <row r="992" spans="9:9">
      <c r="I992" s="100" t="e">
        <f>+#REF!</f>
        <v>#REF!</v>
      </c>
    </row>
    <row r="993" spans="9:9">
      <c r="I993" s="100" t="e">
        <f>+#REF!</f>
        <v>#REF!</v>
      </c>
    </row>
    <row r="994" spans="9:9">
      <c r="I994" s="100" t="e">
        <f>+#REF!</f>
        <v>#REF!</v>
      </c>
    </row>
    <row r="995" spans="9:9">
      <c r="I995" s="100" t="e">
        <f>+#REF!</f>
        <v>#REF!</v>
      </c>
    </row>
    <row r="996" spans="9:9">
      <c r="I996" s="100" t="e">
        <f>+#REF!</f>
        <v>#REF!</v>
      </c>
    </row>
    <row r="997" spans="9:9">
      <c r="I997" s="100" t="e">
        <f>+#REF!</f>
        <v>#REF!</v>
      </c>
    </row>
    <row r="998" spans="9:9">
      <c r="I998" s="100" t="e">
        <f>+#REF!</f>
        <v>#REF!</v>
      </c>
    </row>
    <row r="999" spans="9:9">
      <c r="I999" s="100" t="e">
        <f>+#REF!</f>
        <v>#REF!</v>
      </c>
    </row>
    <row r="1000" spans="9:9">
      <c r="I1000" s="100" t="e">
        <f>+#REF!</f>
        <v>#REF!</v>
      </c>
    </row>
    <row r="1001" spans="9:9">
      <c r="I1001" s="100" t="e">
        <f>+#REF!</f>
        <v>#REF!</v>
      </c>
    </row>
    <row r="1002" spans="9:9">
      <c r="I1002" s="100" t="e">
        <f>+#REF!</f>
        <v>#REF!</v>
      </c>
    </row>
    <row r="1003" spans="9:9">
      <c r="I1003" s="100" t="e">
        <f>+#REF!</f>
        <v>#REF!</v>
      </c>
    </row>
    <row r="1004" spans="9:9">
      <c r="I1004" s="100" t="e">
        <f>+#REF!</f>
        <v>#REF!</v>
      </c>
    </row>
    <row r="1005" spans="9:9">
      <c r="I1005" s="100" t="e">
        <f>+#REF!</f>
        <v>#REF!</v>
      </c>
    </row>
    <row r="1006" spans="9:9">
      <c r="I1006" s="100" t="e">
        <f>+#REF!</f>
        <v>#REF!</v>
      </c>
    </row>
    <row r="1007" spans="9:9">
      <c r="I1007" s="100" t="e">
        <f>+#REF!</f>
        <v>#REF!</v>
      </c>
    </row>
    <row r="1008" spans="9:9">
      <c r="I1008" s="100" t="e">
        <f>+#REF!</f>
        <v>#REF!</v>
      </c>
    </row>
    <row r="1009" spans="9:9">
      <c r="I1009" s="100" t="e">
        <f>+#REF!</f>
        <v>#REF!</v>
      </c>
    </row>
    <row r="1010" spans="9:9">
      <c r="I1010" s="100" t="e">
        <f>+#REF!</f>
        <v>#REF!</v>
      </c>
    </row>
    <row r="1011" spans="9:9">
      <c r="I1011" s="100" t="e">
        <f>+#REF!</f>
        <v>#REF!</v>
      </c>
    </row>
    <row r="1012" spans="9:9">
      <c r="I1012" s="100" t="e">
        <f>+#REF!</f>
        <v>#REF!</v>
      </c>
    </row>
    <row r="1013" spans="9:9">
      <c r="I1013" s="100" t="e">
        <f>+#REF!</f>
        <v>#REF!</v>
      </c>
    </row>
    <row r="1014" spans="9:9">
      <c r="I1014" s="100" t="e">
        <f>+#REF!</f>
        <v>#REF!</v>
      </c>
    </row>
    <row r="1015" spans="9:9">
      <c r="I1015" s="100" t="e">
        <f>+#REF!</f>
        <v>#REF!</v>
      </c>
    </row>
    <row r="1016" spans="9:9">
      <c r="I1016" s="100" t="e">
        <f>+#REF!</f>
        <v>#REF!</v>
      </c>
    </row>
    <row r="1017" spans="9:9">
      <c r="I1017" s="100" t="e">
        <f>+#REF!</f>
        <v>#REF!</v>
      </c>
    </row>
    <row r="1018" spans="9:9">
      <c r="I1018" s="100" t="e">
        <f>+#REF!</f>
        <v>#REF!</v>
      </c>
    </row>
    <row r="1019" spans="9:9">
      <c r="I1019" s="100" t="e">
        <f>+#REF!</f>
        <v>#REF!</v>
      </c>
    </row>
    <row r="1020" spans="9:9">
      <c r="I1020" s="100" t="e">
        <f>+#REF!</f>
        <v>#REF!</v>
      </c>
    </row>
    <row r="1021" spans="9:9">
      <c r="I1021" s="100" t="e">
        <f>+#REF!</f>
        <v>#REF!</v>
      </c>
    </row>
    <row r="1022" spans="9:9">
      <c r="I1022" s="100" t="e">
        <f>+#REF!</f>
        <v>#REF!</v>
      </c>
    </row>
    <row r="1023" spans="9:9">
      <c r="I1023" s="100" t="e">
        <f>+#REF!</f>
        <v>#REF!</v>
      </c>
    </row>
    <row r="1024" spans="9:9">
      <c r="I1024" s="100" t="e">
        <f>+#REF!</f>
        <v>#REF!</v>
      </c>
    </row>
    <row r="1025" spans="9:9">
      <c r="I1025" s="100" t="e">
        <f>+#REF!</f>
        <v>#REF!</v>
      </c>
    </row>
    <row r="1026" spans="9:9">
      <c r="I1026" s="100" t="e">
        <f>+#REF!</f>
        <v>#REF!</v>
      </c>
    </row>
    <row r="1027" spans="9:9">
      <c r="I1027" s="100" t="e">
        <f>+#REF!</f>
        <v>#REF!</v>
      </c>
    </row>
    <row r="1028" spans="9:9">
      <c r="I1028" s="100" t="e">
        <f>+#REF!</f>
        <v>#REF!</v>
      </c>
    </row>
    <row r="1029" spans="9:9">
      <c r="I1029" s="100" t="e">
        <f>+#REF!</f>
        <v>#REF!</v>
      </c>
    </row>
    <row r="1030" spans="9:9">
      <c r="I1030" s="100" t="e">
        <f>+#REF!</f>
        <v>#REF!</v>
      </c>
    </row>
    <row r="1031" spans="9:9">
      <c r="I1031" s="100" t="e">
        <f>+#REF!</f>
        <v>#REF!</v>
      </c>
    </row>
    <row r="1032" spans="9:9">
      <c r="I1032" s="100" t="e">
        <f>+#REF!</f>
        <v>#REF!</v>
      </c>
    </row>
    <row r="1033" spans="9:9">
      <c r="I1033" s="100" t="e">
        <f>+#REF!</f>
        <v>#REF!</v>
      </c>
    </row>
    <row r="1034" spans="9:9">
      <c r="I1034" s="100" t="e">
        <f>+#REF!</f>
        <v>#REF!</v>
      </c>
    </row>
    <row r="1035" spans="9:9">
      <c r="I1035" s="100" t="e">
        <f>+#REF!</f>
        <v>#REF!</v>
      </c>
    </row>
    <row r="1036" spans="9:9">
      <c r="I1036" s="100" t="e">
        <f>+#REF!</f>
        <v>#REF!</v>
      </c>
    </row>
    <row r="1037" spans="9:9">
      <c r="I1037" s="100" t="e">
        <f>+#REF!</f>
        <v>#REF!</v>
      </c>
    </row>
    <row r="1038" spans="9:9">
      <c r="I1038" s="100" t="e">
        <f>+#REF!</f>
        <v>#REF!</v>
      </c>
    </row>
    <row r="1039" spans="9:9">
      <c r="I1039" s="28"/>
    </row>
    <row r="1040" spans="9:9">
      <c r="I1040" s="28"/>
    </row>
    <row r="1041" spans="9:9">
      <c r="I1041" s="28"/>
    </row>
    <row r="1042" spans="9:9">
      <c r="I1042" s="28"/>
    </row>
    <row r="1043" spans="9:9">
      <c r="I1043" s="28"/>
    </row>
    <row r="1044" spans="9:9">
      <c r="I1044" s="28"/>
    </row>
    <row r="1045" spans="9:9">
      <c r="I1045" s="28"/>
    </row>
    <row r="1046" spans="9:9">
      <c r="I1046" s="28"/>
    </row>
    <row r="1047" spans="9:9">
      <c r="I1047" s="28"/>
    </row>
    <row r="1048" spans="9:9">
      <c r="I1048" s="28"/>
    </row>
    <row r="1049" spans="9:9">
      <c r="I1049" s="28"/>
    </row>
    <row r="1050" spans="9:9">
      <c r="I1050" s="28"/>
    </row>
    <row r="1051" spans="9:9">
      <c r="I1051" s="28"/>
    </row>
    <row r="1052" spans="9:9">
      <c r="I1052" s="28"/>
    </row>
    <row r="1053" spans="9:9">
      <c r="I1053" s="28"/>
    </row>
    <row r="1054" spans="9:9">
      <c r="I1054" s="28"/>
    </row>
    <row r="1055" spans="9:9">
      <c r="I1055" s="28"/>
    </row>
    <row r="1056" spans="9:9">
      <c r="I1056" s="28"/>
    </row>
    <row r="1057" spans="9:9">
      <c r="I1057" s="28"/>
    </row>
    <row r="1058" spans="9:9">
      <c r="I1058" s="28"/>
    </row>
    <row r="1059" spans="9:9">
      <c r="I1059" s="28"/>
    </row>
    <row r="1060" spans="9:9">
      <c r="I1060" s="28"/>
    </row>
    <row r="1061" spans="9:9">
      <c r="I1061" s="28"/>
    </row>
    <row r="1062" spans="9:9">
      <c r="I1062" s="28"/>
    </row>
    <row r="1063" spans="9:9">
      <c r="I1063" s="28"/>
    </row>
    <row r="1064" spans="9:9">
      <c r="I1064" s="28"/>
    </row>
    <row r="1065" spans="9:9">
      <c r="I1065" s="28"/>
    </row>
    <row r="1066" spans="9:9">
      <c r="I1066" s="28"/>
    </row>
    <row r="1067" spans="9:9">
      <c r="I1067" s="28"/>
    </row>
    <row r="1068" spans="9:9">
      <c r="I1068" s="28"/>
    </row>
    <row r="1069" spans="9:9">
      <c r="I1069" s="28"/>
    </row>
    <row r="1070" spans="9:9">
      <c r="I1070" s="28"/>
    </row>
    <row r="1071" spans="9:9">
      <c r="I1071" s="28"/>
    </row>
    <row r="1072" spans="9:9">
      <c r="I1072" s="28"/>
    </row>
    <row r="1073" spans="9:9">
      <c r="I1073" s="28"/>
    </row>
    <row r="1074" spans="9:9">
      <c r="I1074" s="28"/>
    </row>
    <row r="1075" spans="9:9">
      <c r="I1075" s="28"/>
    </row>
    <row r="1076" spans="9:9">
      <c r="I1076" s="28"/>
    </row>
    <row r="1077" spans="9:9">
      <c r="I1077" s="28"/>
    </row>
    <row r="1078" spans="9:9">
      <c r="I1078" s="28"/>
    </row>
    <row r="1079" spans="9:9">
      <c r="I1079" s="28"/>
    </row>
    <row r="1080" spans="9:9">
      <c r="I1080" s="28"/>
    </row>
    <row r="1081" spans="9:9">
      <c r="I1081" s="28"/>
    </row>
    <row r="1082" spans="9:9">
      <c r="I1082" s="28"/>
    </row>
    <row r="1083" spans="9:9">
      <c r="I1083" s="28"/>
    </row>
    <row r="1084" spans="9:9">
      <c r="I1084" s="28"/>
    </row>
    <row r="1085" spans="9:9">
      <c r="I1085" s="28"/>
    </row>
    <row r="1086" spans="9:9">
      <c r="I1086" s="28"/>
    </row>
    <row r="1087" spans="9:9">
      <c r="I1087" s="28"/>
    </row>
    <row r="1088" spans="9:9">
      <c r="I1088" s="28"/>
    </row>
    <row r="1089" spans="9:9">
      <c r="I1089" s="28"/>
    </row>
    <row r="1090" spans="9:9">
      <c r="I1090" s="28"/>
    </row>
    <row r="1091" spans="9:9">
      <c r="I1091" s="28"/>
    </row>
    <row r="1092" spans="9:9">
      <c r="I1092" s="28"/>
    </row>
    <row r="1093" spans="9:9">
      <c r="I1093" s="28"/>
    </row>
    <row r="1094" spans="9:9">
      <c r="I1094" s="28"/>
    </row>
    <row r="1095" spans="9:9">
      <c r="I1095" s="28"/>
    </row>
    <row r="1096" spans="9:9">
      <c r="I1096" s="28"/>
    </row>
    <row r="1097" spans="9:9">
      <c r="I1097" s="28"/>
    </row>
    <row r="1098" spans="9:9">
      <c r="I1098" s="28"/>
    </row>
    <row r="1099" spans="9:9">
      <c r="I1099" s="28"/>
    </row>
    <row r="1100" spans="9:9">
      <c r="I1100" s="28"/>
    </row>
    <row r="1101" spans="9:9">
      <c r="I1101" s="28"/>
    </row>
    <row r="1102" spans="9:9">
      <c r="I1102" s="28"/>
    </row>
    <row r="1103" spans="9:9">
      <c r="I1103" s="28"/>
    </row>
    <row r="1104" spans="9:9">
      <c r="I1104" s="28"/>
    </row>
    <row r="1105" spans="9:9">
      <c r="I1105" s="28"/>
    </row>
    <row r="1106" spans="9:9">
      <c r="I1106" s="28"/>
    </row>
    <row r="1107" spans="9:9">
      <c r="I1107" s="28"/>
    </row>
    <row r="1108" spans="9:9">
      <c r="I1108" s="28"/>
    </row>
    <row r="1109" spans="9:9">
      <c r="I1109" s="28"/>
    </row>
    <row r="1110" spans="9:9">
      <c r="I1110" s="28"/>
    </row>
    <row r="1111" spans="9:9">
      <c r="I1111" s="28"/>
    </row>
    <row r="1112" spans="9:9">
      <c r="I1112" s="28"/>
    </row>
    <row r="1113" spans="9:9">
      <c r="I1113" s="28"/>
    </row>
    <row r="1114" spans="9:9">
      <c r="I1114" s="28"/>
    </row>
    <row r="1115" spans="9:9">
      <c r="I1115" s="28"/>
    </row>
    <row r="1116" spans="9:9">
      <c r="I1116" s="28"/>
    </row>
    <row r="1117" spans="9:9">
      <c r="I1117" s="28"/>
    </row>
    <row r="1118" spans="9:9">
      <c r="I1118" s="28"/>
    </row>
    <row r="1119" spans="9:9">
      <c r="I1119" s="28"/>
    </row>
    <row r="1120" spans="9:9">
      <c r="I1120" s="28"/>
    </row>
    <row r="1121" spans="9:9">
      <c r="I1121" s="28"/>
    </row>
    <row r="1122" spans="9:9">
      <c r="I1122" s="28"/>
    </row>
    <row r="1123" spans="9:9">
      <c r="I1123" s="28"/>
    </row>
    <row r="1124" spans="9:9">
      <c r="I1124" s="28"/>
    </row>
    <row r="1125" spans="9:9">
      <c r="I1125" s="28"/>
    </row>
    <row r="1126" spans="9:9">
      <c r="I1126" s="28"/>
    </row>
    <row r="1127" spans="9:9">
      <c r="I1127" s="28"/>
    </row>
    <row r="1128" spans="9:9">
      <c r="I1128" s="28"/>
    </row>
    <row r="1129" spans="9:9">
      <c r="I1129" s="28"/>
    </row>
    <row r="1130" spans="9:9">
      <c r="I1130" s="28"/>
    </row>
    <row r="1131" spans="9:9">
      <c r="I1131" s="28"/>
    </row>
    <row r="1132" spans="9:9">
      <c r="I1132" s="28"/>
    </row>
    <row r="1133" spans="9:9">
      <c r="I1133" s="28"/>
    </row>
    <row r="1134" spans="9:9">
      <c r="I1134" s="28"/>
    </row>
    <row r="1135" spans="9:9">
      <c r="I1135" s="28"/>
    </row>
    <row r="1136" spans="9:9">
      <c r="I1136" s="28"/>
    </row>
    <row r="1137" spans="9:9">
      <c r="I1137" s="28"/>
    </row>
    <row r="1138" spans="9:9">
      <c r="I1138" s="28"/>
    </row>
    <row r="1139" spans="9:9">
      <c r="I1139" s="28"/>
    </row>
    <row r="1140" spans="9:9">
      <c r="I1140" s="28"/>
    </row>
    <row r="1141" spans="9:9">
      <c r="I1141" s="28"/>
    </row>
    <row r="1142" spans="9:9">
      <c r="I1142" s="28"/>
    </row>
    <row r="1143" spans="9:9">
      <c r="I1143" s="28"/>
    </row>
    <row r="1144" spans="9:9">
      <c r="I1144" s="28"/>
    </row>
    <row r="1145" spans="9:9">
      <c r="I1145" s="28"/>
    </row>
    <row r="1146" spans="9:9">
      <c r="I1146" s="28"/>
    </row>
    <row r="1147" spans="9:9">
      <c r="I1147" s="28"/>
    </row>
    <row r="1148" spans="9:9">
      <c r="I1148" s="28"/>
    </row>
    <row r="1149" spans="9:9">
      <c r="I1149" s="28"/>
    </row>
    <row r="1150" spans="9:9">
      <c r="I1150" s="28"/>
    </row>
    <row r="1151" spans="9:9">
      <c r="I1151" s="28"/>
    </row>
    <row r="1152" spans="9:9">
      <c r="I1152" s="28"/>
    </row>
    <row r="1153" spans="9:9">
      <c r="I1153" s="28"/>
    </row>
    <row r="1154" spans="9:9">
      <c r="I1154" s="28"/>
    </row>
    <row r="1155" spans="9:9">
      <c r="I1155" s="28"/>
    </row>
    <row r="1156" spans="9:9">
      <c r="I1156" s="28"/>
    </row>
    <row r="1157" spans="9:9">
      <c r="I1157" s="28"/>
    </row>
    <row r="1158" spans="9:9">
      <c r="I1158" s="28"/>
    </row>
    <row r="1159" spans="9:9">
      <c r="I1159" s="28"/>
    </row>
    <row r="1160" spans="9:9">
      <c r="I1160" s="28"/>
    </row>
    <row r="1161" spans="9:9">
      <c r="I1161" s="28"/>
    </row>
    <row r="1162" spans="9:9">
      <c r="I1162" s="28"/>
    </row>
    <row r="1163" spans="9:9">
      <c r="I1163" s="28"/>
    </row>
    <row r="1164" spans="9:9">
      <c r="I1164" s="28"/>
    </row>
    <row r="1165" spans="9:9">
      <c r="I1165" s="28"/>
    </row>
    <row r="1166" spans="9:9">
      <c r="I1166" s="28"/>
    </row>
    <row r="1167" spans="9:9">
      <c r="I1167" s="28"/>
    </row>
    <row r="1168" spans="9:9">
      <c r="I1168" s="28"/>
    </row>
    <row r="1169" spans="9:9">
      <c r="I1169" s="28"/>
    </row>
    <row r="1170" spans="9:9">
      <c r="I1170" s="28"/>
    </row>
    <row r="1171" spans="9:9">
      <c r="I1171" s="28"/>
    </row>
    <row r="1172" spans="9:9">
      <c r="I1172" s="28"/>
    </row>
    <row r="1173" spans="9:9">
      <c r="I1173" s="28"/>
    </row>
    <row r="1174" spans="9:9">
      <c r="I1174" s="28"/>
    </row>
    <row r="1175" spans="9:9">
      <c r="I1175" s="28"/>
    </row>
    <row r="1176" spans="9:9">
      <c r="I1176" s="28"/>
    </row>
    <row r="1177" spans="9:9">
      <c r="I1177" s="28"/>
    </row>
    <row r="1178" spans="9:9">
      <c r="I1178" s="28"/>
    </row>
    <row r="1179" spans="9:9">
      <c r="I1179" s="28"/>
    </row>
    <row r="1180" spans="9:9">
      <c r="I1180" s="28"/>
    </row>
    <row r="1181" spans="9:9">
      <c r="I1181" s="28"/>
    </row>
    <row r="1182" spans="9:9">
      <c r="I1182" s="28"/>
    </row>
    <row r="1183" spans="9:9">
      <c r="I1183" s="28"/>
    </row>
    <row r="1184" spans="9:9">
      <c r="I1184" s="28"/>
    </row>
    <row r="1185" spans="9:9">
      <c r="I1185" s="28"/>
    </row>
    <row r="1186" spans="9:9">
      <c r="I1186" s="28"/>
    </row>
    <row r="1187" spans="9:9">
      <c r="I1187" s="28"/>
    </row>
    <row r="1188" spans="9:9">
      <c r="I1188" s="28"/>
    </row>
    <row r="1189" spans="9:9">
      <c r="I1189" s="28"/>
    </row>
    <row r="1190" spans="9:9">
      <c r="I1190" s="28"/>
    </row>
    <row r="1191" spans="9:9">
      <c r="I1191" s="28"/>
    </row>
    <row r="1192" spans="9:9">
      <c r="I1192" s="28"/>
    </row>
    <row r="1193" spans="9:9">
      <c r="I1193" s="28"/>
    </row>
    <row r="1194" spans="9:9">
      <c r="I1194" s="28"/>
    </row>
    <row r="1195" spans="9:9">
      <c r="I1195" s="28"/>
    </row>
    <row r="1196" spans="9:9">
      <c r="I1196" s="28"/>
    </row>
    <row r="1197" spans="9:9">
      <c r="I1197" s="28"/>
    </row>
    <row r="1198" spans="9:9">
      <c r="I1198" s="28"/>
    </row>
    <row r="1199" spans="9:9">
      <c r="I1199" s="28"/>
    </row>
    <row r="1200" spans="9:9">
      <c r="I1200" s="28"/>
    </row>
    <row r="1201" spans="9:9">
      <c r="I1201" s="28"/>
    </row>
    <row r="1202" spans="9:9">
      <c r="I1202" s="28"/>
    </row>
    <row r="1203" spans="9:9">
      <c r="I1203" s="28"/>
    </row>
    <row r="1204" spans="9:9">
      <c r="I1204" s="28"/>
    </row>
    <row r="1205" spans="9:9">
      <c r="I1205" s="28"/>
    </row>
    <row r="1206" spans="9:9">
      <c r="I1206" s="28"/>
    </row>
    <row r="1207" spans="9:9">
      <c r="I1207" s="28"/>
    </row>
    <row r="1208" spans="9:9">
      <c r="I1208" s="28"/>
    </row>
    <row r="1209" spans="9:9">
      <c r="I1209" s="28"/>
    </row>
    <row r="1210" spans="9:9">
      <c r="I1210" s="28"/>
    </row>
    <row r="1211" spans="9:9">
      <c r="I1211" s="28"/>
    </row>
    <row r="1212" spans="9:9">
      <c r="I1212" s="28"/>
    </row>
    <row r="1213" spans="9:9">
      <c r="I1213" s="28"/>
    </row>
    <row r="1214" spans="9:9">
      <c r="I1214" s="28"/>
    </row>
    <row r="1215" spans="9:9">
      <c r="I1215" s="28"/>
    </row>
    <row r="1216" spans="9:9">
      <c r="I1216" s="28"/>
    </row>
    <row r="1217" spans="9:9">
      <c r="I1217" s="28"/>
    </row>
    <row r="1218" spans="9:9">
      <c r="I1218" s="28"/>
    </row>
    <row r="1219" spans="9:9">
      <c r="I1219" s="28"/>
    </row>
    <row r="1220" spans="9:9">
      <c r="I1220" s="28"/>
    </row>
    <row r="1221" spans="9:9">
      <c r="I1221" s="28"/>
    </row>
    <row r="1222" spans="9:9">
      <c r="I1222" s="28"/>
    </row>
    <row r="1223" spans="9:9">
      <c r="I1223" s="28"/>
    </row>
    <row r="1224" spans="9:9">
      <c r="I1224" s="28"/>
    </row>
    <row r="1225" spans="9:9">
      <c r="I1225" s="28"/>
    </row>
    <row r="1226" spans="9:9">
      <c r="I1226" s="28"/>
    </row>
    <row r="1227" spans="9:9">
      <c r="I1227" s="28"/>
    </row>
    <row r="1228" spans="9:9">
      <c r="I1228" s="28"/>
    </row>
    <row r="1229" spans="9:9">
      <c r="I1229" s="28"/>
    </row>
    <row r="1230" spans="9:9">
      <c r="I1230" s="28"/>
    </row>
    <row r="1231" spans="9:9">
      <c r="I1231" s="28"/>
    </row>
    <row r="1232" spans="9:9">
      <c r="I1232" s="28"/>
    </row>
    <row r="1233" spans="9:9">
      <c r="I1233" s="28"/>
    </row>
    <row r="1234" spans="9:9">
      <c r="I1234" s="28"/>
    </row>
    <row r="1235" spans="9:9">
      <c r="I1235" s="28"/>
    </row>
    <row r="1236" spans="9:9">
      <c r="I1236" s="28"/>
    </row>
    <row r="1237" spans="9:9">
      <c r="I1237" s="28"/>
    </row>
    <row r="1238" spans="9:9">
      <c r="I1238" s="28"/>
    </row>
    <row r="1239" spans="9:9">
      <c r="I1239" s="28"/>
    </row>
    <row r="1240" spans="9:9">
      <c r="I1240" s="28"/>
    </row>
    <row r="1241" spans="9:9">
      <c r="I1241" s="28"/>
    </row>
  </sheetData>
  <autoFilter ref="A19:I1038">
    <filterColumn colId="8">
      <customFilters and="1">
        <customFilter operator="notEqual" val=" "/>
        <customFilter operator="notEqual" val="0"/>
      </customFilters>
    </filterColumn>
  </autoFilter>
  <mergeCells count="68">
    <mergeCell ref="A156:B156"/>
    <mergeCell ref="A130:B130"/>
    <mergeCell ref="A75:B75"/>
    <mergeCell ref="A82:B82"/>
    <mergeCell ref="A88:B88"/>
    <mergeCell ref="A104:B104"/>
    <mergeCell ref="A112:B112"/>
    <mergeCell ref="A126:B126"/>
    <mergeCell ref="F1:I1"/>
    <mergeCell ref="F2:I3"/>
    <mergeCell ref="F4:I4"/>
    <mergeCell ref="B5:H5"/>
    <mergeCell ref="B6:H6"/>
    <mergeCell ref="D9:D17"/>
    <mergeCell ref="E9:E17"/>
    <mergeCell ref="A23:B23"/>
    <mergeCell ref="A22:B22"/>
    <mergeCell ref="F9:F17"/>
    <mergeCell ref="G9:G17"/>
    <mergeCell ref="H9:H17"/>
    <mergeCell ref="A9:B17"/>
    <mergeCell ref="C9:C17"/>
    <mergeCell ref="A25:B25"/>
    <mergeCell ref="A27:B27"/>
    <mergeCell ref="A28:B28"/>
    <mergeCell ref="A30:B30"/>
    <mergeCell ref="A32:B32"/>
    <mergeCell ref="A34:B34"/>
    <mergeCell ref="A38:B38"/>
    <mergeCell ref="A39:B39"/>
    <mergeCell ref="A40:B40"/>
    <mergeCell ref="A41:B41"/>
    <mergeCell ref="A67:B67"/>
    <mergeCell ref="A68:B68"/>
    <mergeCell ref="A158:B158"/>
    <mergeCell ref="A165:B165"/>
    <mergeCell ref="A166:B166"/>
    <mergeCell ref="A174:B174"/>
    <mergeCell ref="A199:B199"/>
    <mergeCell ref="A252:B252"/>
    <mergeCell ref="A239:B239"/>
    <mergeCell ref="A597:B597"/>
    <mergeCell ref="A399:B399"/>
    <mergeCell ref="A391:B391"/>
    <mergeCell ref="A413:B413"/>
    <mergeCell ref="A424:B424"/>
    <mergeCell ref="A438:B438"/>
    <mergeCell ref="A476:B476"/>
    <mergeCell ref="A755:B755"/>
    <mergeCell ref="A756:B756"/>
    <mergeCell ref="A757:B757"/>
    <mergeCell ref="A726:B726"/>
    <mergeCell ref="A710:B710"/>
    <mergeCell ref="A517:B517"/>
    <mergeCell ref="A552:B552"/>
    <mergeCell ref="A554:B554"/>
    <mergeCell ref="A556:B556"/>
    <mergeCell ref="A553:B553"/>
    <mergeCell ref="AH761:AI761"/>
    <mergeCell ref="AB761:AC761"/>
    <mergeCell ref="AD761:AE761"/>
    <mergeCell ref="K9:N9"/>
    <mergeCell ref="M15:N15"/>
    <mergeCell ref="A627:B627"/>
    <mergeCell ref="A598:B598"/>
    <mergeCell ref="A599:B599"/>
    <mergeCell ref="A628:B628"/>
    <mergeCell ref="AF761:AG761"/>
  </mergeCells>
  <phoneticPr fontId="0" type="noConversion"/>
  <pageMargins left="0.17" right="0.15748031496062992" top="0.17" bottom="0.15748031496062992" header="0.17" footer="0.15748031496062992"/>
  <pageSetup paperSize="9" scale="55" fitToHeight="1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7"/>
  <sheetViews>
    <sheetView topLeftCell="A7" zoomScale="70" zoomScaleNormal="100" zoomScaleSheetLayoutView="75" workbookViewId="0">
      <pane xSplit="2" ySplit="3" topLeftCell="C10" activePane="bottomRight" state="frozen"/>
      <selection activeCell="A7" sqref="A7"/>
      <selection pane="topRight" activeCell="C7" sqref="C7"/>
      <selection pane="bottomLeft" activeCell="A10" sqref="A10"/>
      <selection pane="bottomRight" activeCell="A7" sqref="A7"/>
    </sheetView>
  </sheetViews>
  <sheetFormatPr defaultRowHeight="12.75"/>
  <cols>
    <col min="1" max="1" width="23.140625" customWidth="1"/>
    <col min="2" max="2" width="32" customWidth="1"/>
    <col min="3" max="3" width="23.140625" customWidth="1"/>
    <col min="4" max="4" width="53.42578125" customWidth="1"/>
    <col min="5" max="5" width="18.28515625" customWidth="1"/>
    <col min="6" max="6" width="34" customWidth="1"/>
    <col min="7" max="7" width="18.42578125" customWidth="1"/>
    <col min="8" max="8" width="20" customWidth="1"/>
    <col min="9" max="9" width="12.5703125" customWidth="1"/>
    <col min="11" max="11" width="13.140625" bestFit="1" customWidth="1"/>
  </cols>
  <sheetData>
    <row r="1" spans="1:9" ht="13.9" customHeight="1">
      <c r="F1" s="1495" t="s">
        <v>916</v>
      </c>
      <c r="G1" s="1495"/>
      <c r="H1" s="1495"/>
    </row>
    <row r="2" spans="1:9" ht="20.45" customHeight="1">
      <c r="F2" s="1495" t="s">
        <v>1448</v>
      </c>
      <c r="G2" s="1495"/>
      <c r="H2" s="1495"/>
    </row>
    <row r="3" spans="1:9" ht="14.45" customHeight="1">
      <c r="F3" s="1496" t="s">
        <v>917</v>
      </c>
      <c r="G3" s="1496"/>
      <c r="H3" s="1496"/>
    </row>
    <row r="4" spans="1:9" ht="1.9" customHeight="1"/>
    <row r="5" spans="1:9" ht="20.45" customHeight="1">
      <c r="A5" s="1497"/>
      <c r="B5" s="1497"/>
      <c r="C5" s="1497"/>
      <c r="D5" s="1497"/>
      <c r="E5" s="1497"/>
      <c r="F5" s="1497"/>
      <c r="G5" s="1497"/>
      <c r="H5" s="1497"/>
    </row>
    <row r="6" spans="1:9" ht="36" customHeight="1">
      <c r="A6" s="1497" t="s">
        <v>1147</v>
      </c>
      <c r="B6" s="1497"/>
      <c r="C6" s="1497"/>
      <c r="D6" s="1497"/>
      <c r="E6" s="1497"/>
      <c r="F6" s="1497"/>
      <c r="G6" s="1497"/>
      <c r="H6" s="1497"/>
    </row>
    <row r="7" spans="1:9" ht="15">
      <c r="H7" s="192" t="s">
        <v>561</v>
      </c>
    </row>
    <row r="8" spans="1:9" ht="60" customHeight="1">
      <c r="A8" s="1502" t="s">
        <v>412</v>
      </c>
      <c r="B8" s="1502" t="s">
        <v>233</v>
      </c>
      <c r="C8" s="1502" t="s">
        <v>918</v>
      </c>
      <c r="D8" s="1513" t="s">
        <v>416</v>
      </c>
      <c r="E8" s="1513"/>
      <c r="F8" s="1513" t="s">
        <v>949</v>
      </c>
      <c r="G8" s="1513"/>
      <c r="H8" s="1513" t="s">
        <v>734</v>
      </c>
    </row>
    <row r="9" spans="1:9" ht="75.599999999999994" customHeight="1">
      <c r="A9" s="1512"/>
      <c r="B9" s="1512"/>
      <c r="C9" s="1512"/>
      <c r="D9" s="987" t="s">
        <v>919</v>
      </c>
      <c r="E9" s="987" t="s">
        <v>920</v>
      </c>
      <c r="F9" s="907" t="s">
        <v>919</v>
      </c>
      <c r="G9" s="987" t="s">
        <v>920</v>
      </c>
      <c r="H9" s="1514"/>
    </row>
    <row r="10" spans="1:9" ht="35.450000000000003" customHeight="1">
      <c r="A10" s="372" t="s">
        <v>1003</v>
      </c>
      <c r="B10" s="876" t="s">
        <v>311</v>
      </c>
      <c r="C10" s="876"/>
      <c r="D10" s="877"/>
      <c r="E10" s="878">
        <f>+E11</f>
        <v>550000</v>
      </c>
      <c r="F10" s="878"/>
      <c r="G10" s="878">
        <f>+G11</f>
        <v>0</v>
      </c>
      <c r="H10" s="878">
        <f t="shared" ref="H10:H43" si="0">+E10+G10</f>
        <v>550000</v>
      </c>
      <c r="I10" s="314">
        <f t="shared" ref="I10:I43" si="1">+H10</f>
        <v>550000</v>
      </c>
    </row>
    <row r="11" spans="1:9" ht="87" customHeight="1">
      <c r="A11" s="879" t="s">
        <v>1287</v>
      </c>
      <c r="B11" s="703" t="s">
        <v>967</v>
      </c>
      <c r="C11" s="703" t="s">
        <v>126</v>
      </c>
      <c r="D11" s="880" t="s">
        <v>109</v>
      </c>
      <c r="E11" s="881">
        <v>550000</v>
      </c>
      <c r="F11" s="878"/>
      <c r="G11" s="878"/>
      <c r="H11" s="881">
        <f t="shared" si="0"/>
        <v>550000</v>
      </c>
      <c r="I11" s="314">
        <f t="shared" si="1"/>
        <v>550000</v>
      </c>
    </row>
    <row r="12" spans="1:9" ht="64.150000000000006" customHeight="1">
      <c r="A12" s="882" t="s">
        <v>962</v>
      </c>
      <c r="B12" s="883" t="s">
        <v>433</v>
      </c>
      <c r="C12" s="883"/>
      <c r="D12" s="877"/>
      <c r="E12" s="878">
        <f>+E17+E13+E18+E19+E14+E16+E15</f>
        <v>800000</v>
      </c>
      <c r="F12" s="878"/>
      <c r="G12" s="878">
        <f>+G17+G13+G18+G19+G14+G16</f>
        <v>0</v>
      </c>
      <c r="H12" s="878">
        <f t="shared" si="0"/>
        <v>800000</v>
      </c>
      <c r="I12" s="314">
        <f t="shared" si="1"/>
        <v>800000</v>
      </c>
    </row>
    <row r="13" spans="1:9" ht="70.900000000000006" customHeight="1">
      <c r="A13" s="892" t="s">
        <v>1622</v>
      </c>
      <c r="B13" s="931" t="s">
        <v>921</v>
      </c>
      <c r="C13" s="931" t="s">
        <v>922</v>
      </c>
      <c r="D13" s="911" t="s">
        <v>270</v>
      </c>
      <c r="E13" s="895">
        <v>250000</v>
      </c>
      <c r="F13" s="905"/>
      <c r="G13" s="905"/>
      <c r="H13" s="895">
        <f t="shared" si="0"/>
        <v>250000</v>
      </c>
      <c r="I13" s="314">
        <f t="shared" si="1"/>
        <v>250000</v>
      </c>
    </row>
    <row r="14" spans="1:9" ht="63" hidden="1" customHeight="1">
      <c r="A14" s="885" t="s">
        <v>538</v>
      </c>
      <c r="B14" s="886"/>
      <c r="C14" s="886"/>
      <c r="D14" s="887"/>
      <c r="E14" s="888"/>
      <c r="F14" s="889"/>
      <c r="G14" s="889"/>
      <c r="H14" s="888">
        <f t="shared" si="0"/>
        <v>0</v>
      </c>
      <c r="I14" s="314">
        <f t="shared" si="1"/>
        <v>0</v>
      </c>
    </row>
    <row r="15" spans="1:9" ht="63" hidden="1" customHeight="1">
      <c r="A15" s="879" t="s">
        <v>538</v>
      </c>
      <c r="B15" s="890" t="s">
        <v>1049</v>
      </c>
      <c r="C15" s="1518" t="s">
        <v>924</v>
      </c>
      <c r="D15" s="891" t="s">
        <v>1109</v>
      </c>
      <c r="E15" s="881"/>
      <c r="F15" s="878"/>
      <c r="G15" s="878"/>
      <c r="H15" s="881">
        <f t="shared" si="0"/>
        <v>0</v>
      </c>
      <c r="I15" s="314">
        <f t="shared" si="1"/>
        <v>0</v>
      </c>
    </row>
    <row r="16" spans="1:9" ht="67.900000000000006" hidden="1" customHeight="1">
      <c r="A16" s="897" t="s">
        <v>538</v>
      </c>
      <c r="B16" s="995" t="s">
        <v>1049</v>
      </c>
      <c r="C16" s="1519"/>
      <c r="D16" s="950" t="s">
        <v>1110</v>
      </c>
      <c r="E16" s="900"/>
      <c r="F16" s="908"/>
      <c r="G16" s="908"/>
      <c r="H16" s="900">
        <f t="shared" si="0"/>
        <v>0</v>
      </c>
      <c r="I16" s="314">
        <f t="shared" si="1"/>
        <v>0</v>
      </c>
    </row>
    <row r="17" spans="1:10" ht="94.15" customHeight="1">
      <c r="A17" s="879" t="s">
        <v>1287</v>
      </c>
      <c r="B17" s="703" t="s">
        <v>967</v>
      </c>
      <c r="C17" s="703" t="s">
        <v>126</v>
      </c>
      <c r="D17" s="880" t="s">
        <v>1220</v>
      </c>
      <c r="E17" s="881">
        <v>550000</v>
      </c>
      <c r="F17" s="881"/>
      <c r="G17" s="881"/>
      <c r="H17" s="881">
        <f t="shared" si="0"/>
        <v>550000</v>
      </c>
      <c r="I17" s="314">
        <f t="shared" si="1"/>
        <v>550000</v>
      </c>
    </row>
    <row r="18" spans="1:10" ht="133.9" hidden="1" customHeight="1">
      <c r="A18" s="892" t="s">
        <v>1127</v>
      </c>
      <c r="B18" s="893" t="s">
        <v>819</v>
      </c>
      <c r="C18" s="893"/>
      <c r="D18" s="894"/>
      <c r="E18" s="895"/>
      <c r="F18" s="896" t="s">
        <v>1111</v>
      </c>
      <c r="G18" s="895"/>
      <c r="H18" s="895">
        <f t="shared" si="0"/>
        <v>0</v>
      </c>
      <c r="I18" s="314">
        <f t="shared" si="1"/>
        <v>0</v>
      </c>
    </row>
    <row r="19" spans="1:10" ht="87" hidden="1" customHeight="1">
      <c r="A19" s="897" t="s">
        <v>1127</v>
      </c>
      <c r="B19" s="898" t="s">
        <v>819</v>
      </c>
      <c r="C19" s="898"/>
      <c r="D19" s="899"/>
      <c r="E19" s="900"/>
      <c r="F19" s="901" t="s">
        <v>1112</v>
      </c>
      <c r="G19" s="900"/>
      <c r="H19" s="900">
        <f t="shared" si="0"/>
        <v>0</v>
      </c>
      <c r="I19" s="314">
        <f t="shared" si="1"/>
        <v>0</v>
      </c>
    </row>
    <row r="20" spans="1:10" ht="48" hidden="1" customHeight="1">
      <c r="A20" s="882" t="s">
        <v>1296</v>
      </c>
      <c r="B20" s="876" t="s">
        <v>1113</v>
      </c>
      <c r="C20" s="876"/>
      <c r="D20" s="877"/>
      <c r="E20" s="878">
        <f>+E21</f>
        <v>0</v>
      </c>
      <c r="F20" s="878"/>
      <c r="G20" s="878">
        <f>+G21</f>
        <v>0</v>
      </c>
      <c r="H20" s="878">
        <f t="shared" si="0"/>
        <v>0</v>
      </c>
      <c r="I20" s="314">
        <f t="shared" si="1"/>
        <v>0</v>
      </c>
    </row>
    <row r="21" spans="1:10" ht="87" hidden="1" customHeight="1">
      <c r="A21" s="879" t="s">
        <v>498</v>
      </c>
      <c r="B21" s="884" t="s">
        <v>648</v>
      </c>
      <c r="C21" s="884" t="s">
        <v>924</v>
      </c>
      <c r="D21" s="874" t="s">
        <v>250</v>
      </c>
      <c r="E21" s="881"/>
      <c r="F21" s="878"/>
      <c r="G21" s="878"/>
      <c r="H21" s="881">
        <f t="shared" si="0"/>
        <v>0</v>
      </c>
      <c r="I21" s="314">
        <f t="shared" si="1"/>
        <v>0</v>
      </c>
    </row>
    <row r="22" spans="1:10" ht="87" hidden="1" customHeight="1">
      <c r="A22" s="902"/>
      <c r="B22" s="903" t="s">
        <v>251</v>
      </c>
      <c r="C22" s="903"/>
      <c r="D22" s="904"/>
      <c r="E22" s="905">
        <f>+E23</f>
        <v>0</v>
      </c>
      <c r="F22" s="905"/>
      <c r="G22" s="905">
        <f>+G23</f>
        <v>0</v>
      </c>
      <c r="H22" s="905">
        <f t="shared" si="0"/>
        <v>0</v>
      </c>
      <c r="I22" s="314">
        <f t="shared" si="1"/>
        <v>0</v>
      </c>
    </row>
    <row r="23" spans="1:10" ht="87" hidden="1" customHeight="1">
      <c r="A23" s="897" t="s">
        <v>1622</v>
      </c>
      <c r="B23" s="906" t="s">
        <v>921</v>
      </c>
      <c r="C23" s="906"/>
      <c r="D23" s="907" t="s">
        <v>923</v>
      </c>
      <c r="E23" s="900"/>
      <c r="F23" s="908"/>
      <c r="G23" s="908"/>
      <c r="H23" s="900">
        <f t="shared" si="0"/>
        <v>0</v>
      </c>
      <c r="I23" s="314">
        <f t="shared" si="1"/>
        <v>0</v>
      </c>
    </row>
    <row r="24" spans="1:10" ht="39" customHeight="1">
      <c r="A24" s="882" t="s">
        <v>1173</v>
      </c>
      <c r="B24" s="883" t="s">
        <v>1445</v>
      </c>
      <c r="C24" s="883"/>
      <c r="D24" s="875"/>
      <c r="E24" s="878">
        <f>SUM(E25:E39)-E36+E40</f>
        <v>9820000</v>
      </c>
      <c r="F24" s="881"/>
      <c r="G24" s="878">
        <f>SUM(G25:G39)+G40</f>
        <v>8920000</v>
      </c>
      <c r="H24" s="878">
        <f t="shared" si="0"/>
        <v>18740000</v>
      </c>
      <c r="I24" s="314">
        <f t="shared" si="1"/>
        <v>18740000</v>
      </c>
    </row>
    <row r="25" spans="1:10" ht="99" hidden="1" customHeight="1">
      <c r="A25" s="892" t="s">
        <v>539</v>
      </c>
      <c r="B25" s="909" t="s">
        <v>1137</v>
      </c>
      <c r="C25" s="909"/>
      <c r="D25" s="909" t="s">
        <v>38</v>
      </c>
      <c r="E25" s="910"/>
      <c r="F25" s="911" t="s">
        <v>38</v>
      </c>
      <c r="G25" s="910"/>
      <c r="H25" s="912">
        <f t="shared" si="0"/>
        <v>0</v>
      </c>
      <c r="I25" s="314">
        <f t="shared" si="1"/>
        <v>0</v>
      </c>
      <c r="J25" s="913"/>
    </row>
    <row r="26" spans="1:10" ht="63.6" hidden="1" customHeight="1">
      <c r="A26" s="879" t="s">
        <v>1603</v>
      </c>
      <c r="B26" s="703" t="s">
        <v>480</v>
      </c>
      <c r="C26" s="703"/>
      <c r="D26" s="1520" t="s">
        <v>1114</v>
      </c>
      <c r="E26" s="881">
        <f>-772000+200000-200000+200000-200000+772000</f>
        <v>0</v>
      </c>
      <c r="F26" s="874"/>
      <c r="G26" s="914"/>
      <c r="H26" s="881">
        <f t="shared" si="0"/>
        <v>0</v>
      </c>
      <c r="I26" s="314">
        <f t="shared" si="1"/>
        <v>0</v>
      </c>
      <c r="J26" s="913"/>
    </row>
    <row r="27" spans="1:10" ht="60.6" hidden="1" customHeight="1">
      <c r="A27" s="879" t="s">
        <v>1604</v>
      </c>
      <c r="B27" s="915" t="s">
        <v>387</v>
      </c>
      <c r="C27" s="915"/>
      <c r="D27" s="1520"/>
      <c r="E27" s="881">
        <f>-268000+268000</f>
        <v>0</v>
      </c>
      <c r="F27" s="915"/>
      <c r="G27" s="881"/>
      <c r="H27" s="881">
        <f t="shared" si="0"/>
        <v>0</v>
      </c>
      <c r="I27" s="314">
        <f t="shared" si="1"/>
        <v>0</v>
      </c>
    </row>
    <row r="28" spans="1:10" ht="54" hidden="1" customHeight="1">
      <c r="A28" s="879" t="s">
        <v>1600</v>
      </c>
      <c r="B28" s="703" t="s">
        <v>376</v>
      </c>
      <c r="C28" s="703"/>
      <c r="D28" s="915"/>
      <c r="E28" s="881"/>
      <c r="F28" s="1511" t="s">
        <v>322</v>
      </c>
      <c r="G28" s="881">
        <f>622000-622000</f>
        <v>0</v>
      </c>
      <c r="H28" s="881">
        <f t="shared" si="0"/>
        <v>0</v>
      </c>
      <c r="I28" s="314">
        <f t="shared" si="1"/>
        <v>0</v>
      </c>
    </row>
    <row r="29" spans="1:10" ht="67.150000000000006" hidden="1" customHeight="1">
      <c r="A29" s="879" t="s">
        <v>1601</v>
      </c>
      <c r="B29" s="703" t="s">
        <v>1218</v>
      </c>
      <c r="C29" s="703"/>
      <c r="D29" s="915"/>
      <c r="E29" s="881"/>
      <c r="F29" s="1521"/>
      <c r="G29" s="881">
        <f>100000-100000</f>
        <v>0</v>
      </c>
      <c r="H29" s="881">
        <f t="shared" si="0"/>
        <v>0</v>
      </c>
      <c r="I29" s="314">
        <f t="shared" si="1"/>
        <v>0</v>
      </c>
    </row>
    <row r="30" spans="1:10" ht="91.15" hidden="1" customHeight="1">
      <c r="A30" s="879" t="s">
        <v>1602</v>
      </c>
      <c r="B30" s="703" t="s">
        <v>725</v>
      </c>
      <c r="C30" s="703"/>
      <c r="D30" s="915"/>
      <c r="E30" s="881"/>
      <c r="F30" s="1511" t="s">
        <v>322</v>
      </c>
      <c r="G30" s="881">
        <f>3053500-3053500</f>
        <v>0</v>
      </c>
      <c r="H30" s="881">
        <f t="shared" si="0"/>
        <v>0</v>
      </c>
      <c r="I30" s="314">
        <f t="shared" si="1"/>
        <v>0</v>
      </c>
    </row>
    <row r="31" spans="1:10" ht="145.9" hidden="1" customHeight="1">
      <c r="A31" s="879" t="s">
        <v>1589</v>
      </c>
      <c r="B31" s="703" t="s">
        <v>741</v>
      </c>
      <c r="C31" s="703"/>
      <c r="D31" s="915"/>
      <c r="E31" s="881"/>
      <c r="F31" s="1511"/>
      <c r="G31" s="881">
        <f>377500-377500</f>
        <v>0</v>
      </c>
      <c r="H31" s="881">
        <f t="shared" si="0"/>
        <v>0</v>
      </c>
      <c r="I31" s="314">
        <f t="shared" si="1"/>
        <v>0</v>
      </c>
    </row>
    <row r="32" spans="1:10" ht="60" hidden="1" customHeight="1">
      <c r="A32" s="879" t="s">
        <v>1603</v>
      </c>
      <c r="B32" s="703" t="s">
        <v>480</v>
      </c>
      <c r="C32" s="703"/>
      <c r="D32" s="915"/>
      <c r="E32" s="881"/>
      <c r="F32" s="1511"/>
      <c r="G32" s="881">
        <f>145000-145000</f>
        <v>0</v>
      </c>
      <c r="H32" s="881">
        <f t="shared" si="0"/>
        <v>0</v>
      </c>
      <c r="I32" s="314">
        <f t="shared" si="1"/>
        <v>0</v>
      </c>
    </row>
    <row r="33" spans="1:9" ht="36.6" hidden="1" customHeight="1">
      <c r="A33" s="879" t="s">
        <v>590</v>
      </c>
      <c r="B33" s="703" t="s">
        <v>204</v>
      </c>
      <c r="C33" s="703"/>
      <c r="D33" s="915"/>
      <c r="E33" s="881"/>
      <c r="F33" s="1511"/>
      <c r="G33" s="881">
        <f>1735000-1735000</f>
        <v>0</v>
      </c>
      <c r="H33" s="881">
        <f t="shared" si="0"/>
        <v>0</v>
      </c>
      <c r="I33" s="314">
        <f t="shared" si="1"/>
        <v>0</v>
      </c>
    </row>
    <row r="34" spans="1:9" ht="49.15" hidden="1" customHeight="1">
      <c r="A34" s="897" t="s">
        <v>539</v>
      </c>
      <c r="B34" s="700" t="s">
        <v>482</v>
      </c>
      <c r="C34" s="700"/>
      <c r="D34" s="916"/>
      <c r="E34" s="900"/>
      <c r="F34" s="1489"/>
      <c r="G34" s="900">
        <f>1100000-1100000</f>
        <v>0</v>
      </c>
      <c r="H34" s="900">
        <f t="shared" si="0"/>
        <v>0</v>
      </c>
      <c r="I34" s="314">
        <f t="shared" si="1"/>
        <v>0</v>
      </c>
    </row>
    <row r="35" spans="1:9" ht="58.15" customHeight="1">
      <c r="A35" s="1522" t="s">
        <v>986</v>
      </c>
      <c r="B35" s="1406" t="s">
        <v>1519</v>
      </c>
      <c r="C35" s="1519" t="s">
        <v>922</v>
      </c>
      <c r="D35" s="915" t="s">
        <v>371</v>
      </c>
      <c r="E35" s="881">
        <v>9820000</v>
      </c>
      <c r="F35" s="915" t="s">
        <v>371</v>
      </c>
      <c r="G35" s="881">
        <v>4720000</v>
      </c>
      <c r="H35" s="881">
        <f t="shared" si="0"/>
        <v>14540000</v>
      </c>
      <c r="I35" s="314">
        <f t="shared" si="1"/>
        <v>14540000</v>
      </c>
    </row>
    <row r="36" spans="1:9" ht="58.15" customHeight="1">
      <c r="A36" s="1523"/>
      <c r="B36" s="1407"/>
      <c r="C36" s="1524"/>
      <c r="D36" s="909" t="s">
        <v>119</v>
      </c>
      <c r="E36" s="895">
        <f>5000000-1900000</f>
        <v>3100000</v>
      </c>
      <c r="F36" s="909"/>
      <c r="G36" s="895"/>
      <c r="H36" s="881">
        <f t="shared" si="0"/>
        <v>3100000</v>
      </c>
      <c r="I36" s="314">
        <f t="shared" si="1"/>
        <v>3100000</v>
      </c>
    </row>
    <row r="37" spans="1:9" ht="76.900000000000006" hidden="1" customHeight="1">
      <c r="A37" s="917" t="s">
        <v>1064</v>
      </c>
      <c r="B37" s="918" t="s">
        <v>1259</v>
      </c>
      <c r="C37" s="886"/>
      <c r="D37" s="919" t="s">
        <v>273</v>
      </c>
      <c r="E37" s="888">
        <f>2000000-2000000</f>
        <v>0</v>
      </c>
      <c r="F37" s="919"/>
      <c r="G37" s="888">
        <f>1450000+550000-2000000</f>
        <v>0</v>
      </c>
      <c r="H37" s="888">
        <f t="shared" si="0"/>
        <v>0</v>
      </c>
      <c r="I37" s="314">
        <f t="shared" si="1"/>
        <v>0</v>
      </c>
    </row>
    <row r="38" spans="1:9" ht="49.9" hidden="1" customHeight="1">
      <c r="A38" s="879" t="s">
        <v>1064</v>
      </c>
      <c r="B38" s="703" t="s">
        <v>1259</v>
      </c>
      <c r="C38" s="884"/>
      <c r="D38" s="915"/>
      <c r="E38" s="881"/>
      <c r="F38" s="920" t="s">
        <v>274</v>
      </c>
      <c r="G38" s="881"/>
      <c r="H38" s="881">
        <f t="shared" si="0"/>
        <v>0</v>
      </c>
      <c r="I38" s="314">
        <f t="shared" si="1"/>
        <v>0</v>
      </c>
    </row>
    <row r="39" spans="1:9" ht="66.599999999999994" hidden="1" customHeight="1">
      <c r="A39" s="917" t="s">
        <v>538</v>
      </c>
      <c r="B39" s="921" t="s">
        <v>1049</v>
      </c>
      <c r="C39" s="921"/>
      <c r="D39" s="922" t="s">
        <v>1109</v>
      </c>
      <c r="E39" s="888"/>
      <c r="F39" s="923"/>
      <c r="G39" s="888"/>
      <c r="H39" s="888">
        <f t="shared" si="0"/>
        <v>0</v>
      </c>
      <c r="I39" s="314">
        <f t="shared" si="1"/>
        <v>0</v>
      </c>
    </row>
    <row r="40" spans="1:9" ht="66.599999999999994" customHeight="1">
      <c r="A40" s="879" t="s">
        <v>88</v>
      </c>
      <c r="B40" s="956" t="s">
        <v>229</v>
      </c>
      <c r="C40" s="956" t="s">
        <v>194</v>
      </c>
      <c r="D40" s="891"/>
      <c r="E40" s="881"/>
      <c r="F40" s="1376" t="s">
        <v>120</v>
      </c>
      <c r="G40" s="881">
        <v>4200000</v>
      </c>
      <c r="H40" s="881">
        <f>+E40+G40</f>
        <v>4200000</v>
      </c>
      <c r="I40" s="314">
        <f t="shared" si="1"/>
        <v>4200000</v>
      </c>
    </row>
    <row r="41" spans="1:9" ht="83.45" customHeight="1">
      <c r="A41" s="536" t="s">
        <v>1300</v>
      </c>
      <c r="B41" s="924" t="s">
        <v>1168</v>
      </c>
      <c r="C41" s="924"/>
      <c r="D41" s="880"/>
      <c r="E41" s="878">
        <f>+E48+E47+E49+E43+E44+E46+E42+E45</f>
        <v>1931800</v>
      </c>
      <c r="F41" s="925"/>
      <c r="G41" s="878">
        <f>+G48+G47+G49+G43+G44+G46+G42+G45</f>
        <v>900000</v>
      </c>
      <c r="H41" s="878">
        <f t="shared" si="0"/>
        <v>2831800</v>
      </c>
      <c r="I41" s="314">
        <f t="shared" si="1"/>
        <v>2831800</v>
      </c>
    </row>
    <row r="42" spans="1:9" ht="63.6" customHeight="1">
      <c r="A42" s="926" t="s">
        <v>275</v>
      </c>
      <c r="B42" s="915" t="s">
        <v>389</v>
      </c>
      <c r="C42" s="1489" t="s">
        <v>276</v>
      </c>
      <c r="D42" s="880"/>
      <c r="E42" s="878"/>
      <c r="F42" s="920" t="s">
        <v>100</v>
      </c>
      <c r="G42" s="881">
        <v>900000</v>
      </c>
      <c r="H42" s="881">
        <f t="shared" si="0"/>
        <v>900000</v>
      </c>
      <c r="I42" s="314">
        <f t="shared" si="1"/>
        <v>900000</v>
      </c>
    </row>
    <row r="43" spans="1:9" ht="63.6" customHeight="1">
      <c r="A43" s="926" t="s">
        <v>277</v>
      </c>
      <c r="B43" s="915" t="s">
        <v>810</v>
      </c>
      <c r="C43" s="1490"/>
      <c r="D43" s="880" t="s">
        <v>99</v>
      </c>
      <c r="E43" s="881">
        <v>1200000</v>
      </c>
      <c r="F43" s="925"/>
      <c r="G43" s="878"/>
      <c r="H43" s="881">
        <f t="shared" si="0"/>
        <v>1200000</v>
      </c>
      <c r="I43" s="314">
        <f t="shared" si="1"/>
        <v>1200000</v>
      </c>
    </row>
    <row r="44" spans="1:9" ht="66" customHeight="1">
      <c r="A44" s="926" t="s">
        <v>887</v>
      </c>
      <c r="B44" s="891" t="s">
        <v>1629</v>
      </c>
      <c r="C44" s="1490"/>
      <c r="D44" s="880" t="s">
        <v>278</v>
      </c>
      <c r="E44" s="881">
        <v>500000</v>
      </c>
      <c r="F44" s="920"/>
      <c r="G44" s="881"/>
      <c r="H44" s="881">
        <f t="shared" ref="H44:H74" si="2">+E44+G44</f>
        <v>500000</v>
      </c>
      <c r="I44" s="314">
        <f t="shared" ref="I44:I82" si="3">+H44</f>
        <v>500000</v>
      </c>
    </row>
    <row r="45" spans="1:9" ht="66" hidden="1" customHeight="1">
      <c r="A45" s="927" t="s">
        <v>887</v>
      </c>
      <c r="B45" s="922" t="s">
        <v>1629</v>
      </c>
      <c r="C45" s="1490"/>
      <c r="D45" s="919" t="s">
        <v>279</v>
      </c>
      <c r="E45" s="888">
        <f>1000000-1000000</f>
        <v>0</v>
      </c>
      <c r="F45" s="919"/>
      <c r="G45" s="888"/>
      <c r="H45" s="888">
        <f t="shared" si="2"/>
        <v>0</v>
      </c>
      <c r="I45" s="314">
        <f t="shared" si="3"/>
        <v>0</v>
      </c>
    </row>
    <row r="46" spans="1:9" ht="87.6" customHeight="1">
      <c r="A46" s="926" t="s">
        <v>280</v>
      </c>
      <c r="B46" s="915" t="s">
        <v>281</v>
      </c>
      <c r="C46" s="1491"/>
      <c r="D46" s="880" t="s">
        <v>129</v>
      </c>
      <c r="E46" s="881">
        <f>463600-231800</f>
        <v>231800</v>
      </c>
      <c r="F46" s="925"/>
      <c r="G46" s="878"/>
      <c r="H46" s="881">
        <f t="shared" si="2"/>
        <v>231800</v>
      </c>
      <c r="I46" s="314">
        <f t="shared" si="3"/>
        <v>231800</v>
      </c>
    </row>
    <row r="47" spans="1:9" ht="63.6" hidden="1" customHeight="1">
      <c r="A47" s="1364" t="s">
        <v>1058</v>
      </c>
      <c r="B47" s="909" t="s">
        <v>1632</v>
      </c>
      <c r="C47" s="1348"/>
      <c r="D47" s="1517" t="s">
        <v>283</v>
      </c>
      <c r="E47" s="895"/>
      <c r="F47" s="985"/>
      <c r="G47" s="985"/>
      <c r="H47" s="895">
        <f t="shared" si="2"/>
        <v>0</v>
      </c>
      <c r="I47" s="314">
        <f t="shared" si="3"/>
        <v>0</v>
      </c>
    </row>
    <row r="48" spans="1:9" ht="63.6" hidden="1" customHeight="1">
      <c r="A48" s="879" t="s">
        <v>1243</v>
      </c>
      <c r="B48" s="915" t="s">
        <v>230</v>
      </c>
      <c r="C48" s="1348"/>
      <c r="D48" s="1517"/>
      <c r="E48" s="881"/>
      <c r="F48" s="925"/>
      <c r="G48" s="925"/>
      <c r="H48" s="881">
        <f t="shared" si="2"/>
        <v>0</v>
      </c>
      <c r="I48" s="314">
        <f t="shared" si="3"/>
        <v>0</v>
      </c>
    </row>
    <row r="49" spans="1:10" ht="82.15" hidden="1" customHeight="1">
      <c r="A49" s="897" t="s">
        <v>500</v>
      </c>
      <c r="B49" s="1357" t="s">
        <v>1067</v>
      </c>
      <c r="C49" s="1348"/>
      <c r="D49" s="1517"/>
      <c r="E49" s="900"/>
      <c r="F49" s="1358"/>
      <c r="G49" s="1359"/>
      <c r="H49" s="900">
        <f t="shared" si="2"/>
        <v>0</v>
      </c>
      <c r="I49" s="314">
        <f t="shared" si="3"/>
        <v>0</v>
      </c>
    </row>
    <row r="50" spans="1:10" ht="82.15" customHeight="1">
      <c r="A50" s="536" t="s">
        <v>1502</v>
      </c>
      <c r="B50" s="924" t="s">
        <v>489</v>
      </c>
      <c r="C50" s="915"/>
      <c r="D50" s="880"/>
      <c r="E50" s="878">
        <f>+E51+E52+E53</f>
        <v>2898000</v>
      </c>
      <c r="F50" s="929"/>
      <c r="G50" s="878">
        <f>+G51+G52+G53</f>
        <v>0</v>
      </c>
      <c r="H50" s="878">
        <f>+E50+G50</f>
        <v>2898000</v>
      </c>
      <c r="I50" s="314">
        <f t="shared" si="3"/>
        <v>2898000</v>
      </c>
    </row>
    <row r="51" spans="1:10" ht="82.15" customHeight="1">
      <c r="A51" s="564" t="s">
        <v>1058</v>
      </c>
      <c r="B51" s="915" t="s">
        <v>1632</v>
      </c>
      <c r="C51" s="1511" t="s">
        <v>276</v>
      </c>
      <c r="D51" s="1510" t="s">
        <v>248</v>
      </c>
      <c r="E51" s="881">
        <f>100000+100000</f>
        <v>200000</v>
      </c>
      <c r="F51" s="929"/>
      <c r="G51" s="925"/>
      <c r="H51" s="881">
        <f t="shared" si="2"/>
        <v>200000</v>
      </c>
      <c r="I51" s="314">
        <f t="shared" si="3"/>
        <v>200000</v>
      </c>
    </row>
    <row r="52" spans="1:10" ht="82.15" customHeight="1">
      <c r="A52" s="564" t="s">
        <v>1243</v>
      </c>
      <c r="B52" s="1354" t="s">
        <v>935</v>
      </c>
      <c r="C52" s="1511"/>
      <c r="D52" s="1510"/>
      <c r="E52" s="881">
        <f>1950000+98000</f>
        <v>2048000</v>
      </c>
      <c r="F52" s="929"/>
      <c r="G52" s="925"/>
      <c r="H52" s="881">
        <f t="shared" si="2"/>
        <v>2048000</v>
      </c>
      <c r="I52" s="314">
        <f t="shared" si="3"/>
        <v>2048000</v>
      </c>
    </row>
    <row r="53" spans="1:10" ht="82.15" customHeight="1">
      <c r="A53" s="564" t="s">
        <v>500</v>
      </c>
      <c r="B53" s="874" t="s">
        <v>1067</v>
      </c>
      <c r="C53" s="1511"/>
      <c r="D53" s="1510"/>
      <c r="E53" s="881">
        <v>650000</v>
      </c>
      <c r="F53" s="929"/>
      <c r="G53" s="925"/>
      <c r="H53" s="881">
        <f t="shared" si="2"/>
        <v>650000</v>
      </c>
      <c r="I53" s="314">
        <f t="shared" si="3"/>
        <v>650000</v>
      </c>
    </row>
    <row r="54" spans="1:10" ht="49.9" customHeight="1">
      <c r="A54" s="882" t="s">
        <v>914</v>
      </c>
      <c r="B54" s="883" t="s">
        <v>1186</v>
      </c>
      <c r="C54" s="883"/>
      <c r="D54" s="930"/>
      <c r="E54" s="878">
        <f>+E55+E56+E60+E58+E61+E57+E59</f>
        <v>3075000</v>
      </c>
      <c r="F54" s="878"/>
      <c r="G54" s="878">
        <f>+G55+G56+G60+G58+G61+G57</f>
        <v>8050000</v>
      </c>
      <c r="H54" s="878">
        <f t="shared" si="2"/>
        <v>11125000</v>
      </c>
      <c r="I54" s="314">
        <f t="shared" si="3"/>
        <v>11125000</v>
      </c>
    </row>
    <row r="55" spans="1:10" ht="30.6" hidden="1" customHeight="1">
      <c r="A55" s="892" t="s">
        <v>539</v>
      </c>
      <c r="B55" s="931" t="s">
        <v>1137</v>
      </c>
      <c r="C55" s="931"/>
      <c r="D55" s="932" t="s">
        <v>284</v>
      </c>
      <c r="E55" s="912"/>
      <c r="F55" s="911" t="s">
        <v>284</v>
      </c>
      <c r="G55" s="933"/>
      <c r="H55" s="912">
        <f t="shared" si="2"/>
        <v>0</v>
      </c>
      <c r="I55" s="314">
        <f t="shared" si="3"/>
        <v>0</v>
      </c>
      <c r="J55" s="913"/>
    </row>
    <row r="56" spans="1:10" ht="43.9" hidden="1" customHeight="1">
      <c r="A56" s="897" t="s">
        <v>1622</v>
      </c>
      <c r="B56" s="906" t="s">
        <v>921</v>
      </c>
      <c r="C56" s="906"/>
      <c r="D56" s="936" t="s">
        <v>285</v>
      </c>
      <c r="E56" s="937"/>
      <c r="F56" s="936" t="s">
        <v>285</v>
      </c>
      <c r="G56" s="900"/>
      <c r="H56" s="937">
        <f t="shared" si="2"/>
        <v>0</v>
      </c>
      <c r="I56" s="314">
        <f t="shared" si="3"/>
        <v>0</v>
      </c>
    </row>
    <row r="57" spans="1:10" ht="112.9" customHeight="1">
      <c r="A57" s="879" t="s">
        <v>1610</v>
      </c>
      <c r="B57" s="703" t="s">
        <v>558</v>
      </c>
      <c r="C57" s="1519" t="s">
        <v>288</v>
      </c>
      <c r="D57" s="934" t="s">
        <v>299</v>
      </c>
      <c r="E57" s="935">
        <v>2075000</v>
      </c>
      <c r="F57" s="934" t="s">
        <v>299</v>
      </c>
      <c r="G57" s="881">
        <v>1250000</v>
      </c>
      <c r="H57" s="935">
        <f>+E57+G57</f>
        <v>3325000</v>
      </c>
      <c r="I57" s="314">
        <f t="shared" si="3"/>
        <v>3325000</v>
      </c>
    </row>
    <row r="58" spans="1:10" ht="48.6" hidden="1" customHeight="1">
      <c r="A58" s="917" t="s">
        <v>1610</v>
      </c>
      <c r="B58" s="918" t="s">
        <v>558</v>
      </c>
      <c r="C58" s="1526"/>
      <c r="D58" s="1365" t="s">
        <v>286</v>
      </c>
      <c r="E58" s="1019">
        <f>4633500-4633500</f>
        <v>0</v>
      </c>
      <c r="F58" s="1365"/>
      <c r="G58" s="888"/>
      <c r="H58" s="1019">
        <f t="shared" si="2"/>
        <v>0</v>
      </c>
      <c r="I58" s="314">
        <f t="shared" si="3"/>
        <v>0</v>
      </c>
    </row>
    <row r="59" spans="1:10" ht="68.45" customHeight="1">
      <c r="A59" s="879" t="s">
        <v>1619</v>
      </c>
      <c r="B59" s="884" t="s">
        <v>287</v>
      </c>
      <c r="C59" s="1526"/>
      <c r="D59" s="1365" t="s">
        <v>124</v>
      </c>
      <c r="E59" s="1019">
        <v>1000000</v>
      </c>
      <c r="F59" s="1365"/>
      <c r="G59" s="888"/>
      <c r="H59" s="935">
        <f>+E59+G59</f>
        <v>1000000</v>
      </c>
      <c r="I59" s="314">
        <f t="shared" si="3"/>
        <v>1000000</v>
      </c>
    </row>
    <row r="60" spans="1:10" ht="65.45" customHeight="1">
      <c r="A60" s="879" t="s">
        <v>1619</v>
      </c>
      <c r="B60" s="884" t="s">
        <v>287</v>
      </c>
      <c r="C60" s="1526"/>
      <c r="D60" s="934"/>
      <c r="E60" s="881"/>
      <c r="F60" s="934" t="s">
        <v>300</v>
      </c>
      <c r="G60" s="881">
        <f>2000000+2000000</f>
        <v>4000000</v>
      </c>
      <c r="H60" s="881">
        <f t="shared" si="2"/>
        <v>4000000</v>
      </c>
      <c r="I60" s="314">
        <f t="shared" si="3"/>
        <v>4000000</v>
      </c>
    </row>
    <row r="61" spans="1:10" ht="98.45" customHeight="1">
      <c r="A61" s="892" t="s">
        <v>1034</v>
      </c>
      <c r="B61" s="1366" t="s">
        <v>1233</v>
      </c>
      <c r="C61" s="1524"/>
      <c r="D61" s="932"/>
      <c r="E61" s="938"/>
      <c r="F61" s="932" t="s">
        <v>117</v>
      </c>
      <c r="G61" s="895">
        <v>2800000</v>
      </c>
      <c r="H61" s="895">
        <f t="shared" si="2"/>
        <v>2800000</v>
      </c>
      <c r="I61" s="314">
        <f t="shared" si="3"/>
        <v>2800000</v>
      </c>
    </row>
    <row r="62" spans="1:10" ht="33" hidden="1" customHeight="1">
      <c r="A62" s="882" t="s">
        <v>1300</v>
      </c>
      <c r="B62" s="883" t="s">
        <v>289</v>
      </c>
      <c r="C62" s="883"/>
      <c r="D62" s="880"/>
      <c r="E62" s="878">
        <f>+E66+E65+E63+E64</f>
        <v>0</v>
      </c>
      <c r="F62" s="878"/>
      <c r="G62" s="878">
        <f>+G66+G65+G63+G64</f>
        <v>0</v>
      </c>
      <c r="H62" s="878">
        <f t="shared" si="2"/>
        <v>0</v>
      </c>
      <c r="I62" s="314">
        <f t="shared" si="3"/>
        <v>0</v>
      </c>
    </row>
    <row r="63" spans="1:10" ht="63.6" hidden="1" customHeight="1">
      <c r="A63" s="879" t="s">
        <v>277</v>
      </c>
      <c r="B63" s="891" t="s">
        <v>810</v>
      </c>
      <c r="C63" s="891"/>
      <c r="D63" s="891" t="s">
        <v>1114</v>
      </c>
      <c r="E63" s="881"/>
      <c r="F63" s="878"/>
      <c r="G63" s="878"/>
      <c r="H63" s="881">
        <f t="shared" si="2"/>
        <v>0</v>
      </c>
      <c r="I63" s="314">
        <f t="shared" si="3"/>
        <v>0</v>
      </c>
    </row>
    <row r="64" spans="1:10" ht="63.6" hidden="1" customHeight="1">
      <c r="A64" s="879" t="s">
        <v>887</v>
      </c>
      <c r="B64" s="891" t="s">
        <v>1629</v>
      </c>
      <c r="C64" s="891"/>
      <c r="D64" s="891" t="s">
        <v>290</v>
      </c>
      <c r="E64" s="881"/>
      <c r="F64" s="878"/>
      <c r="G64" s="878"/>
      <c r="H64" s="881">
        <f t="shared" si="2"/>
        <v>0</v>
      </c>
      <c r="I64" s="314">
        <f t="shared" si="3"/>
        <v>0</v>
      </c>
    </row>
    <row r="65" spans="1:10" ht="40.15" hidden="1" customHeight="1">
      <c r="A65" s="879" t="s">
        <v>275</v>
      </c>
      <c r="B65" s="891" t="s">
        <v>389</v>
      </c>
      <c r="C65" s="891"/>
      <c r="D65" s="874"/>
      <c r="E65" s="881">
        <f>1200000-1200000</f>
        <v>0</v>
      </c>
      <c r="F65" s="874" t="s">
        <v>274</v>
      </c>
      <c r="G65" s="881"/>
      <c r="H65" s="881">
        <f t="shared" si="2"/>
        <v>0</v>
      </c>
      <c r="I65" s="314">
        <f t="shared" si="3"/>
        <v>0</v>
      </c>
    </row>
    <row r="66" spans="1:10" ht="45" hidden="1" customHeight="1">
      <c r="A66" s="879" t="s">
        <v>280</v>
      </c>
      <c r="B66" s="703" t="s">
        <v>281</v>
      </c>
      <c r="C66" s="703"/>
      <c r="D66" s="874" t="s">
        <v>282</v>
      </c>
      <c r="E66" s="881"/>
      <c r="F66" s="920"/>
      <c r="G66" s="920"/>
      <c r="H66" s="881">
        <f t="shared" si="2"/>
        <v>0</v>
      </c>
      <c r="I66" s="314">
        <f t="shared" si="3"/>
        <v>0</v>
      </c>
      <c r="J66" s="913"/>
    </row>
    <row r="67" spans="1:10" ht="45" hidden="1" customHeight="1">
      <c r="A67" s="882" t="s">
        <v>291</v>
      </c>
      <c r="B67" s="939" t="s">
        <v>646</v>
      </c>
      <c r="C67" s="939"/>
      <c r="D67" s="877"/>
      <c r="E67" s="940">
        <f>+E68</f>
        <v>0</v>
      </c>
      <c r="F67" s="941"/>
      <c r="G67" s="941"/>
      <c r="H67" s="940">
        <f t="shared" si="2"/>
        <v>0</v>
      </c>
      <c r="I67" s="314">
        <f t="shared" si="3"/>
        <v>0</v>
      </c>
    </row>
    <row r="68" spans="1:10" ht="56.45" hidden="1" customHeight="1">
      <c r="A68" s="897" t="s">
        <v>1512</v>
      </c>
      <c r="B68" s="942" t="s">
        <v>357</v>
      </c>
      <c r="C68" s="942"/>
      <c r="D68" s="907" t="s">
        <v>292</v>
      </c>
      <c r="E68" s="937"/>
      <c r="F68" s="943"/>
      <c r="G68" s="943"/>
      <c r="H68" s="937">
        <f t="shared" si="2"/>
        <v>0</v>
      </c>
      <c r="I68" s="314">
        <f t="shared" si="3"/>
        <v>0</v>
      </c>
    </row>
    <row r="69" spans="1:10" ht="45" hidden="1" customHeight="1">
      <c r="A69" s="882" t="s">
        <v>1176</v>
      </c>
      <c r="B69" s="876" t="s">
        <v>915</v>
      </c>
      <c r="C69" s="876"/>
      <c r="D69" s="891"/>
      <c r="E69" s="878">
        <f>+E70+E73+E74+E72+E71</f>
        <v>0</v>
      </c>
      <c r="F69" s="881"/>
      <c r="G69" s="878">
        <f>+G70+G73+G74+G72</f>
        <v>0</v>
      </c>
      <c r="H69" s="878">
        <f t="shared" si="2"/>
        <v>0</v>
      </c>
      <c r="I69" s="314">
        <f t="shared" si="3"/>
        <v>0</v>
      </c>
    </row>
    <row r="70" spans="1:10" ht="63" hidden="1" customHeight="1">
      <c r="A70" s="879" t="s">
        <v>293</v>
      </c>
      <c r="B70" s="944" t="s">
        <v>562</v>
      </c>
      <c r="C70" s="884" t="s">
        <v>924</v>
      </c>
      <c r="D70" s="891" t="s">
        <v>1109</v>
      </c>
      <c r="E70" s="881"/>
      <c r="F70" s="881"/>
      <c r="G70" s="881"/>
      <c r="H70" s="881">
        <f t="shared" si="2"/>
        <v>0</v>
      </c>
      <c r="I70" s="314">
        <f t="shared" si="3"/>
        <v>0</v>
      </c>
    </row>
    <row r="71" spans="1:10" ht="55.15" hidden="1" customHeight="1">
      <c r="A71" s="879" t="s">
        <v>293</v>
      </c>
      <c r="B71" s="944" t="s">
        <v>562</v>
      </c>
      <c r="C71" s="1510" t="s">
        <v>294</v>
      </c>
      <c r="D71" s="891" t="s">
        <v>295</v>
      </c>
      <c r="E71" s="881"/>
      <c r="F71" s="881"/>
      <c r="G71" s="881"/>
      <c r="H71" s="881">
        <f t="shared" si="2"/>
        <v>0</v>
      </c>
      <c r="I71" s="314">
        <f t="shared" si="3"/>
        <v>0</v>
      </c>
    </row>
    <row r="72" spans="1:10" ht="43.9" hidden="1" customHeight="1">
      <c r="A72" s="879" t="s">
        <v>1245</v>
      </c>
      <c r="B72" s="880" t="s">
        <v>967</v>
      </c>
      <c r="C72" s="1510"/>
      <c r="D72" s="944"/>
      <c r="E72" s="881"/>
      <c r="F72" s="945" t="s">
        <v>296</v>
      </c>
      <c r="G72" s="881"/>
      <c r="H72" s="881">
        <f t="shared" si="2"/>
        <v>0</v>
      </c>
      <c r="I72" s="314">
        <f t="shared" si="3"/>
        <v>0</v>
      </c>
    </row>
    <row r="73" spans="1:10" ht="82.15" hidden="1" customHeight="1">
      <c r="A73" s="892" t="s">
        <v>131</v>
      </c>
      <c r="B73" s="946" t="s">
        <v>314</v>
      </c>
      <c r="C73" s="946"/>
      <c r="D73" s="946" t="s">
        <v>454</v>
      </c>
      <c r="E73" s="912">
        <f>400000-400000</f>
        <v>0</v>
      </c>
      <c r="F73" s="947"/>
      <c r="G73" s="948"/>
      <c r="H73" s="912">
        <f t="shared" si="2"/>
        <v>0</v>
      </c>
      <c r="I73" s="314">
        <f t="shared" si="3"/>
        <v>0</v>
      </c>
    </row>
    <row r="74" spans="1:10" ht="92.45" hidden="1" customHeight="1">
      <c r="A74" s="897" t="s">
        <v>381</v>
      </c>
      <c r="B74" s="1356" t="s">
        <v>455</v>
      </c>
      <c r="C74" s="1356"/>
      <c r="D74" s="1356" t="s">
        <v>456</v>
      </c>
      <c r="E74" s="937">
        <f>1550000-1550000</f>
        <v>0</v>
      </c>
      <c r="F74" s="987"/>
      <c r="G74" s="1360"/>
      <c r="H74" s="937">
        <f t="shared" si="2"/>
        <v>0</v>
      </c>
      <c r="I74" s="314">
        <f t="shared" si="3"/>
        <v>0</v>
      </c>
    </row>
    <row r="75" spans="1:10" ht="49.9" customHeight="1">
      <c r="A75" s="882" t="s">
        <v>1176</v>
      </c>
      <c r="B75" s="876" t="s">
        <v>1167</v>
      </c>
      <c r="C75" s="876"/>
      <c r="D75" s="891"/>
      <c r="E75" s="878">
        <f>+E81+E76+E77+E83+E78+E79+E80+E82</f>
        <v>550000</v>
      </c>
      <c r="F75" s="949"/>
      <c r="G75" s="878">
        <f>+G81+G76+G77+G83+G78+G79+G80</f>
        <v>0</v>
      </c>
      <c r="H75" s="878">
        <f>+G75+E75</f>
        <v>550000</v>
      </c>
      <c r="I75" s="314">
        <f t="shared" si="3"/>
        <v>550000</v>
      </c>
    </row>
    <row r="76" spans="1:10" ht="76.900000000000006" hidden="1" customHeight="1">
      <c r="A76" s="917" t="s">
        <v>538</v>
      </c>
      <c r="B76" s="921" t="s">
        <v>1049</v>
      </c>
      <c r="C76" s="921"/>
      <c r="D76" s="922" t="s">
        <v>457</v>
      </c>
      <c r="E76" s="888"/>
      <c r="F76" s="1367"/>
      <c r="G76" s="1367"/>
      <c r="H76" s="888">
        <f t="shared" ref="H76:H96" si="4">+E76+G76</f>
        <v>0</v>
      </c>
      <c r="I76" s="314">
        <f t="shared" si="3"/>
        <v>0</v>
      </c>
    </row>
    <row r="77" spans="1:10" ht="70.900000000000006" customHeight="1">
      <c r="A77" s="879" t="s">
        <v>538</v>
      </c>
      <c r="B77" s="890" t="s">
        <v>1049</v>
      </c>
      <c r="C77" s="884" t="s">
        <v>924</v>
      </c>
      <c r="D77" s="891" t="s">
        <v>97</v>
      </c>
      <c r="E77" s="881">
        <f>150000+100000</f>
        <v>250000</v>
      </c>
      <c r="F77" s="949"/>
      <c r="G77" s="949"/>
      <c r="H77" s="881">
        <f t="shared" si="4"/>
        <v>250000</v>
      </c>
      <c r="I77" s="314">
        <f t="shared" si="3"/>
        <v>250000</v>
      </c>
    </row>
    <row r="78" spans="1:10" ht="70.900000000000006" hidden="1" customHeight="1">
      <c r="A78" s="892" t="s">
        <v>538</v>
      </c>
      <c r="B78" s="959" t="s">
        <v>1049</v>
      </c>
      <c r="C78" s="959"/>
      <c r="D78" s="910" t="s">
        <v>1114</v>
      </c>
      <c r="E78" s="895"/>
      <c r="F78" s="1368"/>
      <c r="G78" s="1368"/>
      <c r="H78" s="895">
        <f t="shared" si="4"/>
        <v>0</v>
      </c>
      <c r="I78" s="314">
        <f t="shared" si="3"/>
        <v>0</v>
      </c>
    </row>
    <row r="79" spans="1:10" ht="70.900000000000006" hidden="1" customHeight="1">
      <c r="A79" s="879" t="s">
        <v>538</v>
      </c>
      <c r="B79" s="890" t="s">
        <v>1049</v>
      </c>
      <c r="C79" s="890"/>
      <c r="D79" s="891" t="s">
        <v>1109</v>
      </c>
      <c r="E79" s="881"/>
      <c r="F79" s="949"/>
      <c r="G79" s="949"/>
      <c r="H79" s="881">
        <f t="shared" si="4"/>
        <v>0</v>
      </c>
      <c r="I79" s="314">
        <f t="shared" si="3"/>
        <v>0</v>
      </c>
    </row>
    <row r="80" spans="1:10" ht="70.900000000000006" hidden="1" customHeight="1">
      <c r="A80" s="879" t="s">
        <v>333</v>
      </c>
      <c r="B80" s="890" t="s">
        <v>967</v>
      </c>
      <c r="C80" s="890"/>
      <c r="D80" s="891"/>
      <c r="E80" s="881"/>
      <c r="F80" s="891" t="s">
        <v>458</v>
      </c>
      <c r="G80" s="881"/>
      <c r="H80" s="881">
        <f t="shared" si="4"/>
        <v>0</v>
      </c>
      <c r="I80" s="314">
        <f t="shared" si="3"/>
        <v>0</v>
      </c>
    </row>
    <row r="81" spans="1:12" ht="117" hidden="1" customHeight="1">
      <c r="A81" s="897" t="s">
        <v>900</v>
      </c>
      <c r="B81" s="899" t="s">
        <v>760</v>
      </c>
      <c r="C81" s="899"/>
      <c r="D81" s="950" t="s">
        <v>1109</v>
      </c>
      <c r="E81" s="900"/>
      <c r="F81" s="1353"/>
      <c r="G81" s="900"/>
      <c r="H81" s="900">
        <f t="shared" si="4"/>
        <v>0</v>
      </c>
      <c r="I81" s="314">
        <f t="shared" si="3"/>
        <v>0</v>
      </c>
    </row>
    <row r="82" spans="1:12" ht="100.9" customHeight="1">
      <c r="A82" s="879" t="s">
        <v>293</v>
      </c>
      <c r="B82" s="944" t="s">
        <v>562</v>
      </c>
      <c r="C82" s="880" t="s">
        <v>294</v>
      </c>
      <c r="D82" s="891" t="s">
        <v>98</v>
      </c>
      <c r="E82" s="881">
        <v>300000</v>
      </c>
      <c r="F82" s="949"/>
      <c r="G82" s="881"/>
      <c r="H82" s="881">
        <f>+E82+G82</f>
        <v>300000</v>
      </c>
      <c r="I82" s="314">
        <f t="shared" si="3"/>
        <v>300000</v>
      </c>
    </row>
    <row r="83" spans="1:12" ht="90" hidden="1" customHeight="1">
      <c r="A83" s="917" t="s">
        <v>71</v>
      </c>
      <c r="B83" s="922" t="s">
        <v>1106</v>
      </c>
      <c r="C83" s="928"/>
      <c r="D83" s="922"/>
      <c r="E83" s="888"/>
      <c r="F83" s="922" t="s">
        <v>459</v>
      </c>
      <c r="G83" s="888"/>
      <c r="H83" s="888">
        <f t="shared" si="4"/>
        <v>0</v>
      </c>
      <c r="I83" s="314">
        <f t="shared" ref="I83:I96" si="5">+H83</f>
        <v>0</v>
      </c>
    </row>
    <row r="84" spans="1:12" ht="42" customHeight="1">
      <c r="A84" s="951" t="s">
        <v>1479</v>
      </c>
      <c r="B84" s="924" t="s">
        <v>1189</v>
      </c>
      <c r="C84" s="924"/>
      <c r="D84" s="952"/>
      <c r="E84" s="878">
        <f>+E85+E86+E87+E93+E94+E88+E89+E90+E91+E92</f>
        <v>7100000</v>
      </c>
      <c r="F84" s="878"/>
      <c r="G84" s="878">
        <f>+G85+G86+G87+G93+G94+G88+G89+G90+G91+G92</f>
        <v>3000000</v>
      </c>
      <c r="H84" s="878">
        <f t="shared" si="4"/>
        <v>10100000</v>
      </c>
      <c r="I84" s="314">
        <f t="shared" si="5"/>
        <v>10100000</v>
      </c>
    </row>
    <row r="85" spans="1:12" ht="96.6" hidden="1" customHeight="1">
      <c r="A85" s="911">
        <v>250911</v>
      </c>
      <c r="B85" s="894" t="s">
        <v>241</v>
      </c>
      <c r="C85" s="894" t="s">
        <v>460</v>
      </c>
      <c r="D85" s="896" t="s">
        <v>461</v>
      </c>
      <c r="E85" s="895"/>
      <c r="F85" s="896" t="s">
        <v>461</v>
      </c>
      <c r="G85" s="895"/>
      <c r="H85" s="895">
        <f t="shared" si="4"/>
        <v>0</v>
      </c>
      <c r="I85" s="314">
        <f t="shared" si="5"/>
        <v>0</v>
      </c>
    </row>
    <row r="86" spans="1:12" ht="83.45" hidden="1" customHeight="1">
      <c r="A86" s="887">
        <v>250344</v>
      </c>
      <c r="B86" s="953" t="s">
        <v>819</v>
      </c>
      <c r="C86" s="953"/>
      <c r="D86" s="919" t="s">
        <v>462</v>
      </c>
      <c r="E86" s="888">
        <f>200000-200000</f>
        <v>0</v>
      </c>
      <c r="F86" s="919"/>
      <c r="G86" s="888"/>
      <c r="H86" s="888">
        <f t="shared" si="4"/>
        <v>0</v>
      </c>
      <c r="I86" s="314">
        <f t="shared" si="5"/>
        <v>0</v>
      </c>
    </row>
    <row r="87" spans="1:12" ht="67.150000000000006" hidden="1" customHeight="1">
      <c r="A87" s="874">
        <v>160903</v>
      </c>
      <c r="B87" s="880" t="s">
        <v>758</v>
      </c>
      <c r="C87" s="880" t="s">
        <v>463</v>
      </c>
      <c r="D87" s="920" t="s">
        <v>464</v>
      </c>
      <c r="E87" s="881"/>
      <c r="F87" s="920" t="s">
        <v>464</v>
      </c>
      <c r="G87" s="881"/>
      <c r="H87" s="881">
        <f t="shared" si="4"/>
        <v>0</v>
      </c>
      <c r="I87" s="314">
        <f t="shared" si="5"/>
        <v>0</v>
      </c>
    </row>
    <row r="88" spans="1:12" ht="67.150000000000006" hidden="1" customHeight="1">
      <c r="A88" s="911">
        <v>160903</v>
      </c>
      <c r="B88" s="894" t="s">
        <v>758</v>
      </c>
      <c r="C88" s="928"/>
      <c r="D88" s="896" t="s">
        <v>465</v>
      </c>
      <c r="E88" s="895">
        <f>3900000-3900000</f>
        <v>0</v>
      </c>
      <c r="F88" s="896"/>
      <c r="G88" s="895"/>
      <c r="H88" s="895">
        <f t="shared" si="4"/>
        <v>0</v>
      </c>
      <c r="I88" s="314">
        <f t="shared" si="5"/>
        <v>0</v>
      </c>
    </row>
    <row r="89" spans="1:12" ht="67.150000000000006" hidden="1" customHeight="1">
      <c r="A89" s="907">
        <v>160903</v>
      </c>
      <c r="B89" s="899" t="s">
        <v>758</v>
      </c>
      <c r="C89" s="928"/>
      <c r="D89" s="901" t="s">
        <v>466</v>
      </c>
      <c r="E89" s="900">
        <f>600000-600000</f>
        <v>0</v>
      </c>
      <c r="F89" s="901"/>
      <c r="G89" s="900"/>
      <c r="H89" s="900">
        <f t="shared" si="4"/>
        <v>0</v>
      </c>
      <c r="I89" s="314">
        <f t="shared" si="5"/>
        <v>0</v>
      </c>
    </row>
    <row r="90" spans="1:12" ht="67.150000000000006" customHeight="1">
      <c r="A90" s="874">
        <v>160903</v>
      </c>
      <c r="B90" s="880" t="s">
        <v>758</v>
      </c>
      <c r="C90" s="880"/>
      <c r="D90" s="920" t="s">
        <v>831</v>
      </c>
      <c r="E90" s="881">
        <f>7000000+100000</f>
        <v>7100000</v>
      </c>
      <c r="F90" s="920" t="s">
        <v>831</v>
      </c>
      <c r="G90" s="881">
        <v>200000</v>
      </c>
      <c r="H90" s="881">
        <f t="shared" si="4"/>
        <v>7300000</v>
      </c>
      <c r="I90" s="314">
        <f t="shared" si="5"/>
        <v>7300000</v>
      </c>
    </row>
    <row r="91" spans="1:12" ht="67.150000000000006" hidden="1" customHeight="1">
      <c r="A91" s="911">
        <v>160903</v>
      </c>
      <c r="B91" s="894" t="s">
        <v>758</v>
      </c>
      <c r="C91" s="928" t="s">
        <v>463</v>
      </c>
      <c r="D91" s="896" t="s">
        <v>467</v>
      </c>
      <c r="E91" s="895">
        <f>2000000-2000000</f>
        <v>0</v>
      </c>
      <c r="F91" s="896"/>
      <c r="G91" s="895"/>
      <c r="H91" s="895">
        <f t="shared" si="4"/>
        <v>0</v>
      </c>
      <c r="I91" s="314">
        <f t="shared" si="5"/>
        <v>0</v>
      </c>
    </row>
    <row r="92" spans="1:12" ht="67.150000000000006" hidden="1" customHeight="1">
      <c r="A92" s="907">
        <v>160903</v>
      </c>
      <c r="B92" s="899" t="s">
        <v>758</v>
      </c>
      <c r="C92" s="899" t="s">
        <v>463</v>
      </c>
      <c r="D92" s="901" t="s">
        <v>468</v>
      </c>
      <c r="E92" s="900">
        <f>200000-200000</f>
        <v>0</v>
      </c>
      <c r="F92" s="901"/>
      <c r="G92" s="900"/>
      <c r="H92" s="900">
        <f t="shared" si="4"/>
        <v>0</v>
      </c>
      <c r="I92" s="314">
        <f t="shared" si="5"/>
        <v>0</v>
      </c>
    </row>
    <row r="93" spans="1:12" ht="65.45" customHeight="1">
      <c r="A93" s="874">
        <v>160903</v>
      </c>
      <c r="B93" s="880" t="s">
        <v>758</v>
      </c>
      <c r="C93" s="880" t="s">
        <v>469</v>
      </c>
      <c r="D93" s="920"/>
      <c r="E93" s="881"/>
      <c r="F93" s="884" t="s">
        <v>832</v>
      </c>
      <c r="G93" s="881">
        <f>400000+2400000</f>
        <v>2800000</v>
      </c>
      <c r="H93" s="881">
        <f t="shared" si="4"/>
        <v>2800000</v>
      </c>
      <c r="I93" s="314">
        <f t="shared" si="5"/>
        <v>2800000</v>
      </c>
    </row>
    <row r="94" spans="1:12" ht="52.9" hidden="1" customHeight="1">
      <c r="A94" s="887">
        <v>160600</v>
      </c>
      <c r="B94" s="928" t="s">
        <v>1024</v>
      </c>
      <c r="C94" s="928"/>
      <c r="D94" s="886" t="s">
        <v>470</v>
      </c>
      <c r="E94" s="888"/>
      <c r="F94" s="886"/>
      <c r="G94" s="888"/>
      <c r="H94" s="888">
        <f t="shared" si="4"/>
        <v>0</v>
      </c>
      <c r="I94" s="314">
        <f t="shared" si="5"/>
        <v>0</v>
      </c>
    </row>
    <row r="95" spans="1:12" ht="52.15" customHeight="1">
      <c r="A95" s="882" t="s">
        <v>1178</v>
      </c>
      <c r="B95" s="883" t="s">
        <v>1190</v>
      </c>
      <c r="C95" s="883"/>
      <c r="D95" s="954"/>
      <c r="E95" s="878">
        <f>+E100+E107+E108+E109+E101+E102+E105+E96+E99+E106+E103+E104</f>
        <v>16623000</v>
      </c>
      <c r="F95" s="878"/>
      <c r="G95" s="878">
        <f>+G100+G107+G108+G109+G101+G102+G105+G96+G99+G106</f>
        <v>0</v>
      </c>
      <c r="H95" s="878">
        <f t="shared" si="4"/>
        <v>16623000</v>
      </c>
      <c r="I95" s="314">
        <f t="shared" si="5"/>
        <v>16623000</v>
      </c>
    </row>
    <row r="96" spans="1:12" ht="85.15" customHeight="1">
      <c r="A96" s="1369" t="s">
        <v>695</v>
      </c>
      <c r="B96" s="958" t="s">
        <v>491</v>
      </c>
      <c r="C96" s="1484" t="s">
        <v>471</v>
      </c>
      <c r="D96" s="1507" t="s">
        <v>472</v>
      </c>
      <c r="E96" s="1515">
        <f>1107100+900</f>
        <v>1108000</v>
      </c>
      <c r="F96" s="1508"/>
      <c r="G96" s="1508"/>
      <c r="H96" s="1515">
        <f t="shared" si="4"/>
        <v>1108000</v>
      </c>
      <c r="I96" s="314">
        <f t="shared" si="5"/>
        <v>1108000</v>
      </c>
      <c r="K96" s="955" t="s">
        <v>695</v>
      </c>
      <c r="L96" s="956" t="s">
        <v>491</v>
      </c>
    </row>
    <row r="97" spans="1:12" ht="60" customHeight="1">
      <c r="A97" s="879" t="s">
        <v>378</v>
      </c>
      <c r="B97" s="957" t="s">
        <v>47</v>
      </c>
      <c r="C97" s="1525"/>
      <c r="D97" s="1502"/>
      <c r="E97" s="1516"/>
      <c r="F97" s="1509"/>
      <c r="G97" s="1509"/>
      <c r="H97" s="1516"/>
      <c r="I97" s="314">
        <v>1</v>
      </c>
      <c r="K97" s="892" t="s">
        <v>1140</v>
      </c>
      <c r="L97" s="701" t="s">
        <v>317</v>
      </c>
    </row>
    <row r="98" spans="1:12" ht="44.45" customHeight="1">
      <c r="A98" s="879" t="s">
        <v>1140</v>
      </c>
      <c r="B98" s="703" t="s">
        <v>317</v>
      </c>
      <c r="C98" s="1485"/>
      <c r="D98" s="1502"/>
      <c r="E98" s="1516"/>
      <c r="F98" s="1509"/>
      <c r="G98" s="1509"/>
      <c r="H98" s="1516"/>
      <c r="I98" s="314">
        <v>1</v>
      </c>
      <c r="K98" s="879" t="s">
        <v>378</v>
      </c>
      <c r="L98" s="957" t="s">
        <v>47</v>
      </c>
    </row>
    <row r="99" spans="1:12" ht="78" customHeight="1">
      <c r="A99" s="879" t="s">
        <v>538</v>
      </c>
      <c r="B99" s="890" t="s">
        <v>1049</v>
      </c>
      <c r="C99" s="884" t="s">
        <v>924</v>
      </c>
      <c r="D99" s="891" t="s">
        <v>98</v>
      </c>
      <c r="E99" s="881">
        <v>850000</v>
      </c>
      <c r="F99" s="881"/>
      <c r="G99" s="881"/>
      <c r="H99" s="881">
        <f t="shared" ref="H99:H134" si="6">+E99+G99</f>
        <v>850000</v>
      </c>
      <c r="I99" s="314">
        <f t="shared" ref="I99:I134" si="7">+H99</f>
        <v>850000</v>
      </c>
    </row>
    <row r="100" spans="1:12" ht="94.9" customHeight="1">
      <c r="A100" s="879" t="s">
        <v>1140</v>
      </c>
      <c r="B100" s="703" t="s">
        <v>317</v>
      </c>
      <c r="C100" s="1484" t="s">
        <v>471</v>
      </c>
      <c r="D100" s="956" t="s">
        <v>936</v>
      </c>
      <c r="E100" s="881">
        <v>290000</v>
      </c>
      <c r="F100" s="881"/>
      <c r="G100" s="881"/>
      <c r="H100" s="881">
        <f t="shared" si="6"/>
        <v>290000</v>
      </c>
      <c r="I100" s="314">
        <f t="shared" si="7"/>
        <v>290000</v>
      </c>
    </row>
    <row r="101" spans="1:12" ht="79.900000000000006" customHeight="1">
      <c r="A101" s="879" t="s">
        <v>1140</v>
      </c>
      <c r="B101" s="703" t="s">
        <v>317</v>
      </c>
      <c r="C101" s="1525"/>
      <c r="D101" s="703" t="s">
        <v>249</v>
      </c>
      <c r="E101" s="881">
        <v>65000</v>
      </c>
      <c r="F101" s="881"/>
      <c r="G101" s="881"/>
      <c r="H101" s="881">
        <f t="shared" si="6"/>
        <v>65000</v>
      </c>
      <c r="I101" s="314">
        <f t="shared" si="7"/>
        <v>65000</v>
      </c>
    </row>
    <row r="102" spans="1:12" ht="82.9" customHeight="1">
      <c r="A102" s="879" t="s">
        <v>1140</v>
      </c>
      <c r="B102" s="703" t="s">
        <v>317</v>
      </c>
      <c r="C102" s="1525"/>
      <c r="D102" s="956" t="s">
        <v>323</v>
      </c>
      <c r="E102" s="881">
        <v>1000000</v>
      </c>
      <c r="F102" s="881"/>
      <c r="G102" s="881"/>
      <c r="H102" s="881">
        <f t="shared" si="6"/>
        <v>1000000</v>
      </c>
      <c r="I102" s="314">
        <f t="shared" si="7"/>
        <v>1000000</v>
      </c>
    </row>
    <row r="103" spans="1:12" ht="82.9" customHeight="1">
      <c r="A103" s="879" t="s">
        <v>1140</v>
      </c>
      <c r="B103" s="703" t="s">
        <v>317</v>
      </c>
      <c r="C103" s="1525"/>
      <c r="D103" s="496" t="s">
        <v>1222</v>
      </c>
      <c r="E103" s="881">
        <v>500000</v>
      </c>
      <c r="F103" s="881"/>
      <c r="G103" s="881"/>
      <c r="H103" s="881">
        <f t="shared" si="6"/>
        <v>500000</v>
      </c>
      <c r="I103" s="314">
        <f t="shared" si="7"/>
        <v>500000</v>
      </c>
    </row>
    <row r="104" spans="1:12" ht="82.9" customHeight="1">
      <c r="A104" s="879" t="s">
        <v>378</v>
      </c>
      <c r="B104" s="703" t="s">
        <v>47</v>
      </c>
      <c r="C104" s="1485"/>
      <c r="D104" s="956" t="s">
        <v>836</v>
      </c>
      <c r="E104" s="881">
        <v>260000</v>
      </c>
      <c r="F104" s="881"/>
      <c r="G104" s="881"/>
      <c r="H104" s="881">
        <f t="shared" si="6"/>
        <v>260000</v>
      </c>
      <c r="I104" s="314">
        <f t="shared" si="7"/>
        <v>260000</v>
      </c>
    </row>
    <row r="105" spans="1:12" ht="63" customHeight="1">
      <c r="A105" s="879" t="s">
        <v>1140</v>
      </c>
      <c r="B105" s="703" t="s">
        <v>317</v>
      </c>
      <c r="C105" s="1484" t="s">
        <v>471</v>
      </c>
      <c r="D105" s="956" t="s">
        <v>473</v>
      </c>
      <c r="E105" s="881">
        <v>10000000</v>
      </c>
      <c r="F105" s="881"/>
      <c r="G105" s="881"/>
      <c r="H105" s="881">
        <f t="shared" si="6"/>
        <v>10000000</v>
      </c>
      <c r="I105" s="314">
        <f t="shared" si="7"/>
        <v>10000000</v>
      </c>
    </row>
    <row r="106" spans="1:12" ht="96.6" customHeight="1">
      <c r="A106" s="879" t="s">
        <v>1140</v>
      </c>
      <c r="B106" s="703" t="s">
        <v>317</v>
      </c>
      <c r="C106" s="1525"/>
      <c r="D106" s="874" t="s">
        <v>475</v>
      </c>
      <c r="E106" s="881">
        <v>2550000</v>
      </c>
      <c r="F106" s="881"/>
      <c r="G106" s="881"/>
      <c r="H106" s="881">
        <f t="shared" si="6"/>
        <v>2550000</v>
      </c>
      <c r="I106" s="314">
        <f t="shared" si="7"/>
        <v>2550000</v>
      </c>
    </row>
    <row r="107" spans="1:12" ht="90.6" hidden="1" customHeight="1">
      <c r="A107" s="879" t="s">
        <v>1140</v>
      </c>
      <c r="B107" s="703" t="s">
        <v>317</v>
      </c>
      <c r="C107" s="958"/>
      <c r="D107" s="874"/>
      <c r="E107" s="881"/>
      <c r="F107" s="881"/>
      <c r="G107" s="881"/>
      <c r="H107" s="881">
        <f t="shared" si="6"/>
        <v>0</v>
      </c>
      <c r="I107" s="314">
        <f t="shared" si="7"/>
        <v>0</v>
      </c>
    </row>
    <row r="108" spans="1:12" ht="105.6" hidden="1" customHeight="1">
      <c r="A108" s="879" t="s">
        <v>378</v>
      </c>
      <c r="B108" s="703" t="s">
        <v>47</v>
      </c>
      <c r="C108" s="984"/>
      <c r="D108" s="956"/>
      <c r="E108" s="881"/>
      <c r="F108" s="881"/>
      <c r="G108" s="881"/>
      <c r="H108" s="881">
        <f t="shared" si="6"/>
        <v>0</v>
      </c>
      <c r="I108" s="314">
        <f t="shared" si="7"/>
        <v>0</v>
      </c>
    </row>
    <row r="109" spans="1:12" ht="39.6" hidden="1" customHeight="1">
      <c r="A109" s="892" t="s">
        <v>1018</v>
      </c>
      <c r="B109" s="959" t="s">
        <v>1191</v>
      </c>
      <c r="C109" s="959"/>
      <c r="D109" s="911" t="s">
        <v>476</v>
      </c>
      <c r="E109" s="895">
        <f>600000-600000</f>
        <v>0</v>
      </c>
      <c r="F109" s="895"/>
      <c r="G109" s="895"/>
      <c r="H109" s="895">
        <f t="shared" si="6"/>
        <v>0</v>
      </c>
      <c r="I109" s="314">
        <f t="shared" si="7"/>
        <v>0</v>
      </c>
    </row>
    <row r="110" spans="1:12" ht="24" hidden="1">
      <c r="A110" s="960" t="s">
        <v>477</v>
      </c>
      <c r="B110" s="961" t="s">
        <v>478</v>
      </c>
      <c r="C110" s="961"/>
      <c r="D110" s="962"/>
      <c r="E110" s="963">
        <f>+E111</f>
        <v>0</v>
      </c>
      <c r="F110" s="964"/>
      <c r="G110" s="963">
        <f>+G111</f>
        <v>0</v>
      </c>
      <c r="H110" s="963">
        <f t="shared" si="6"/>
        <v>0</v>
      </c>
      <c r="I110" s="314">
        <f t="shared" si="7"/>
        <v>0</v>
      </c>
    </row>
    <row r="111" spans="1:12" ht="51.6" hidden="1" customHeight="1">
      <c r="A111" s="965" t="s">
        <v>900</v>
      </c>
      <c r="B111" s="966" t="s">
        <v>1450</v>
      </c>
      <c r="C111" s="966"/>
      <c r="D111" s="966" t="s">
        <v>1451</v>
      </c>
      <c r="E111" s="967">
        <f>1000000-1000000</f>
        <v>0</v>
      </c>
      <c r="F111" s="968"/>
      <c r="G111" s="967"/>
      <c r="H111" s="967">
        <f t="shared" si="6"/>
        <v>0</v>
      </c>
      <c r="I111" s="314">
        <f t="shared" si="7"/>
        <v>0</v>
      </c>
    </row>
    <row r="112" spans="1:12" ht="25.15" hidden="1" customHeight="1">
      <c r="A112" s="960" t="s">
        <v>1452</v>
      </c>
      <c r="B112" s="961" t="s">
        <v>1453</v>
      </c>
      <c r="C112" s="961"/>
      <c r="D112" s="962"/>
      <c r="E112" s="969">
        <f>+E113+E114</f>
        <v>0</v>
      </c>
      <c r="F112" s="964"/>
      <c r="G112" s="963"/>
      <c r="H112" s="963">
        <f t="shared" si="6"/>
        <v>0</v>
      </c>
      <c r="I112" s="314">
        <f t="shared" si="7"/>
        <v>0</v>
      </c>
    </row>
    <row r="113" spans="1:9" ht="40.15" hidden="1" customHeight="1">
      <c r="A113" s="965" t="s">
        <v>224</v>
      </c>
      <c r="B113" s="970" t="s">
        <v>1454</v>
      </c>
      <c r="C113" s="970"/>
      <c r="D113" s="970" t="s">
        <v>1455</v>
      </c>
      <c r="E113" s="967"/>
      <c r="F113" s="968"/>
      <c r="G113" s="967"/>
      <c r="H113" s="967">
        <f t="shared" si="6"/>
        <v>0</v>
      </c>
      <c r="I113" s="314">
        <f t="shared" si="7"/>
        <v>0</v>
      </c>
    </row>
    <row r="114" spans="1:9" ht="36.6" hidden="1" customHeight="1">
      <c r="A114" s="965" t="s">
        <v>1287</v>
      </c>
      <c r="B114" s="971" t="s">
        <v>967</v>
      </c>
      <c r="C114" s="971"/>
      <c r="D114" s="970" t="s">
        <v>1456</v>
      </c>
      <c r="E114" s="967"/>
      <c r="F114" s="968"/>
      <c r="G114" s="967"/>
      <c r="H114" s="967">
        <f t="shared" si="6"/>
        <v>0</v>
      </c>
      <c r="I114" s="314">
        <f t="shared" si="7"/>
        <v>0</v>
      </c>
    </row>
    <row r="115" spans="1:9" ht="36.6" hidden="1" customHeight="1">
      <c r="A115" s="965"/>
      <c r="B115" s="971"/>
      <c r="C115" s="971"/>
      <c r="D115" s="970"/>
      <c r="E115" s="967"/>
      <c r="F115" s="968"/>
      <c r="G115" s="967"/>
      <c r="H115" s="881">
        <f t="shared" si="6"/>
        <v>0</v>
      </c>
      <c r="I115" s="314">
        <f t="shared" si="7"/>
        <v>0</v>
      </c>
    </row>
    <row r="116" spans="1:9" ht="36.6" hidden="1" customHeight="1">
      <c r="A116" s="972"/>
      <c r="B116" s="973"/>
      <c r="C116" s="973"/>
      <c r="D116" s="974"/>
      <c r="E116" s="975"/>
      <c r="F116" s="976"/>
      <c r="G116" s="975"/>
      <c r="H116" s="900">
        <f t="shared" si="6"/>
        <v>0</v>
      </c>
      <c r="I116" s="314">
        <f t="shared" si="7"/>
        <v>0</v>
      </c>
    </row>
    <row r="117" spans="1:9" ht="54.6" customHeight="1">
      <c r="A117" s="882" t="s">
        <v>1171</v>
      </c>
      <c r="B117" s="876" t="s">
        <v>1182</v>
      </c>
      <c r="C117" s="876"/>
      <c r="D117" s="877"/>
      <c r="E117" s="878">
        <f>+E119+E120+E122+E118+E126+E123+E121+E127+E124</f>
        <v>8695000</v>
      </c>
      <c r="F117" s="878"/>
      <c r="G117" s="878">
        <f>+G119+G120+G122+G118+G126+G123+G121+G127+G124</f>
        <v>2900000</v>
      </c>
      <c r="H117" s="878">
        <f t="shared" si="6"/>
        <v>11595000</v>
      </c>
      <c r="I117" s="314">
        <f t="shared" si="7"/>
        <v>11595000</v>
      </c>
    </row>
    <row r="118" spans="1:9" ht="69.599999999999994" customHeight="1">
      <c r="A118" s="879" t="s">
        <v>729</v>
      </c>
      <c r="B118" s="891" t="s">
        <v>1457</v>
      </c>
      <c r="C118" s="1498" t="s">
        <v>1458</v>
      </c>
      <c r="D118" s="1512" t="s">
        <v>1439</v>
      </c>
      <c r="E118" s="881">
        <f>3697000+1200000</f>
        <v>4897000</v>
      </c>
      <c r="F118" s="874" t="s">
        <v>1439</v>
      </c>
      <c r="G118" s="881">
        <v>2900000</v>
      </c>
      <c r="H118" s="881">
        <f t="shared" si="6"/>
        <v>7797000</v>
      </c>
      <c r="I118" s="314">
        <f t="shared" si="7"/>
        <v>7797000</v>
      </c>
    </row>
    <row r="119" spans="1:9" ht="42" customHeight="1">
      <c r="A119" s="879" t="s">
        <v>873</v>
      </c>
      <c r="B119" s="891" t="s">
        <v>1459</v>
      </c>
      <c r="C119" s="1499"/>
      <c r="D119" s="1507"/>
      <c r="E119" s="881">
        <f>609000-11000</f>
        <v>598000</v>
      </c>
      <c r="F119" s="881"/>
      <c r="G119" s="881"/>
      <c r="H119" s="881">
        <f t="shared" si="6"/>
        <v>598000</v>
      </c>
      <c r="I119" s="314">
        <f t="shared" si="7"/>
        <v>598000</v>
      </c>
    </row>
    <row r="120" spans="1:9" ht="40.15" customHeight="1">
      <c r="A120" s="879" t="s">
        <v>733</v>
      </c>
      <c r="B120" s="891" t="s">
        <v>1048</v>
      </c>
      <c r="C120" s="1499"/>
      <c r="D120" s="1507"/>
      <c r="E120" s="881">
        <f>925000+11000</f>
        <v>936000</v>
      </c>
      <c r="F120" s="920"/>
      <c r="G120" s="925"/>
      <c r="H120" s="925">
        <f t="shared" si="6"/>
        <v>936000</v>
      </c>
      <c r="I120" s="314">
        <f t="shared" si="7"/>
        <v>936000</v>
      </c>
    </row>
    <row r="121" spans="1:9" ht="40.15" customHeight="1">
      <c r="A121" s="879" t="s">
        <v>1188</v>
      </c>
      <c r="B121" s="891" t="s">
        <v>1187</v>
      </c>
      <c r="C121" s="1499"/>
      <c r="D121" s="1507"/>
      <c r="E121" s="881">
        <v>99000</v>
      </c>
      <c r="F121" s="920"/>
      <c r="G121" s="925"/>
      <c r="H121" s="925">
        <f t="shared" si="6"/>
        <v>99000</v>
      </c>
      <c r="I121" s="314">
        <f t="shared" si="7"/>
        <v>99000</v>
      </c>
    </row>
    <row r="122" spans="1:9" ht="35.450000000000003" customHeight="1">
      <c r="A122" s="977" t="s">
        <v>1512</v>
      </c>
      <c r="B122" s="874" t="s">
        <v>49</v>
      </c>
      <c r="C122" s="1499"/>
      <c r="D122" s="1507"/>
      <c r="E122" s="881">
        <f>95000+400000</f>
        <v>495000</v>
      </c>
      <c r="F122" s="978"/>
      <c r="G122" s="979"/>
      <c r="H122" s="925">
        <f t="shared" si="6"/>
        <v>495000</v>
      </c>
      <c r="I122" s="314">
        <f t="shared" si="7"/>
        <v>495000</v>
      </c>
    </row>
    <row r="123" spans="1:9" ht="35.450000000000003" hidden="1" customHeight="1">
      <c r="A123" s="980" t="s">
        <v>1512</v>
      </c>
      <c r="B123" s="887" t="s">
        <v>49</v>
      </c>
      <c r="C123" s="1499"/>
      <c r="D123" s="1507"/>
      <c r="E123" s="888"/>
      <c r="F123" s="981"/>
      <c r="G123" s="982"/>
      <c r="H123" s="983">
        <f t="shared" si="6"/>
        <v>0</v>
      </c>
      <c r="I123" s="314">
        <f t="shared" si="7"/>
        <v>0</v>
      </c>
    </row>
    <row r="124" spans="1:9" ht="35.450000000000003" customHeight="1">
      <c r="A124" s="977" t="s">
        <v>1287</v>
      </c>
      <c r="B124" s="874" t="s">
        <v>967</v>
      </c>
      <c r="C124" s="1499"/>
      <c r="D124" s="1507"/>
      <c r="E124" s="888">
        <v>400000</v>
      </c>
      <c r="F124" s="981"/>
      <c r="G124" s="982"/>
      <c r="H124" s="925">
        <f t="shared" si="6"/>
        <v>400000</v>
      </c>
      <c r="I124" s="314">
        <f t="shared" si="7"/>
        <v>400000</v>
      </c>
    </row>
    <row r="125" spans="1:9" ht="35.450000000000003" hidden="1" customHeight="1">
      <c r="A125" s="980"/>
      <c r="B125" s="887"/>
      <c r="C125" s="1499"/>
      <c r="D125" s="887"/>
      <c r="E125" s="888"/>
      <c r="F125" s="981"/>
      <c r="G125" s="982"/>
      <c r="H125" s="983"/>
      <c r="I125" s="314"/>
    </row>
    <row r="126" spans="1:9" ht="76.150000000000006" customHeight="1">
      <c r="A126" s="977" t="s">
        <v>1287</v>
      </c>
      <c r="B126" s="875" t="s">
        <v>967</v>
      </c>
      <c r="C126" s="1500"/>
      <c r="D126" s="874" t="s">
        <v>110</v>
      </c>
      <c r="E126" s="881">
        <f>900000+370000</f>
        <v>1270000</v>
      </c>
      <c r="F126" s="978"/>
      <c r="G126" s="979"/>
      <c r="H126" s="925">
        <f t="shared" si="6"/>
        <v>1270000</v>
      </c>
      <c r="I126" s="314">
        <f t="shared" si="7"/>
        <v>1270000</v>
      </c>
    </row>
    <row r="127" spans="1:9" ht="19.149999999999999" hidden="1" customHeight="1">
      <c r="A127" s="977"/>
      <c r="B127" s="875"/>
      <c r="C127" s="910"/>
      <c r="D127" s="874" t="s">
        <v>1439</v>
      </c>
      <c r="E127" s="881"/>
      <c r="F127" s="978"/>
      <c r="G127" s="979"/>
      <c r="H127" s="925"/>
      <c r="I127" s="314">
        <f t="shared" si="7"/>
        <v>0</v>
      </c>
    </row>
    <row r="128" spans="1:9" ht="16.149999999999999" hidden="1" customHeight="1">
      <c r="A128" s="1370"/>
      <c r="B128" s="1371" t="s">
        <v>327</v>
      </c>
      <c r="C128" s="1371"/>
      <c r="D128" s="894"/>
      <c r="E128" s="905">
        <f>+E129</f>
        <v>0</v>
      </c>
      <c r="F128" s="985"/>
      <c r="G128" s="905">
        <f>+G129</f>
        <v>0</v>
      </c>
      <c r="H128" s="905">
        <f t="shared" si="6"/>
        <v>0</v>
      </c>
      <c r="I128" s="314">
        <f t="shared" si="7"/>
        <v>0</v>
      </c>
    </row>
    <row r="129" spans="1:9" ht="25.9" hidden="1" customHeight="1">
      <c r="A129" s="986" t="s">
        <v>1287</v>
      </c>
      <c r="B129" s="987" t="s">
        <v>967</v>
      </c>
      <c r="C129" s="987"/>
      <c r="D129" s="907" t="s">
        <v>1461</v>
      </c>
      <c r="E129" s="900"/>
      <c r="F129" s="988"/>
      <c r="G129" s="989"/>
      <c r="H129" s="900">
        <f t="shared" si="6"/>
        <v>0</v>
      </c>
      <c r="I129" s="314">
        <f t="shared" si="7"/>
        <v>0</v>
      </c>
    </row>
    <row r="130" spans="1:9" ht="45" customHeight="1">
      <c r="A130" s="882" t="s">
        <v>1476</v>
      </c>
      <c r="B130" s="924" t="s">
        <v>1184</v>
      </c>
      <c r="C130" s="924"/>
      <c r="D130" s="954"/>
      <c r="E130" s="878">
        <f>+E131+E133+E132</f>
        <v>2100000</v>
      </c>
      <c r="F130" s="990"/>
      <c r="G130" s="878">
        <f>+G131+G133+G132</f>
        <v>0</v>
      </c>
      <c r="H130" s="878">
        <f t="shared" si="6"/>
        <v>2100000</v>
      </c>
      <c r="I130" s="991">
        <f t="shared" si="7"/>
        <v>2100000</v>
      </c>
    </row>
    <row r="131" spans="1:9" ht="74.45" customHeight="1">
      <c r="A131" s="879" t="s">
        <v>224</v>
      </c>
      <c r="B131" s="957" t="s">
        <v>653</v>
      </c>
      <c r="C131" s="1504" t="s">
        <v>1462</v>
      </c>
      <c r="D131" s="880" t="s">
        <v>261</v>
      </c>
      <c r="E131" s="881">
        <v>450000</v>
      </c>
      <c r="F131" s="880"/>
      <c r="G131" s="881"/>
      <c r="H131" s="881">
        <f t="shared" si="6"/>
        <v>450000</v>
      </c>
      <c r="I131" s="991">
        <f t="shared" si="7"/>
        <v>450000</v>
      </c>
    </row>
    <row r="132" spans="1:9" ht="58.15" customHeight="1">
      <c r="A132" s="879" t="s">
        <v>1408</v>
      </c>
      <c r="B132" s="957" t="s">
        <v>1463</v>
      </c>
      <c r="C132" s="1505"/>
      <c r="D132" s="880" t="s">
        <v>24</v>
      </c>
      <c r="E132" s="881">
        <v>1650000</v>
      </c>
      <c r="F132" s="880"/>
      <c r="G132" s="881"/>
      <c r="H132" s="881">
        <f t="shared" si="6"/>
        <v>1650000</v>
      </c>
      <c r="I132" s="991">
        <f t="shared" si="7"/>
        <v>1650000</v>
      </c>
    </row>
    <row r="133" spans="1:9" ht="28.15" hidden="1" customHeight="1">
      <c r="A133" s="917" t="s">
        <v>1287</v>
      </c>
      <c r="B133" s="887" t="s">
        <v>967</v>
      </c>
      <c r="C133" s="993"/>
      <c r="D133" s="887" t="s">
        <v>1464</v>
      </c>
      <c r="E133" s="888"/>
      <c r="F133" s="887" t="s">
        <v>1464</v>
      </c>
      <c r="G133" s="888"/>
      <c r="H133" s="888">
        <f t="shared" si="6"/>
        <v>0</v>
      </c>
      <c r="I133" s="991">
        <f t="shared" si="7"/>
        <v>0</v>
      </c>
    </row>
    <row r="134" spans="1:9" ht="58.15" customHeight="1">
      <c r="A134" s="536" t="s">
        <v>1477</v>
      </c>
      <c r="B134" s="876" t="s">
        <v>432</v>
      </c>
      <c r="C134" s="924"/>
      <c r="D134" s="880"/>
      <c r="E134" s="878">
        <f>SUBTOTAL(9,E135:E155)</f>
        <v>4400000</v>
      </c>
      <c r="F134" s="878"/>
      <c r="G134" s="878">
        <f>SUBTOTAL(9,G135:G155)</f>
        <v>250000</v>
      </c>
      <c r="H134" s="878">
        <f t="shared" si="6"/>
        <v>4650000</v>
      </c>
      <c r="I134" s="314">
        <f t="shared" si="7"/>
        <v>4650000</v>
      </c>
    </row>
    <row r="135" spans="1:9" ht="129" customHeight="1">
      <c r="A135" s="879" t="s">
        <v>88</v>
      </c>
      <c r="B135" s="956" t="s">
        <v>193</v>
      </c>
      <c r="C135" s="1484" t="s">
        <v>194</v>
      </c>
      <c r="D135" s="956" t="s">
        <v>860</v>
      </c>
      <c r="E135" s="881">
        <v>2300000</v>
      </c>
      <c r="F135" s="956"/>
      <c r="G135" s="881"/>
      <c r="H135" s="881">
        <f t="shared" ref="H135:H160" si="8">+E135+G135</f>
        <v>2300000</v>
      </c>
      <c r="I135" s="314">
        <f t="shared" ref="I135:I168" si="9">+H135</f>
        <v>2300000</v>
      </c>
    </row>
    <row r="136" spans="1:9" ht="71.45" customHeight="1">
      <c r="A136" s="892" t="s">
        <v>88</v>
      </c>
      <c r="B136" s="984" t="s">
        <v>229</v>
      </c>
      <c r="C136" s="1485"/>
      <c r="D136" s="984" t="s">
        <v>120</v>
      </c>
      <c r="E136" s="895">
        <v>400000</v>
      </c>
      <c r="F136" s="984"/>
      <c r="G136" s="895"/>
      <c r="H136" s="881">
        <f t="shared" si="8"/>
        <v>400000</v>
      </c>
      <c r="I136" s="314">
        <f t="shared" si="9"/>
        <v>400000</v>
      </c>
    </row>
    <row r="137" spans="1:9" ht="47.45" hidden="1" customHeight="1">
      <c r="A137" s="917" t="s">
        <v>88</v>
      </c>
      <c r="B137" s="958" t="s">
        <v>229</v>
      </c>
      <c r="C137" s="958"/>
      <c r="D137" s="958"/>
      <c r="E137" s="888"/>
      <c r="F137" s="958" t="s">
        <v>195</v>
      </c>
      <c r="G137" s="888">
        <f>360000-360000</f>
        <v>0</v>
      </c>
      <c r="H137" s="888">
        <f t="shared" si="8"/>
        <v>0</v>
      </c>
      <c r="I137" s="314">
        <f t="shared" si="9"/>
        <v>0</v>
      </c>
    </row>
    <row r="138" spans="1:9" ht="58.15" customHeight="1">
      <c r="A138" s="879" t="s">
        <v>222</v>
      </c>
      <c r="B138" s="915" t="s">
        <v>223</v>
      </c>
      <c r="C138" s="1489" t="s">
        <v>196</v>
      </c>
      <c r="D138" s="880" t="s">
        <v>197</v>
      </c>
      <c r="E138" s="881">
        <v>500000</v>
      </c>
      <c r="F138" s="881"/>
      <c r="G138" s="881"/>
      <c r="H138" s="881">
        <f t="shared" si="8"/>
        <v>500000</v>
      </c>
      <c r="I138" s="314">
        <f t="shared" si="9"/>
        <v>500000</v>
      </c>
    </row>
    <row r="139" spans="1:9" ht="48" customHeight="1">
      <c r="A139" s="879" t="s">
        <v>1512</v>
      </c>
      <c r="B139" s="874" t="s">
        <v>1404</v>
      </c>
      <c r="C139" s="1490"/>
      <c r="D139" s="874" t="s">
        <v>198</v>
      </c>
      <c r="E139" s="881">
        <f>800000-400000</f>
        <v>400000</v>
      </c>
      <c r="F139" s="881"/>
      <c r="G139" s="881"/>
      <c r="H139" s="881">
        <f t="shared" si="8"/>
        <v>400000</v>
      </c>
      <c r="I139" s="314">
        <f t="shared" si="9"/>
        <v>400000</v>
      </c>
    </row>
    <row r="140" spans="1:9" ht="48" customHeight="1">
      <c r="A140" s="879" t="s">
        <v>1512</v>
      </c>
      <c r="B140" s="874" t="s">
        <v>1404</v>
      </c>
      <c r="C140" s="1490"/>
      <c r="D140" s="880" t="s">
        <v>111</v>
      </c>
      <c r="E140" s="881">
        <v>400000</v>
      </c>
      <c r="F140" s="881"/>
      <c r="G140" s="881"/>
      <c r="H140" s="881">
        <f t="shared" si="8"/>
        <v>400000</v>
      </c>
      <c r="I140" s="314">
        <f t="shared" si="9"/>
        <v>400000</v>
      </c>
    </row>
    <row r="141" spans="1:9" ht="62.45" customHeight="1">
      <c r="A141" s="879" t="s">
        <v>1512</v>
      </c>
      <c r="B141" s="874" t="s">
        <v>1404</v>
      </c>
      <c r="C141" s="1490"/>
      <c r="D141" s="874" t="s">
        <v>112</v>
      </c>
      <c r="E141" s="881">
        <f>300000+200000-100000</f>
        <v>400000</v>
      </c>
      <c r="F141" s="881"/>
      <c r="G141" s="881"/>
      <c r="H141" s="881">
        <f t="shared" si="8"/>
        <v>400000</v>
      </c>
      <c r="I141" s="314">
        <f t="shared" si="9"/>
        <v>400000</v>
      </c>
    </row>
    <row r="142" spans="1:9" ht="53.45" hidden="1" customHeight="1">
      <c r="A142" s="892" t="s">
        <v>199</v>
      </c>
      <c r="B142" s="959" t="s">
        <v>979</v>
      </c>
      <c r="C142" s="1490"/>
      <c r="D142" s="911"/>
      <c r="E142" s="895"/>
      <c r="F142" s="896" t="s">
        <v>200</v>
      </c>
      <c r="G142" s="895">
        <f>4680000-4680000+12000000-12000000</f>
        <v>0</v>
      </c>
      <c r="H142" s="895">
        <f t="shared" si="8"/>
        <v>0</v>
      </c>
      <c r="I142" s="314">
        <f t="shared" si="9"/>
        <v>0</v>
      </c>
    </row>
    <row r="143" spans="1:9" ht="37.9" hidden="1" customHeight="1">
      <c r="A143" s="879" t="s">
        <v>199</v>
      </c>
      <c r="B143" s="890" t="s">
        <v>979</v>
      </c>
      <c r="C143" s="1490"/>
      <c r="D143" s="874"/>
      <c r="E143" s="881"/>
      <c r="F143" s="920" t="s">
        <v>1229</v>
      </c>
      <c r="G143" s="881">
        <f>1700000-1700000</f>
        <v>0</v>
      </c>
      <c r="H143" s="881">
        <f t="shared" si="8"/>
        <v>0</v>
      </c>
      <c r="I143" s="314">
        <f t="shared" si="9"/>
        <v>0</v>
      </c>
    </row>
    <row r="144" spans="1:9" ht="40.9" hidden="1" customHeight="1">
      <c r="A144" s="879" t="s">
        <v>199</v>
      </c>
      <c r="B144" s="890" t="s">
        <v>979</v>
      </c>
      <c r="C144" s="1490"/>
      <c r="D144" s="874"/>
      <c r="E144" s="881"/>
      <c r="F144" s="920" t="s">
        <v>1230</v>
      </c>
      <c r="G144" s="881">
        <f>1151000-1151000</f>
        <v>0</v>
      </c>
      <c r="H144" s="881">
        <f t="shared" si="8"/>
        <v>0</v>
      </c>
      <c r="I144" s="314">
        <f t="shared" si="9"/>
        <v>0</v>
      </c>
    </row>
    <row r="145" spans="1:9" ht="40.15" hidden="1" customHeight="1">
      <c r="A145" s="879" t="s">
        <v>160</v>
      </c>
      <c r="B145" s="994" t="s">
        <v>1248</v>
      </c>
      <c r="C145" s="1490"/>
      <c r="D145" s="874"/>
      <c r="E145" s="881"/>
      <c r="F145" s="920" t="s">
        <v>1231</v>
      </c>
      <c r="G145" s="881">
        <f>2000000-2000000</f>
        <v>0</v>
      </c>
      <c r="H145" s="881">
        <f t="shared" si="8"/>
        <v>0</v>
      </c>
      <c r="I145" s="314">
        <f t="shared" si="9"/>
        <v>0</v>
      </c>
    </row>
    <row r="146" spans="1:9" ht="33.6" hidden="1" customHeight="1">
      <c r="A146" s="890">
        <v>240604</v>
      </c>
      <c r="B146" s="994" t="s">
        <v>994</v>
      </c>
      <c r="C146" s="1490"/>
      <c r="D146" s="874"/>
      <c r="E146" s="881"/>
      <c r="F146" s="920" t="s">
        <v>1232</v>
      </c>
      <c r="G146" s="881">
        <f>149000-149000</f>
        <v>0</v>
      </c>
      <c r="H146" s="881">
        <f t="shared" si="8"/>
        <v>0</v>
      </c>
      <c r="I146" s="314">
        <f t="shared" si="9"/>
        <v>0</v>
      </c>
    </row>
    <row r="147" spans="1:9" ht="38.450000000000003" hidden="1" customHeight="1">
      <c r="A147" s="890">
        <v>240604</v>
      </c>
      <c r="B147" s="994" t="s">
        <v>994</v>
      </c>
      <c r="C147" s="1490"/>
      <c r="D147" s="874"/>
      <c r="E147" s="881"/>
      <c r="F147" s="920" t="s">
        <v>667</v>
      </c>
      <c r="G147" s="881">
        <f>178000-178000</f>
        <v>0</v>
      </c>
      <c r="H147" s="881">
        <f t="shared" si="8"/>
        <v>0</v>
      </c>
      <c r="I147" s="314">
        <f t="shared" si="9"/>
        <v>0</v>
      </c>
    </row>
    <row r="148" spans="1:9" ht="36.6" hidden="1" customHeight="1">
      <c r="A148" s="890">
        <v>240604</v>
      </c>
      <c r="B148" s="994" t="s">
        <v>994</v>
      </c>
      <c r="C148" s="1490"/>
      <c r="D148" s="874"/>
      <c r="E148" s="881"/>
      <c r="F148" s="920" t="s">
        <v>668</v>
      </c>
      <c r="G148" s="881">
        <f>99000-99000</f>
        <v>0</v>
      </c>
      <c r="H148" s="881">
        <f t="shared" si="8"/>
        <v>0</v>
      </c>
      <c r="I148" s="314">
        <f t="shared" si="9"/>
        <v>0</v>
      </c>
    </row>
    <row r="149" spans="1:9" ht="35.450000000000003" hidden="1" customHeight="1">
      <c r="A149" s="890">
        <v>240604</v>
      </c>
      <c r="B149" s="994" t="s">
        <v>994</v>
      </c>
      <c r="C149" s="1490"/>
      <c r="D149" s="874"/>
      <c r="E149" s="881"/>
      <c r="F149" s="920" t="s">
        <v>669</v>
      </c>
      <c r="G149" s="881">
        <f>523000-523000</f>
        <v>0</v>
      </c>
      <c r="H149" s="881">
        <f t="shared" si="8"/>
        <v>0</v>
      </c>
      <c r="I149" s="314">
        <f t="shared" si="9"/>
        <v>0</v>
      </c>
    </row>
    <row r="150" spans="1:9" ht="31.15" hidden="1" customHeight="1">
      <c r="A150" s="957">
        <v>240605</v>
      </c>
      <c r="B150" s="890" t="s">
        <v>1249</v>
      </c>
      <c r="C150" s="1490"/>
      <c r="D150" s="874"/>
      <c r="E150" s="881"/>
      <c r="F150" s="920" t="s">
        <v>670</v>
      </c>
      <c r="G150" s="881">
        <f>1242000-1242000</f>
        <v>0</v>
      </c>
      <c r="H150" s="881">
        <f t="shared" si="8"/>
        <v>0</v>
      </c>
      <c r="I150" s="314">
        <f t="shared" si="9"/>
        <v>0</v>
      </c>
    </row>
    <row r="151" spans="1:9" ht="30.6" hidden="1" customHeight="1">
      <c r="A151" s="992">
        <v>240605</v>
      </c>
      <c r="B151" s="995" t="s">
        <v>1249</v>
      </c>
      <c r="C151" s="1490"/>
      <c r="D151" s="907"/>
      <c r="E151" s="900"/>
      <c r="F151" s="901" t="s">
        <v>0</v>
      </c>
      <c r="G151" s="900">
        <f>278000-278000</f>
        <v>0</v>
      </c>
      <c r="H151" s="900">
        <f t="shared" si="8"/>
        <v>0</v>
      </c>
      <c r="I151" s="314">
        <f t="shared" si="9"/>
        <v>0</v>
      </c>
    </row>
    <row r="152" spans="1:9" ht="24" hidden="1" customHeight="1">
      <c r="A152" s="897" t="s">
        <v>997</v>
      </c>
      <c r="B152" s="700" t="s">
        <v>996</v>
      </c>
      <c r="C152" s="1490"/>
      <c r="D152" s="1361" t="s">
        <v>1</v>
      </c>
      <c r="E152" s="900"/>
      <c r="F152" s="900"/>
      <c r="G152" s="900"/>
      <c r="H152" s="900">
        <f t="shared" si="8"/>
        <v>0</v>
      </c>
      <c r="I152" s="314">
        <f t="shared" si="9"/>
        <v>0</v>
      </c>
    </row>
    <row r="153" spans="1:9" ht="58.15" hidden="1" customHeight="1">
      <c r="A153" s="879" t="s">
        <v>1247</v>
      </c>
      <c r="B153" s="703" t="s">
        <v>1246</v>
      </c>
      <c r="C153" s="1491"/>
      <c r="D153" s="920" t="s">
        <v>2</v>
      </c>
      <c r="E153" s="881">
        <f>6000000-6000000</f>
        <v>0</v>
      </c>
      <c r="F153" s="881"/>
      <c r="G153" s="881"/>
      <c r="H153" s="881">
        <f t="shared" si="8"/>
        <v>0</v>
      </c>
      <c r="I153" s="314">
        <f t="shared" si="9"/>
        <v>0</v>
      </c>
    </row>
    <row r="154" spans="1:9" ht="72" customHeight="1">
      <c r="A154" s="892" t="s">
        <v>1247</v>
      </c>
      <c r="B154" s="701" t="s">
        <v>1246</v>
      </c>
      <c r="C154" s="701"/>
      <c r="D154" s="896"/>
      <c r="E154" s="895"/>
      <c r="F154" s="896" t="s">
        <v>116</v>
      </c>
      <c r="G154" s="895">
        <v>250000</v>
      </c>
      <c r="H154" s="895">
        <f t="shared" si="8"/>
        <v>250000</v>
      </c>
      <c r="I154" s="314">
        <f t="shared" si="9"/>
        <v>250000</v>
      </c>
    </row>
    <row r="155" spans="1:9" ht="34.15" hidden="1" customHeight="1">
      <c r="A155" s="996" t="s">
        <v>740</v>
      </c>
      <c r="B155" s="997" t="s">
        <v>1465</v>
      </c>
      <c r="C155" s="997"/>
      <c r="D155" s="998"/>
      <c r="E155" s="999">
        <f>+E156</f>
        <v>0</v>
      </c>
      <c r="F155" s="1000"/>
      <c r="G155" s="999">
        <f>+G156</f>
        <v>0</v>
      </c>
      <c r="H155" s="999">
        <f t="shared" si="8"/>
        <v>0</v>
      </c>
      <c r="I155" s="314">
        <f t="shared" si="9"/>
        <v>0</v>
      </c>
    </row>
    <row r="156" spans="1:9" ht="25.5" hidden="1">
      <c r="A156" s="972" t="s">
        <v>88</v>
      </c>
      <c r="B156" s="1001" t="s">
        <v>229</v>
      </c>
      <c r="C156" s="1001"/>
      <c r="D156" s="1362" t="s">
        <v>3</v>
      </c>
      <c r="E156" s="975"/>
      <c r="F156" s="1363"/>
      <c r="G156" s="975"/>
      <c r="H156" s="975">
        <f t="shared" si="8"/>
        <v>0</v>
      </c>
      <c r="I156" s="314">
        <f t="shared" si="9"/>
        <v>0</v>
      </c>
    </row>
    <row r="157" spans="1:9" ht="49.9" customHeight="1">
      <c r="A157" s="372" t="s">
        <v>572</v>
      </c>
      <c r="B157" s="876" t="s">
        <v>574</v>
      </c>
      <c r="C157" s="876"/>
      <c r="D157" s="877"/>
      <c r="E157" s="878">
        <f>+E158</f>
        <v>620000</v>
      </c>
      <c r="F157" s="878"/>
      <c r="G157" s="878">
        <f>+G158</f>
        <v>0</v>
      </c>
      <c r="H157" s="878">
        <f t="shared" si="8"/>
        <v>620000</v>
      </c>
      <c r="I157" s="314">
        <f t="shared" si="9"/>
        <v>620000</v>
      </c>
    </row>
    <row r="158" spans="1:9" ht="103.15" customHeight="1">
      <c r="A158" s="879" t="s">
        <v>997</v>
      </c>
      <c r="B158" s="703" t="s">
        <v>996</v>
      </c>
      <c r="C158" s="956" t="s">
        <v>128</v>
      </c>
      <c r="D158" s="956" t="s">
        <v>833</v>
      </c>
      <c r="E158" s="881">
        <v>620000</v>
      </c>
      <c r="F158" s="956"/>
      <c r="G158" s="878"/>
      <c r="H158" s="881">
        <f t="shared" si="8"/>
        <v>620000</v>
      </c>
      <c r="I158" s="314">
        <f t="shared" si="9"/>
        <v>620000</v>
      </c>
    </row>
    <row r="159" spans="1:9" ht="47.45" hidden="1" customHeight="1">
      <c r="A159" s="1372" t="s">
        <v>4</v>
      </c>
      <c r="B159" s="903" t="s">
        <v>311</v>
      </c>
      <c r="C159" s="903"/>
      <c r="D159" s="904"/>
      <c r="E159" s="905">
        <f>+E160</f>
        <v>0</v>
      </c>
      <c r="F159" s="905"/>
      <c r="G159" s="905">
        <f>+G160</f>
        <v>0</v>
      </c>
      <c r="H159" s="905">
        <f t="shared" si="8"/>
        <v>0</v>
      </c>
      <c r="I159" s="314">
        <f t="shared" si="9"/>
        <v>0</v>
      </c>
    </row>
    <row r="160" spans="1:9" ht="36" hidden="1" customHeight="1">
      <c r="A160" s="879" t="s">
        <v>1287</v>
      </c>
      <c r="B160" s="703" t="s">
        <v>967</v>
      </c>
      <c r="C160" s="703"/>
      <c r="D160" s="880" t="s">
        <v>5</v>
      </c>
      <c r="E160" s="881"/>
      <c r="F160" s="878"/>
      <c r="G160" s="878"/>
      <c r="H160" s="881">
        <f t="shared" si="8"/>
        <v>0</v>
      </c>
      <c r="I160" s="314">
        <f t="shared" si="9"/>
        <v>0</v>
      </c>
    </row>
    <row r="161" spans="1:9" ht="43.15" hidden="1" customHeight="1">
      <c r="A161" s="882"/>
      <c r="B161" s="883" t="s">
        <v>236</v>
      </c>
      <c r="C161" s="883"/>
      <c r="D161" s="877"/>
      <c r="E161" s="940">
        <f>+E162</f>
        <v>0</v>
      </c>
      <c r="F161" s="877"/>
      <c r="G161" s="940">
        <f>+G162</f>
        <v>0</v>
      </c>
      <c r="H161" s="940">
        <f>+H162</f>
        <v>0</v>
      </c>
      <c r="I161" s="314">
        <f t="shared" si="9"/>
        <v>0</v>
      </c>
    </row>
    <row r="162" spans="1:9" ht="31.15" hidden="1" customHeight="1">
      <c r="A162" s="897" t="s">
        <v>1287</v>
      </c>
      <c r="B162" s="700" t="s">
        <v>967</v>
      </c>
      <c r="C162" s="700"/>
      <c r="D162" s="899"/>
      <c r="E162" s="937"/>
      <c r="F162" s="1002"/>
      <c r="G162" s="1003"/>
      <c r="H162" s="937">
        <f t="shared" ref="H162:H169" si="10">+E162+G162</f>
        <v>0</v>
      </c>
      <c r="I162" s="314">
        <f t="shared" si="9"/>
        <v>0</v>
      </c>
    </row>
    <row r="163" spans="1:9" ht="36.6" customHeight="1">
      <c r="A163" s="882" t="s">
        <v>1172</v>
      </c>
      <c r="B163" s="883" t="s">
        <v>1185</v>
      </c>
      <c r="C163" s="883"/>
      <c r="D163" s="877"/>
      <c r="E163" s="878">
        <f>+E168+E164+E166+E167+E165</f>
        <v>2300000</v>
      </c>
      <c r="F163" s="878"/>
      <c r="G163" s="878">
        <f>+G168+G164+G166+G167+G165</f>
        <v>1000000</v>
      </c>
      <c r="H163" s="878">
        <f t="shared" si="10"/>
        <v>3300000</v>
      </c>
      <c r="I163" s="314">
        <f t="shared" si="9"/>
        <v>3300000</v>
      </c>
    </row>
    <row r="164" spans="1:9" ht="59.45" customHeight="1">
      <c r="A164" s="879" t="s">
        <v>1512</v>
      </c>
      <c r="B164" s="874" t="s">
        <v>1404</v>
      </c>
      <c r="C164" s="1502" t="s">
        <v>6</v>
      </c>
      <c r="D164" s="880" t="s">
        <v>7</v>
      </c>
      <c r="E164" s="881">
        <f>2100000-900000-100000</f>
        <v>1100000</v>
      </c>
      <c r="F164" s="1004"/>
      <c r="G164" s="881">
        <f>900000+100000</f>
        <v>1000000</v>
      </c>
      <c r="H164" s="881">
        <f t="shared" si="10"/>
        <v>2100000</v>
      </c>
      <c r="I164" s="314">
        <f t="shared" si="9"/>
        <v>2100000</v>
      </c>
    </row>
    <row r="165" spans="1:9" ht="53.45" customHeight="1">
      <c r="A165" s="879" t="s">
        <v>1512</v>
      </c>
      <c r="B165" s="874" t="s">
        <v>1404</v>
      </c>
      <c r="C165" s="1502"/>
      <c r="D165" s="880" t="s">
        <v>8</v>
      </c>
      <c r="E165" s="881">
        <v>200000</v>
      </c>
      <c r="F165" s="1004"/>
      <c r="G165" s="1005"/>
      <c r="H165" s="881">
        <f t="shared" si="10"/>
        <v>200000</v>
      </c>
      <c r="I165" s="314">
        <f t="shared" si="9"/>
        <v>200000</v>
      </c>
    </row>
    <row r="166" spans="1:9" ht="40.15" hidden="1" customHeight="1">
      <c r="A166" s="917" t="s">
        <v>1512</v>
      </c>
      <c r="B166" s="887" t="s">
        <v>1404</v>
      </c>
      <c r="C166" s="887"/>
      <c r="D166" s="928" t="s">
        <v>198</v>
      </c>
      <c r="E166" s="888"/>
      <c r="F166" s="1006"/>
      <c r="G166" s="1007"/>
      <c r="H166" s="888">
        <f t="shared" si="10"/>
        <v>0</v>
      </c>
      <c r="I166" s="314">
        <f t="shared" si="9"/>
        <v>0</v>
      </c>
    </row>
    <row r="167" spans="1:9" ht="48.6" customHeight="1">
      <c r="A167" s="879" t="s">
        <v>1512</v>
      </c>
      <c r="B167" s="874" t="s">
        <v>1404</v>
      </c>
      <c r="C167" s="874" t="s">
        <v>9</v>
      </c>
      <c r="D167" s="880" t="s">
        <v>420</v>
      </c>
      <c r="E167" s="881">
        <f>600000+400000</f>
        <v>1000000</v>
      </c>
      <c r="F167" s="1004"/>
      <c r="G167" s="1005"/>
      <c r="H167" s="881">
        <f t="shared" si="10"/>
        <v>1000000</v>
      </c>
      <c r="I167" s="314">
        <f t="shared" si="9"/>
        <v>1000000</v>
      </c>
    </row>
    <row r="168" spans="1:9" ht="68.45" hidden="1" customHeight="1">
      <c r="A168" s="917" t="s">
        <v>1512</v>
      </c>
      <c r="B168" s="887" t="s">
        <v>1404</v>
      </c>
      <c r="C168" s="887"/>
      <c r="D168" s="928" t="s">
        <v>198</v>
      </c>
      <c r="E168" s="888"/>
      <c r="F168" s="1006"/>
      <c r="G168" s="1007"/>
      <c r="H168" s="888">
        <f t="shared" si="10"/>
        <v>0</v>
      </c>
      <c r="I168" s="314">
        <f t="shared" si="9"/>
        <v>0</v>
      </c>
    </row>
    <row r="169" spans="1:9" ht="34.9" customHeight="1">
      <c r="A169" s="882" t="s">
        <v>685</v>
      </c>
      <c r="B169" s="883" t="s">
        <v>1179</v>
      </c>
      <c r="C169" s="883"/>
      <c r="D169" s="877"/>
      <c r="E169" s="878">
        <f>+E191+E186+E187+E172+E174+E176+E173+E177+E178+E184+E185+E188+E189+E190+E175+E170+E183+E179+E181+E182+E180+E171</f>
        <v>6000000</v>
      </c>
      <c r="F169" s="878"/>
      <c r="G169" s="878">
        <f>+G191+G186+G187+G172+G174+G176+G173+G177+G178+G184+G185+G188+G189+G190+G175+G170+G183+G179+G181+G182+G180+G171</f>
        <v>0</v>
      </c>
      <c r="H169" s="878">
        <f t="shared" si="10"/>
        <v>6000000</v>
      </c>
      <c r="I169" s="314">
        <f t="shared" ref="I169:I191" si="11">+H169</f>
        <v>6000000</v>
      </c>
    </row>
    <row r="170" spans="1:9" ht="58.15" hidden="1" customHeight="1">
      <c r="A170" s="879" t="s">
        <v>88</v>
      </c>
      <c r="B170" s="956" t="s">
        <v>229</v>
      </c>
      <c r="C170" s="956" t="s">
        <v>194</v>
      </c>
      <c r="D170" s="877"/>
      <c r="E170" s="878"/>
      <c r="F170" s="956" t="s">
        <v>10</v>
      </c>
      <c r="G170" s="881"/>
      <c r="H170" s="881">
        <f>E170+G170</f>
        <v>0</v>
      </c>
      <c r="I170" s="314">
        <f t="shared" si="11"/>
        <v>0</v>
      </c>
    </row>
    <row r="171" spans="1:9" ht="68.45" hidden="1" customHeight="1">
      <c r="A171" s="879" t="s">
        <v>1512</v>
      </c>
      <c r="B171" s="874" t="s">
        <v>1404</v>
      </c>
      <c r="C171" s="703" t="s">
        <v>196</v>
      </c>
      <c r="D171" s="874" t="s">
        <v>11</v>
      </c>
      <c r="E171" s="881"/>
      <c r="F171" s="920"/>
      <c r="G171" s="881"/>
      <c r="H171" s="881">
        <f>E171+G171</f>
        <v>0</v>
      </c>
      <c r="I171" s="314">
        <f t="shared" si="11"/>
        <v>0</v>
      </c>
    </row>
    <row r="172" spans="1:9" ht="68.45" hidden="1" customHeight="1">
      <c r="A172" s="917" t="s">
        <v>1247</v>
      </c>
      <c r="B172" s="918" t="s">
        <v>1246</v>
      </c>
      <c r="C172" s="918"/>
      <c r="D172" s="702" t="s">
        <v>12</v>
      </c>
      <c r="E172" s="919"/>
      <c r="F172" s="888"/>
      <c r="G172" s="888"/>
      <c r="H172" s="888">
        <f>E172+G172</f>
        <v>0</v>
      </c>
      <c r="I172" s="314">
        <f t="shared" si="11"/>
        <v>0</v>
      </c>
    </row>
    <row r="173" spans="1:9" ht="130.15" hidden="1" customHeight="1">
      <c r="A173" s="879" t="s">
        <v>1507</v>
      </c>
      <c r="B173" s="703" t="s">
        <v>674</v>
      </c>
      <c r="C173" s="703" t="s">
        <v>13</v>
      </c>
      <c r="D173" s="880"/>
      <c r="E173" s="881"/>
      <c r="F173" s="920" t="s">
        <v>25</v>
      </c>
      <c r="G173" s="881"/>
      <c r="H173" s="881">
        <f>+E173+G173</f>
        <v>0</v>
      </c>
      <c r="I173" s="314">
        <f t="shared" si="11"/>
        <v>0</v>
      </c>
    </row>
    <row r="174" spans="1:9" ht="68.45" hidden="1" customHeight="1">
      <c r="A174" s="917" t="s">
        <v>1247</v>
      </c>
      <c r="B174" s="918" t="s">
        <v>1246</v>
      </c>
      <c r="C174" s="918"/>
      <c r="D174" s="958" t="s">
        <v>15</v>
      </c>
      <c r="E174" s="888">
        <f>1000000-1000000</f>
        <v>0</v>
      </c>
      <c r="F174" s="888"/>
      <c r="G174" s="888"/>
      <c r="H174" s="888">
        <f t="shared" ref="H174:H190" si="12">E174+G174</f>
        <v>0</v>
      </c>
      <c r="I174" s="314">
        <f t="shared" si="11"/>
        <v>0</v>
      </c>
    </row>
    <row r="175" spans="1:9" ht="50.45" customHeight="1">
      <c r="A175" s="879" t="s">
        <v>1247</v>
      </c>
      <c r="B175" s="703" t="s">
        <v>1246</v>
      </c>
      <c r="C175" s="703" t="s">
        <v>196</v>
      </c>
      <c r="D175" s="920" t="s">
        <v>2</v>
      </c>
      <c r="E175" s="881">
        <v>6000000</v>
      </c>
      <c r="F175" s="881"/>
      <c r="G175" s="881"/>
      <c r="H175" s="881">
        <f t="shared" si="12"/>
        <v>6000000</v>
      </c>
      <c r="I175" s="314">
        <f t="shared" si="11"/>
        <v>6000000</v>
      </c>
    </row>
    <row r="176" spans="1:9" ht="57.6" hidden="1" customHeight="1">
      <c r="A176" s="892" t="s">
        <v>1247</v>
      </c>
      <c r="B176" s="701" t="s">
        <v>1246</v>
      </c>
      <c r="C176" s="701"/>
      <c r="D176" s="984" t="s">
        <v>16</v>
      </c>
      <c r="E176" s="895">
        <f>50000-50000</f>
        <v>0</v>
      </c>
      <c r="F176" s="895"/>
      <c r="G176" s="895"/>
      <c r="H176" s="895">
        <f t="shared" si="12"/>
        <v>0</v>
      </c>
      <c r="I176" s="314">
        <f t="shared" si="11"/>
        <v>0</v>
      </c>
    </row>
    <row r="177" spans="1:9" ht="61.15" hidden="1" customHeight="1">
      <c r="A177" s="879" t="s">
        <v>1247</v>
      </c>
      <c r="B177" s="703" t="s">
        <v>1246</v>
      </c>
      <c r="C177" s="703"/>
      <c r="D177" s="496" t="s">
        <v>474</v>
      </c>
      <c r="E177" s="881"/>
      <c r="F177" s="881"/>
      <c r="G177" s="881"/>
      <c r="H177" s="881">
        <f t="shared" si="12"/>
        <v>0</v>
      </c>
      <c r="I177" s="314">
        <f t="shared" si="11"/>
        <v>0</v>
      </c>
    </row>
    <row r="178" spans="1:9" ht="55.15" hidden="1" customHeight="1">
      <c r="A178" s="879" t="s">
        <v>1247</v>
      </c>
      <c r="B178" s="703" t="s">
        <v>1246</v>
      </c>
      <c r="C178" s="703"/>
      <c r="D178" s="874" t="s">
        <v>17</v>
      </c>
      <c r="E178" s="881">
        <f>1050000-1050000</f>
        <v>0</v>
      </c>
      <c r="F178" s="1008"/>
      <c r="G178" s="878"/>
      <c r="H178" s="881">
        <f t="shared" si="12"/>
        <v>0</v>
      </c>
      <c r="I178" s="314">
        <f t="shared" si="11"/>
        <v>0</v>
      </c>
    </row>
    <row r="179" spans="1:9" ht="57" hidden="1" customHeight="1">
      <c r="A179" s="879" t="s">
        <v>184</v>
      </c>
      <c r="B179" s="1009" t="s">
        <v>625</v>
      </c>
      <c r="C179" s="1009"/>
      <c r="D179" s="874" t="s">
        <v>1109</v>
      </c>
      <c r="E179" s="881">
        <f>903200+1800-905000</f>
        <v>0</v>
      </c>
      <c r="F179" s="1008"/>
      <c r="G179" s="878"/>
      <c r="H179" s="881">
        <f t="shared" si="12"/>
        <v>0</v>
      </c>
      <c r="I179" s="314">
        <f t="shared" si="11"/>
        <v>0</v>
      </c>
    </row>
    <row r="180" spans="1:9" ht="57" hidden="1" customHeight="1">
      <c r="A180" s="879" t="s">
        <v>184</v>
      </c>
      <c r="B180" s="1009" t="s">
        <v>625</v>
      </c>
      <c r="C180" s="1009"/>
      <c r="D180" s="920" t="s">
        <v>18</v>
      </c>
      <c r="E180" s="881">
        <f>1000000-1000000</f>
        <v>0</v>
      </c>
      <c r="F180" s="1008"/>
      <c r="G180" s="878"/>
      <c r="H180" s="881">
        <f t="shared" si="12"/>
        <v>0</v>
      </c>
      <c r="I180" s="314">
        <f t="shared" si="11"/>
        <v>0</v>
      </c>
    </row>
    <row r="181" spans="1:9" ht="48" hidden="1" customHeight="1">
      <c r="A181" s="879" t="s">
        <v>184</v>
      </c>
      <c r="B181" s="1009" t="s">
        <v>625</v>
      </c>
      <c r="C181" s="1009"/>
      <c r="D181" s="1010" t="s">
        <v>278</v>
      </c>
      <c r="E181" s="881">
        <f>500000-500000</f>
        <v>0</v>
      </c>
      <c r="F181" s="1010"/>
      <c r="G181" s="881"/>
      <c r="H181" s="881">
        <f t="shared" si="12"/>
        <v>0</v>
      </c>
      <c r="I181" s="314">
        <f t="shared" si="11"/>
        <v>0</v>
      </c>
    </row>
    <row r="182" spans="1:9" ht="38.450000000000003" hidden="1" customHeight="1">
      <c r="A182" s="879" t="s">
        <v>184</v>
      </c>
      <c r="B182" s="1009" t="s">
        <v>625</v>
      </c>
      <c r="C182" s="1009"/>
      <c r="D182" s="891" t="s">
        <v>458</v>
      </c>
      <c r="E182" s="881">
        <f>1000000-1000000</f>
        <v>0</v>
      </c>
      <c r="F182" s="891"/>
      <c r="G182" s="881"/>
      <c r="H182" s="881">
        <f t="shared" si="12"/>
        <v>0</v>
      </c>
      <c r="I182" s="314">
        <f t="shared" si="11"/>
        <v>0</v>
      </c>
    </row>
    <row r="183" spans="1:9" ht="40.15" hidden="1" customHeight="1">
      <c r="A183" s="879" t="s">
        <v>1247</v>
      </c>
      <c r="B183" s="703" t="s">
        <v>1246</v>
      </c>
      <c r="C183" s="703"/>
      <c r="D183" s="874" t="s">
        <v>1460</v>
      </c>
      <c r="E183" s="881"/>
      <c r="F183" s="1008"/>
      <c r="G183" s="878"/>
      <c r="H183" s="881">
        <f t="shared" si="12"/>
        <v>0</v>
      </c>
      <c r="I183" s="314">
        <f t="shared" si="11"/>
        <v>0</v>
      </c>
    </row>
    <row r="184" spans="1:9" ht="37.15" hidden="1" customHeight="1">
      <c r="A184" s="879" t="s">
        <v>1247</v>
      </c>
      <c r="B184" s="703" t="s">
        <v>1246</v>
      </c>
      <c r="C184" s="703"/>
      <c r="D184" s="874" t="s">
        <v>12</v>
      </c>
      <c r="E184" s="881"/>
      <c r="F184" s="920"/>
      <c r="G184" s="881"/>
      <c r="H184" s="881">
        <f t="shared" si="12"/>
        <v>0</v>
      </c>
      <c r="I184" s="314">
        <f t="shared" si="11"/>
        <v>0</v>
      </c>
    </row>
    <row r="185" spans="1:9" ht="30.6" hidden="1" customHeight="1">
      <c r="A185" s="879" t="s">
        <v>1247</v>
      </c>
      <c r="B185" s="703" t="s">
        <v>1246</v>
      </c>
      <c r="C185" s="703"/>
      <c r="D185" s="874" t="s">
        <v>19</v>
      </c>
      <c r="E185" s="881"/>
      <c r="F185" s="920"/>
      <c r="G185" s="881"/>
      <c r="H185" s="881">
        <f t="shared" si="12"/>
        <v>0</v>
      </c>
      <c r="I185" s="314">
        <f t="shared" si="11"/>
        <v>0</v>
      </c>
    </row>
    <row r="186" spans="1:9" ht="28.9" hidden="1" customHeight="1">
      <c r="A186" s="879" t="s">
        <v>1247</v>
      </c>
      <c r="B186" s="703" t="s">
        <v>1246</v>
      </c>
      <c r="C186" s="703"/>
      <c r="D186" s="874"/>
      <c r="E186" s="881"/>
      <c r="F186" s="920" t="s">
        <v>458</v>
      </c>
      <c r="G186" s="881"/>
      <c r="H186" s="881">
        <f t="shared" si="12"/>
        <v>0</v>
      </c>
      <c r="I186" s="314">
        <f t="shared" si="11"/>
        <v>0</v>
      </c>
    </row>
    <row r="187" spans="1:9" ht="26.45" hidden="1" customHeight="1">
      <c r="A187" s="879" t="s">
        <v>1247</v>
      </c>
      <c r="B187" s="703" t="s">
        <v>1246</v>
      </c>
      <c r="C187" s="703"/>
      <c r="D187" s="891" t="s">
        <v>1109</v>
      </c>
      <c r="E187" s="881"/>
      <c r="F187" s="1008"/>
      <c r="G187" s="878"/>
      <c r="H187" s="881">
        <f t="shared" si="12"/>
        <v>0</v>
      </c>
      <c r="I187" s="314">
        <f t="shared" si="11"/>
        <v>0</v>
      </c>
    </row>
    <row r="188" spans="1:9" ht="21.6" hidden="1" customHeight="1">
      <c r="A188" s="879" t="s">
        <v>1247</v>
      </c>
      <c r="B188" s="703" t="s">
        <v>1246</v>
      </c>
      <c r="C188" s="703"/>
      <c r="D188" s="891" t="s">
        <v>20</v>
      </c>
      <c r="E188" s="881"/>
      <c r="F188" s="1008"/>
      <c r="G188" s="878"/>
      <c r="H188" s="881">
        <f t="shared" si="12"/>
        <v>0</v>
      </c>
      <c r="I188" s="314">
        <f t="shared" si="11"/>
        <v>0</v>
      </c>
    </row>
    <row r="189" spans="1:9" ht="25.15" hidden="1" customHeight="1">
      <c r="A189" s="879" t="s">
        <v>1247</v>
      </c>
      <c r="B189" s="703" t="s">
        <v>1246</v>
      </c>
      <c r="C189" s="703"/>
      <c r="D189" s="891"/>
      <c r="E189" s="881"/>
      <c r="F189" s="920" t="s">
        <v>2</v>
      </c>
      <c r="G189" s="881"/>
      <c r="H189" s="881">
        <f t="shared" si="12"/>
        <v>0</v>
      </c>
      <c r="I189" s="314">
        <f t="shared" si="11"/>
        <v>0</v>
      </c>
    </row>
    <row r="190" spans="1:9" ht="27" hidden="1" customHeight="1">
      <c r="A190" s="879" t="s">
        <v>1247</v>
      </c>
      <c r="B190" s="703" t="s">
        <v>1246</v>
      </c>
      <c r="C190" s="703"/>
      <c r="D190" s="891"/>
      <c r="E190" s="881"/>
      <c r="F190" s="920" t="s">
        <v>21</v>
      </c>
      <c r="G190" s="881"/>
      <c r="H190" s="881">
        <f t="shared" si="12"/>
        <v>0</v>
      </c>
      <c r="I190" s="314">
        <f t="shared" si="11"/>
        <v>0</v>
      </c>
    </row>
    <row r="191" spans="1:9" ht="27" hidden="1" customHeight="1">
      <c r="A191" s="879" t="s">
        <v>1512</v>
      </c>
      <c r="B191" s="1011" t="s">
        <v>49</v>
      </c>
      <c r="C191" s="1011"/>
      <c r="D191" s="1011" t="s">
        <v>22</v>
      </c>
      <c r="E191" s="1012"/>
      <c r="F191" s="1013"/>
      <c r="G191" s="1012"/>
      <c r="H191" s="1012">
        <f>+E191+G191</f>
        <v>0</v>
      </c>
      <c r="I191" s="314">
        <f t="shared" si="11"/>
        <v>0</v>
      </c>
    </row>
    <row r="192" spans="1:9" ht="28.15" hidden="1" customHeight="1">
      <c r="A192" s="879"/>
      <c r="B192" s="874"/>
      <c r="C192" s="874"/>
      <c r="D192" s="880"/>
      <c r="E192" s="881"/>
      <c r="F192" s="1004"/>
      <c r="G192" s="1005"/>
      <c r="H192" s="881"/>
      <c r="I192" s="314"/>
    </row>
    <row r="193" spans="1:9" ht="19.899999999999999" hidden="1" customHeight="1">
      <c r="A193" s="879"/>
      <c r="B193" s="874"/>
      <c r="C193" s="874"/>
      <c r="D193" s="880"/>
      <c r="E193" s="881"/>
      <c r="F193" s="1004"/>
      <c r="G193" s="1005"/>
      <c r="H193" s="881"/>
      <c r="I193" s="314"/>
    </row>
    <row r="194" spans="1:9" ht="27.6" hidden="1" customHeight="1">
      <c r="A194" s="879"/>
      <c r="B194" s="874"/>
      <c r="C194" s="874"/>
      <c r="D194" s="880"/>
      <c r="E194" s="881"/>
      <c r="F194" s="1004"/>
      <c r="G194" s="1005"/>
      <c r="H194" s="881"/>
      <c r="I194" s="314"/>
    </row>
    <row r="195" spans="1:9" ht="31.15" hidden="1" customHeight="1">
      <c r="A195" s="879"/>
      <c r="B195" s="874"/>
      <c r="C195" s="874"/>
      <c r="D195" s="880"/>
      <c r="E195" s="881"/>
      <c r="F195" s="1004"/>
      <c r="G195" s="1005"/>
      <c r="H195" s="881"/>
      <c r="I195" s="314"/>
    </row>
    <row r="196" spans="1:9" ht="24.6" hidden="1" customHeight="1">
      <c r="A196" s="879"/>
      <c r="B196" s="874"/>
      <c r="C196" s="874"/>
      <c r="D196" s="880"/>
      <c r="E196" s="881"/>
      <c r="F196" s="1004"/>
      <c r="G196" s="1005"/>
      <c r="H196" s="881"/>
      <c r="I196" s="314"/>
    </row>
    <row r="197" spans="1:9" ht="28.9" hidden="1" customHeight="1">
      <c r="A197" s="897"/>
      <c r="B197" s="907"/>
      <c r="C197" s="907"/>
      <c r="D197" s="899"/>
      <c r="E197" s="900"/>
      <c r="F197" s="1014"/>
      <c r="G197" s="1015"/>
      <c r="H197" s="900"/>
      <c r="I197" s="314"/>
    </row>
    <row r="198" spans="1:9" ht="52.15" customHeight="1">
      <c r="A198" s="882" t="s">
        <v>1180</v>
      </c>
      <c r="B198" s="883" t="s">
        <v>1181</v>
      </c>
      <c r="C198" s="883"/>
      <c r="D198" s="877"/>
      <c r="E198" s="878">
        <f>+E200+E202+E201+E206+E199+E205+E204+E203</f>
        <v>1800000</v>
      </c>
      <c r="F198" s="878"/>
      <c r="G198" s="878">
        <f>+G200+G202+G201+G206+G199+G205+G204+G203</f>
        <v>2415000</v>
      </c>
      <c r="H198" s="878">
        <f t="shared" ref="H198:H208" si="13">+E198+G198</f>
        <v>4215000</v>
      </c>
      <c r="I198" s="314">
        <f t="shared" ref="I198:I208" si="14">+H198</f>
        <v>4215000</v>
      </c>
    </row>
    <row r="199" spans="1:9" ht="41.45" hidden="1" customHeight="1">
      <c r="A199" s="917" t="s">
        <v>1183</v>
      </c>
      <c r="B199" s="1016" t="s">
        <v>559</v>
      </c>
      <c r="C199" s="1016"/>
      <c r="D199" s="1017"/>
      <c r="E199" s="889"/>
      <c r="F199" s="928" t="s">
        <v>23</v>
      </c>
      <c r="G199" s="888">
        <f>600000-600000</f>
        <v>0</v>
      </c>
      <c r="H199" s="888">
        <f t="shared" si="13"/>
        <v>0</v>
      </c>
      <c r="I199" s="314">
        <f t="shared" si="14"/>
        <v>0</v>
      </c>
    </row>
    <row r="200" spans="1:9" ht="72.599999999999994" customHeight="1">
      <c r="A200" s="897" t="s">
        <v>1512</v>
      </c>
      <c r="B200" s="907" t="s">
        <v>1404</v>
      </c>
      <c r="C200" s="1492" t="s">
        <v>460</v>
      </c>
      <c r="D200" s="899" t="s">
        <v>19</v>
      </c>
      <c r="E200" s="900">
        <v>1000000</v>
      </c>
      <c r="F200" s="1014"/>
      <c r="G200" s="1015"/>
      <c r="H200" s="900">
        <f t="shared" si="13"/>
        <v>1000000</v>
      </c>
      <c r="I200" s="314">
        <f t="shared" si="14"/>
        <v>1000000</v>
      </c>
    </row>
    <row r="201" spans="1:9" ht="52.9" customHeight="1">
      <c r="A201" s="879" t="s">
        <v>225</v>
      </c>
      <c r="B201" s="1018" t="s">
        <v>226</v>
      </c>
      <c r="C201" s="1493"/>
      <c r="D201" s="391"/>
      <c r="E201" s="929"/>
      <c r="F201" s="920" t="s">
        <v>21</v>
      </c>
      <c r="G201" s="881">
        <v>600000</v>
      </c>
      <c r="H201" s="881">
        <f t="shared" si="13"/>
        <v>600000</v>
      </c>
      <c r="I201" s="314">
        <f t="shared" si="14"/>
        <v>600000</v>
      </c>
    </row>
    <row r="202" spans="1:9" ht="53.45" customHeight="1">
      <c r="A202" s="879" t="s">
        <v>1512</v>
      </c>
      <c r="B202" s="874" t="s">
        <v>1404</v>
      </c>
      <c r="C202" s="1493"/>
      <c r="D202" s="880" t="s">
        <v>40</v>
      </c>
      <c r="E202" s="881">
        <v>200000</v>
      </c>
      <c r="F202" s="880"/>
      <c r="G202" s="935"/>
      <c r="H202" s="935">
        <f t="shared" si="13"/>
        <v>200000</v>
      </c>
      <c r="I202" s="314">
        <f t="shared" si="14"/>
        <v>200000</v>
      </c>
    </row>
    <row r="203" spans="1:9" ht="99.6" customHeight="1">
      <c r="A203" s="879" t="s">
        <v>1247</v>
      </c>
      <c r="B203" s="703" t="s">
        <v>1246</v>
      </c>
      <c r="C203" s="1493"/>
      <c r="D203" s="880"/>
      <c r="E203" s="881"/>
      <c r="F203" s="384" t="s">
        <v>81</v>
      </c>
      <c r="G203" s="935">
        <v>700000</v>
      </c>
      <c r="H203" s="935">
        <f>+E203+G203</f>
        <v>700000</v>
      </c>
      <c r="I203" s="314">
        <f t="shared" si="14"/>
        <v>700000</v>
      </c>
    </row>
    <row r="204" spans="1:9" ht="82.15" customHeight="1">
      <c r="A204" s="879" t="s">
        <v>71</v>
      </c>
      <c r="B204" s="874" t="s">
        <v>1106</v>
      </c>
      <c r="C204" s="1493"/>
      <c r="D204" s="880" t="s">
        <v>834</v>
      </c>
      <c r="E204" s="881">
        <v>200000</v>
      </c>
      <c r="F204" s="880" t="s">
        <v>834</v>
      </c>
      <c r="G204" s="935">
        <v>215000</v>
      </c>
      <c r="H204" s="935">
        <f t="shared" si="13"/>
        <v>415000</v>
      </c>
      <c r="I204" s="314">
        <f t="shared" si="14"/>
        <v>415000</v>
      </c>
    </row>
    <row r="205" spans="1:9" ht="78" customHeight="1">
      <c r="A205" s="874">
        <v>250911</v>
      </c>
      <c r="B205" s="880" t="s">
        <v>241</v>
      </c>
      <c r="C205" s="1494"/>
      <c r="D205" s="920" t="s">
        <v>835</v>
      </c>
      <c r="E205" s="881">
        <v>400000</v>
      </c>
      <c r="F205" s="920" t="s">
        <v>835</v>
      </c>
      <c r="G205" s="881">
        <v>900000</v>
      </c>
      <c r="H205" s="881">
        <f t="shared" si="13"/>
        <v>1300000</v>
      </c>
      <c r="I205" s="314">
        <f t="shared" si="14"/>
        <v>1300000</v>
      </c>
    </row>
    <row r="206" spans="1:9" ht="78" hidden="1" customHeight="1">
      <c r="A206" s="917" t="s">
        <v>1512</v>
      </c>
      <c r="B206" s="887" t="s">
        <v>1404</v>
      </c>
      <c r="C206" s="887"/>
      <c r="D206" s="928" t="s">
        <v>347</v>
      </c>
      <c r="E206" s="1019"/>
      <c r="F206" s="993"/>
      <c r="G206" s="1019"/>
      <c r="H206" s="888">
        <f t="shared" si="13"/>
        <v>0</v>
      </c>
      <c r="I206" s="314"/>
    </row>
    <row r="207" spans="1:9" ht="83.45" customHeight="1">
      <c r="A207" s="879" t="s">
        <v>30</v>
      </c>
      <c r="B207" s="876" t="s">
        <v>31</v>
      </c>
      <c r="C207" s="874"/>
      <c r="D207" s="880"/>
      <c r="E207" s="935"/>
      <c r="F207" s="957"/>
      <c r="G207" s="940">
        <f>+G208</f>
        <v>18000000</v>
      </c>
      <c r="H207" s="878">
        <f t="shared" si="13"/>
        <v>18000000</v>
      </c>
      <c r="I207" s="314">
        <f t="shared" si="14"/>
        <v>18000000</v>
      </c>
    </row>
    <row r="208" spans="1:9" ht="93.6" customHeight="1">
      <c r="A208" s="879" t="s">
        <v>1507</v>
      </c>
      <c r="B208" s="703" t="s">
        <v>674</v>
      </c>
      <c r="C208" s="703" t="s">
        <v>13</v>
      </c>
      <c r="D208" s="880"/>
      <c r="E208" s="881"/>
      <c r="F208" s="920" t="s">
        <v>113</v>
      </c>
      <c r="G208" s="935">
        <v>18000000</v>
      </c>
      <c r="H208" s="881">
        <f t="shared" si="13"/>
        <v>18000000</v>
      </c>
      <c r="I208" s="314">
        <f t="shared" si="14"/>
        <v>18000000</v>
      </c>
    </row>
    <row r="209" spans="1:11" ht="59.45" customHeight="1">
      <c r="A209" s="882" t="s">
        <v>686</v>
      </c>
      <c r="B209" s="876" t="s">
        <v>29</v>
      </c>
      <c r="C209" s="876"/>
      <c r="D209" s="877"/>
      <c r="E209" s="878">
        <f>+E215+E210+E211</f>
        <v>300000</v>
      </c>
      <c r="F209" s="878"/>
      <c r="G209" s="878">
        <f>+G215+G210+G211+G212+G214+G213</f>
        <v>2900000</v>
      </c>
      <c r="H209" s="878">
        <f>+G209+E209</f>
        <v>3200000</v>
      </c>
      <c r="I209" s="314">
        <f t="shared" ref="I209:I218" si="15">+H209</f>
        <v>3200000</v>
      </c>
    </row>
    <row r="210" spans="1:11" ht="82.15" customHeight="1">
      <c r="A210" s="879" t="s">
        <v>1395</v>
      </c>
      <c r="B210" s="956" t="s">
        <v>1394</v>
      </c>
      <c r="C210" s="1486" t="s">
        <v>348</v>
      </c>
      <c r="D210" s="874" t="s">
        <v>349</v>
      </c>
      <c r="E210" s="881">
        <v>300000</v>
      </c>
      <c r="F210" s="874"/>
      <c r="G210" s="881"/>
      <c r="H210" s="881">
        <f t="shared" ref="H210:H215" si="16">+E210+G210</f>
        <v>300000</v>
      </c>
      <c r="I210" s="314">
        <f t="shared" si="15"/>
        <v>300000</v>
      </c>
    </row>
    <row r="211" spans="1:11" ht="73.900000000000006" hidden="1" customHeight="1">
      <c r="A211" s="917" t="s">
        <v>1380</v>
      </c>
      <c r="B211" s="1020" t="s">
        <v>1381</v>
      </c>
      <c r="C211" s="1487"/>
      <c r="D211" s="1021"/>
      <c r="E211" s="889"/>
      <c r="F211" s="919" t="s">
        <v>350</v>
      </c>
      <c r="G211" s="888">
        <f>300000-300000</f>
        <v>0</v>
      </c>
      <c r="H211" s="888">
        <f t="shared" si="16"/>
        <v>0</v>
      </c>
      <c r="I211" s="314">
        <f t="shared" si="15"/>
        <v>0</v>
      </c>
    </row>
    <row r="212" spans="1:11" ht="46.9" customHeight="1">
      <c r="A212" s="1506" t="s">
        <v>1508</v>
      </c>
      <c r="B212" s="1503" t="s">
        <v>532</v>
      </c>
      <c r="C212" s="1487"/>
      <c r="D212" s="877"/>
      <c r="E212" s="878"/>
      <c r="F212" s="920" t="s">
        <v>26</v>
      </c>
      <c r="G212" s="881">
        <f>2500000-300000-1600000</f>
        <v>600000</v>
      </c>
      <c r="H212" s="881">
        <f t="shared" si="16"/>
        <v>600000</v>
      </c>
      <c r="I212" s="314">
        <f t="shared" si="15"/>
        <v>600000</v>
      </c>
    </row>
    <row r="213" spans="1:11" ht="71.45" customHeight="1">
      <c r="A213" s="1506"/>
      <c r="B213" s="1503"/>
      <c r="C213" s="1487"/>
      <c r="D213" s="877"/>
      <c r="E213" s="878"/>
      <c r="F213" s="920" t="s">
        <v>39</v>
      </c>
      <c r="G213" s="881">
        <v>700000</v>
      </c>
      <c r="H213" s="881">
        <f t="shared" si="16"/>
        <v>700000</v>
      </c>
      <c r="I213" s="314">
        <f t="shared" si="15"/>
        <v>700000</v>
      </c>
    </row>
    <row r="214" spans="1:11" ht="55.15" customHeight="1">
      <c r="A214" s="1506"/>
      <c r="B214" s="1503"/>
      <c r="C214" s="1488"/>
      <c r="D214" s="877"/>
      <c r="E214" s="878"/>
      <c r="F214" s="874" t="s">
        <v>349</v>
      </c>
      <c r="G214" s="881">
        <v>1600000</v>
      </c>
      <c r="H214" s="881">
        <f t="shared" si="16"/>
        <v>1600000</v>
      </c>
      <c r="I214" s="314">
        <f t="shared" si="15"/>
        <v>1600000</v>
      </c>
    </row>
    <row r="215" spans="1:11" ht="87.6" hidden="1" customHeight="1">
      <c r="A215" s="892" t="s">
        <v>1507</v>
      </c>
      <c r="B215" s="701" t="s">
        <v>674</v>
      </c>
      <c r="C215" s="701" t="s">
        <v>13</v>
      </c>
      <c r="D215" s="894"/>
      <c r="E215" s="895"/>
      <c r="F215" s="896" t="s">
        <v>14</v>
      </c>
      <c r="G215" s="895">
        <f>30000000-30000000</f>
        <v>0</v>
      </c>
      <c r="H215" s="895">
        <f t="shared" si="16"/>
        <v>0</v>
      </c>
      <c r="I215" s="314">
        <f t="shared" si="15"/>
        <v>0</v>
      </c>
    </row>
    <row r="216" spans="1:11" ht="40.15" hidden="1" customHeight="1">
      <c r="A216" s="902"/>
      <c r="B216" s="1022" t="s">
        <v>351</v>
      </c>
      <c r="C216" s="1022"/>
      <c r="D216" s="904"/>
      <c r="E216" s="905">
        <f>+E217+E218</f>
        <v>0</v>
      </c>
      <c r="F216" s="905"/>
      <c r="G216" s="905">
        <f>+G217+G218</f>
        <v>0</v>
      </c>
      <c r="H216" s="905">
        <f>+G216+E216</f>
        <v>0</v>
      </c>
      <c r="I216" s="314">
        <f t="shared" si="15"/>
        <v>0</v>
      </c>
    </row>
    <row r="217" spans="1:11" ht="47.25" hidden="1">
      <c r="A217" s="879" t="s">
        <v>1512</v>
      </c>
      <c r="B217" s="874" t="s">
        <v>1404</v>
      </c>
      <c r="C217" s="874"/>
      <c r="D217" s="880" t="s">
        <v>352</v>
      </c>
      <c r="E217" s="881"/>
      <c r="F217" s="1004"/>
      <c r="G217" s="1005"/>
      <c r="H217" s="881">
        <f>+E217+G217</f>
        <v>0</v>
      </c>
      <c r="I217" s="314">
        <f t="shared" si="15"/>
        <v>0</v>
      </c>
    </row>
    <row r="218" spans="1:11" ht="56.45" hidden="1" customHeight="1">
      <c r="A218" s="897" t="s">
        <v>1512</v>
      </c>
      <c r="B218" s="907" t="s">
        <v>1404</v>
      </c>
      <c r="C218" s="907"/>
      <c r="D218" s="899" t="s">
        <v>353</v>
      </c>
      <c r="E218" s="900"/>
      <c r="F218" s="1014"/>
      <c r="G218" s="1015"/>
      <c r="H218" s="900">
        <f>+E218+G218</f>
        <v>0</v>
      </c>
      <c r="I218" s="314">
        <f t="shared" si="15"/>
        <v>0</v>
      </c>
    </row>
    <row r="219" spans="1:11" ht="29.45" customHeight="1">
      <c r="A219" s="1501" t="s">
        <v>734</v>
      </c>
      <c r="B219" s="1501"/>
      <c r="C219" s="1501"/>
      <c r="D219" s="1501"/>
      <c r="E219" s="1023">
        <f>+E24+E54+E62+E134+E155+E117+E161+E163+E198+E216+E95+E12+E69+E75+E67+E84+E10+E159+E209+E130+E128+E157+E22+E169+E20+E41+E207+E50</f>
        <v>69562800</v>
      </c>
      <c r="F219" s="1024"/>
      <c r="G219" s="1023">
        <f>+G24+G54+G62+G134+G155+G117+G161+G163+G198+G216+G95+G12+G69+G75+G67+G84+G10+G159+G209+G130+G128+G157+G22+G169+G20+G41+G207+G50</f>
        <v>48335000</v>
      </c>
      <c r="H219" s="1023">
        <f>+E219+G219</f>
        <v>117897800</v>
      </c>
      <c r="I219">
        <v>1</v>
      </c>
      <c r="K219" s="1025" t="e">
        <f>H10+H12+H24+H54+H62+H69+H75+H84+H95+H117+#REF!+H130+H134+H157+H163+H198+H209+#REF!</f>
        <v>#REF!</v>
      </c>
    </row>
    <row r="220" spans="1:11" hidden="1">
      <c r="A220" s="1026"/>
      <c r="B220" s="1027"/>
      <c r="C220" s="1027"/>
      <c r="D220" s="1027"/>
      <c r="E220" s="1028"/>
      <c r="F220" s="1027"/>
      <c r="G220" s="1028"/>
      <c r="H220" s="1028">
        <f>+E220+G220</f>
        <v>0</v>
      </c>
    </row>
    <row r="221" spans="1:11" hidden="1">
      <c r="A221" s="1026"/>
      <c r="B221" s="1027"/>
      <c r="C221" s="1027"/>
      <c r="D221" s="1027"/>
      <c r="E221" s="1028"/>
      <c r="F221" s="1027"/>
      <c r="G221" s="1028"/>
      <c r="H221" s="1028">
        <f>+E221+G221</f>
        <v>0</v>
      </c>
    </row>
    <row r="222" spans="1:11">
      <c r="A222" s="1029"/>
      <c r="B222" s="1027"/>
      <c r="C222" s="1027"/>
      <c r="D222" s="1027"/>
      <c r="E222" s="1028"/>
      <c r="F222" s="1027"/>
      <c r="G222" s="1028"/>
      <c r="H222" s="1028"/>
    </row>
    <row r="223" spans="1:11" ht="35.450000000000003" customHeight="1">
      <c r="A223" s="871" t="s">
        <v>232</v>
      </c>
      <c r="B223" s="871"/>
      <c r="C223" s="871"/>
      <c r="D223" s="1030"/>
      <c r="E223" s="1031"/>
      <c r="F223" s="873"/>
      <c r="G223" s="873" t="s">
        <v>709</v>
      </c>
      <c r="H223" s="873"/>
    </row>
    <row r="224" spans="1:11">
      <c r="A224" s="1026"/>
      <c r="B224" s="1027"/>
      <c r="C224" s="1027"/>
      <c r="D224" s="1027"/>
      <c r="E224" s="1028"/>
      <c r="F224" s="1027"/>
      <c r="G224" s="1028"/>
      <c r="H224" s="1028">
        <f>124260400-H219</f>
        <v>6362600</v>
      </c>
    </row>
    <row r="225" spans="1:8">
      <c r="A225" s="1026"/>
      <c r="B225" s="1027"/>
      <c r="C225" s="1027"/>
      <c r="D225" s="1027"/>
      <c r="E225" s="1028"/>
      <c r="F225" s="1027"/>
      <c r="G225" s="1028"/>
      <c r="H225" s="1028"/>
    </row>
    <row r="226" spans="1:8">
      <c r="A226" s="1026"/>
      <c r="B226" s="1027"/>
      <c r="C226" s="1027"/>
      <c r="D226" s="1027"/>
      <c r="E226" s="1028">
        <v>63564400</v>
      </c>
      <c r="F226" s="1027"/>
      <c r="G226" s="1028">
        <v>60946000</v>
      </c>
      <c r="H226" s="1028">
        <f>+E226+G226</f>
        <v>124510400</v>
      </c>
    </row>
    <row r="227" spans="1:8">
      <c r="A227" s="1026"/>
      <c r="B227" s="1027"/>
      <c r="C227" s="1027"/>
      <c r="D227" s="1027"/>
      <c r="E227" s="1028">
        <f>+E226-E219</f>
        <v>-5998400</v>
      </c>
      <c r="F227" s="1027"/>
      <c r="G227" s="1028">
        <f>+G226-G219</f>
        <v>12611000</v>
      </c>
      <c r="H227" s="1028">
        <f>+H226-H219</f>
        <v>6612600</v>
      </c>
    </row>
    <row r="228" spans="1:8">
      <c r="A228" s="1026"/>
      <c r="B228" s="1027"/>
      <c r="C228" s="1027"/>
      <c r="D228" s="1027"/>
      <c r="E228" s="1028"/>
      <c r="F228" s="1027"/>
      <c r="G228" s="1028"/>
      <c r="H228" s="1028"/>
    </row>
    <row r="229" spans="1:8">
      <c r="A229" s="1026"/>
      <c r="B229" s="1027"/>
      <c r="C229" s="1027"/>
      <c r="D229" s="1027"/>
      <c r="E229" s="1028"/>
      <c r="F229" s="1027"/>
      <c r="G229" s="1028"/>
      <c r="H229" s="1028"/>
    </row>
    <row r="230" spans="1:8">
      <c r="A230" s="1026"/>
      <c r="B230" s="1027"/>
      <c r="C230" s="1027"/>
      <c r="D230" s="1027"/>
      <c r="E230" s="1028"/>
      <c r="F230" s="1027"/>
      <c r="G230" s="1028"/>
      <c r="H230" s="1028"/>
    </row>
    <row r="231" spans="1:8">
      <c r="A231" s="1026"/>
      <c r="B231" s="1027"/>
      <c r="C231" s="1027"/>
      <c r="D231" s="1027"/>
      <c r="E231" s="1028"/>
      <c r="F231" s="1027"/>
      <c r="G231" s="1028"/>
      <c r="H231" s="1028"/>
    </row>
    <row r="232" spans="1:8">
      <c r="A232" s="1026"/>
      <c r="B232" s="1027"/>
      <c r="C232" s="1027"/>
      <c r="D232" s="1027"/>
      <c r="E232" s="1028"/>
      <c r="F232" s="1027"/>
      <c r="G232" s="1028"/>
      <c r="H232" s="1028"/>
    </row>
    <row r="233" spans="1:8">
      <c r="A233" s="1026"/>
      <c r="B233" s="1027"/>
      <c r="C233" s="1027"/>
      <c r="D233" s="1027"/>
      <c r="E233" s="1028"/>
      <c r="F233" s="1027"/>
      <c r="G233" s="1028"/>
      <c r="H233" s="1028"/>
    </row>
    <row r="234" spans="1:8">
      <c r="A234" s="1026"/>
      <c r="B234" s="1027"/>
      <c r="C234" s="1027"/>
      <c r="D234" s="1027"/>
      <c r="E234" s="1028"/>
      <c r="F234" s="1027"/>
      <c r="G234" s="1028"/>
      <c r="H234" s="1028"/>
    </row>
    <row r="235" spans="1:8">
      <c r="A235" s="1026"/>
      <c r="B235" s="1027"/>
      <c r="C235" s="1027"/>
      <c r="D235" s="1027"/>
      <c r="E235" s="1028"/>
      <c r="F235" s="1027"/>
      <c r="G235" s="1028"/>
      <c r="H235" s="1028"/>
    </row>
    <row r="236" spans="1:8">
      <c r="A236" s="1026"/>
      <c r="B236" s="1027"/>
      <c r="C236" s="1027"/>
      <c r="D236" s="1027"/>
      <c r="E236" s="1028"/>
      <c r="F236" s="1027"/>
      <c r="G236" s="1028"/>
      <c r="H236" s="1028"/>
    </row>
    <row r="237" spans="1:8">
      <c r="A237" s="1026"/>
      <c r="B237" s="1027"/>
      <c r="C237" s="1027"/>
      <c r="D237" s="1027"/>
      <c r="E237" s="1028"/>
      <c r="F237" s="1027"/>
      <c r="G237" s="1028"/>
      <c r="H237" s="1028"/>
    </row>
    <row r="238" spans="1:8">
      <c r="A238" s="1026"/>
      <c r="B238" s="1027"/>
      <c r="C238" s="1027"/>
      <c r="D238" s="1027"/>
      <c r="E238" s="1028"/>
      <c r="F238" s="1027"/>
      <c r="G238" s="1028"/>
      <c r="H238" s="1028"/>
    </row>
    <row r="239" spans="1:8">
      <c r="A239" s="1026"/>
      <c r="B239" s="1027"/>
      <c r="C239" s="1027"/>
      <c r="D239" s="1027"/>
      <c r="E239" s="1028"/>
      <c r="F239" s="1027"/>
      <c r="G239" s="1028"/>
      <c r="H239" s="1028"/>
    </row>
    <row r="240" spans="1:8">
      <c r="A240" s="1026"/>
      <c r="B240" s="1027"/>
      <c r="C240" s="1027"/>
      <c r="D240" s="1027"/>
      <c r="E240" s="1028"/>
      <c r="F240" s="1027"/>
      <c r="G240" s="1028"/>
      <c r="H240" s="1028"/>
    </row>
    <row r="241" spans="1:8">
      <c r="A241" s="1026"/>
      <c r="B241" s="1027"/>
      <c r="C241" s="1027"/>
      <c r="D241" s="1027"/>
      <c r="E241" s="1028"/>
      <c r="F241" s="1027"/>
      <c r="G241" s="1028"/>
      <c r="H241" s="1028"/>
    </row>
    <row r="242" spans="1:8">
      <c r="A242" s="1026"/>
      <c r="B242" s="1027"/>
      <c r="C242" s="1027"/>
      <c r="D242" s="1027"/>
      <c r="E242" s="1028"/>
      <c r="F242" s="1027"/>
      <c r="G242" s="1028"/>
      <c r="H242" s="1028"/>
    </row>
    <row r="243" spans="1:8">
      <c r="A243" s="1026"/>
      <c r="B243" s="1027"/>
      <c r="C243" s="1027"/>
      <c r="D243" s="1027"/>
      <c r="E243" s="1028"/>
      <c r="F243" s="1027"/>
      <c r="G243" s="1028"/>
      <c r="H243" s="1028"/>
    </row>
    <row r="244" spans="1:8">
      <c r="A244" s="1026"/>
      <c r="B244" s="1027"/>
      <c r="C244" s="1027"/>
      <c r="D244" s="1027"/>
      <c r="E244" s="1028"/>
      <c r="F244" s="1027"/>
      <c r="G244" s="1028"/>
      <c r="H244" s="1028"/>
    </row>
    <row r="245" spans="1:8">
      <c r="A245" s="1026"/>
      <c r="B245" s="1027"/>
      <c r="C245" s="1027"/>
      <c r="D245" s="1027"/>
      <c r="E245" s="1027"/>
      <c r="F245" s="1027"/>
      <c r="G245" s="1028"/>
      <c r="H245" s="1028"/>
    </row>
    <row r="246" spans="1:8">
      <c r="A246" s="1026"/>
      <c r="B246" s="1027"/>
      <c r="C246" s="1027"/>
      <c r="D246" s="1027"/>
      <c r="E246" s="1027"/>
      <c r="F246" s="1027"/>
      <c r="G246" s="1028"/>
      <c r="H246" s="1028"/>
    </row>
    <row r="247" spans="1:8">
      <c r="A247" s="1026"/>
      <c r="B247" s="1027"/>
      <c r="C247" s="1027"/>
      <c r="D247" s="1027"/>
      <c r="E247" s="1027"/>
      <c r="F247" s="1027"/>
      <c r="G247" s="1028"/>
      <c r="H247" s="1028"/>
    </row>
    <row r="248" spans="1:8">
      <c r="A248" s="1026"/>
      <c r="B248" s="1027"/>
      <c r="C248" s="1027"/>
      <c r="D248" s="1027"/>
      <c r="E248" s="1027"/>
      <c r="F248" s="1027"/>
      <c r="G248" s="1028"/>
      <c r="H248" s="1028"/>
    </row>
    <row r="249" spans="1:8">
      <c r="A249" s="1026"/>
      <c r="B249" s="1027"/>
      <c r="C249" s="1027"/>
      <c r="D249" s="1027"/>
      <c r="E249" s="1027"/>
      <c r="F249" s="1027"/>
      <c r="G249" s="1028"/>
      <c r="H249" s="1028"/>
    </row>
    <row r="250" spans="1:8">
      <c r="A250" s="1026"/>
      <c r="B250" s="1027"/>
      <c r="C250" s="1027"/>
      <c r="D250" s="1027"/>
      <c r="E250" s="1027"/>
      <c r="F250" s="1027"/>
      <c r="G250" s="1028"/>
      <c r="H250" s="1028"/>
    </row>
    <row r="251" spans="1:8">
      <c r="A251" s="1026"/>
      <c r="B251" s="1027"/>
      <c r="C251" s="1027"/>
      <c r="D251" s="1027"/>
      <c r="E251" s="1027"/>
      <c r="F251" s="1027"/>
      <c r="G251" s="1028"/>
      <c r="H251" s="1028"/>
    </row>
    <row r="252" spans="1:8">
      <c r="A252" s="1026"/>
      <c r="B252" s="1027"/>
      <c r="C252" s="1027"/>
      <c r="D252" s="1027"/>
      <c r="E252" s="1027"/>
      <c r="F252" s="1027"/>
      <c r="G252" s="1028"/>
      <c r="H252" s="1028"/>
    </row>
    <row r="253" spans="1:8">
      <c r="A253" s="1026"/>
      <c r="B253" s="1027"/>
      <c r="C253" s="1027"/>
      <c r="D253" s="1027"/>
      <c r="E253" s="1027"/>
      <c r="F253" s="1027"/>
      <c r="G253" s="1028"/>
      <c r="H253" s="1028"/>
    </row>
    <row r="254" spans="1:8">
      <c r="A254" s="1026"/>
      <c r="B254" s="1027"/>
      <c r="C254" s="1027"/>
      <c r="D254" s="1027"/>
      <c r="E254" s="1027"/>
      <c r="F254" s="1027"/>
      <c r="G254" s="1028"/>
      <c r="H254" s="1028"/>
    </row>
    <row r="255" spans="1:8">
      <c r="A255" s="1026"/>
      <c r="B255" s="1027"/>
      <c r="C255" s="1027"/>
      <c r="D255" s="1027"/>
      <c r="E255" s="1027"/>
      <c r="F255" s="1027"/>
      <c r="G255" s="1028"/>
      <c r="H255" s="1028"/>
    </row>
    <row r="256" spans="1:8">
      <c r="A256" s="1026"/>
      <c r="B256" s="1027"/>
      <c r="C256" s="1027"/>
      <c r="D256" s="1027"/>
      <c r="E256" s="1027"/>
      <c r="F256" s="1027"/>
      <c r="G256" s="1028"/>
      <c r="H256" s="1028"/>
    </row>
    <row r="257" spans="1:8">
      <c r="A257" s="1026"/>
      <c r="B257" s="1027"/>
      <c r="C257" s="1027"/>
      <c r="D257" s="1027"/>
      <c r="E257" s="1027"/>
      <c r="F257" s="1027"/>
      <c r="G257" s="1028"/>
      <c r="H257" s="1028"/>
    </row>
    <row r="258" spans="1:8">
      <c r="A258" s="1026"/>
      <c r="B258" s="1027"/>
      <c r="C258" s="1027"/>
      <c r="D258" s="1027"/>
      <c r="E258" s="1027"/>
      <c r="F258" s="1027"/>
      <c r="G258" s="1028"/>
      <c r="H258" s="1028"/>
    </row>
    <row r="259" spans="1:8">
      <c r="A259" s="1032"/>
      <c r="G259" s="867"/>
      <c r="H259" s="867"/>
    </row>
    <row r="260" spans="1:8">
      <c r="A260" s="1032"/>
      <c r="G260" s="867"/>
      <c r="H260" s="867"/>
    </row>
    <row r="261" spans="1:8">
      <c r="A261" s="1032"/>
      <c r="G261" s="867"/>
      <c r="H261" s="867"/>
    </row>
    <row r="262" spans="1:8">
      <c r="A262" s="1032"/>
      <c r="G262" s="867"/>
      <c r="H262" s="867"/>
    </row>
    <row r="263" spans="1:8">
      <c r="A263" s="1032"/>
      <c r="G263" s="867"/>
      <c r="H263" s="867"/>
    </row>
    <row r="264" spans="1:8">
      <c r="A264" s="1032"/>
      <c r="G264" s="867"/>
      <c r="H264" s="867"/>
    </row>
    <row r="265" spans="1:8">
      <c r="A265" s="1032"/>
      <c r="G265" s="867"/>
      <c r="H265" s="867"/>
    </row>
    <row r="266" spans="1:8">
      <c r="A266" s="1032"/>
      <c r="G266" s="867"/>
      <c r="H266" s="867"/>
    </row>
    <row r="267" spans="1:8">
      <c r="A267" s="1032"/>
      <c r="G267" s="867"/>
      <c r="H267" s="867"/>
    </row>
    <row r="268" spans="1:8">
      <c r="A268" s="1032"/>
      <c r="G268" s="867"/>
      <c r="H268" s="867"/>
    </row>
    <row r="269" spans="1:8">
      <c r="A269" s="1032"/>
      <c r="G269" s="867"/>
      <c r="H269" s="867"/>
    </row>
    <row r="270" spans="1:8">
      <c r="A270" s="1032"/>
      <c r="G270" s="867"/>
      <c r="H270" s="867"/>
    </row>
    <row r="271" spans="1:8">
      <c r="A271" s="1032"/>
      <c r="G271" s="867"/>
      <c r="H271" s="867"/>
    </row>
    <row r="272" spans="1:8">
      <c r="A272" s="1032"/>
      <c r="G272" s="867"/>
      <c r="H272" s="867"/>
    </row>
    <row r="273" spans="1:8">
      <c r="A273" s="1032"/>
      <c r="G273" s="867"/>
      <c r="H273" s="867"/>
    </row>
    <row r="274" spans="1:8">
      <c r="A274" s="1032"/>
      <c r="G274" s="867"/>
      <c r="H274" s="867"/>
    </row>
    <row r="275" spans="1:8">
      <c r="A275" s="1032"/>
      <c r="G275" s="867"/>
      <c r="H275" s="867"/>
    </row>
    <row r="276" spans="1:8">
      <c r="A276" s="1032"/>
      <c r="G276" s="867"/>
      <c r="H276" s="867"/>
    </row>
    <row r="277" spans="1:8">
      <c r="A277" s="1032"/>
      <c r="G277" s="867"/>
      <c r="H277" s="867"/>
    </row>
    <row r="278" spans="1:8">
      <c r="A278" s="1032"/>
      <c r="G278" s="867"/>
      <c r="H278" s="867"/>
    </row>
    <row r="279" spans="1:8">
      <c r="A279" s="1032"/>
      <c r="G279" s="867"/>
      <c r="H279" s="867"/>
    </row>
    <row r="280" spans="1:8">
      <c r="A280" s="1032"/>
      <c r="G280" s="867"/>
      <c r="H280" s="867"/>
    </row>
    <row r="281" spans="1:8">
      <c r="A281" s="1032"/>
      <c r="G281" s="867"/>
      <c r="H281" s="867"/>
    </row>
    <row r="282" spans="1:8">
      <c r="A282" s="1032"/>
      <c r="G282" s="867"/>
      <c r="H282" s="867"/>
    </row>
    <row r="283" spans="1:8">
      <c r="A283" s="1032"/>
      <c r="G283" s="867"/>
      <c r="H283" s="867"/>
    </row>
    <row r="284" spans="1:8">
      <c r="A284" s="1032"/>
      <c r="G284" s="867"/>
      <c r="H284" s="867"/>
    </row>
    <row r="285" spans="1:8">
      <c r="A285" s="1032"/>
      <c r="G285" s="867"/>
      <c r="H285" s="867"/>
    </row>
    <row r="286" spans="1:8">
      <c r="A286" s="1032"/>
      <c r="G286" s="867"/>
      <c r="H286" s="867"/>
    </row>
    <row r="287" spans="1:8">
      <c r="A287" s="1032"/>
      <c r="G287" s="867"/>
      <c r="H287" s="867"/>
    </row>
    <row r="288" spans="1:8">
      <c r="A288" s="1032"/>
      <c r="G288" s="867"/>
      <c r="H288" s="867"/>
    </row>
    <row r="289" spans="1:8">
      <c r="A289" s="1032"/>
      <c r="G289" s="867"/>
      <c r="H289" s="867"/>
    </row>
    <row r="290" spans="1:8">
      <c r="A290" s="1032"/>
      <c r="G290" s="867"/>
      <c r="H290" s="867"/>
    </row>
    <row r="291" spans="1:8">
      <c r="A291" s="1032"/>
      <c r="G291" s="867"/>
      <c r="H291" s="867"/>
    </row>
    <row r="292" spans="1:8">
      <c r="A292" s="1032"/>
      <c r="G292" s="867"/>
      <c r="H292" s="867"/>
    </row>
    <row r="293" spans="1:8">
      <c r="A293" s="1032"/>
      <c r="G293" s="867"/>
      <c r="H293" s="867"/>
    </row>
    <row r="294" spans="1:8">
      <c r="A294" s="1032"/>
      <c r="G294" s="867"/>
      <c r="H294" s="867"/>
    </row>
    <row r="295" spans="1:8">
      <c r="A295" s="1032"/>
      <c r="G295" s="867"/>
      <c r="H295" s="867"/>
    </row>
    <row r="296" spans="1:8">
      <c r="A296" s="1032"/>
      <c r="G296" s="867"/>
      <c r="H296" s="867"/>
    </row>
    <row r="297" spans="1:8">
      <c r="A297" s="1032"/>
      <c r="G297" s="867"/>
      <c r="H297" s="867"/>
    </row>
    <row r="298" spans="1:8">
      <c r="A298" s="1032"/>
      <c r="G298" s="867"/>
      <c r="H298" s="867"/>
    </row>
    <row r="299" spans="1:8">
      <c r="A299" s="1032"/>
      <c r="G299" s="867"/>
      <c r="H299" s="867"/>
    </row>
    <row r="300" spans="1:8">
      <c r="A300" s="1032"/>
      <c r="G300" s="867"/>
      <c r="H300" s="867"/>
    </row>
    <row r="301" spans="1:8">
      <c r="A301" s="1032"/>
      <c r="G301" s="867"/>
      <c r="H301" s="867"/>
    </row>
    <row r="302" spans="1:8">
      <c r="A302" s="1032"/>
      <c r="G302" s="867"/>
      <c r="H302" s="867"/>
    </row>
    <row r="303" spans="1:8">
      <c r="A303" s="1032"/>
      <c r="G303" s="867"/>
      <c r="H303" s="867"/>
    </row>
    <row r="304" spans="1:8">
      <c r="A304" s="1032"/>
      <c r="G304" s="867"/>
      <c r="H304" s="867"/>
    </row>
    <row r="305" spans="1:8">
      <c r="A305" s="1032"/>
      <c r="G305" s="867"/>
      <c r="H305" s="867"/>
    </row>
    <row r="306" spans="1:8">
      <c r="A306" s="1032"/>
      <c r="G306" s="867"/>
      <c r="H306" s="867"/>
    </row>
    <row r="307" spans="1:8">
      <c r="A307" s="1032"/>
      <c r="G307" s="867"/>
      <c r="H307" s="867"/>
    </row>
    <row r="308" spans="1:8">
      <c r="A308" s="1032"/>
      <c r="G308" s="867"/>
      <c r="H308" s="867"/>
    </row>
    <row r="309" spans="1:8">
      <c r="A309" s="1032"/>
      <c r="G309" s="867"/>
      <c r="H309" s="867"/>
    </row>
    <row r="310" spans="1:8">
      <c r="A310" s="1032"/>
      <c r="G310" s="867"/>
      <c r="H310" s="867"/>
    </row>
    <row r="311" spans="1:8">
      <c r="A311" s="1032"/>
      <c r="G311" s="867"/>
      <c r="H311" s="867"/>
    </row>
    <row r="312" spans="1:8">
      <c r="A312" s="1032"/>
      <c r="G312" s="867"/>
      <c r="H312" s="867"/>
    </row>
    <row r="313" spans="1:8">
      <c r="A313" s="1032"/>
      <c r="G313" s="867"/>
      <c r="H313" s="867"/>
    </row>
    <row r="314" spans="1:8">
      <c r="A314" s="1032"/>
      <c r="G314" s="867"/>
      <c r="H314" s="867"/>
    </row>
    <row r="315" spans="1:8">
      <c r="A315" s="1032"/>
      <c r="G315" s="867"/>
      <c r="H315" s="867"/>
    </row>
    <row r="316" spans="1:8">
      <c r="A316" s="1032"/>
      <c r="G316" s="867"/>
      <c r="H316" s="867"/>
    </row>
    <row r="317" spans="1:8">
      <c r="A317" s="1032"/>
      <c r="G317" s="867"/>
      <c r="H317" s="867"/>
    </row>
    <row r="318" spans="1:8">
      <c r="A318" s="1032"/>
      <c r="G318" s="867"/>
      <c r="H318" s="867"/>
    </row>
    <row r="319" spans="1:8">
      <c r="A319" s="1032"/>
      <c r="G319" s="867"/>
      <c r="H319" s="867"/>
    </row>
    <row r="320" spans="1:8">
      <c r="A320" s="1032"/>
      <c r="G320" s="867"/>
      <c r="H320" s="867"/>
    </row>
    <row r="321" spans="1:8">
      <c r="A321" s="1032"/>
      <c r="G321" s="867"/>
      <c r="H321" s="867"/>
    </row>
    <row r="322" spans="1:8">
      <c r="A322" s="1032"/>
      <c r="G322" s="867"/>
      <c r="H322" s="867"/>
    </row>
    <row r="323" spans="1:8">
      <c r="A323" s="1032"/>
      <c r="G323" s="867"/>
      <c r="H323" s="867"/>
    </row>
    <row r="324" spans="1:8">
      <c r="A324" s="1032"/>
      <c r="G324" s="867"/>
      <c r="H324" s="867"/>
    </row>
    <row r="325" spans="1:8">
      <c r="A325" s="1033"/>
      <c r="G325" s="867"/>
      <c r="H325" s="867"/>
    </row>
    <row r="326" spans="1:8">
      <c r="A326" s="1033"/>
      <c r="G326" s="867"/>
      <c r="H326" s="867"/>
    </row>
    <row r="327" spans="1:8">
      <c r="A327" s="1033"/>
      <c r="G327" s="867"/>
      <c r="H327" s="867"/>
    </row>
    <row r="328" spans="1:8">
      <c r="A328" s="1033"/>
      <c r="G328" s="867"/>
      <c r="H328" s="867"/>
    </row>
    <row r="329" spans="1:8">
      <c r="A329" s="1033"/>
      <c r="G329" s="867"/>
      <c r="H329" s="867"/>
    </row>
    <row r="330" spans="1:8">
      <c r="A330" s="1033"/>
      <c r="G330" s="867"/>
      <c r="H330" s="867"/>
    </row>
    <row r="331" spans="1:8">
      <c r="A331" s="1033"/>
      <c r="G331" s="867"/>
      <c r="H331" s="867"/>
    </row>
    <row r="332" spans="1:8">
      <c r="A332" s="1033"/>
      <c r="G332" s="867"/>
      <c r="H332" s="867"/>
    </row>
    <row r="333" spans="1:8">
      <c r="A333" s="1033"/>
      <c r="G333" s="867"/>
      <c r="H333" s="867"/>
    </row>
    <row r="334" spans="1:8">
      <c r="A334" s="1033"/>
      <c r="G334" s="867"/>
      <c r="H334" s="867"/>
    </row>
    <row r="335" spans="1:8">
      <c r="A335" s="1033"/>
      <c r="G335" s="867"/>
      <c r="H335" s="867"/>
    </row>
    <row r="336" spans="1:8">
      <c r="A336" s="1033"/>
      <c r="G336" s="867"/>
      <c r="H336" s="867"/>
    </row>
    <row r="337" spans="1:8">
      <c r="A337" s="1033"/>
      <c r="G337" s="867"/>
      <c r="H337" s="867"/>
    </row>
    <row r="338" spans="1:8">
      <c r="A338" s="1033"/>
      <c r="G338" s="867"/>
      <c r="H338" s="867"/>
    </row>
    <row r="339" spans="1:8">
      <c r="A339" s="1033"/>
      <c r="G339" s="867"/>
      <c r="H339" s="867"/>
    </row>
    <row r="340" spans="1:8">
      <c r="A340" s="1033"/>
      <c r="G340" s="867"/>
      <c r="H340" s="867"/>
    </row>
    <row r="341" spans="1:8">
      <c r="A341" s="1033"/>
      <c r="G341" s="867"/>
      <c r="H341" s="867"/>
    </row>
    <row r="342" spans="1:8">
      <c r="A342" s="1033"/>
      <c r="G342" s="867"/>
      <c r="H342" s="867"/>
    </row>
    <row r="343" spans="1:8">
      <c r="A343" s="1033"/>
      <c r="G343" s="867"/>
      <c r="H343" s="867"/>
    </row>
    <row r="344" spans="1:8">
      <c r="A344" s="1033"/>
      <c r="G344" s="867"/>
      <c r="H344" s="867"/>
    </row>
    <row r="345" spans="1:8">
      <c r="A345" s="1033"/>
      <c r="G345" s="867"/>
      <c r="H345" s="867"/>
    </row>
    <row r="346" spans="1:8">
      <c r="A346" s="1033"/>
      <c r="G346" s="867"/>
      <c r="H346" s="867"/>
    </row>
    <row r="347" spans="1:8">
      <c r="A347" s="1033"/>
      <c r="G347" s="867"/>
      <c r="H347" s="867"/>
    </row>
    <row r="348" spans="1:8">
      <c r="A348" s="1033"/>
      <c r="G348" s="867"/>
      <c r="H348" s="867"/>
    </row>
    <row r="349" spans="1:8">
      <c r="A349" s="1033"/>
      <c r="G349" s="867"/>
      <c r="H349" s="867"/>
    </row>
    <row r="350" spans="1:8">
      <c r="A350" s="1033"/>
      <c r="G350" s="867"/>
      <c r="H350" s="867"/>
    </row>
    <row r="351" spans="1:8">
      <c r="A351" s="1033"/>
      <c r="G351" s="867"/>
      <c r="H351" s="867"/>
    </row>
    <row r="352" spans="1:8">
      <c r="A352" s="1033"/>
      <c r="G352" s="867"/>
      <c r="H352" s="867"/>
    </row>
    <row r="353" spans="1:8">
      <c r="A353" s="1033"/>
      <c r="G353" s="867"/>
      <c r="H353" s="867"/>
    </row>
    <row r="354" spans="1:8">
      <c r="A354" s="1033"/>
      <c r="G354" s="867"/>
      <c r="H354" s="867"/>
    </row>
    <row r="355" spans="1:8">
      <c r="A355" s="1033"/>
      <c r="G355" s="867"/>
      <c r="H355" s="867"/>
    </row>
    <row r="356" spans="1:8">
      <c r="A356" s="1033"/>
      <c r="G356" s="867"/>
      <c r="H356" s="867"/>
    </row>
    <row r="357" spans="1:8">
      <c r="A357" s="1033"/>
      <c r="G357" s="867"/>
      <c r="H357" s="867"/>
    </row>
    <row r="358" spans="1:8">
      <c r="A358" s="1033"/>
      <c r="G358" s="867"/>
      <c r="H358" s="867"/>
    </row>
    <row r="359" spans="1:8">
      <c r="G359" s="867"/>
      <c r="H359" s="867"/>
    </row>
    <row r="360" spans="1:8">
      <c r="G360" s="867"/>
      <c r="H360" s="867"/>
    </row>
    <row r="361" spans="1:8">
      <c r="G361" s="867"/>
      <c r="H361" s="867"/>
    </row>
    <row r="362" spans="1:8">
      <c r="G362" s="867"/>
      <c r="H362" s="867"/>
    </row>
    <row r="363" spans="1:8">
      <c r="G363" s="867"/>
      <c r="H363" s="867"/>
    </row>
    <row r="364" spans="1:8">
      <c r="G364" s="867"/>
      <c r="H364" s="867"/>
    </row>
    <row r="365" spans="1:8">
      <c r="G365" s="867"/>
      <c r="H365" s="867"/>
    </row>
    <row r="366" spans="1:8">
      <c r="G366" s="867"/>
      <c r="H366" s="867"/>
    </row>
    <row r="367" spans="1:8">
      <c r="G367" s="867"/>
      <c r="H367" s="867"/>
    </row>
    <row r="368" spans="1:8">
      <c r="G368" s="867"/>
      <c r="H368" s="867"/>
    </row>
    <row r="369" spans="7:8">
      <c r="G369" s="867"/>
      <c r="H369" s="867"/>
    </row>
    <row r="370" spans="7:8">
      <c r="G370" s="867"/>
      <c r="H370" s="867"/>
    </row>
    <row r="371" spans="7:8">
      <c r="G371" s="867"/>
      <c r="H371" s="867"/>
    </row>
    <row r="372" spans="7:8">
      <c r="G372" s="867"/>
      <c r="H372" s="867"/>
    </row>
    <row r="373" spans="7:8">
      <c r="G373" s="867"/>
      <c r="H373" s="867"/>
    </row>
    <row r="374" spans="7:8">
      <c r="G374" s="867"/>
      <c r="H374" s="867"/>
    </row>
    <row r="375" spans="7:8">
      <c r="G375" s="867"/>
      <c r="H375" s="867"/>
    </row>
    <row r="376" spans="7:8">
      <c r="G376" s="867"/>
      <c r="H376" s="867"/>
    </row>
    <row r="377" spans="7:8">
      <c r="G377" s="867"/>
      <c r="H377" s="867"/>
    </row>
    <row r="378" spans="7:8">
      <c r="G378" s="867"/>
      <c r="H378" s="867"/>
    </row>
    <row r="379" spans="7:8">
      <c r="G379" s="867"/>
      <c r="H379" s="867"/>
    </row>
    <row r="380" spans="7:8">
      <c r="G380" s="867"/>
      <c r="H380" s="867"/>
    </row>
    <row r="381" spans="7:8">
      <c r="G381" s="867"/>
      <c r="H381" s="867"/>
    </row>
    <row r="382" spans="7:8">
      <c r="G382" s="867"/>
      <c r="H382" s="867"/>
    </row>
    <row r="383" spans="7:8">
      <c r="G383" s="867"/>
      <c r="H383" s="867"/>
    </row>
    <row r="384" spans="7:8">
      <c r="G384" s="867"/>
      <c r="H384" s="867"/>
    </row>
    <row r="385" spans="7:8">
      <c r="G385" s="867"/>
      <c r="H385" s="867"/>
    </row>
    <row r="386" spans="7:8">
      <c r="G386" s="867"/>
      <c r="H386" s="867"/>
    </row>
    <row r="387" spans="7:8">
      <c r="G387" s="867"/>
      <c r="H387" s="867"/>
    </row>
    <row r="388" spans="7:8">
      <c r="G388" s="867"/>
      <c r="H388" s="867"/>
    </row>
    <row r="389" spans="7:8">
      <c r="G389" s="867"/>
      <c r="H389" s="867"/>
    </row>
    <row r="390" spans="7:8">
      <c r="G390" s="867"/>
      <c r="H390" s="867"/>
    </row>
    <row r="391" spans="7:8">
      <c r="G391" s="867"/>
      <c r="H391" s="867"/>
    </row>
    <row r="392" spans="7:8">
      <c r="G392" s="867"/>
      <c r="H392" s="867"/>
    </row>
    <row r="393" spans="7:8">
      <c r="G393" s="867"/>
      <c r="H393" s="867"/>
    </row>
    <row r="394" spans="7:8">
      <c r="G394" s="867"/>
      <c r="H394" s="867"/>
    </row>
    <row r="395" spans="7:8">
      <c r="G395" s="867"/>
      <c r="H395" s="867"/>
    </row>
    <row r="396" spans="7:8">
      <c r="G396" s="867"/>
      <c r="H396" s="867"/>
    </row>
    <row r="397" spans="7:8">
      <c r="G397" s="867"/>
      <c r="H397" s="867"/>
    </row>
    <row r="398" spans="7:8">
      <c r="G398" s="867"/>
      <c r="H398" s="867"/>
    </row>
    <row r="399" spans="7:8">
      <c r="G399" s="867"/>
      <c r="H399" s="867"/>
    </row>
    <row r="400" spans="7:8">
      <c r="G400" s="867"/>
      <c r="H400" s="867"/>
    </row>
    <row r="401" spans="7:8">
      <c r="G401" s="867"/>
      <c r="H401" s="867"/>
    </row>
    <row r="402" spans="7:8">
      <c r="G402" s="867"/>
      <c r="H402" s="867"/>
    </row>
    <row r="403" spans="7:8">
      <c r="G403" s="867"/>
      <c r="H403" s="867"/>
    </row>
    <row r="404" spans="7:8">
      <c r="G404" s="867"/>
      <c r="H404" s="867"/>
    </row>
    <row r="405" spans="7:8">
      <c r="G405" s="867"/>
      <c r="H405" s="867"/>
    </row>
    <row r="406" spans="7:8">
      <c r="G406" s="867"/>
      <c r="H406" s="867"/>
    </row>
    <row r="407" spans="7:8">
      <c r="G407" s="867"/>
      <c r="H407" s="867"/>
    </row>
    <row r="408" spans="7:8">
      <c r="G408" s="867"/>
      <c r="H408" s="867"/>
    </row>
    <row r="409" spans="7:8">
      <c r="G409" s="867"/>
      <c r="H409" s="867"/>
    </row>
    <row r="410" spans="7:8">
      <c r="G410" s="867"/>
      <c r="H410" s="867"/>
    </row>
    <row r="411" spans="7:8">
      <c r="G411" s="867"/>
      <c r="H411" s="867"/>
    </row>
    <row r="412" spans="7:8">
      <c r="G412" s="867"/>
      <c r="H412" s="867"/>
    </row>
    <row r="413" spans="7:8">
      <c r="G413" s="867"/>
      <c r="H413" s="867"/>
    </row>
    <row r="414" spans="7:8">
      <c r="G414" s="867"/>
      <c r="H414" s="867"/>
    </row>
    <row r="415" spans="7:8">
      <c r="G415" s="867"/>
      <c r="H415" s="867"/>
    </row>
    <row r="416" spans="7:8">
      <c r="G416" s="867"/>
      <c r="H416" s="867"/>
    </row>
    <row r="417" spans="7:8">
      <c r="G417" s="867"/>
      <c r="H417" s="867"/>
    </row>
    <row r="418" spans="7:8">
      <c r="G418" s="867"/>
      <c r="H418" s="867"/>
    </row>
    <row r="419" spans="7:8">
      <c r="G419" s="867"/>
      <c r="H419" s="867"/>
    </row>
    <row r="420" spans="7:8">
      <c r="G420" s="867"/>
      <c r="H420" s="867"/>
    </row>
    <row r="421" spans="7:8">
      <c r="G421" s="867"/>
      <c r="H421" s="867"/>
    </row>
    <row r="422" spans="7:8">
      <c r="G422" s="867"/>
      <c r="H422" s="867"/>
    </row>
    <row r="423" spans="7:8">
      <c r="G423" s="867"/>
      <c r="H423" s="867"/>
    </row>
    <row r="424" spans="7:8">
      <c r="G424" s="867"/>
      <c r="H424" s="867"/>
    </row>
    <row r="425" spans="7:8">
      <c r="G425" s="867"/>
      <c r="H425" s="867"/>
    </row>
    <row r="426" spans="7:8">
      <c r="G426" s="867"/>
      <c r="H426" s="867"/>
    </row>
    <row r="427" spans="7:8">
      <c r="G427" s="867"/>
      <c r="H427" s="867"/>
    </row>
    <row r="428" spans="7:8">
      <c r="G428" s="867"/>
      <c r="H428" s="867"/>
    </row>
    <row r="429" spans="7:8">
      <c r="G429" s="867"/>
      <c r="H429" s="867"/>
    </row>
    <row r="430" spans="7:8">
      <c r="G430" s="867"/>
      <c r="H430" s="867"/>
    </row>
    <row r="431" spans="7:8">
      <c r="G431" s="867"/>
      <c r="H431" s="867"/>
    </row>
    <row r="432" spans="7:8">
      <c r="G432" s="867"/>
      <c r="H432" s="867"/>
    </row>
    <row r="433" spans="7:8">
      <c r="G433" s="867"/>
      <c r="H433" s="867"/>
    </row>
    <row r="434" spans="7:8">
      <c r="G434" s="867"/>
      <c r="H434" s="867"/>
    </row>
    <row r="435" spans="7:8">
      <c r="G435" s="867"/>
      <c r="H435" s="867"/>
    </row>
    <row r="436" spans="7:8">
      <c r="G436" s="867"/>
      <c r="H436" s="867"/>
    </row>
    <row r="437" spans="7:8">
      <c r="G437" s="867"/>
      <c r="H437" s="867"/>
    </row>
  </sheetData>
  <autoFilter ref="I9:I221">
    <filterColumn colId="0">
      <customFilters and="1">
        <customFilter operator="notEqual" val=" "/>
        <customFilter operator="notEqual" val="0"/>
      </customFilters>
    </filterColumn>
  </autoFilter>
  <mergeCells count="43">
    <mergeCell ref="C35:C36"/>
    <mergeCell ref="C105:C106"/>
    <mergeCell ref="C100:C104"/>
    <mergeCell ref="C57:C61"/>
    <mergeCell ref="C42:C46"/>
    <mergeCell ref="C71:C72"/>
    <mergeCell ref="C96:C98"/>
    <mergeCell ref="E96:E98"/>
    <mergeCell ref="D47:D49"/>
    <mergeCell ref="F96:F98"/>
    <mergeCell ref="D118:D124"/>
    <mergeCell ref="H96:H98"/>
    <mergeCell ref="C8:C9"/>
    <mergeCell ref="C15:C16"/>
    <mergeCell ref="D26:D27"/>
    <mergeCell ref="F28:F29"/>
    <mergeCell ref="F30:F34"/>
    <mergeCell ref="D51:D53"/>
    <mergeCell ref="C51:C53"/>
    <mergeCell ref="A6:H6"/>
    <mergeCell ref="B8:B9"/>
    <mergeCell ref="D8:E8"/>
    <mergeCell ref="F8:G8"/>
    <mergeCell ref="A8:A9"/>
    <mergeCell ref="H8:H9"/>
    <mergeCell ref="A35:A36"/>
    <mergeCell ref="B35:B36"/>
    <mergeCell ref="A219:D219"/>
    <mergeCell ref="C164:C165"/>
    <mergeCell ref="B212:B214"/>
    <mergeCell ref="C131:C132"/>
    <mergeCell ref="A212:A214"/>
    <mergeCell ref="D96:D98"/>
    <mergeCell ref="C135:C136"/>
    <mergeCell ref="C210:C214"/>
    <mergeCell ref="C138:C153"/>
    <mergeCell ref="C200:C205"/>
    <mergeCell ref="F1:H1"/>
    <mergeCell ref="F2:H2"/>
    <mergeCell ref="F3:H3"/>
    <mergeCell ref="A5:H5"/>
    <mergeCell ref="C118:C126"/>
    <mergeCell ref="G96:G98"/>
  </mergeCells>
  <phoneticPr fontId="0" type="noConversion"/>
  <printOptions horizontalCentered="1"/>
  <pageMargins left="0.23622047244094491" right="0.17" top="0.21" bottom="0.19685039370078741" header="0.31" footer="0.15748031496062992"/>
  <pageSetup paperSize="9" scale="66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15</vt:i4>
      </vt:variant>
    </vt:vector>
  </HeadingPairs>
  <TitlesOfParts>
    <vt:vector size="23" baseType="lpstr">
      <vt:lpstr>доходи</vt:lpstr>
      <vt:lpstr>видатки_затв </vt:lpstr>
      <vt:lpstr>видатки по розпорядниках</vt:lpstr>
      <vt:lpstr>дод_4</vt:lpstr>
      <vt:lpstr>дод5</vt:lpstr>
      <vt:lpstr>дод_6</vt:lpstr>
      <vt:lpstr>дод7</vt:lpstr>
      <vt:lpstr>Дод8</vt:lpstr>
      <vt:lpstr>'видатки по розпорядниках'!Заголовки_для_печати</vt:lpstr>
      <vt:lpstr>'видатки_затв '!Заголовки_для_печати</vt:lpstr>
      <vt:lpstr>дод_6!Заголовки_для_печати</vt:lpstr>
      <vt:lpstr>дод5!Заголовки_для_печати</vt:lpstr>
      <vt:lpstr>дод7!Заголовки_для_печати</vt:lpstr>
      <vt:lpstr>Дод8!Заголовки_для_печати</vt:lpstr>
      <vt:lpstr>доходи!Заголовки_для_печати</vt:lpstr>
      <vt:lpstr>'видатки по розпорядниках'!Область_печати</vt:lpstr>
      <vt:lpstr>'видатки_затв '!Область_печати</vt:lpstr>
      <vt:lpstr>дод_4!Область_печати</vt:lpstr>
      <vt:lpstr>дод_6!Область_печати</vt:lpstr>
      <vt:lpstr>дод5!Область_печати</vt:lpstr>
      <vt:lpstr>дод7!Область_печати</vt:lpstr>
      <vt:lpstr>Дод8!Область_печати</vt:lpstr>
      <vt:lpstr>доходи!Область_печати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ВМ</dc:creator>
  <cp:lastModifiedBy>all users</cp:lastModifiedBy>
  <cp:lastPrinted>2014-02-17T15:38:56Z</cp:lastPrinted>
  <dcterms:created xsi:type="dcterms:W3CDTF">2001-11-23T10:13:52Z</dcterms:created>
  <dcterms:modified xsi:type="dcterms:W3CDTF">2015-05-15T08:14:14Z</dcterms:modified>
</cp:coreProperties>
</file>