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3F1330E5-C19D-462A-88BC-C73C07F04843}" xr6:coauthVersionLast="45" xr6:coauthVersionMax="45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Menu" sheetId="1" r:id="rId1"/>
    <sheet name="Despesas" sheetId="2" r:id="rId2"/>
    <sheet name="Compras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Semana 1" sheetId="9" r:id="rId8"/>
    <sheet name="Semana 2" sheetId="10" r:id="rId9"/>
    <sheet name="Semana 3" sheetId="11" r:id="rId10"/>
    <sheet name="Semana 4" sheetId="12" r:id="rId11"/>
    <sheet name="Semana 5" sheetId="13" r:id="rId12"/>
    <sheet name="cálculos" sheetId="5" r:id="rId13"/>
  </sheets>
  <externalReferences>
    <externalReference r:id="rId14"/>
  </externalReferences>
  <definedNames>
    <definedName name="_xlnm._FilterDatabase" localSheetId="12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E18" i="10" l="1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5" i="9"/>
  <c r="M28" i="9"/>
  <c r="M27" i="9"/>
  <c r="M23" i="9"/>
  <c r="M20" i="9"/>
  <c r="M19" i="9"/>
  <c r="M15" i="9"/>
  <c r="M14" i="9"/>
  <c r="M13" i="9"/>
  <c r="M11" i="9"/>
  <c r="M7" i="9"/>
  <c r="M6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E6" i="9"/>
  <c r="E7" i="9"/>
  <c r="E19" i="9"/>
  <c r="E20" i="9"/>
  <c r="E21" i="9"/>
  <c r="E22" i="9"/>
  <c r="E23" i="9"/>
  <c r="E24" i="9"/>
  <c r="E25" i="9"/>
  <c r="E26" i="9"/>
  <c r="E27" i="9"/>
  <c r="E28" i="9"/>
  <c r="E29" i="9"/>
  <c r="L25" i="9"/>
  <c r="M25" i="9" s="1"/>
  <c r="L27" i="9" l="1"/>
  <c r="L28" i="9"/>
  <c r="L20" i="9"/>
  <c r="L24" i="9"/>
  <c r="L23" i="9"/>
  <c r="L19" i="9"/>
  <c r="L29" i="9"/>
  <c r="L26" i="9"/>
  <c r="M26" i="9" s="1"/>
  <c r="L22" i="9"/>
  <c r="M22" i="9" s="1"/>
  <c r="L21" i="9"/>
  <c r="M18" i="13"/>
  <c r="K18" i="13"/>
  <c r="G18" i="13"/>
  <c r="H18" i="13" s="1"/>
  <c r="L18" i="13" s="1"/>
  <c r="E18" i="13"/>
  <c r="M17" i="13"/>
  <c r="K17" i="13"/>
  <c r="G17" i="13"/>
  <c r="H17" i="13" s="1"/>
  <c r="L17" i="13" s="1"/>
  <c r="E17" i="13"/>
  <c r="M16" i="13"/>
  <c r="K16" i="13"/>
  <c r="G16" i="13"/>
  <c r="H16" i="13" s="1"/>
  <c r="L16" i="13" s="1"/>
  <c r="E16" i="13"/>
  <c r="M15" i="13"/>
  <c r="K15" i="13"/>
  <c r="G15" i="13"/>
  <c r="H15" i="13" s="1"/>
  <c r="L15" i="13" s="1"/>
  <c r="E15" i="13"/>
  <c r="M14" i="13"/>
  <c r="K14" i="13"/>
  <c r="G14" i="13"/>
  <c r="H14" i="13" s="1"/>
  <c r="L14" i="13" s="1"/>
  <c r="E14" i="13"/>
  <c r="M13" i="13"/>
  <c r="K13" i="13"/>
  <c r="G13" i="13"/>
  <c r="H13" i="13" s="1"/>
  <c r="L13" i="13" s="1"/>
  <c r="E13" i="13"/>
  <c r="M12" i="13"/>
  <c r="K12" i="13"/>
  <c r="G12" i="13"/>
  <c r="H12" i="13" s="1"/>
  <c r="L12" i="13" s="1"/>
  <c r="E12" i="13"/>
  <c r="M11" i="13"/>
  <c r="K11" i="13"/>
  <c r="G11" i="13"/>
  <c r="H11" i="13" s="1"/>
  <c r="L11" i="13" s="1"/>
  <c r="E11" i="13"/>
  <c r="M10" i="13"/>
  <c r="K10" i="13"/>
  <c r="L10" i="13" s="1"/>
  <c r="H10" i="13"/>
  <c r="G10" i="13"/>
  <c r="E10" i="13"/>
  <c r="M9" i="13"/>
  <c r="K9" i="13"/>
  <c r="G9" i="13"/>
  <c r="H9" i="13" s="1"/>
  <c r="L9" i="13" s="1"/>
  <c r="E9" i="13"/>
  <c r="M8" i="13"/>
  <c r="K8" i="13"/>
  <c r="L8" i="13" s="1"/>
  <c r="H8" i="13"/>
  <c r="G8" i="13"/>
  <c r="E8" i="13"/>
  <c r="M7" i="13"/>
  <c r="K7" i="13"/>
  <c r="G7" i="13"/>
  <c r="H7" i="13" s="1"/>
  <c r="L7" i="13" s="1"/>
  <c r="K6" i="13"/>
  <c r="G6" i="13"/>
  <c r="H6" i="13" s="1"/>
  <c r="M5" i="13"/>
  <c r="K5" i="13"/>
  <c r="G5" i="13"/>
  <c r="H5" i="13" s="1"/>
  <c r="L5" i="13" s="1"/>
  <c r="M18" i="12"/>
  <c r="K18" i="12"/>
  <c r="G18" i="12"/>
  <c r="H18" i="12" s="1"/>
  <c r="L18" i="12" s="1"/>
  <c r="E18" i="12"/>
  <c r="M17" i="12"/>
  <c r="K17" i="12"/>
  <c r="H17" i="12"/>
  <c r="L17" i="12" s="1"/>
  <c r="G17" i="12"/>
  <c r="E17" i="12"/>
  <c r="M16" i="12"/>
  <c r="K16" i="12"/>
  <c r="G16" i="12"/>
  <c r="H16" i="12" s="1"/>
  <c r="L16" i="12" s="1"/>
  <c r="E16" i="12"/>
  <c r="M15" i="12"/>
  <c r="K15" i="12"/>
  <c r="H15" i="12"/>
  <c r="L15" i="12" s="1"/>
  <c r="G15" i="12"/>
  <c r="E15" i="12"/>
  <c r="M14" i="12"/>
  <c r="K14" i="12"/>
  <c r="G14" i="12"/>
  <c r="H14" i="12" s="1"/>
  <c r="L14" i="12" s="1"/>
  <c r="E14" i="12"/>
  <c r="M13" i="12"/>
  <c r="K13" i="12"/>
  <c r="H13" i="12"/>
  <c r="L13" i="12" s="1"/>
  <c r="G13" i="12"/>
  <c r="E13" i="12"/>
  <c r="M12" i="12"/>
  <c r="K12" i="12"/>
  <c r="G12" i="12"/>
  <c r="H12" i="12" s="1"/>
  <c r="L12" i="12" s="1"/>
  <c r="E12" i="12"/>
  <c r="M11" i="12"/>
  <c r="K11" i="12"/>
  <c r="H11" i="12"/>
  <c r="L11" i="12" s="1"/>
  <c r="G11" i="12"/>
  <c r="E11" i="12"/>
  <c r="M10" i="12"/>
  <c r="K10" i="12"/>
  <c r="G10" i="12"/>
  <c r="H10" i="12" s="1"/>
  <c r="L10" i="12" s="1"/>
  <c r="E10" i="12"/>
  <c r="M9" i="12"/>
  <c r="K9" i="12"/>
  <c r="H9" i="12"/>
  <c r="L9" i="12" s="1"/>
  <c r="G9" i="12"/>
  <c r="E9" i="12"/>
  <c r="M8" i="12"/>
  <c r="K8" i="12"/>
  <c r="G8" i="12"/>
  <c r="H8" i="12" s="1"/>
  <c r="L8" i="12" s="1"/>
  <c r="E8" i="12"/>
  <c r="M7" i="12"/>
  <c r="K7" i="12"/>
  <c r="G7" i="12"/>
  <c r="H7" i="12" s="1"/>
  <c r="L7" i="12" s="1"/>
  <c r="K6" i="12"/>
  <c r="G6" i="12"/>
  <c r="H6" i="12" s="1"/>
  <c r="L6" i="12" s="1"/>
  <c r="M5" i="12"/>
  <c r="K5" i="12"/>
  <c r="H5" i="12"/>
  <c r="L5" i="12" s="1"/>
  <c r="G5" i="12"/>
  <c r="M18" i="11"/>
  <c r="K18" i="11"/>
  <c r="G18" i="11"/>
  <c r="H18" i="11" s="1"/>
  <c r="L18" i="11" s="1"/>
  <c r="E18" i="11"/>
  <c r="M17" i="11"/>
  <c r="K17" i="11"/>
  <c r="H17" i="11"/>
  <c r="L17" i="11" s="1"/>
  <c r="G17" i="11"/>
  <c r="E17" i="11"/>
  <c r="M16" i="11"/>
  <c r="K16" i="11"/>
  <c r="G16" i="11"/>
  <c r="H16" i="11" s="1"/>
  <c r="L16" i="11" s="1"/>
  <c r="E16" i="11"/>
  <c r="M15" i="11"/>
  <c r="K15" i="11"/>
  <c r="H15" i="11"/>
  <c r="L15" i="11" s="1"/>
  <c r="G15" i="11"/>
  <c r="E15" i="11"/>
  <c r="M14" i="11"/>
  <c r="K14" i="11"/>
  <c r="G14" i="11"/>
  <c r="H14" i="11" s="1"/>
  <c r="L14" i="11" s="1"/>
  <c r="E14" i="11"/>
  <c r="M13" i="11"/>
  <c r="K13" i="11"/>
  <c r="H13" i="11"/>
  <c r="L13" i="11" s="1"/>
  <c r="G13" i="11"/>
  <c r="E13" i="11"/>
  <c r="M12" i="11"/>
  <c r="K12" i="11"/>
  <c r="G12" i="11"/>
  <c r="H12" i="11" s="1"/>
  <c r="L12" i="11" s="1"/>
  <c r="E12" i="11"/>
  <c r="M11" i="11"/>
  <c r="K11" i="11"/>
  <c r="H11" i="11"/>
  <c r="L11" i="11" s="1"/>
  <c r="G11" i="11"/>
  <c r="E11" i="11"/>
  <c r="M10" i="11"/>
  <c r="K10" i="11"/>
  <c r="G10" i="11"/>
  <c r="H10" i="11" s="1"/>
  <c r="L10" i="11" s="1"/>
  <c r="E10" i="11"/>
  <c r="M9" i="11"/>
  <c r="K9" i="11"/>
  <c r="H9" i="11"/>
  <c r="L9" i="11" s="1"/>
  <c r="G9" i="11"/>
  <c r="E9" i="11"/>
  <c r="M8" i="11"/>
  <c r="K8" i="11"/>
  <c r="G8" i="11"/>
  <c r="H8" i="11" s="1"/>
  <c r="L8" i="11" s="1"/>
  <c r="M7" i="11"/>
  <c r="K7" i="11"/>
  <c r="G7" i="11"/>
  <c r="H7" i="11" s="1"/>
  <c r="L7" i="11" s="1"/>
  <c r="K6" i="11"/>
  <c r="G6" i="11"/>
  <c r="H6" i="11" s="1"/>
  <c r="M5" i="11"/>
  <c r="K5" i="11"/>
  <c r="G5" i="11"/>
  <c r="H5" i="11" s="1"/>
  <c r="L5" i="11" s="1"/>
  <c r="M18" i="10"/>
  <c r="K18" i="10"/>
  <c r="G18" i="10"/>
  <c r="H18" i="10" s="1"/>
  <c r="M17" i="10"/>
  <c r="K17" i="10"/>
  <c r="H17" i="10"/>
  <c r="L17" i="10" s="1"/>
  <c r="G17" i="10"/>
  <c r="M16" i="10"/>
  <c r="K16" i="10"/>
  <c r="G16" i="10"/>
  <c r="H16" i="10" s="1"/>
  <c r="L16" i="10" s="1"/>
  <c r="M15" i="10"/>
  <c r="K15" i="10"/>
  <c r="G15" i="10"/>
  <c r="H15" i="10" s="1"/>
  <c r="L15" i="10" s="1"/>
  <c r="M14" i="10"/>
  <c r="K14" i="10"/>
  <c r="G14" i="10"/>
  <c r="H14" i="10" s="1"/>
  <c r="M13" i="10"/>
  <c r="K13" i="10"/>
  <c r="G13" i="10"/>
  <c r="H13" i="10" s="1"/>
  <c r="M12" i="10"/>
  <c r="K12" i="10"/>
  <c r="G12" i="10"/>
  <c r="H12" i="10" s="1"/>
  <c r="L12" i="10" s="1"/>
  <c r="M11" i="10"/>
  <c r="K11" i="10"/>
  <c r="G11" i="10"/>
  <c r="H11" i="10" s="1"/>
  <c r="L11" i="10" s="1"/>
  <c r="M10" i="10"/>
  <c r="K10" i="10"/>
  <c r="G10" i="10"/>
  <c r="H10" i="10" s="1"/>
  <c r="M9" i="10"/>
  <c r="K9" i="10"/>
  <c r="H9" i="10"/>
  <c r="G9" i="10"/>
  <c r="M8" i="10"/>
  <c r="K8" i="10"/>
  <c r="G8" i="10"/>
  <c r="H8" i="10" s="1"/>
  <c r="M7" i="10"/>
  <c r="K7" i="10"/>
  <c r="G7" i="10"/>
  <c r="H7" i="10" s="1"/>
  <c r="L7" i="10" s="1"/>
  <c r="K6" i="10"/>
  <c r="G6" i="10"/>
  <c r="H6" i="10" s="1"/>
  <c r="K5" i="10"/>
  <c r="G5" i="10"/>
  <c r="H5" i="10" s="1"/>
  <c r="M21" i="9" l="1"/>
  <c r="M24" i="9"/>
  <c r="M29" i="9"/>
  <c r="L5" i="10"/>
  <c r="M5" i="10" s="1"/>
  <c r="L14" i="10"/>
  <c r="L8" i="10"/>
  <c r="L9" i="10"/>
  <c r="L13" i="10"/>
  <c r="L6" i="10"/>
  <c r="L10" i="10"/>
  <c r="L18" i="10"/>
  <c r="M33" i="9"/>
  <c r="M22" i="13"/>
  <c r="L6" i="13"/>
  <c r="M22" i="12"/>
  <c r="M22" i="11"/>
  <c r="L6" i="11"/>
  <c r="M21" i="11" s="1"/>
  <c r="M22" i="10"/>
  <c r="M21" i="13"/>
  <c r="M6" i="13"/>
  <c r="M21" i="12"/>
  <c r="M6" i="12"/>
  <c r="M6" i="11"/>
  <c r="M6" i="10"/>
  <c r="E8" i="9"/>
  <c r="E9" i="9"/>
  <c r="E10" i="9"/>
  <c r="E11" i="9"/>
  <c r="E12" i="9"/>
  <c r="E13" i="9"/>
  <c r="E14" i="9"/>
  <c r="E15" i="9"/>
  <c r="E16" i="9"/>
  <c r="E17" i="9"/>
  <c r="E18" i="9"/>
  <c r="M21" i="10" l="1"/>
  <c r="M5" i="9"/>
  <c r="L5" i="9" l="1"/>
  <c r="L6" i="9"/>
  <c r="L9" i="9"/>
  <c r="M9" i="9" s="1"/>
  <c r="L10" i="9"/>
  <c r="M10" i="9" s="1"/>
  <c r="L11" i="9"/>
  <c r="L12" i="9"/>
  <c r="L13" i="9"/>
  <c r="L14" i="9"/>
  <c r="L15" i="9"/>
  <c r="L16" i="9"/>
  <c r="L17" i="9"/>
  <c r="M17" i="9" s="1"/>
  <c r="L18" i="9"/>
  <c r="M18" i="9" s="1"/>
  <c r="L7" i="9"/>
  <c r="L8" i="9"/>
  <c r="M12" i="9" l="1"/>
  <c r="M16" i="9"/>
  <c r="M8" i="9"/>
  <c r="M32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<sst xmlns="http://schemas.openxmlformats.org/spreadsheetml/2006/main" count="326" uniqueCount="128">
  <si>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</si>
  <si>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</si>
  <si>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</si>
  <si>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</si>
  <si>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</si>
  <si>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</si>
  <si>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</si>
  <si>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</si>
  <si>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</si>
  <si>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</si>
  <si>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</si>
  <si>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</si>
  <si>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</si>
  <si>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</si>
  <si>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</si>
  <si>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</si>
  <si>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</si>
  <si>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</si>
  <si>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</si>
  <si>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</si>
  <si>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</si>
  <si>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</si>
  <si>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</si>
  <si>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</si>
  <si>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</si>
  <si>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</si>
  <si>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</si>
  <si>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</si>
  <si>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</si>
  <si>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</si>
  <si>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</si>
  <si>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</si>
  <si>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</si>
  <si>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</si>
  <si>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</si>
  <si>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</si>
  <si>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</si>
  <si>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</si>
  <si>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</si>
  <si>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</si>
  <si>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</si>
  <si>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</si>
  <si>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</si>
  <si>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</si>
  <si>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</si>
  <si>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</si>
  <si>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</si>
  <si>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</si>
  <si>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</si>
  <si>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</si>
  <si>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</si>
  <si>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</si>
  <si>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</si>
  <si>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</si>
  <si>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</si>
  <si>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</si>
  <si>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</si>
  <si>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</si>
  <si>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</si>
  <si>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</si>
  <si>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</si>
  <si>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</si>
  <si>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</si>
  <si>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</si>
  <si>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</si>
  <si>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</si>
  <si>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</si>
  <si>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</si>
  <si>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</si>
  <si>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</si>
  <si>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</si>
  <si>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</si>
  <si>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</si>
  <si>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</si>
  <si>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</si>
  <si>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</si>
  <si>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</si>
  <si>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</si>
  <si>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</si>
  <si>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</si>
  <si>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</si>
  <si>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</si>
  <si>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</si>
  <si>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</si>
  <si>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</si>
  <si>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</si>
  <si>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</si>
  <si>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</si>
  <si>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</si>
  <si>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</si>
  <si>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</si>
  <si>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</si>
  <si>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</si>
  <si>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</si>
  <si>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</si>
  <si>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</si>
  <si>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</si>
  <si>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</si>
  <si>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</si>
  <si>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Total Investido</t>
  </si>
  <si>
    <t>Controle de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</si>
  <si>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</si>
  <si>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</si>
  <si>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</si>
  <si>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</si>
  <si>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</si>
  <si>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</si>
  <si>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</si>
  <si>
    <t>Vendas Semana 1</t>
  </si>
  <si>
    <t>Id da Venda</t>
  </si>
  <si>
    <t>Subtotal</t>
  </si>
  <si>
    <t>Entrega</t>
  </si>
  <si>
    <t>Valor de Entrega</t>
  </si>
  <si>
    <t>Total</t>
  </si>
  <si>
    <t>Total para o Cliente</t>
  </si>
  <si>
    <t>Regiões de Entrega</t>
  </si>
  <si>
    <t>Preço de Entrega</t>
  </si>
  <si>
    <t>Centro</t>
  </si>
  <si>
    <t>Loja</t>
  </si>
  <si>
    <t>Zona Norte</t>
  </si>
  <si>
    <t>Zona Oeste</t>
  </si>
  <si>
    <t>Zona Sul</t>
  </si>
  <si>
    <t>Receita de Vendas na Semana</t>
  </si>
  <si>
    <t>Receita de Entregas</t>
  </si>
  <si>
    <t>Vendas Semana 2</t>
  </si>
  <si>
    <t>Vendas Semana 3</t>
  </si>
  <si>
    <t>Vendas Semana 4</t>
  </si>
  <si>
    <t>Vendas 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</si>
</sst>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3" xfId="0" applyFont="1" applyBorder="1"/>
    <xf numFmtId="44" fontId="6" fillId="0" borderId="3" xfId="0" applyNumberFormat="1" applyFont="1" applyBorder="1"/>
    <xf numFmtId="0" fontId="6" fillId="0" borderId="4" xfId="0" applyFont="1" applyBorder="1"/>
    <xf numFmtId="0" fontId="7" fillId="0" borderId="4" xfId="0" applyFont="1" applyBorder="1"/>
    <xf numFmtId="44" fontId="6" fillId="0" borderId="4" xfId="0" applyNumberFormat="1" applyFont="1" applyBorder="1"/>
    <xf numFmtId="0" fontId="0" fillId="0" borderId="0" xfId="0" applyNumberFormat="1"/>
    <xf numFmtId="44" fontId="0" fillId="0" borderId="0" xfId="1" applyNumberFormat="1" applyFont="1"/>
    <xf numFmtId="14" fontId="0" fillId="0" borderId="5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4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font>
        <color rgb="FFFF0000"/>
      </font>
      <fill>
        <patternFill>
          <fgColor auto="1"/>
          <bgColor theme="5" tint="0.59996337778862885"/>
        </patternFill>
      </fill>
    </dxf>
    <dxf>
      <fill>
        <patternFill>
          <bgColor theme="7" tint="0.39994506668294322"/>
        </patternFill>
      </fill>
    </dxf>
    <dxf>
      <numFmt numFmtId="34" formatCode="_-&quot;R$&quot;\ * #,##0.00_-;\-&quot;R$&quot;\ * #,##0.00_-;_-&quot;R$&quot;\ * &quot;-&quot;??_-;_-@_-"/>
    </dxf>
    <dxf>
      <numFmt numFmtId="19" formatCode="d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Mercado_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espesas"/>
      <sheetName val="Compras Mercadorias"/>
      <sheetName val="Controle de Estoque"/>
      <sheetName val="Investimentos"/>
      <sheetName val="Resultados"/>
      <sheetName val="Vendas"/>
      <sheetName val="Sem1"/>
      <sheetName val="Análise Sem1"/>
      <sheetName val="Sem2"/>
      <sheetName val="Análise Sem2"/>
      <sheetName val="Sem3"/>
      <sheetName val="Sem4"/>
      <sheetName val="Sem5"/>
      <sheetName val="cálcu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44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43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42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41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40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39"/>
    <tableColumn id="3" xr3:uid="{239BE80D-7805-4BBC-9C2D-C1DA9176F006}" name="Descrição" dataDxfId="38"/>
    <tableColumn id="4" xr3:uid="{2870BF42-AA4B-45ED-882A-312D44EF0ADB}" name="Valor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07D7C-7269-4ADB-A46D-2F73513CEA69}" name="Tabela4" displayName="Tabela4" ref="B5:H29" totalsRowShown="0">
  <autoFilter ref="B5:H29" xr:uid="{43996090-F30C-43D8-B342-21C0D20BB2FD}"/>
  <tableColumns count="7">
    <tableColumn id="1" xr3:uid="{39158332-0439-4634-A356-C285BC1CE3AE}" name="Produto"/>
    <tableColumn id="2" xr3:uid="{ABEAA5C0-16F7-4E1B-917F-C5C8BFD55C9A}" name="Data da última compra" dataDxfId="36">
      <calculatedColumnFormula>IFERROR(INDEX(Tabela2[],MATCH(B6,Tabela2[Mercadoria],0),1),"")</calculatedColumnFormula>
    </tableColumn>
    <tableColumn id="3" xr3:uid="{C81A6D67-961E-4493-8C24-EBAD0C4F2A48}" name="Quantidade Inicial"/>
    <tableColumn id="4" xr3:uid="{80CA6ACE-4BB2-4EAD-A586-E6541DCF9474}" name="Quantidade Comprada" dataDxfId="35">
      <calculatedColumnFormula>SUMIF(Tabela2[Mercadoria],Tabela4[[#This Row],[Produto]],Tabela2[Quantidade])</calculatedColumnFormula>
    </tableColumn>
    <tableColumn id="5" xr3:uid="{2535A214-2CD4-404B-A5DE-50CC6CD08CB7}" name="Quantidade Vendida"/>
    <tableColumn id="6" xr3:uid="{1AD92F18-4970-4BF8-9E1A-44FD14A235E3}" name="Quantidade Atual" dataDxfId="34">
      <calculatedColumnFormula>Tabela4[[#This Row],[Quantidade Inicial]]+Tabela4[[#This Row],[Quantidade Comprada]]-Tabela4[[#This Row],[Quantidade Vendida]]</calculatedColumnFormula>
    </tableColumn>
    <tableColumn id="7" xr3:uid="{D0D7FE62-656C-4A80-A7CD-44E952E7B569}" name="Situação" dataDxfId="33">
      <calculatedColumnFormula>IF(Tabela4[[#This Row],[Quantidade Atual]]&lt;50,IF(Tabela4[[#This Row],[Quantidade Atual]]&lt;21,"Comprar","Atenção"),"OK")</calculatedColumnFormula>
    </tableColumn>
  </tableColumns>
  <tableStyleInfo name="TableStyleMedium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424D3-48C0-48F8-B901-4A8615125E86}" name="Tabela5" displayName="Tabela5" ref="B4:M29" totalsRowShown="0">
  <autoFilter ref="B4:M29" xr:uid="{B50BFCED-FC59-453B-8B7C-F57FDEA11B36}"/>
  <sortState xmlns:xlrd2="http://schemas.microsoft.com/office/spreadsheetml/2017/richdata2" ref="B5:M29">
    <sortCondition descending="1" ref="B4:B29"/>
  </sortState>
  <tableColumns count="12">
    <tableColumn id="1" xr3:uid="{F276C9DD-59EC-41C0-BFAC-41E0A3A571C2}" name="Id da Venda"/>
    <tableColumn id="2" xr3:uid="{3529F82E-B4A1-48C9-9A2E-330F4411134E}" name="Data" dataDxfId="6"/>
    <tableColumn id="3" xr3:uid="{2B56FFC1-C17B-4DEF-827B-9C7EC45BD06E}" name="Produto"/>
    <tableColumn id="4" xr3:uid="{EE0D7D70-F609-446A-B897-48419548EFFF}" name="Medida" dataDxfId="32">
      <calculatedColumnFormula>IFERROR(VLOOKUP(Tabela5[[#This Row],[Produto]],cálculos!$M$7:$P$30,4,FALSE),"")</calculatedColumnFormula>
    </tableColumn>
    <tableColumn id="5" xr3:uid="{ECD320CD-0C19-481C-AC06-2DF8EC8F82C8}" name="Quantidade"/>
    <tableColumn id="6" xr3:uid="{A4672970-7224-4ED5-BDAB-2C7E72C2B5F6}" name="Preço Unitário" dataDxfId="0">
      <calculatedColumnFormula>IFERROR(VLOOKUP(Tabela5[[#This Row],[Produto]],cálculos!$M$7:$P$30,3,FALSE),0)</calculatedColumnFormula>
    </tableColumn>
    <tableColumn id="7" xr3:uid="{88382475-B4D6-4765-B6AE-CC313E146A53}" name="Subtotal" dataDxfId="1">
      <calculatedColumnFormula>Tabela5[[#This Row],[Preço Unitário]]*Tabela5[[#This Row],[Quantidade]]</calculatedColumnFormula>
    </tableColumn>
    <tableColumn id="8" xr3:uid="{8B8EC2C3-549F-49CD-A604-107200146A94}" name="Desconto"/>
    <tableColumn id="9" xr3:uid="{46D927CD-3071-4D04-8D49-1EA3FD2ECC74}" name="Entrega"/>
    <tableColumn id="10" xr3:uid="{48B3E9CB-5AB9-46A7-9A54-542CE53A4B9E}" name="Valor de Entrega" dataDxfId="5">
      <calculatedColumnFormula>IF(Tabela5[[#This Row],[Id da Venda]]=B6,0,VLOOKUP(Tabela5[[#This Row],[Entrega]],cálculos!$B$7:$C$11,2,FALSE))</calculatedColumnFormula>
    </tableColumn>
    <tableColumn id="11" xr3:uid="{99652A64-363A-4AC6-B1F1-CA3A5A4034D6}" name="Total" dataDxfId="31" dataCellStyle="Moeda">
      <calculatedColumnFormula>Tabela5[[#This Row],[Subtotal]]*(1-Tabela5[[#This Row],[Desconto]])+Tabela5[[#This Row],[Valor de Entrega]]</calculatedColumnFormula>
    </tableColumn>
    <tableColumn id="12" xr3:uid="{6B592051-6175-4221-97FA-655EC0C06504}" name="Total para o Cliente" dataDxfId="30" dataCellStyle="Moeda">
      <calculatedColumnFormula>IF(Tabela5[[#This Row],[Id da Venda]]=B6,"",SUMIF(Tabela5[Id da Venda],Tabela5[[#This Row],[Id da Venda]],Tabela5[Total]))</calculatedColumnFormula>
    </tableColumn>
  </tableColumns>
  <tableStyleInfo name="TableStyleMedium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0B7C4F-7AC1-4174-BF5E-C9A3363D892F}" name="Tabela57" displayName="Tabela57" ref="B4:M18" totalsRowShown="0">
  <autoFilter ref="B4:M18" xr:uid="{F86BA69B-3CD2-42B4-AC3F-96638BE8E5C4}"/>
  <tableColumns count="12">
    <tableColumn id="1" xr3:uid="{2C4AE0FF-C596-4D14-8423-F3244BD268CC}" name="Id da Venda"/>
    <tableColumn id="2" xr3:uid="{C476D0D7-08DD-4048-AEBD-F9721DD466B2}" name="Data"/>
    <tableColumn id="3" xr3:uid="{825084DE-5629-4618-B846-6DC4FC002F06}" name="Produto"/>
    <tableColumn id="4" xr3:uid="{57D26F82-C1ED-49EE-9B67-8210E04B0BF1}" name="Medida" dataDxfId="2">
      <calculatedColumnFormula>IFERROR(VLOOKUP(Tabela57[[#This Row],[Produto]],cálculos!$M$7:$P$30,4,FALSE),"")</calculatedColumnFormula>
    </tableColumn>
    <tableColumn id="5" xr3:uid="{B830440C-A533-4606-A26A-F3905C47119F}" name="Quantidade"/>
    <tableColumn id="6" xr3:uid="{51247FC8-4677-4C6C-BE89-E91C64D8F500}" name="Preço Unitário" dataDxfId="29">
      <calculatedColumnFormula>IFERROR(VLOOKUP(Tabela57[[#This Row],[Produto]],cálculos!$M$7:$P$30,3,FALSE),0)</calculatedColumnFormula>
    </tableColumn>
    <tableColumn id="7" xr3:uid="{D3AF7287-3CC6-4B88-98EE-2F7F2F27F6F4}" name="Subtotal" dataDxfId="28">
      <calculatedColumnFormula>Tabela57[[#This Row],[Quantidade]]*Tabela57[[#This Row],[Preço Unitário]]</calculatedColumnFormula>
    </tableColumn>
    <tableColumn id="8" xr3:uid="{E0953CBC-F483-454B-99B0-004F4EE4430B}" name="Desconto"/>
    <tableColumn id="9" xr3:uid="{437D2BDF-6981-4CA2-A7E8-0237A5CC523F}" name="Entrega"/>
    <tableColumn id="10" xr3:uid="{B60EEEF5-5A20-4921-A88E-1B41ED536B36}" name="Valor de Entrega" dataDxfId="27">
      <calculatedColumnFormula>IFERROR(VLOOKUP(Tabela57[[#This Row],[Entrega]],cálculos!$B$7:$C$11,2,FALSE),0)</calculatedColumnFormula>
    </tableColumn>
    <tableColumn id="11" xr3:uid="{51FD6AC1-FF5F-4DB7-9636-BC9EE0CA7CB4}" name="Total" dataDxfId="26" dataCellStyle="Moeda">
      <calculatedColumnFormula>Tabela57[[#This Row],[Subtotal]]*(1-Tabela57[[#This Row],[Desconto]])+Tabela57[[#This Row],[Valor de Entrega]]</calculatedColumnFormula>
    </tableColumn>
    <tableColumn id="12" xr3:uid="{BD2AF258-48CF-4D82-8ECD-208E70DE80C6}" name="Total para o Cliente" dataDxfId="25" dataCellStyle="Moeda">
      <calculatedColumnFormula>IF(Tabela57[[#This Row],[Id da Venda]]=B6,"",SUMIF(Tabela57[Id da Venda],Tabela57[[#This Row],[Id da Venda]],Tabela57[Total]))</calculatedColumnFormula>
    </tableColumn>
  </tableColumns>
  <tableStyleInfo name="TableStyleMedium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FFD4BF-DEC8-4919-9768-314AB472FA38}" name="Tabela579" displayName="Tabela579" ref="B4:M18" totalsRowShown="0">
  <autoFilter ref="B4:M18" xr:uid="{0E460EF7-3A59-4D67-AD0A-01726A1EBF93}"/>
  <tableColumns count="12">
    <tableColumn id="1" xr3:uid="{B4BC53A0-7378-4377-BE14-03A712A411B1}" name="Id da Venda"/>
    <tableColumn id="2" xr3:uid="{D797BDB1-66EA-484A-8E2C-20E87BDD996C}" name="Data"/>
    <tableColumn id="3" xr3:uid="{C4B3F03E-C755-40D5-96C5-6B5FBF77B673}" name="Produto"/>
    <tableColumn id="4" xr3:uid="{DCE05453-0EB3-42A7-ACC4-242B68C24C54}" name="Medida" dataDxfId="24">
      <calculatedColumnFormula>IFERROR(VLOOKUP(Tabela579[[#This Row],[Produto]],cálculos!$M$7:$P$30,4,FALSE),"")</calculatedColumnFormula>
    </tableColumn>
    <tableColumn id="5" xr3:uid="{4A95D4C6-EFF6-4E4D-81BF-DD3980903078}" name="Quantidade"/>
    <tableColumn id="6" xr3:uid="{D5B98FBE-05E2-4958-989C-2126373F4E39}" name="Preço Unitário" dataDxfId="23">
      <calculatedColumnFormula>IFERROR(VLOOKUP(Tabela579[[#This Row],[Produto]],cálculos!$M$7:$P$30,3,FALSE),0)</calculatedColumnFormula>
    </tableColumn>
    <tableColumn id="7" xr3:uid="{1BCECE7F-B835-4008-9B5A-09B7244572FB}" name="Subtotal" dataDxfId="22">
      <calculatedColumnFormula>Tabela579[[#This Row],[Quantidade]]*Tabela579[[#This Row],[Preço Unitário]]</calculatedColumnFormula>
    </tableColumn>
    <tableColumn id="8" xr3:uid="{2DD77BE8-D137-4A5A-84D8-97D95CF9E837}" name="Desconto"/>
    <tableColumn id="9" xr3:uid="{55191C68-5370-49F2-9D72-98C5B24D7EFC}" name="Entrega"/>
    <tableColumn id="10" xr3:uid="{D41D8B72-5882-42DE-9FA6-E9558A5F7C94}" name="Valor de Entrega" dataDxfId="21">
      <calculatedColumnFormula>IFERROR(VLOOKUP(Tabela579[[#This Row],[Entrega]],cálculos!$B$7:$C$11,2,FALSE),0)</calculatedColumnFormula>
    </tableColumn>
    <tableColumn id="11" xr3:uid="{D3D9C423-E79C-4BC8-8090-0470F4D1A8F2}" name="Total" dataDxfId="20" dataCellStyle="Moeda">
      <calculatedColumnFormula>Tabela579[[#This Row],[Subtotal]]*(1-Tabela579[[#This Row],[Desconto]])+Tabela579[[#This Row],[Valor de Entrega]]</calculatedColumnFormula>
    </tableColumn>
    <tableColumn id="12" xr3:uid="{704D5592-7153-45E1-AF9F-7ECEBB85180B}" name="Total para o Cliente" dataDxfId="19" dataCellStyle="Moeda">
      <calculatedColumnFormula>IF(Tabela579[[#This Row],[Id da Venda]]=B6,"",SUMIF(Tabela579[Id da Venda],Tabela579[[#This Row],[Id da Venda]],Tabela579[Total]))</calculatedColumnFormula>
    </tableColumn>
  </tableColumns>
  <tableStyleInfo name="TableStyleMedium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DB4D8-8F72-40FF-8638-5B636C6F1190}" name="Tabela5710" displayName="Tabela5710" ref="B4:M18" totalsRowShown="0">
  <autoFilter ref="B4:M18" xr:uid="{786B6B72-672E-492D-A55A-E8C86D347186}"/>
  <tableColumns count="12">
    <tableColumn id="1" xr3:uid="{3CE324D0-A6A8-4C54-A0F4-EB1CED1E842E}" name="Id da Venda"/>
    <tableColumn id="2" xr3:uid="{9B021535-FE6E-4B01-97AE-CC4E4B246268}" name="Data"/>
    <tableColumn id="3" xr3:uid="{700F5C03-4629-422F-BCFF-80F35D531A54}" name="Produto"/>
    <tableColumn id="4" xr3:uid="{30FEC86B-7527-402A-BB23-848902DE3961}" name="Medida" dataDxfId="18">
      <calculatedColumnFormula>IFERROR(VLOOKUP(Tabela5710[[#This Row],[Produto]],cálculos!$M$7:$P$30,4,FALSE),"")</calculatedColumnFormula>
    </tableColumn>
    <tableColumn id="5" xr3:uid="{C64E63D5-9EC1-4020-88F2-10F4E1F6369D}" name="Quantidade"/>
    <tableColumn id="6" xr3:uid="{F43F2544-44C3-4899-A038-908EEB3D72B6}" name="Preço Unitário" dataDxfId="17">
      <calculatedColumnFormula>IFERROR(VLOOKUP(Tabela5710[[#This Row],[Produto]],cálculos!$M$7:$P$30,3,FALSE),0)</calculatedColumnFormula>
    </tableColumn>
    <tableColumn id="7" xr3:uid="{DFD4F22F-248E-49CB-9B75-EF042D228021}" name="Subtotal" dataDxfId="16">
      <calculatedColumnFormula>Tabela5710[[#This Row],[Quantidade]]*Tabela5710[[#This Row],[Preço Unitário]]</calculatedColumnFormula>
    </tableColumn>
    <tableColumn id="8" xr3:uid="{5A7EEB63-A4D4-4AC4-B639-8D76302CD235}" name="Desconto"/>
    <tableColumn id="9" xr3:uid="{44EC7BB8-2680-4E35-871D-B96B46AB6D94}" name="Entrega"/>
    <tableColumn id="10" xr3:uid="{D3843451-0C02-44E0-8972-7A14B7E27DC3}" name="Valor de Entrega" dataDxfId="15">
      <calculatedColumnFormula>IFERROR(VLOOKUP(Tabela5710[[#This Row],[Entrega]],cálculos!$B$7:$C$11,2,FALSE),0)</calculatedColumnFormula>
    </tableColumn>
    <tableColumn id="11" xr3:uid="{011E81B0-590C-47EC-B368-9B1B796105D6}" name="Total" dataDxfId="14" dataCellStyle="Moeda">
      <calculatedColumnFormula>Tabela5710[[#This Row],[Subtotal]]*(1-Tabela5710[[#This Row],[Desconto]])+Tabela5710[[#This Row],[Valor de Entrega]]</calculatedColumnFormula>
    </tableColumn>
    <tableColumn id="12" xr3:uid="{5A261D43-1FEF-446F-8EA6-60F6BD0012CD}" name="Total para o Cliente" dataDxfId="13" dataCellStyle="Moeda">
      <calculatedColumnFormula>IF(Tabela5710[[#This Row],[Id da Venda]]=B6,"",SUMIF(Tabela5710[Id da Venda],Tabela5710[[#This Row],[Id da Venda]],Tabela5710[Total]))</calculatedColumnFormula>
    </tableColumn>
  </tableColumns>
  <tableStyleInfo name="TableStyleMedium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69D0A6-21DD-4747-BE97-255E236964C5}" name="Tabela5711" displayName="Tabela5711" ref="B4:M18" totalsRowShown="0">
  <autoFilter ref="B4:M18" xr:uid="{7D631E6B-AFC5-47B3-BBEE-A2998877C790}"/>
  <tableColumns count="12">
    <tableColumn id="1" xr3:uid="{64037792-5108-432B-8BA6-2C47E1E85906}" name="Id da Venda"/>
    <tableColumn id="2" xr3:uid="{C129BA88-F633-479A-B05F-0274947FAFF2}" name="Data"/>
    <tableColumn id="3" xr3:uid="{03CBF25C-9C82-43BD-9A1F-BD7252C9EBF0}" name="Produto"/>
    <tableColumn id="4" xr3:uid="{85C8041C-7017-4927-8685-C2EBA29C69C0}" name="Medida" dataDxfId="12">
      <calculatedColumnFormula>IFERROR(VLOOKUP(Tabela5711[[#This Row],[Produto]],cálculos!$M$7:$P$30,4,FALSE),"")</calculatedColumnFormula>
    </tableColumn>
    <tableColumn id="5" xr3:uid="{562302A2-16DA-4F6F-AA40-B1C6C574B103}" name="Quantidade"/>
    <tableColumn id="6" xr3:uid="{7B8CC8E5-9591-49FE-9735-41EED24870F7}" name="Preço Unitário" dataDxfId="11">
      <calculatedColumnFormula>IFERROR(VLOOKUP(Tabela5711[[#This Row],[Produto]],cálculos!$M$7:$P$30,3,FALSE),0)</calculatedColumnFormula>
    </tableColumn>
    <tableColumn id="7" xr3:uid="{04B5F1D5-0AC7-4751-A0E1-78A8862A98DE}" name="Subtotal" dataDxfId="10">
      <calculatedColumnFormula>Tabela5711[[#This Row],[Quantidade]]*Tabela5711[[#This Row],[Preço Unitário]]</calculatedColumnFormula>
    </tableColumn>
    <tableColumn id="8" xr3:uid="{C5251237-7BEB-43D5-AC78-915AAFC34495}" name="Desconto"/>
    <tableColumn id="9" xr3:uid="{F21FE56F-58FA-4D15-9F92-D24F6A18F241}" name="Entrega"/>
    <tableColumn id="10" xr3:uid="{1F71F3AD-5DB7-4904-8AA2-D4C782F52FAC}" name="Valor de Entrega" dataDxfId="9">
      <calculatedColumnFormula>IFERROR(VLOOKUP(Tabela5711[[#This Row],[Entrega]],cálculos!$B$7:$C$11,2,FALSE),0)</calculatedColumnFormula>
    </tableColumn>
    <tableColumn id="11" xr3:uid="{48F411BB-CA63-4110-A581-D027E49563D2}" name="Total" dataDxfId="8" dataCellStyle="Moeda">
      <calculatedColumnFormula>Tabela5711[[#This Row],[Subtotal]]*(1-Tabela5711[[#This Row],[Desconto]])+Tabela5711[[#This Row],[Valor de Entrega]]</calculatedColumnFormula>
    </tableColumn>
    <tableColumn id="12" xr3:uid="{D2DCD0C1-4A1E-44C3-A54A-F9EC56725856}" name="Total para o Cliente" dataDxfId="7" dataCellStyle="Moeda">
      <calculatedColumnFormula>IF(Tabela5711[[#This Row],[Id da Venda]]=B6,"",SUMIF(Tabela5711[Id da Venda],Tabela5711[[#This Row],[Id da Venda]],Tabela5711[Total]))</calculatedColumnFormula>
    </tableColumn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47" sqref="M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4B8C-19AF-4625-871C-84AF439D1D62}">
  <dimension ref="B2:M22"/>
  <sheetViews>
    <sheetView showGridLines="0" workbookViewId="0">
      <selection activeCell="G5" sqref="G5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125</v>
      </c>
      <c r="E2" s="25"/>
    </row>
    <row r="3" spans="2:13" ht="48" customHeight="1" x14ac:dyDescent="0.3"/>
    <row r="4" spans="2:13" x14ac:dyDescent="0.3">
      <c r="B4" t="s">
        <v>109</v>
      </c>
      <c r="C4" t="s">
        <v>46</v>
      </c>
      <c r="D4" t="s">
        <v>101</v>
      </c>
      <c r="E4" t="s">
        <v>61</v>
      </c>
      <c r="F4" t="s">
        <v>62</v>
      </c>
      <c r="G4" t="s">
        <v>63</v>
      </c>
      <c r="H4" t="s">
        <v>110</v>
      </c>
      <c r="I4" t="s">
        <v>64</v>
      </c>
      <c r="J4" t="s">
        <v>111</v>
      </c>
      <c r="K4" t="s">
        <v>112</v>
      </c>
      <c r="L4" t="s">
        <v>113</v>
      </c>
      <c r="M4" t="s">
        <v>114</v>
      </c>
    </row>
    <row r="5" spans="2:13" x14ac:dyDescent="0.3">
      <c r="C5" s="7"/>
      <c r="G5" s="3">
        <f>IFERROR(VLOOKUP(Tabela579[[#This Row],[Produto]],cálculos!$M$7:$P$30,3,FALSE),0)</f>
        <v>0</v>
      </c>
      <c r="H5" s="9">
        <f>Tabela579[[#This Row],[Quantidade]]*Tabela579[[#This Row],[Preço Unitário]]</f>
        <v>0</v>
      </c>
      <c r="I5" s="6"/>
      <c r="K5" s="9">
        <f>IFERROR(VLOOKUP(Tabela579[[#This Row],[Entrega]],cálculos!$B$7:$C$11,2,FALSE),0)</f>
        <v>0</v>
      </c>
      <c r="L5" s="9">
        <f>Tabela579[[#This Row],[Subtotal]]*(1-Tabela579[[#This Row],[Desconto]])+Tabela579[[#This Row],[Valor de Entrega]]</f>
        <v>0</v>
      </c>
      <c r="M5" s="9" t="str">
        <f>IF(Tabela579[[#This Row],[Id da Venda]]=B6,"",SUMIF(Tabela579[Id da Venda],Tabela579[[#This Row],[Id da Venda]],Tabela579[Total]))</f>
        <v/>
      </c>
    </row>
    <row r="6" spans="2:13" x14ac:dyDescent="0.3">
      <c r="C6" s="7"/>
      <c r="G6" s="3">
        <f>IFERROR(VLOOKUP(Tabela579[[#This Row],[Produto]],cálculos!$M$7:$P$30,3,FALSE),0)</f>
        <v>0</v>
      </c>
      <c r="H6" s="9">
        <f>Tabela579[[#This Row],[Quantidade]]*Tabela579[[#This Row],[Preço Unitário]]</f>
        <v>0</v>
      </c>
      <c r="I6" s="6"/>
      <c r="K6" s="9">
        <f>IFERROR(VLOOKUP(Tabela579[[#This Row],[Entrega]],cálculos!$B$7:$C$11,2,FALSE),0)</f>
        <v>0</v>
      </c>
      <c r="L6" s="9">
        <f>Tabela579[[#This Row],[Subtotal]]*(1-Tabela579[[#This Row],[Desconto]])+Tabela579[[#This Row],[Valor de Entrega]]</f>
        <v>0</v>
      </c>
      <c r="M6" s="9" t="str">
        <f>IF(Tabela579[[#This Row],[Id da Venda]]=B7,"",SUMIF(Tabela579[Id da Venda],Tabela579[[#This Row],[Id da Venda]],Tabela579[Total]))</f>
        <v/>
      </c>
    </row>
    <row r="7" spans="2:13" x14ac:dyDescent="0.3">
      <c r="G7" s="3">
        <f>IFERROR(VLOOKUP(Tabela579[[#This Row],[Produto]],cálculos!$M$7:$P$30,3,FALSE),0)</f>
        <v>0</v>
      </c>
      <c r="H7" s="9">
        <f>Tabela579[[#This Row],[Quantidade]]*Tabela579[[#This Row],[Preço Unitário]]</f>
        <v>0</v>
      </c>
      <c r="I7" s="6"/>
      <c r="K7" s="9">
        <f>IFERROR(VLOOKUP(Tabela579[[#This Row],[Entrega]],cálculos!$B$7:$C$11,2,FALSE),0)</f>
        <v>0</v>
      </c>
      <c r="L7" s="9">
        <f>Tabela579[[#This Row],[Subtotal]]*(1-Tabela579[[#This Row],[Desconto]])+Tabela579[[#This Row],[Valor de Entrega]]</f>
        <v>0</v>
      </c>
      <c r="M7" s="9" t="str">
        <f>IF(Tabela579[[#This Row],[Id da Venda]]=B8,"",SUMIF(Tabela579[Id da Venda],Tabela579[[#This Row],[Id da Venda]],Tabela579[Total]))</f>
        <v/>
      </c>
    </row>
    <row r="8" spans="2:13" x14ac:dyDescent="0.3">
      <c r="G8" s="3">
        <f>IFERROR(VLOOKUP(Tabela579[[#This Row],[Produto]],cálculos!$M$7:$P$30,3,FALSE),0)</f>
        <v>0</v>
      </c>
      <c r="H8" s="9">
        <f>Tabela579[[#This Row],[Quantidade]]*Tabela579[[#This Row],[Preço Unitário]]</f>
        <v>0</v>
      </c>
      <c r="I8" s="6"/>
      <c r="K8" s="9">
        <f>IFERROR(VLOOKUP(Tabela579[[#This Row],[Entrega]],cálculos!$B$7:$C$11,2,FALSE),0)</f>
        <v>0</v>
      </c>
      <c r="L8" s="9">
        <f>Tabela579[[#This Row],[Subtotal]]*(1-Tabela579[[#This Row],[Desconto]])+Tabela579[[#This Row],[Valor de Entrega]]</f>
        <v>0</v>
      </c>
      <c r="M8" s="9" t="str">
        <f>IF(Tabela579[[#This Row],[Id da Venda]]=B9,"",SUMIF(Tabela579[Id da Venda],Tabela579[[#This Row],[Id da Venda]],Tabela579[Total]))</f>
        <v/>
      </c>
    </row>
    <row r="9" spans="2:13" x14ac:dyDescent="0.3">
      <c r="E9" t="str">
        <f>IFERROR(VLOOKUP(Tabela579[[#This Row],[Produto]],cálculos!$M$7:$P$30,4,FALSE),"")</f>
        <v/>
      </c>
      <c r="G9" s="3">
        <f>IFERROR(VLOOKUP(Tabela579[[#This Row],[Produto]],cálculos!$M$7:$P$30,3,FALSE),0)</f>
        <v>0</v>
      </c>
      <c r="H9" s="9">
        <f>Tabela579[[#This Row],[Quantidade]]*Tabela579[[#This Row],[Preço Unitário]]</f>
        <v>0</v>
      </c>
      <c r="I9" s="6"/>
      <c r="K9" s="9">
        <f>IFERROR(VLOOKUP(Tabela579[[#This Row],[Entrega]],cálculos!$B$7:$C$11,2,FALSE),0)</f>
        <v>0</v>
      </c>
      <c r="L9" s="9">
        <f>Tabela579[[#This Row],[Subtotal]]*(1-Tabela579[[#This Row],[Desconto]])+Tabela579[[#This Row],[Valor de Entrega]]</f>
        <v>0</v>
      </c>
      <c r="M9" s="9" t="str">
        <f>IF(Tabela579[[#This Row],[Id da Venda]]=B10,"",SUMIF(Tabela579[Id da Venda],Tabela579[[#This Row],[Id da Venda]],Tabela579[Total]))</f>
        <v/>
      </c>
    </row>
    <row r="10" spans="2:13" x14ac:dyDescent="0.3">
      <c r="E10" t="str">
        <f>IFERROR(VLOOKUP(Tabela579[[#This Row],[Produto]],cálculos!$M$7:$P$30,4,FALSE),"")</f>
        <v/>
      </c>
      <c r="G10" s="3">
        <f>IFERROR(VLOOKUP(Tabela579[[#This Row],[Produto]],cálculos!$M$7:$P$30,3,FALSE),0)</f>
        <v>0</v>
      </c>
      <c r="H10" s="9">
        <f>Tabela579[[#This Row],[Quantidade]]*Tabela579[[#This Row],[Preço Unitário]]</f>
        <v>0</v>
      </c>
      <c r="I10" s="6"/>
      <c r="K10" s="9">
        <f>IFERROR(VLOOKUP(Tabela579[[#This Row],[Entrega]],cálculos!$B$7:$C$11,2,FALSE),0)</f>
        <v>0</v>
      </c>
      <c r="L10" s="9">
        <f>Tabela579[[#This Row],[Subtotal]]*(1-Tabela579[[#This Row],[Desconto]])+Tabela579[[#This Row],[Valor de Entrega]]</f>
        <v>0</v>
      </c>
      <c r="M10" s="9" t="str">
        <f>IF(Tabela579[[#This Row],[Id da Venda]]=B11,"",SUMIF(Tabela579[Id da Venda],Tabela579[[#This Row],[Id da Venda]],Tabela579[Total]))</f>
        <v/>
      </c>
    </row>
    <row r="11" spans="2:13" x14ac:dyDescent="0.3">
      <c r="E11" t="str">
        <f>IFERROR(VLOOKUP(Tabela579[[#This Row],[Produto]],cálculos!$M$7:$P$30,4,FALSE),"")</f>
        <v/>
      </c>
      <c r="G11" s="3">
        <f>IFERROR(VLOOKUP(Tabela579[[#This Row],[Produto]],cálculos!$M$7:$P$30,3,FALSE),0)</f>
        <v>0</v>
      </c>
      <c r="H11" s="9">
        <f>Tabela579[[#This Row],[Quantidade]]*Tabela579[[#This Row],[Preço Unitário]]</f>
        <v>0</v>
      </c>
      <c r="I11" s="6"/>
      <c r="K11" s="9">
        <f>IFERROR(VLOOKUP(Tabela579[[#This Row],[Entrega]],cálculos!$B$7:$C$11,2,FALSE),0)</f>
        <v>0</v>
      </c>
      <c r="L11" s="9">
        <f>Tabela579[[#This Row],[Subtotal]]*(1-Tabela579[[#This Row],[Desconto]])+Tabela579[[#This Row],[Valor de Entrega]]</f>
        <v>0</v>
      </c>
      <c r="M11" s="9" t="str">
        <f>IF(Tabela579[[#This Row],[Id da Venda]]=B12,"",SUMIF(Tabela579[Id da Venda],Tabela579[[#This Row],[Id da Venda]],Tabela579[Total]))</f>
        <v/>
      </c>
    </row>
    <row r="12" spans="2:13" x14ac:dyDescent="0.3">
      <c r="E12" t="str">
        <f>IFERROR(VLOOKUP(Tabela579[[#This Row],[Produto]],cálculos!$M$7:$P$30,4,FALSE),"")</f>
        <v/>
      </c>
      <c r="G12" s="3">
        <f>IFERROR(VLOOKUP(Tabela579[[#This Row],[Produto]],cálculos!$M$7:$P$30,3,FALSE),0)</f>
        <v>0</v>
      </c>
      <c r="H12" s="9">
        <f>Tabela579[[#This Row],[Quantidade]]*Tabela579[[#This Row],[Preço Unitário]]</f>
        <v>0</v>
      </c>
      <c r="I12" s="6"/>
      <c r="K12" s="9">
        <f>IFERROR(VLOOKUP(Tabela579[[#This Row],[Entrega]],cálculos!$B$7:$C$11,2,FALSE),0)</f>
        <v>0</v>
      </c>
      <c r="L12" s="9">
        <f>Tabela579[[#This Row],[Subtotal]]*(1-Tabela579[[#This Row],[Desconto]])+Tabela579[[#This Row],[Valor de Entrega]]</f>
        <v>0</v>
      </c>
      <c r="M12" s="9" t="str">
        <f>IF(Tabela579[[#This Row],[Id da Venda]]=B13,"",SUMIF(Tabela579[Id da Venda],Tabela579[[#This Row],[Id da Venda]],Tabela579[Total]))</f>
        <v/>
      </c>
    </row>
    <row r="13" spans="2:13" x14ac:dyDescent="0.3">
      <c r="E13" t="str">
        <f>IFERROR(VLOOKUP(Tabela579[[#This Row],[Produto]],cálculos!$M$7:$P$30,4,FALSE),"")</f>
        <v/>
      </c>
      <c r="G13" s="3">
        <f>IFERROR(VLOOKUP(Tabela579[[#This Row],[Produto]],cálculos!$M$7:$P$30,3,FALSE),0)</f>
        <v>0</v>
      </c>
      <c r="H13" s="9">
        <f>Tabela579[[#This Row],[Quantidade]]*Tabela579[[#This Row],[Preço Unitário]]</f>
        <v>0</v>
      </c>
      <c r="I13" s="6"/>
      <c r="K13" s="9">
        <f>IFERROR(VLOOKUP(Tabela579[[#This Row],[Entrega]],cálculos!$B$7:$C$11,2,FALSE),0)</f>
        <v>0</v>
      </c>
      <c r="L13" s="9">
        <f>Tabela579[[#This Row],[Subtotal]]*(1-Tabela579[[#This Row],[Desconto]])+Tabela579[[#This Row],[Valor de Entrega]]</f>
        <v>0</v>
      </c>
      <c r="M13" s="9" t="str">
        <f>IF(Tabela579[[#This Row],[Id da Venda]]=B14,"",SUMIF(Tabela579[Id da Venda],Tabela579[[#This Row],[Id da Venda]],Tabela579[Total]))</f>
        <v/>
      </c>
    </row>
    <row r="14" spans="2:13" x14ac:dyDescent="0.3">
      <c r="E14" t="str">
        <f>IFERROR(VLOOKUP(Tabela579[[#This Row],[Produto]],cálculos!$M$7:$P$30,4,FALSE),"")</f>
        <v/>
      </c>
      <c r="G14" s="3">
        <f>IFERROR(VLOOKUP(Tabela579[[#This Row],[Produto]],cálculos!$M$7:$P$30,3,FALSE),0)</f>
        <v>0</v>
      </c>
      <c r="H14" s="9">
        <f>Tabela579[[#This Row],[Quantidade]]*Tabela579[[#This Row],[Preço Unitário]]</f>
        <v>0</v>
      </c>
      <c r="I14" s="6"/>
      <c r="K14" s="9">
        <f>IFERROR(VLOOKUP(Tabela579[[#This Row],[Entrega]],cálculos!$B$7:$C$11,2,FALSE),0)</f>
        <v>0</v>
      </c>
      <c r="L14" s="9">
        <f>Tabela579[[#This Row],[Subtotal]]*(1-Tabela579[[#This Row],[Desconto]])+Tabela579[[#This Row],[Valor de Entrega]]</f>
        <v>0</v>
      </c>
      <c r="M14" s="9" t="str">
        <f>IF(Tabela579[[#This Row],[Id da Venda]]=B15,"",SUMIF(Tabela579[Id da Venda],Tabela579[[#This Row],[Id da Venda]],Tabela579[Total]))</f>
        <v/>
      </c>
    </row>
    <row r="15" spans="2:13" x14ac:dyDescent="0.3">
      <c r="E15" t="str">
        <f>IFERROR(VLOOKUP(Tabela579[[#This Row],[Produto]],cálculos!$M$7:$P$30,4,FALSE),"")</f>
        <v/>
      </c>
      <c r="G15" s="3">
        <f>IFERROR(VLOOKUP(Tabela579[[#This Row],[Produto]],cálculos!$M$7:$P$30,3,FALSE),0)</f>
        <v>0</v>
      </c>
      <c r="H15" s="9">
        <f>Tabela579[[#This Row],[Quantidade]]*Tabela579[[#This Row],[Preço Unitário]]</f>
        <v>0</v>
      </c>
      <c r="I15" s="6"/>
      <c r="K15" s="9">
        <f>IFERROR(VLOOKUP(Tabela579[[#This Row],[Entrega]],cálculos!$B$7:$C$11,2,FALSE),0)</f>
        <v>0</v>
      </c>
      <c r="L15" s="9">
        <f>Tabela579[[#This Row],[Subtotal]]*(1-Tabela579[[#This Row],[Desconto]])+Tabela579[[#This Row],[Valor de Entrega]]</f>
        <v>0</v>
      </c>
      <c r="M15" s="9" t="str">
        <f>IF(Tabela579[[#This Row],[Id da Venda]]=B16,"",SUMIF(Tabela579[Id da Venda],Tabela579[[#This Row],[Id da Venda]],Tabela579[Total]))</f>
        <v/>
      </c>
    </row>
    <row r="16" spans="2:13" x14ac:dyDescent="0.3">
      <c r="E16" t="str">
        <f>IFERROR(VLOOKUP(Tabela579[[#This Row],[Produto]],cálculos!$M$7:$P$30,4,FALSE),"")</f>
        <v/>
      </c>
      <c r="G16" s="3">
        <f>IFERROR(VLOOKUP(Tabela579[[#This Row],[Produto]],cálculos!$M$7:$P$30,3,FALSE),0)</f>
        <v>0</v>
      </c>
      <c r="H16" s="9">
        <f>Tabela579[[#This Row],[Quantidade]]*Tabela579[[#This Row],[Preço Unitário]]</f>
        <v>0</v>
      </c>
      <c r="I16" s="6"/>
      <c r="K16" s="9">
        <f>IFERROR(VLOOKUP(Tabela579[[#This Row],[Entrega]],cálculos!$B$7:$C$11,2,FALSE),0)</f>
        <v>0</v>
      </c>
      <c r="L16" s="9">
        <f>Tabela579[[#This Row],[Subtotal]]*(1-Tabela579[[#This Row],[Desconto]])+Tabela579[[#This Row],[Valor de Entrega]]</f>
        <v>0</v>
      </c>
      <c r="M16" s="9" t="str">
        <f>IF(Tabela579[[#This Row],[Id da Venda]]=B17,"",SUMIF(Tabela579[Id da Venda],Tabela579[[#This Row],[Id da Venda]],Tabela579[Total]))</f>
        <v/>
      </c>
    </row>
    <row r="17" spans="2:13" x14ac:dyDescent="0.3">
      <c r="E17" t="str">
        <f>IFERROR(VLOOKUP(Tabela579[[#This Row],[Produto]],cálculos!$M$7:$P$30,4,FALSE),"")</f>
        <v/>
      </c>
      <c r="G17" s="3">
        <f>IFERROR(VLOOKUP(Tabela579[[#This Row],[Produto]],cálculos!$M$7:$P$30,3,FALSE),0)</f>
        <v>0</v>
      </c>
      <c r="H17" s="9">
        <f>Tabela579[[#This Row],[Quantidade]]*Tabela579[[#This Row],[Preço Unitário]]</f>
        <v>0</v>
      </c>
      <c r="I17" s="6"/>
      <c r="K17" s="9">
        <f>IFERROR(VLOOKUP(Tabela579[[#This Row],[Entrega]],cálculos!$B$7:$C$11,2,FALSE),0)</f>
        <v>0</v>
      </c>
      <c r="L17" s="9">
        <f>Tabela579[[#This Row],[Subtotal]]*(1-Tabela579[[#This Row],[Desconto]])+Tabela579[[#This Row],[Valor de Entrega]]</f>
        <v>0</v>
      </c>
      <c r="M17" s="9" t="str">
        <f>IF(Tabela579[[#This Row],[Id da Venda]]=B18,"",SUMIF(Tabela579[Id da Venda],Tabela579[[#This Row],[Id da Venda]],Tabela579[Total]))</f>
        <v/>
      </c>
    </row>
    <row r="18" spans="2:13" x14ac:dyDescent="0.3">
      <c r="E18" t="str">
        <f>IFERROR(VLOOKUP(Tabela579[[#This Row],[Produto]],cálculos!$M$7:$P$30,4,FALSE),"")</f>
        <v/>
      </c>
      <c r="G18" s="3">
        <f>IFERROR(VLOOKUP(Tabela579[[#This Row],[Produto]],cálculos!$M$7:$P$30,3,FALSE),0)</f>
        <v>0</v>
      </c>
      <c r="H18" s="3">
        <f>Tabela579[[#This Row],[Quantidade]]*Tabela579[[#This Row],[Preço Unitário]]</f>
        <v>0</v>
      </c>
      <c r="K18" s="9">
        <f>IFERROR(VLOOKUP(Tabela579[[#This Row],[Entrega]],cálculos!$B$7:$C$11,2,FALSE),0)</f>
        <v>0</v>
      </c>
      <c r="L18" s="9">
        <f>Tabela579[[#This Row],[Subtotal]]*(1-Tabela579[[#This Row],[Desconto]])+Tabela579[[#This Row],[Valor de Entrega]]</f>
        <v>0</v>
      </c>
      <c r="M18" s="9" t="str">
        <f>IF(Tabela579[[#This Row],[Id da Venda]]=B19,"",SUMIF(Tabela579[Id da Venda],Tabela579[[#This Row],[Id da Venda]],Tabela579[Total]))</f>
        <v/>
      </c>
    </row>
    <row r="21" spans="2:13" ht="21" x14ac:dyDescent="0.4">
      <c r="B21" s="26" t="s">
        <v>122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SUM(Tabela579[Total])</f>
        <v>0</v>
      </c>
    </row>
    <row r="22" spans="2:13" ht="21" x14ac:dyDescent="0.4">
      <c r="B22" s="28" t="s">
        <v>123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SUM(Tabela579[Valor de Entrega])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1B7128-F199-43A0-9DAA-C6F32418B6DA}">
          <x14:formula1>
            <xm:f>cálculos!$B$7:$B$11</xm:f>
          </x14:formula1>
          <xm:sqref>J5:J18</xm:sqref>
        </x14:dataValidation>
        <x14:dataValidation type="list" allowBlank="1" showInputMessage="1" showErrorMessage="1" xr:uid="{12944083-AAEB-4507-BC0A-41F74CD4A77D}">
          <x14:formula1>
            <xm:f>cálculos!$M$7:$M$30</xm:f>
          </x14:formula1>
          <xm:sqref>D5:D17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29C4-D73F-4E48-BE9D-70BC53DB52DE}">
  <dimension ref="B2:M22"/>
  <sheetViews>
    <sheetView showGridLines="0" workbookViewId="0">
      <selection activeCell="G5" sqref="G5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126</v>
      </c>
      <c r="E2" s="25"/>
    </row>
    <row r="3" spans="2:13" ht="48" customHeight="1" x14ac:dyDescent="0.3"/>
    <row r="4" spans="2:13" x14ac:dyDescent="0.3">
      <c r="B4" t="s">
        <v>109</v>
      </c>
      <c r="C4" t="s">
        <v>46</v>
      </c>
      <c r="D4" t="s">
        <v>101</v>
      </c>
      <c r="E4" t="s">
        <v>61</v>
      </c>
      <c r="F4" t="s">
        <v>62</v>
      </c>
      <c r="G4" t="s">
        <v>63</v>
      </c>
      <c r="H4" t="s">
        <v>110</v>
      </c>
      <c r="I4" t="s">
        <v>64</v>
      </c>
      <c r="J4" t="s">
        <v>111</v>
      </c>
      <c r="K4" t="s">
        <v>112</v>
      </c>
      <c r="L4" t="s">
        <v>113</v>
      </c>
      <c r="M4" t="s">
        <v>114</v>
      </c>
    </row>
    <row r="5" spans="2:13" x14ac:dyDescent="0.3">
      <c r="C5" s="7"/>
      <c r="G5" s="3">
        <f>IFERROR(VLOOKUP(Tabela5710[[#This Row],[Produto]],cálculos!$M$7:$P$30,3,FALSE),0)</f>
        <v>0</v>
      </c>
      <c r="H5" s="9">
        <f>Tabela5710[[#This Row],[Quantidade]]*Tabela5710[[#This Row],[Preço Unitário]]</f>
        <v>0</v>
      </c>
      <c r="I5" s="6"/>
      <c r="K5" s="9">
        <f>IFERROR(VLOOKUP(Tabela5710[[#This Row],[Entrega]],cálculos!$B$7:$C$11,2,FALSE),0)</f>
        <v>0</v>
      </c>
      <c r="L5" s="9">
        <f>Tabela5710[[#This Row],[Subtotal]]*(1-Tabela5710[[#This Row],[Desconto]])+Tabela5710[[#This Row],[Valor de Entrega]]</f>
        <v>0</v>
      </c>
      <c r="M5" s="9" t="str">
        <f>IF(Tabela5710[[#This Row],[Id da Venda]]=B6,"",SUMIF(Tabela5710[Id da Venda],Tabela5710[[#This Row],[Id da Venda]],Tabela5710[Total]))</f>
        <v/>
      </c>
    </row>
    <row r="6" spans="2:13" x14ac:dyDescent="0.3">
      <c r="C6" s="7"/>
      <c r="G6" s="3">
        <f>IFERROR(VLOOKUP(Tabela5710[[#This Row],[Produto]],cálculos!$M$7:$P$30,3,FALSE),0)</f>
        <v>0</v>
      </c>
      <c r="H6" s="9">
        <f>Tabela5710[[#This Row],[Quantidade]]*Tabela5710[[#This Row],[Preço Unitário]]</f>
        <v>0</v>
      </c>
      <c r="I6" s="6"/>
      <c r="K6" s="9">
        <f>IFERROR(VLOOKUP(Tabela5710[[#This Row],[Entrega]],cálculos!$B$7:$C$11,2,FALSE),0)</f>
        <v>0</v>
      </c>
      <c r="L6" s="9">
        <f>Tabela5710[[#This Row],[Subtotal]]*(1-Tabela5710[[#This Row],[Desconto]])+Tabela5710[[#This Row],[Valor de Entrega]]</f>
        <v>0</v>
      </c>
      <c r="M6" s="9" t="str">
        <f>IF(Tabela5710[[#This Row],[Id da Venda]]=B7,"",SUMIF(Tabela5710[Id da Venda],Tabela5710[[#This Row],[Id da Venda]],Tabela5710[Total]))</f>
        <v/>
      </c>
    </row>
    <row r="7" spans="2:13" x14ac:dyDescent="0.3">
      <c r="G7" s="3">
        <f>IFERROR(VLOOKUP(Tabela5710[[#This Row],[Produto]],cálculos!$M$7:$P$30,3,FALSE),0)</f>
        <v>0</v>
      </c>
      <c r="H7" s="9">
        <f>Tabela5710[[#This Row],[Quantidade]]*Tabela5710[[#This Row],[Preço Unitário]]</f>
        <v>0</v>
      </c>
      <c r="I7" s="6"/>
      <c r="K7" s="9">
        <f>IFERROR(VLOOKUP(Tabela5710[[#This Row],[Entrega]],cálculos!$B$7:$C$11,2,FALSE),0)</f>
        <v>0</v>
      </c>
      <c r="L7" s="9">
        <f>Tabela5710[[#This Row],[Subtotal]]*(1-Tabela5710[[#This Row],[Desconto]])+Tabela5710[[#This Row],[Valor de Entrega]]</f>
        <v>0</v>
      </c>
      <c r="M7" s="9" t="str">
        <f>IF(Tabela5710[[#This Row],[Id da Venda]]=B8,"",SUMIF(Tabela5710[Id da Venda],Tabela5710[[#This Row],[Id da Venda]],Tabela5710[Total]))</f>
        <v/>
      </c>
    </row>
    <row r="8" spans="2:13" x14ac:dyDescent="0.3">
      <c r="E8" t="str">
        <f>IFERROR(VLOOKUP(Tabela5710[[#This Row],[Produto]],cálculos!$M$7:$P$30,4,FALSE),"")</f>
        <v/>
      </c>
      <c r="G8" s="3">
        <f>IFERROR(VLOOKUP(Tabela5710[[#This Row],[Produto]],cálculos!$M$7:$P$30,3,FALSE),0)</f>
        <v>0</v>
      </c>
      <c r="H8" s="9">
        <f>Tabela5710[[#This Row],[Quantidade]]*Tabela5710[[#This Row],[Preço Unitário]]</f>
        <v>0</v>
      </c>
      <c r="I8" s="6"/>
      <c r="K8" s="9">
        <f>IFERROR(VLOOKUP(Tabela5710[[#This Row],[Entrega]],cálculos!$B$7:$C$11,2,FALSE),0)</f>
        <v>0</v>
      </c>
      <c r="L8" s="9">
        <f>Tabela5710[[#This Row],[Subtotal]]*(1-Tabela5710[[#This Row],[Desconto]])+Tabela5710[[#This Row],[Valor de Entrega]]</f>
        <v>0</v>
      </c>
      <c r="M8" s="9" t="str">
        <f>IF(Tabela5710[[#This Row],[Id da Venda]]=B9,"",SUMIF(Tabela5710[Id da Venda],Tabela5710[[#This Row],[Id da Venda]],Tabela5710[Total]))</f>
        <v/>
      </c>
    </row>
    <row r="9" spans="2:13" x14ac:dyDescent="0.3">
      <c r="E9" t="str">
        <f>IFERROR(VLOOKUP(Tabela5710[[#This Row],[Produto]],cálculos!$M$7:$P$30,4,FALSE),"")</f>
        <v/>
      </c>
      <c r="G9" s="3">
        <f>IFERROR(VLOOKUP(Tabela5710[[#This Row],[Produto]],cálculos!$M$7:$P$30,3,FALSE),0)</f>
        <v>0</v>
      </c>
      <c r="H9" s="9">
        <f>Tabela5710[[#This Row],[Quantidade]]*Tabela5710[[#This Row],[Preço Unitário]]</f>
        <v>0</v>
      </c>
      <c r="I9" s="6"/>
      <c r="K9" s="9">
        <f>IFERROR(VLOOKUP(Tabela5710[[#This Row],[Entrega]],cálculos!$B$7:$C$11,2,FALSE),0)</f>
        <v>0</v>
      </c>
      <c r="L9" s="9">
        <f>Tabela5710[[#This Row],[Subtotal]]*(1-Tabela5710[[#This Row],[Desconto]])+Tabela5710[[#This Row],[Valor de Entrega]]</f>
        <v>0</v>
      </c>
      <c r="M9" s="9" t="str">
        <f>IF(Tabela5710[[#This Row],[Id da Venda]]=B10,"",SUMIF(Tabela5710[Id da Venda],Tabela5710[[#This Row],[Id da Venda]],Tabela5710[Total]))</f>
        <v/>
      </c>
    </row>
    <row r="10" spans="2:13" x14ac:dyDescent="0.3">
      <c r="E10" t="str">
        <f>IFERROR(VLOOKUP(Tabela5710[[#This Row],[Produto]],cálculos!$M$7:$P$30,4,FALSE),"")</f>
        <v/>
      </c>
      <c r="G10" s="3">
        <f>IFERROR(VLOOKUP(Tabela5710[[#This Row],[Produto]],cálculos!$M$7:$P$30,3,FALSE),0)</f>
        <v>0</v>
      </c>
      <c r="H10" s="9">
        <f>Tabela5710[[#This Row],[Quantidade]]*Tabela5710[[#This Row],[Preço Unitário]]</f>
        <v>0</v>
      </c>
      <c r="I10" s="6"/>
      <c r="K10" s="9">
        <f>IFERROR(VLOOKUP(Tabela5710[[#This Row],[Entrega]],cálculos!$B$7:$C$11,2,FALSE),0)</f>
        <v>0</v>
      </c>
      <c r="L10" s="9">
        <f>Tabela5710[[#This Row],[Subtotal]]*(1-Tabela5710[[#This Row],[Desconto]])+Tabela5710[[#This Row],[Valor de Entrega]]</f>
        <v>0</v>
      </c>
      <c r="M10" s="9" t="str">
        <f>IF(Tabela5710[[#This Row],[Id da Venda]]=B11,"",SUMIF(Tabela5710[Id da Venda],Tabela5710[[#This Row],[Id da Venda]],Tabela5710[Total]))</f>
        <v/>
      </c>
    </row>
    <row r="11" spans="2:13" x14ac:dyDescent="0.3">
      <c r="E11" t="str">
        <f>IFERROR(VLOOKUP(Tabela5710[[#This Row],[Produto]],cálculos!$M$7:$P$30,4,FALSE),"")</f>
        <v/>
      </c>
      <c r="G11" s="3">
        <f>IFERROR(VLOOKUP(Tabela5710[[#This Row],[Produto]],cálculos!$M$7:$P$30,3,FALSE),0)</f>
        <v>0</v>
      </c>
      <c r="H11" s="9">
        <f>Tabela5710[[#This Row],[Quantidade]]*Tabela5710[[#This Row],[Preço Unitário]]</f>
        <v>0</v>
      </c>
      <c r="I11" s="6"/>
      <c r="K11" s="9">
        <f>IFERROR(VLOOKUP(Tabela5710[[#This Row],[Entrega]],cálculos!$B$7:$C$11,2,FALSE),0)</f>
        <v>0</v>
      </c>
      <c r="L11" s="9">
        <f>Tabela5710[[#This Row],[Subtotal]]*(1-Tabela5710[[#This Row],[Desconto]])+Tabela5710[[#This Row],[Valor de Entrega]]</f>
        <v>0</v>
      </c>
      <c r="M11" s="9" t="str">
        <f>IF(Tabela5710[[#This Row],[Id da Venda]]=B12,"",SUMIF(Tabela5710[Id da Venda],Tabela5710[[#This Row],[Id da Venda]],Tabela5710[Total]))</f>
        <v/>
      </c>
    </row>
    <row r="12" spans="2:13" x14ac:dyDescent="0.3">
      <c r="E12" t="str">
        <f>IFERROR(VLOOKUP(Tabela5710[[#This Row],[Produto]],cálculos!$M$7:$P$30,4,FALSE),"")</f>
        <v/>
      </c>
      <c r="G12" s="3">
        <f>IFERROR(VLOOKUP(Tabela5710[[#This Row],[Produto]],cálculos!$M$7:$P$30,3,FALSE),0)</f>
        <v>0</v>
      </c>
      <c r="H12" s="9">
        <f>Tabela5710[[#This Row],[Quantidade]]*Tabela5710[[#This Row],[Preço Unitário]]</f>
        <v>0</v>
      </c>
      <c r="I12" s="6"/>
      <c r="K12" s="9">
        <f>IFERROR(VLOOKUP(Tabela5710[[#This Row],[Entrega]],cálculos!$B$7:$C$11,2,FALSE),0)</f>
        <v>0</v>
      </c>
      <c r="L12" s="9">
        <f>Tabela5710[[#This Row],[Subtotal]]*(1-Tabela5710[[#This Row],[Desconto]])+Tabela5710[[#This Row],[Valor de Entrega]]</f>
        <v>0</v>
      </c>
      <c r="M12" s="9" t="str">
        <f>IF(Tabela5710[[#This Row],[Id da Venda]]=B13,"",SUMIF(Tabela5710[Id da Venda],Tabela5710[[#This Row],[Id da Venda]],Tabela5710[Total]))</f>
        <v/>
      </c>
    </row>
    <row r="13" spans="2:13" x14ac:dyDescent="0.3">
      <c r="E13" t="str">
        <f>IFERROR(VLOOKUP(Tabela5710[[#This Row],[Produto]],cálculos!$M$7:$P$30,4,FALSE),"")</f>
        <v/>
      </c>
      <c r="G13" s="3">
        <f>IFERROR(VLOOKUP(Tabela5710[[#This Row],[Produto]],cálculos!$M$7:$P$30,3,FALSE),0)</f>
        <v>0</v>
      </c>
      <c r="H13" s="9">
        <f>Tabela5710[[#This Row],[Quantidade]]*Tabela5710[[#This Row],[Preço Unitário]]</f>
        <v>0</v>
      </c>
      <c r="I13" s="6"/>
      <c r="K13" s="9">
        <f>IFERROR(VLOOKUP(Tabela5710[[#This Row],[Entrega]],cálculos!$B$7:$C$11,2,FALSE),0)</f>
        <v>0</v>
      </c>
      <c r="L13" s="9">
        <f>Tabela5710[[#This Row],[Subtotal]]*(1-Tabela5710[[#This Row],[Desconto]])+Tabela5710[[#This Row],[Valor de Entrega]]</f>
        <v>0</v>
      </c>
      <c r="M13" s="9" t="str">
        <f>IF(Tabela5710[[#This Row],[Id da Venda]]=B14,"",SUMIF(Tabela5710[Id da Venda],Tabela5710[[#This Row],[Id da Venda]],Tabela5710[Total]))</f>
        <v/>
      </c>
    </row>
    <row r="14" spans="2:13" x14ac:dyDescent="0.3">
      <c r="E14" t="str">
        <f>IFERROR(VLOOKUP(Tabela5710[[#This Row],[Produto]],cálculos!$M$7:$P$30,4,FALSE),"")</f>
        <v/>
      </c>
      <c r="G14" s="3">
        <f>IFERROR(VLOOKUP(Tabela5710[[#This Row],[Produto]],cálculos!$M$7:$P$30,3,FALSE),0)</f>
        <v>0</v>
      </c>
      <c r="H14" s="9">
        <f>Tabela5710[[#This Row],[Quantidade]]*Tabela5710[[#This Row],[Preço Unitário]]</f>
        <v>0</v>
      </c>
      <c r="I14" s="6"/>
      <c r="K14" s="9">
        <f>IFERROR(VLOOKUP(Tabela5710[[#This Row],[Entrega]],cálculos!$B$7:$C$11,2,FALSE),0)</f>
        <v>0</v>
      </c>
      <c r="L14" s="9">
        <f>Tabela5710[[#This Row],[Subtotal]]*(1-Tabela5710[[#This Row],[Desconto]])+Tabela5710[[#This Row],[Valor de Entrega]]</f>
        <v>0</v>
      </c>
      <c r="M14" s="9" t="str">
        <f>IF(Tabela5710[[#This Row],[Id da Venda]]=B15,"",SUMIF(Tabela5710[Id da Venda],Tabela5710[[#This Row],[Id da Venda]],Tabela5710[Total]))</f>
        <v/>
      </c>
    </row>
    <row r="15" spans="2:13" x14ac:dyDescent="0.3">
      <c r="E15" t="str">
        <f>IFERROR(VLOOKUP(Tabela5710[[#This Row],[Produto]],cálculos!$M$7:$P$30,4,FALSE),"")</f>
        <v/>
      </c>
      <c r="G15" s="3">
        <f>IFERROR(VLOOKUP(Tabela5710[[#This Row],[Produto]],cálculos!$M$7:$P$30,3,FALSE),0)</f>
        <v>0</v>
      </c>
      <c r="H15" s="9">
        <f>Tabela5710[[#This Row],[Quantidade]]*Tabela5710[[#This Row],[Preço Unitário]]</f>
        <v>0</v>
      </c>
      <c r="I15" s="6"/>
      <c r="K15" s="9">
        <f>IFERROR(VLOOKUP(Tabela5710[[#This Row],[Entrega]],cálculos!$B$7:$C$11,2,FALSE),0)</f>
        <v>0</v>
      </c>
      <c r="L15" s="9">
        <f>Tabela5710[[#This Row],[Subtotal]]*(1-Tabela5710[[#This Row],[Desconto]])+Tabela5710[[#This Row],[Valor de Entrega]]</f>
        <v>0</v>
      </c>
      <c r="M15" s="9" t="str">
        <f>IF(Tabela5710[[#This Row],[Id da Venda]]=B16,"",SUMIF(Tabela5710[Id da Venda],Tabela5710[[#This Row],[Id da Venda]],Tabela5710[Total]))</f>
        <v/>
      </c>
    </row>
    <row r="16" spans="2:13" x14ac:dyDescent="0.3">
      <c r="E16" t="str">
        <f>IFERROR(VLOOKUP(Tabela5710[[#This Row],[Produto]],cálculos!$M$7:$P$30,4,FALSE),"")</f>
        <v/>
      </c>
      <c r="G16" s="3">
        <f>IFERROR(VLOOKUP(Tabela5710[[#This Row],[Produto]],cálculos!$M$7:$P$30,3,FALSE),0)</f>
        <v>0</v>
      </c>
      <c r="H16" s="9">
        <f>Tabela5710[[#This Row],[Quantidade]]*Tabela5710[[#This Row],[Preço Unitário]]</f>
        <v>0</v>
      </c>
      <c r="I16" s="6"/>
      <c r="K16" s="9">
        <f>IFERROR(VLOOKUP(Tabela5710[[#This Row],[Entrega]],cálculos!$B$7:$C$11,2,FALSE),0)</f>
        <v>0</v>
      </c>
      <c r="L16" s="9">
        <f>Tabela5710[[#This Row],[Subtotal]]*(1-Tabela5710[[#This Row],[Desconto]])+Tabela5710[[#This Row],[Valor de Entrega]]</f>
        <v>0</v>
      </c>
      <c r="M16" s="9" t="str">
        <f>IF(Tabela5710[[#This Row],[Id da Venda]]=B17,"",SUMIF(Tabela5710[Id da Venda],Tabela5710[[#This Row],[Id da Venda]],Tabela5710[Total]))</f>
        <v/>
      </c>
    </row>
    <row r="17" spans="2:13" x14ac:dyDescent="0.3">
      <c r="E17" t="str">
        <f>IFERROR(VLOOKUP(Tabela5710[[#This Row],[Produto]],cálculos!$M$7:$P$30,4,FALSE),"")</f>
        <v/>
      </c>
      <c r="G17" s="3">
        <f>IFERROR(VLOOKUP(Tabela5710[[#This Row],[Produto]],cálculos!$M$7:$P$30,3,FALSE),0)</f>
        <v>0</v>
      </c>
      <c r="H17" s="9">
        <f>Tabela5710[[#This Row],[Quantidade]]*Tabela5710[[#This Row],[Preço Unitário]]</f>
        <v>0</v>
      </c>
      <c r="I17" s="6"/>
      <c r="K17" s="9">
        <f>IFERROR(VLOOKUP(Tabela5710[[#This Row],[Entrega]],cálculos!$B$7:$C$11,2,FALSE),0)</f>
        <v>0</v>
      </c>
      <c r="L17" s="9">
        <f>Tabela5710[[#This Row],[Subtotal]]*(1-Tabela5710[[#This Row],[Desconto]])+Tabela5710[[#This Row],[Valor de Entrega]]</f>
        <v>0</v>
      </c>
      <c r="M17" s="9" t="str">
        <f>IF(Tabela5710[[#This Row],[Id da Venda]]=B18,"",SUMIF(Tabela5710[Id da Venda],Tabela5710[[#This Row],[Id da Venda]],Tabela5710[Total]))</f>
        <v/>
      </c>
    </row>
    <row r="18" spans="2:13" x14ac:dyDescent="0.3">
      <c r="E18" t="str">
        <f>IFERROR(VLOOKUP(Tabela5710[[#This Row],[Produto]],cálculos!$M$7:$P$30,4,FALSE),"")</f>
        <v/>
      </c>
      <c r="G18" s="3">
        <f>IFERROR(VLOOKUP(Tabela5710[[#This Row],[Produto]],cálculos!$M$7:$P$30,3,FALSE),0)</f>
        <v>0</v>
      </c>
      <c r="H18" s="3">
        <f>Tabela5710[[#This Row],[Quantidade]]*Tabela5710[[#This Row],[Preço Unitário]]</f>
        <v>0</v>
      </c>
      <c r="K18" s="9">
        <f>IFERROR(VLOOKUP(Tabela5710[[#This Row],[Entrega]],cálculos!$B$7:$C$11,2,FALSE),0)</f>
        <v>0</v>
      </c>
      <c r="L18" s="9">
        <f>Tabela5710[[#This Row],[Subtotal]]*(1-Tabela5710[[#This Row],[Desconto]])+Tabela5710[[#This Row],[Valor de Entrega]]</f>
        <v>0</v>
      </c>
      <c r="M18" s="9" t="str">
        <f>IF(Tabela5710[[#This Row],[Id da Venda]]=B19,"",SUMIF(Tabela5710[Id da Venda],Tabela5710[[#This Row],[Id da Venda]],Tabela5710[Total]))</f>
        <v/>
      </c>
    </row>
    <row r="21" spans="2:13" ht="21" x14ac:dyDescent="0.4">
      <c r="B21" s="26" t="s">
        <v>122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SUM(Tabela5710[Total])</f>
        <v>0</v>
      </c>
    </row>
    <row r="22" spans="2:13" ht="21" x14ac:dyDescent="0.4">
      <c r="B22" s="28" t="s">
        <v>123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SUM(Tabela5710[Valor de Entrega])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11DA60-4B1D-499E-B59B-2B9C70588A59}">
          <x14:formula1>
            <xm:f>cálculos!$M$7:$M$30</xm:f>
          </x14:formula1>
          <xm:sqref>D5:D17</xm:sqref>
        </x14:dataValidation>
        <x14:dataValidation type="list" allowBlank="1" showInputMessage="1" showErrorMessage="1" xr:uid="{4BF46A46-F787-49CF-8EBD-AE29AB270817}">
          <x14:formula1>
            <xm:f>cálculos!$B$7:$B$11</xm:f>
          </x14:formula1>
          <xm:sqref>J5:J18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50B0-20AC-4EC4-9ED3-2BA5CCB91F57}">
  <dimension ref="B2:M22"/>
  <sheetViews>
    <sheetView showGridLines="0" workbookViewId="0">
      <selection activeCell="G5" sqref="G5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127</v>
      </c>
      <c r="E2" s="25"/>
    </row>
    <row r="3" spans="2:13" ht="48" customHeight="1" x14ac:dyDescent="0.3"/>
    <row r="4" spans="2:13" x14ac:dyDescent="0.3">
      <c r="B4" t="s">
        <v>109</v>
      </c>
      <c r="C4" t="s">
        <v>46</v>
      </c>
      <c r="D4" t="s">
        <v>101</v>
      </c>
      <c r="E4" t="s">
        <v>61</v>
      </c>
      <c r="F4" t="s">
        <v>62</v>
      </c>
      <c r="G4" t="s">
        <v>63</v>
      </c>
      <c r="H4" t="s">
        <v>110</v>
      </c>
      <c r="I4" t="s">
        <v>64</v>
      </c>
      <c r="J4" t="s">
        <v>111</v>
      </c>
      <c r="K4" t="s">
        <v>112</v>
      </c>
      <c r="L4" t="s">
        <v>113</v>
      </c>
      <c r="M4" t="s">
        <v>114</v>
      </c>
    </row>
    <row r="5" spans="2:13" x14ac:dyDescent="0.3">
      <c r="C5" s="7"/>
      <c r="G5" s="3">
        <f>IFERROR(VLOOKUP(Tabela5711[[#This Row],[Produto]],cálculos!$M$7:$P$30,3,FALSE),0)</f>
        <v>0</v>
      </c>
      <c r="H5" s="9">
        <f>Tabela5711[[#This Row],[Quantidade]]*Tabela5711[[#This Row],[Preço Unitário]]</f>
        <v>0</v>
      </c>
      <c r="I5" s="6"/>
      <c r="K5" s="9">
        <f>IFERROR(VLOOKUP(Tabela5711[[#This Row],[Entrega]],cálculos!$B$7:$C$11,2,FALSE),0)</f>
        <v>0</v>
      </c>
      <c r="L5" s="9">
        <f>Tabela5711[[#This Row],[Subtotal]]*(1-Tabela5711[[#This Row],[Desconto]])+Tabela5711[[#This Row],[Valor de Entrega]]</f>
        <v>0</v>
      </c>
      <c r="M5" s="9" t="str">
        <f>IF(Tabela5711[[#This Row],[Id da Venda]]=B6,"",SUMIF(Tabela5711[Id da Venda],Tabela5711[[#This Row],[Id da Venda]],Tabela5711[Total]))</f>
        <v/>
      </c>
    </row>
    <row r="6" spans="2:13" x14ac:dyDescent="0.3">
      <c r="C6" s="7"/>
      <c r="G6" s="3">
        <f>IFERROR(VLOOKUP(Tabela5711[[#This Row],[Produto]],cálculos!$M$7:$P$30,3,FALSE),0)</f>
        <v>0</v>
      </c>
      <c r="H6" s="9">
        <f>Tabela5711[[#This Row],[Quantidade]]*Tabela5711[[#This Row],[Preço Unitário]]</f>
        <v>0</v>
      </c>
      <c r="I6" s="6"/>
      <c r="K6" s="9">
        <f>IFERROR(VLOOKUP(Tabela5711[[#This Row],[Entrega]],cálculos!$B$7:$C$11,2,FALSE),0)</f>
        <v>0</v>
      </c>
      <c r="L6" s="9">
        <f>Tabela5711[[#This Row],[Subtotal]]*(1-Tabela5711[[#This Row],[Desconto]])+Tabela5711[[#This Row],[Valor de Entrega]]</f>
        <v>0</v>
      </c>
      <c r="M6" s="9" t="str">
        <f>IF(Tabela5711[[#This Row],[Id da Venda]]=B7,"",SUMIF(Tabela5711[Id da Venda],Tabela5711[[#This Row],[Id da Venda]],Tabela5711[Total]))</f>
        <v/>
      </c>
    </row>
    <row r="7" spans="2:13" x14ac:dyDescent="0.3">
      <c r="G7" s="3">
        <f>IFERROR(VLOOKUP(Tabela5711[[#This Row],[Produto]],cálculos!$M$7:$P$30,3,FALSE),0)</f>
        <v>0</v>
      </c>
      <c r="H7" s="9">
        <f>Tabela5711[[#This Row],[Quantidade]]*Tabela5711[[#This Row],[Preço Unitário]]</f>
        <v>0</v>
      </c>
      <c r="I7" s="6"/>
      <c r="K7" s="9">
        <f>IFERROR(VLOOKUP(Tabela5711[[#This Row],[Entrega]],cálculos!$B$7:$C$11,2,FALSE),0)</f>
        <v>0</v>
      </c>
      <c r="L7" s="9">
        <f>Tabela5711[[#This Row],[Subtotal]]*(1-Tabela5711[[#This Row],[Desconto]])+Tabela5711[[#This Row],[Valor de Entrega]]</f>
        <v>0</v>
      </c>
      <c r="M7" s="9" t="str">
        <f>IF(Tabela5711[[#This Row],[Id da Venda]]=B8,"",SUMIF(Tabela5711[Id da Venda],Tabela5711[[#This Row],[Id da Venda]],Tabela5711[Total]))</f>
        <v/>
      </c>
    </row>
    <row r="8" spans="2:13" x14ac:dyDescent="0.3">
      <c r="E8" t="str">
        <f>IFERROR(VLOOKUP(Tabela5711[[#This Row],[Produto]],cálculos!$M$7:$P$30,4,FALSE),"")</f>
        <v/>
      </c>
      <c r="G8" s="3">
        <f>IFERROR(VLOOKUP(Tabela5711[[#This Row],[Produto]],cálculos!$M$7:$P$30,3,FALSE),0)</f>
        <v>0</v>
      </c>
      <c r="H8" s="9">
        <f>Tabela5711[[#This Row],[Quantidade]]*Tabela5711[[#This Row],[Preço Unitário]]</f>
        <v>0</v>
      </c>
      <c r="I8" s="6"/>
      <c r="K8" s="9">
        <f>IFERROR(VLOOKUP(Tabela5711[[#This Row],[Entrega]],cálculos!$B$7:$C$11,2,FALSE),0)</f>
        <v>0</v>
      </c>
      <c r="L8" s="9">
        <f>Tabela5711[[#This Row],[Subtotal]]*(1-Tabela5711[[#This Row],[Desconto]])+Tabela5711[[#This Row],[Valor de Entrega]]</f>
        <v>0</v>
      </c>
      <c r="M8" s="9" t="str">
        <f>IF(Tabela5711[[#This Row],[Id da Venda]]=B9,"",SUMIF(Tabela5711[Id da Venda],Tabela5711[[#This Row],[Id da Venda]],Tabela5711[Total]))</f>
        <v/>
      </c>
    </row>
    <row r="9" spans="2:13" x14ac:dyDescent="0.3">
      <c r="E9" t="str">
        <f>IFERROR(VLOOKUP(Tabela5711[[#This Row],[Produto]],cálculos!$M$7:$P$30,4,FALSE),"")</f>
        <v/>
      </c>
      <c r="G9" s="3">
        <f>IFERROR(VLOOKUP(Tabela5711[[#This Row],[Produto]],cálculos!$M$7:$P$30,3,FALSE),0)</f>
        <v>0</v>
      </c>
      <c r="H9" s="9">
        <f>Tabela5711[[#This Row],[Quantidade]]*Tabela5711[[#This Row],[Preço Unitário]]</f>
        <v>0</v>
      </c>
      <c r="I9" s="6"/>
      <c r="K9" s="9">
        <f>IFERROR(VLOOKUP(Tabela5711[[#This Row],[Entrega]],cálculos!$B$7:$C$11,2,FALSE),0)</f>
        <v>0</v>
      </c>
      <c r="L9" s="9">
        <f>Tabela5711[[#This Row],[Subtotal]]*(1-Tabela5711[[#This Row],[Desconto]])+Tabela5711[[#This Row],[Valor de Entrega]]</f>
        <v>0</v>
      </c>
      <c r="M9" s="9" t="str">
        <f>IF(Tabela5711[[#This Row],[Id da Venda]]=B10,"",SUMIF(Tabela5711[Id da Venda],Tabela5711[[#This Row],[Id da Venda]],Tabela5711[Total]))</f>
        <v/>
      </c>
    </row>
    <row r="10" spans="2:13" x14ac:dyDescent="0.3">
      <c r="E10" t="str">
        <f>IFERROR(VLOOKUP(Tabela5711[[#This Row],[Produto]],cálculos!$M$7:$P$30,4,FALSE),"")</f>
        <v/>
      </c>
      <c r="G10" s="3">
        <f>IFERROR(VLOOKUP(Tabela5711[[#This Row],[Produto]],cálculos!$M$7:$P$30,3,FALSE),0)</f>
        <v>0</v>
      </c>
      <c r="H10" s="9">
        <f>Tabela5711[[#This Row],[Quantidade]]*Tabela5711[[#This Row],[Preço Unitário]]</f>
        <v>0</v>
      </c>
      <c r="I10" s="6"/>
      <c r="K10" s="9">
        <f>IFERROR(VLOOKUP(Tabela5711[[#This Row],[Entrega]],cálculos!$B$7:$C$11,2,FALSE),0)</f>
        <v>0</v>
      </c>
      <c r="L10" s="9">
        <f>Tabela5711[[#This Row],[Subtotal]]*(1-Tabela5711[[#This Row],[Desconto]])+Tabela5711[[#This Row],[Valor de Entrega]]</f>
        <v>0</v>
      </c>
      <c r="M10" s="9" t="str">
        <f>IF(Tabela5711[[#This Row],[Id da Venda]]=B11,"",SUMIF(Tabela5711[Id da Venda],Tabela5711[[#This Row],[Id da Venda]],Tabela5711[Total]))</f>
        <v/>
      </c>
    </row>
    <row r="11" spans="2:13" x14ac:dyDescent="0.3">
      <c r="E11" t="str">
        <f>IFERROR(VLOOKUP(Tabela5711[[#This Row],[Produto]],cálculos!$M$7:$P$30,4,FALSE),"")</f>
        <v/>
      </c>
      <c r="G11" s="3">
        <f>IFERROR(VLOOKUP(Tabela5711[[#This Row],[Produto]],cálculos!$M$7:$P$30,3,FALSE),0)</f>
        <v>0</v>
      </c>
      <c r="H11" s="9">
        <f>Tabela5711[[#This Row],[Quantidade]]*Tabela5711[[#This Row],[Preço Unitário]]</f>
        <v>0</v>
      </c>
      <c r="I11" s="6"/>
      <c r="K11" s="9">
        <f>IFERROR(VLOOKUP(Tabela5711[[#This Row],[Entrega]],cálculos!$B$7:$C$11,2,FALSE),0)</f>
        <v>0</v>
      </c>
      <c r="L11" s="9">
        <f>Tabela5711[[#This Row],[Subtotal]]*(1-Tabela5711[[#This Row],[Desconto]])+Tabela5711[[#This Row],[Valor de Entrega]]</f>
        <v>0</v>
      </c>
      <c r="M11" s="9" t="str">
        <f>IF(Tabela5711[[#This Row],[Id da Venda]]=B12,"",SUMIF(Tabela5711[Id da Venda],Tabela5711[[#This Row],[Id da Venda]],Tabela5711[Total]))</f>
        <v/>
      </c>
    </row>
    <row r="12" spans="2:13" x14ac:dyDescent="0.3">
      <c r="E12" t="str">
        <f>IFERROR(VLOOKUP(Tabela5711[[#This Row],[Produto]],cálculos!$M$7:$P$30,4,FALSE),"")</f>
        <v/>
      </c>
      <c r="G12" s="3">
        <f>IFERROR(VLOOKUP(Tabela5711[[#This Row],[Produto]],cálculos!$M$7:$P$30,3,FALSE),0)</f>
        <v>0</v>
      </c>
      <c r="H12" s="9">
        <f>Tabela5711[[#This Row],[Quantidade]]*Tabela5711[[#This Row],[Preço Unitário]]</f>
        <v>0</v>
      </c>
      <c r="I12" s="6"/>
      <c r="K12" s="9">
        <f>IFERROR(VLOOKUP(Tabela5711[[#This Row],[Entrega]],cálculos!$B$7:$C$11,2,FALSE),0)</f>
        <v>0</v>
      </c>
      <c r="L12" s="9">
        <f>Tabela5711[[#This Row],[Subtotal]]*(1-Tabela5711[[#This Row],[Desconto]])+Tabela5711[[#This Row],[Valor de Entrega]]</f>
        <v>0</v>
      </c>
      <c r="M12" s="9" t="str">
        <f>IF(Tabela5711[[#This Row],[Id da Venda]]=B13,"",SUMIF(Tabela5711[Id da Venda],Tabela5711[[#This Row],[Id da Venda]],Tabela5711[Total]))</f>
        <v/>
      </c>
    </row>
    <row r="13" spans="2:13" x14ac:dyDescent="0.3">
      <c r="E13" t="str">
        <f>IFERROR(VLOOKUP(Tabela5711[[#This Row],[Produto]],cálculos!$M$7:$P$30,4,FALSE),"")</f>
        <v/>
      </c>
      <c r="G13" s="3">
        <f>IFERROR(VLOOKUP(Tabela5711[[#This Row],[Produto]],cálculos!$M$7:$P$30,3,FALSE),0)</f>
        <v>0</v>
      </c>
      <c r="H13" s="9">
        <f>Tabela5711[[#This Row],[Quantidade]]*Tabela5711[[#This Row],[Preço Unitário]]</f>
        <v>0</v>
      </c>
      <c r="I13" s="6"/>
      <c r="K13" s="9">
        <f>IFERROR(VLOOKUP(Tabela5711[[#This Row],[Entrega]],cálculos!$B$7:$C$11,2,FALSE),0)</f>
        <v>0</v>
      </c>
      <c r="L13" s="9">
        <f>Tabela5711[[#This Row],[Subtotal]]*(1-Tabela5711[[#This Row],[Desconto]])+Tabela5711[[#This Row],[Valor de Entrega]]</f>
        <v>0</v>
      </c>
      <c r="M13" s="9" t="str">
        <f>IF(Tabela5711[[#This Row],[Id da Venda]]=B14,"",SUMIF(Tabela5711[Id da Venda],Tabela5711[[#This Row],[Id da Venda]],Tabela5711[Total]))</f>
        <v/>
      </c>
    </row>
    <row r="14" spans="2:13" x14ac:dyDescent="0.3">
      <c r="E14" t="str">
        <f>IFERROR(VLOOKUP(Tabela5711[[#This Row],[Produto]],cálculos!$M$7:$P$30,4,FALSE),"")</f>
        <v/>
      </c>
      <c r="G14" s="3">
        <f>IFERROR(VLOOKUP(Tabela5711[[#This Row],[Produto]],cálculos!$M$7:$P$30,3,FALSE),0)</f>
        <v>0</v>
      </c>
      <c r="H14" s="9">
        <f>Tabela5711[[#This Row],[Quantidade]]*Tabela5711[[#This Row],[Preço Unitário]]</f>
        <v>0</v>
      </c>
      <c r="I14" s="6"/>
      <c r="K14" s="9">
        <f>IFERROR(VLOOKUP(Tabela5711[[#This Row],[Entrega]],cálculos!$B$7:$C$11,2,FALSE),0)</f>
        <v>0</v>
      </c>
      <c r="L14" s="9">
        <f>Tabela5711[[#This Row],[Subtotal]]*(1-Tabela5711[[#This Row],[Desconto]])+Tabela5711[[#This Row],[Valor de Entrega]]</f>
        <v>0</v>
      </c>
      <c r="M14" s="9" t="str">
        <f>IF(Tabela5711[[#This Row],[Id da Venda]]=B15,"",SUMIF(Tabela5711[Id da Venda],Tabela5711[[#This Row],[Id da Venda]],Tabela5711[Total]))</f>
        <v/>
      </c>
    </row>
    <row r="15" spans="2:13" x14ac:dyDescent="0.3">
      <c r="E15" t="str">
        <f>IFERROR(VLOOKUP(Tabela5711[[#This Row],[Produto]],cálculos!$M$7:$P$30,4,FALSE),"")</f>
        <v/>
      </c>
      <c r="G15" s="3">
        <f>IFERROR(VLOOKUP(Tabela5711[[#This Row],[Produto]],cálculos!$M$7:$P$30,3,FALSE),0)</f>
        <v>0</v>
      </c>
      <c r="H15" s="9">
        <f>Tabela5711[[#This Row],[Quantidade]]*Tabela5711[[#This Row],[Preço Unitário]]</f>
        <v>0</v>
      </c>
      <c r="I15" s="6"/>
      <c r="K15" s="9">
        <f>IFERROR(VLOOKUP(Tabela5711[[#This Row],[Entrega]],cálculos!$B$7:$C$11,2,FALSE),0)</f>
        <v>0</v>
      </c>
      <c r="L15" s="9">
        <f>Tabela5711[[#This Row],[Subtotal]]*(1-Tabela5711[[#This Row],[Desconto]])+Tabela5711[[#This Row],[Valor de Entrega]]</f>
        <v>0</v>
      </c>
      <c r="M15" s="9" t="str">
        <f>IF(Tabela5711[[#This Row],[Id da Venda]]=B16,"",SUMIF(Tabela5711[Id da Venda],Tabela5711[[#This Row],[Id da Venda]],Tabela5711[Total]))</f>
        <v/>
      </c>
    </row>
    <row r="16" spans="2:13" x14ac:dyDescent="0.3">
      <c r="E16" t="str">
        <f>IFERROR(VLOOKUP(Tabela5711[[#This Row],[Produto]],cálculos!$M$7:$P$30,4,FALSE),"")</f>
        <v/>
      </c>
      <c r="G16" s="3">
        <f>IFERROR(VLOOKUP(Tabela5711[[#This Row],[Produto]],cálculos!$M$7:$P$30,3,FALSE),0)</f>
        <v>0</v>
      </c>
      <c r="H16" s="9">
        <f>Tabela5711[[#This Row],[Quantidade]]*Tabela5711[[#This Row],[Preço Unitário]]</f>
        <v>0</v>
      </c>
      <c r="I16" s="6"/>
      <c r="K16" s="9">
        <f>IFERROR(VLOOKUP(Tabela5711[[#This Row],[Entrega]],cálculos!$B$7:$C$11,2,FALSE),0)</f>
        <v>0</v>
      </c>
      <c r="L16" s="9">
        <f>Tabela5711[[#This Row],[Subtotal]]*(1-Tabela5711[[#This Row],[Desconto]])+Tabela5711[[#This Row],[Valor de Entrega]]</f>
        <v>0</v>
      </c>
      <c r="M16" s="9" t="str">
        <f>IF(Tabela5711[[#This Row],[Id da Venda]]=B17,"",SUMIF(Tabela5711[Id da Venda],Tabela5711[[#This Row],[Id da Venda]],Tabela5711[Total]))</f>
        <v/>
      </c>
    </row>
    <row r="17" spans="2:13" x14ac:dyDescent="0.3">
      <c r="E17" t="str">
        <f>IFERROR(VLOOKUP(Tabela5711[[#This Row],[Produto]],cálculos!$M$7:$P$30,4,FALSE),"")</f>
        <v/>
      </c>
      <c r="G17" s="3">
        <f>IFERROR(VLOOKUP(Tabela5711[[#This Row],[Produto]],cálculos!$M$7:$P$30,3,FALSE),0)</f>
        <v>0</v>
      </c>
      <c r="H17" s="9">
        <f>Tabela5711[[#This Row],[Quantidade]]*Tabela5711[[#This Row],[Preço Unitário]]</f>
        <v>0</v>
      </c>
      <c r="I17" s="6"/>
      <c r="K17" s="9">
        <f>IFERROR(VLOOKUP(Tabela5711[[#This Row],[Entrega]],cálculos!$B$7:$C$11,2,FALSE),0)</f>
        <v>0</v>
      </c>
      <c r="L17" s="9">
        <f>Tabela5711[[#This Row],[Subtotal]]*(1-Tabela5711[[#This Row],[Desconto]])+Tabela5711[[#This Row],[Valor de Entrega]]</f>
        <v>0</v>
      </c>
      <c r="M17" s="9" t="str">
        <f>IF(Tabela5711[[#This Row],[Id da Venda]]=B18,"",SUMIF(Tabela5711[Id da Venda],Tabela5711[[#This Row],[Id da Venda]],Tabela5711[Total]))</f>
        <v/>
      </c>
    </row>
    <row r="18" spans="2:13" x14ac:dyDescent="0.3">
      <c r="E18" t="str">
        <f>IFERROR(VLOOKUP(Tabela5711[[#This Row],[Produto]],cálculos!$M$7:$P$30,4,FALSE),"")</f>
        <v/>
      </c>
      <c r="G18" s="3">
        <f>IFERROR(VLOOKUP(Tabela5711[[#This Row],[Produto]],cálculos!$M$7:$P$30,3,FALSE),0)</f>
        <v>0</v>
      </c>
      <c r="H18" s="3">
        <f>Tabela5711[[#This Row],[Quantidade]]*Tabela5711[[#This Row],[Preço Unitário]]</f>
        <v>0</v>
      </c>
      <c r="K18" s="9">
        <f>IFERROR(VLOOKUP(Tabela5711[[#This Row],[Entrega]],cálculos!$B$7:$C$11,2,FALSE),0)</f>
        <v>0</v>
      </c>
      <c r="L18" s="9">
        <f>Tabela5711[[#This Row],[Subtotal]]*(1-Tabela5711[[#This Row],[Desconto]])+Tabela5711[[#This Row],[Valor de Entrega]]</f>
        <v>0</v>
      </c>
      <c r="M18" s="9" t="str">
        <f>IF(Tabela5711[[#This Row],[Id da Venda]]=B19,"",SUMIF(Tabela5711[Id da Venda],Tabela5711[[#This Row],[Id da Venda]],Tabela5711[Total]))</f>
        <v/>
      </c>
    </row>
    <row r="21" spans="2:13" ht="21" x14ac:dyDescent="0.4">
      <c r="B21" s="26" t="s">
        <v>122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SUM(Tabela5711[Total])</f>
        <v>0</v>
      </c>
    </row>
    <row r="22" spans="2:13" ht="21" x14ac:dyDescent="0.4">
      <c r="B22" s="28" t="s">
        <v>123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SUM(Tabela5711[Valor de Entrega])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C97F7C-4311-41E7-B0E9-39BD5EDCB5F0}">
          <x14:formula1>
            <xm:f>cálculos!$M$7:$M$30</xm:f>
          </x14:formula1>
          <xm:sqref>D5:D17</xm:sqref>
        </x14:dataValidation>
        <x14:dataValidation type="list" allowBlank="1" showInputMessage="1" showErrorMessage="1" xr:uid="{E927F21E-56F0-4D90-B91B-22A3BBF1341B}">
          <x14:formula1>
            <xm:f>cálculos!$B$7:$B$11</xm:f>
          </x14:formula1>
          <xm:sqref>J5:J18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P30"/>
  <sheetViews>
    <sheetView topLeftCell="A3" workbookViewId="0">
      <selection activeCell="F11" sqref="F11"/>
    </sheetView>
  </sheetViews>
  <sheetFormatPr defaultRowHeight="14.4" x14ac:dyDescent="0.3"/>
  <cols>
    <col min="2" max="2" width="17" bestFit="1" customWidth="1"/>
    <col min="3" max="3" width="15.33203125" bestFit="1" customWidth="1"/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2:16" x14ac:dyDescent="0.3">
      <c r="B6" s="8" t="s">
        <v>115</v>
      </c>
      <c r="C6" s="8" t="s">
        <v>116</v>
      </c>
      <c r="M6" s="8" t="s">
        <v>66</v>
      </c>
      <c r="N6" s="8" t="s">
        <v>67</v>
      </c>
      <c r="O6" s="8" t="s">
        <v>68</v>
      </c>
      <c r="P6" s="8" t="s">
        <v>61</v>
      </c>
    </row>
    <row r="7" spans="2:16" x14ac:dyDescent="0.3">
      <c r="B7" t="s">
        <v>117</v>
      </c>
      <c r="C7" s="9">
        <v>5</v>
      </c>
      <c r="M7" t="s">
        <v>24</v>
      </c>
      <c r="N7" s="9">
        <v>2.8405</v>
      </c>
      <c r="O7" s="9">
        <v>2.99</v>
      </c>
      <c r="P7" t="s">
        <v>60</v>
      </c>
    </row>
    <row r="8" spans="2:16" x14ac:dyDescent="0.3">
      <c r="B8" t="s">
        <v>118</v>
      </c>
      <c r="C8" s="9">
        <v>0</v>
      </c>
      <c r="M8" t="s">
        <v>33</v>
      </c>
      <c r="N8" s="9">
        <v>1.0580000000000001</v>
      </c>
      <c r="O8" s="9">
        <v>1.1499999999999999</v>
      </c>
      <c r="P8" t="s">
        <v>69</v>
      </c>
    </row>
    <row r="9" spans="2:16" x14ac:dyDescent="0.3">
      <c r="B9" t="s">
        <v>119</v>
      </c>
      <c r="C9" s="9">
        <v>6.5</v>
      </c>
      <c r="M9" t="s">
        <v>21</v>
      </c>
      <c r="N9" s="9">
        <v>2.3406000000000002</v>
      </c>
      <c r="O9" s="9">
        <v>2.4900000000000002</v>
      </c>
      <c r="P9" t="s">
        <v>70</v>
      </c>
    </row>
    <row r="10" spans="2:16" x14ac:dyDescent="0.3">
      <c r="B10" t="s">
        <v>120</v>
      </c>
      <c r="C10" s="9">
        <v>8</v>
      </c>
      <c r="M10" t="s">
        <v>38</v>
      </c>
      <c r="N10" s="9">
        <v>1.8506999999999998</v>
      </c>
      <c r="O10" s="9">
        <v>1.99</v>
      </c>
      <c r="P10" t="s">
        <v>69</v>
      </c>
    </row>
    <row r="11" spans="2:16" x14ac:dyDescent="0.3">
      <c r="B11" t="s">
        <v>121</v>
      </c>
      <c r="C11" s="9">
        <v>6.5</v>
      </c>
      <c r="M11" t="s">
        <v>41</v>
      </c>
      <c r="N11" s="9">
        <v>1.0924999999999998</v>
      </c>
      <c r="O11" s="9">
        <v>1.1499999999999999</v>
      </c>
      <c r="P11" t="s">
        <v>69</v>
      </c>
    </row>
    <row r="12" spans="2:16" x14ac:dyDescent="0.3">
      <c r="M12" t="s">
        <v>37</v>
      </c>
      <c r="N12" s="9">
        <v>0.74260000000000004</v>
      </c>
      <c r="O12" s="9">
        <v>0.79</v>
      </c>
      <c r="P12" t="s">
        <v>69</v>
      </c>
    </row>
    <row r="13" spans="2:16" x14ac:dyDescent="0.3">
      <c r="M13" t="s">
        <v>25</v>
      </c>
      <c r="N13" s="9">
        <v>14.469000000000001</v>
      </c>
      <c r="O13" s="9">
        <v>15.9</v>
      </c>
      <c r="P13" t="s">
        <v>70</v>
      </c>
    </row>
    <row r="14" spans="2:16" x14ac:dyDescent="0.3">
      <c r="M14" t="s">
        <v>31</v>
      </c>
      <c r="N14" s="9">
        <v>3.6309000000000005</v>
      </c>
      <c r="O14" s="9">
        <v>3.99</v>
      </c>
      <c r="P14" t="s">
        <v>70</v>
      </c>
    </row>
    <row r="15" spans="2:16" x14ac:dyDescent="0.3">
      <c r="M15" t="s">
        <v>34</v>
      </c>
      <c r="N15" s="9">
        <v>2.1023999999999998</v>
      </c>
      <c r="O15" s="9">
        <v>2.19</v>
      </c>
      <c r="P15" t="s">
        <v>73</v>
      </c>
    </row>
    <row r="16" spans="2:16" x14ac:dyDescent="0.3">
      <c r="M16" t="s">
        <v>39</v>
      </c>
      <c r="N16" s="9">
        <v>4.5409000000000006</v>
      </c>
      <c r="O16" s="9">
        <v>4.99</v>
      </c>
      <c r="P16" t="s">
        <v>74</v>
      </c>
    </row>
    <row r="17" spans="13:16" x14ac:dyDescent="0.3">
      <c r="M17" t="s">
        <v>40</v>
      </c>
      <c r="N17" s="9">
        <v>6.3449999999999998</v>
      </c>
      <c r="O17" s="9">
        <v>6.75</v>
      </c>
      <c r="P17" t="s">
        <v>75</v>
      </c>
    </row>
    <row r="18" spans="13:16" x14ac:dyDescent="0.3">
      <c r="M18" t="s">
        <v>36</v>
      </c>
      <c r="N18" s="9">
        <v>2.3660000000000001</v>
      </c>
      <c r="O18" s="9">
        <v>2.6</v>
      </c>
      <c r="P18" t="s">
        <v>60</v>
      </c>
    </row>
    <row r="19" spans="13:16" x14ac:dyDescent="0.3">
      <c r="M19" t="s">
        <v>22</v>
      </c>
      <c r="N19" s="9">
        <v>4.0659999999999998</v>
      </c>
      <c r="O19" s="9">
        <v>4.28</v>
      </c>
      <c r="P19" t="s">
        <v>70</v>
      </c>
    </row>
    <row r="20" spans="13:16" x14ac:dyDescent="0.3">
      <c r="M20" t="s">
        <v>26</v>
      </c>
      <c r="N20" s="9">
        <v>6.4216000000000006</v>
      </c>
      <c r="O20" s="9">
        <v>6.98</v>
      </c>
      <c r="P20" t="s">
        <v>70</v>
      </c>
    </row>
    <row r="21" spans="13:16" x14ac:dyDescent="0.3">
      <c r="M21" t="s">
        <v>71</v>
      </c>
      <c r="N21" s="9">
        <v>1.3708</v>
      </c>
      <c r="O21" s="9">
        <v>1.49</v>
      </c>
      <c r="P21" t="s">
        <v>72</v>
      </c>
    </row>
    <row r="22" spans="13:16" x14ac:dyDescent="0.3">
      <c r="M22" t="s">
        <v>76</v>
      </c>
      <c r="N22" s="9">
        <v>2.6299000000000001</v>
      </c>
      <c r="O22" s="9">
        <v>2.89</v>
      </c>
      <c r="P22" t="s">
        <v>60</v>
      </c>
    </row>
    <row r="23" spans="13:16" x14ac:dyDescent="0.3">
      <c r="M23" t="s">
        <v>27</v>
      </c>
      <c r="N23" s="9">
        <v>22.226999999999997</v>
      </c>
      <c r="O23" s="9">
        <v>23.9</v>
      </c>
      <c r="P23" t="s">
        <v>70</v>
      </c>
    </row>
    <row r="24" spans="13:16" x14ac:dyDescent="0.3">
      <c r="M24" t="s">
        <v>28</v>
      </c>
      <c r="N24" s="9">
        <v>23.827999999999999</v>
      </c>
      <c r="O24" s="9">
        <v>25.9</v>
      </c>
      <c r="P24" t="s">
        <v>70</v>
      </c>
    </row>
    <row r="25" spans="13:16" x14ac:dyDescent="0.3">
      <c r="M25" t="s">
        <v>77</v>
      </c>
      <c r="N25" s="9">
        <v>2.1749000000000001</v>
      </c>
      <c r="O25" s="9">
        <v>2.39</v>
      </c>
      <c r="P25" t="s">
        <v>72</v>
      </c>
    </row>
    <row r="26" spans="13:16" x14ac:dyDescent="0.3">
      <c r="M26" t="s">
        <v>30</v>
      </c>
      <c r="N26" s="9">
        <v>3.2084999999999999</v>
      </c>
      <c r="O26" s="9">
        <v>3.45</v>
      </c>
      <c r="P26" t="s">
        <v>72</v>
      </c>
    </row>
    <row r="27" spans="13:16" x14ac:dyDescent="0.3">
      <c r="M27" t="s">
        <v>23</v>
      </c>
      <c r="N27" s="9">
        <v>5.3544000000000009</v>
      </c>
      <c r="O27" s="9">
        <v>5.82</v>
      </c>
      <c r="P27" t="s">
        <v>70</v>
      </c>
    </row>
    <row r="28" spans="13:16" x14ac:dyDescent="0.3">
      <c r="M28" t="s">
        <v>32</v>
      </c>
      <c r="N28" s="9">
        <v>9.1009999999999991</v>
      </c>
      <c r="O28" s="9">
        <v>9.58</v>
      </c>
      <c r="P28" t="s">
        <v>70</v>
      </c>
    </row>
    <row r="29" spans="13:16" x14ac:dyDescent="0.3">
      <c r="M29" t="s">
        <v>29</v>
      </c>
      <c r="N29" s="9">
        <v>26.012999999999998</v>
      </c>
      <c r="O29" s="9">
        <v>29.9</v>
      </c>
      <c r="P29" t="s">
        <v>78</v>
      </c>
    </row>
    <row r="30" spans="13:16" x14ac:dyDescent="0.3">
      <c r="M30" t="s">
        <v>35</v>
      </c>
      <c r="N30" s="9">
        <v>46.664999999999999</v>
      </c>
      <c r="O30" s="9">
        <v>54.9</v>
      </c>
      <c r="P30" t="s">
        <v>78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topLeftCell="A16" workbookViewId="0">
      <selection activeCell="H17" sqref="H17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2" customFormat="1" ht="28.05" customHeight="1" x14ac:dyDescent="0.45">
      <c r="A2" s="1"/>
      <c r="B2" s="2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43</v>
      </c>
      <c r="C4" t="s">
        <v>44</v>
      </c>
      <c r="D4" t="s">
        <v>46</v>
      </c>
      <c r="E4" t="s">
        <v>47</v>
      </c>
      <c r="F4" t="s">
        <v>49</v>
      </c>
      <c r="G4" t="s">
        <v>48</v>
      </c>
    </row>
    <row r="5" spans="1:19" x14ac:dyDescent="0.3">
      <c r="B5" t="s">
        <v>3</v>
      </c>
      <c r="F5" s="3"/>
      <c r="G5" s="3">
        <v>1000</v>
      </c>
    </row>
    <row r="6" spans="1:19" x14ac:dyDescent="0.3">
      <c r="B6" t="s">
        <v>45</v>
      </c>
      <c r="F6" s="3"/>
      <c r="G6" s="3">
        <f>SUM(F7:F11)</f>
        <v>17500</v>
      </c>
    </row>
    <row r="7" spans="1:19" x14ac:dyDescent="0.3">
      <c r="C7" t="s">
        <v>12</v>
      </c>
      <c r="F7" s="3">
        <v>10000</v>
      </c>
      <c r="G7" s="3"/>
    </row>
    <row r="8" spans="1:19" x14ac:dyDescent="0.3">
      <c r="C8" t="s">
        <v>13</v>
      </c>
      <c r="F8" s="3">
        <v>500</v>
      </c>
      <c r="G8" s="3"/>
    </row>
    <row r="9" spans="1:19" x14ac:dyDescent="0.3">
      <c r="C9" t="s">
        <v>1</v>
      </c>
      <c r="F9" s="3">
        <v>3000</v>
      </c>
      <c r="G9" s="3"/>
    </row>
    <row r="10" spans="1:19" x14ac:dyDescent="0.3">
      <c r="C10" t="s">
        <v>14</v>
      </c>
      <c r="F10" s="3">
        <v>2500</v>
      </c>
      <c r="G10" s="3"/>
    </row>
    <row r="11" spans="1:19" x14ac:dyDescent="0.3">
      <c r="C11" t="s">
        <v>5</v>
      </c>
      <c r="E11" t="s">
        <v>55</v>
      </c>
      <c r="F11" s="3">
        <v>1500</v>
      </c>
      <c r="G11" s="3"/>
    </row>
    <row r="12" spans="1:19" x14ac:dyDescent="0.3">
      <c r="B12" t="s">
        <v>0</v>
      </c>
      <c r="F12" s="3"/>
      <c r="G12" s="3">
        <v>900</v>
      </c>
    </row>
    <row r="13" spans="1:19" x14ac:dyDescent="0.3">
      <c r="B13" t="s">
        <v>1</v>
      </c>
      <c r="F13" s="3"/>
      <c r="G13" s="3">
        <v>6000</v>
      </c>
    </row>
    <row r="14" spans="1:19" x14ac:dyDescent="0.3">
      <c r="B14" t="s">
        <v>54</v>
      </c>
      <c r="G14" s="3">
        <f>SUM(F15:F19)</f>
        <v>5300</v>
      </c>
    </row>
    <row r="15" spans="1:19" x14ac:dyDescent="0.3">
      <c r="C15" t="s">
        <v>50</v>
      </c>
      <c r="F15" s="3">
        <v>800</v>
      </c>
      <c r="G15" s="3"/>
    </row>
    <row r="16" spans="1:19" x14ac:dyDescent="0.3">
      <c r="C16" t="s">
        <v>51</v>
      </c>
      <c r="F16" s="3">
        <v>3200</v>
      </c>
      <c r="G16" s="3"/>
    </row>
    <row r="17" spans="2:7" x14ac:dyDescent="0.3">
      <c r="C17" t="s">
        <v>52</v>
      </c>
      <c r="F17" s="3">
        <v>500</v>
      </c>
      <c r="G17" s="3"/>
    </row>
    <row r="18" spans="2:7" x14ac:dyDescent="0.3">
      <c r="C18" t="s">
        <v>53</v>
      </c>
      <c r="F18" s="3">
        <v>800</v>
      </c>
      <c r="G18" s="3"/>
    </row>
    <row r="19" spans="2:7" x14ac:dyDescent="0.3">
      <c r="C19" t="s">
        <v>5</v>
      </c>
      <c r="F19" s="3">
        <v>0</v>
      </c>
      <c r="G19" s="3"/>
    </row>
    <row r="20" spans="2:7" x14ac:dyDescent="0.3">
      <c r="B20" t="s">
        <v>2</v>
      </c>
      <c r="F20" s="3"/>
      <c r="G20" s="3">
        <v>300</v>
      </c>
    </row>
    <row r="21" spans="2:7" x14ac:dyDescent="0.3">
      <c r="B21" t="s">
        <v>16</v>
      </c>
      <c r="F21" s="3"/>
      <c r="G21" s="3">
        <f>SUM(F22:F27)</f>
        <v>11950</v>
      </c>
    </row>
    <row r="22" spans="2:7" x14ac:dyDescent="0.3">
      <c r="C22" t="s">
        <v>17</v>
      </c>
      <c r="F22" s="3">
        <v>1650</v>
      </c>
      <c r="G22" s="3"/>
    </row>
    <row r="23" spans="2:7" x14ac:dyDescent="0.3">
      <c r="C23" t="s">
        <v>18</v>
      </c>
      <c r="F23" s="3">
        <v>3000</v>
      </c>
      <c r="G23" s="3"/>
    </row>
    <row r="24" spans="2:7" x14ac:dyDescent="0.3">
      <c r="C24" t="s">
        <v>19</v>
      </c>
      <c r="F24" s="3">
        <v>3000</v>
      </c>
      <c r="G24" s="3"/>
    </row>
    <row r="25" spans="2:7" x14ac:dyDescent="0.3">
      <c r="C25" t="s">
        <v>20</v>
      </c>
      <c r="F25" s="3">
        <v>2700</v>
      </c>
      <c r="G25" s="3"/>
    </row>
    <row r="26" spans="2:7" x14ac:dyDescent="0.3">
      <c r="C26" t="s">
        <v>15</v>
      </c>
      <c r="F26" s="3">
        <v>1500</v>
      </c>
      <c r="G26" s="3"/>
    </row>
    <row r="27" spans="2:7" x14ac:dyDescent="0.3">
      <c r="C27" t="s">
        <v>5</v>
      </c>
      <c r="F27" s="3">
        <v>100</v>
      </c>
      <c r="G27" s="3"/>
    </row>
    <row r="28" spans="2:7" x14ac:dyDescent="0.3">
      <c r="B28" t="s">
        <v>4</v>
      </c>
      <c r="F28" s="3"/>
      <c r="G28" s="3">
        <v>1500</v>
      </c>
    </row>
    <row r="29" spans="2:7" x14ac:dyDescent="0.3">
      <c r="B29" t="s">
        <v>5</v>
      </c>
      <c r="G29" s="3">
        <v>957</v>
      </c>
    </row>
    <row r="31" spans="2:7" ht="21" x14ac:dyDescent="0.4">
      <c r="B31" s="14" t="s">
        <v>56</v>
      </c>
      <c r="C31" s="14"/>
      <c r="D31" s="14"/>
      <c r="E31" s="14"/>
      <c r="F31" s="14"/>
      <c r="G31" s="15">
        <f>SUM(Tabela1[Valor Final])</f>
        <v>45407</v>
      </c>
    </row>
    <row r="32" spans="2:7" ht="21" x14ac:dyDescent="0.4">
      <c r="B32" s="11" t="s">
        <v>89</v>
      </c>
      <c r="C32" s="12"/>
      <c r="D32" s="12"/>
      <c r="E32" s="12"/>
      <c r="F32" s="12"/>
      <c r="G32" s="13">
        <f>'Compras Mercadorias'!I28</f>
        <v>14057.59987</v>
      </c>
    </row>
    <row r="33" spans="2:7" ht="21" x14ac:dyDescent="0.4">
      <c r="B33" s="16" t="s">
        <v>90</v>
      </c>
      <c r="C33" s="17"/>
      <c r="D33" s="17"/>
      <c r="E33" s="17"/>
      <c r="F33" s="17"/>
      <c r="G33" s="18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workbookViewId="0">
      <selection activeCell="B18" sqref="B18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2" customFormat="1" ht="28.05" customHeight="1" x14ac:dyDescent="0.45">
      <c r="A2" s="1"/>
      <c r="B2" s="4" t="s">
        <v>57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46</v>
      </c>
      <c r="C4" t="s">
        <v>58</v>
      </c>
      <c r="D4" t="s">
        <v>59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</row>
    <row r="5" spans="1:25" x14ac:dyDescent="0.3">
      <c r="B5" s="7">
        <v>42190</v>
      </c>
      <c r="C5" t="s">
        <v>79</v>
      </c>
      <c r="D5" t="s">
        <v>36</v>
      </c>
      <c r="E5" t="str">
        <f>IFERROR(VLOOKUP(Tabela2[[#This Row],[Mercadoria]],cálculos!$M$7:$P$35,4,FALSE),"")</f>
        <v>Unidade</v>
      </c>
      <c r="F5">
        <v>50</v>
      </c>
      <c r="G5" s="3">
        <f>IFERROR(VLOOKUP(Tabela2[[#This Row],[Mercadoria]],cálculos!$M$7:$P$35,2,FALSE),"")</f>
        <v>2.3660000000000001</v>
      </c>
      <c r="H5" s="6"/>
      <c r="I5" s="3">
        <f>Tabela2[[#This Row],[Quantidade]]*Tabela2[[#This Row],[Preço Unitário]]*(1-Tabela2[[#This Row],[Desconto]])</f>
        <v>118.30000000000001</v>
      </c>
    </row>
    <row r="6" spans="1:25" x14ac:dyDescent="0.3">
      <c r="B6" s="7">
        <v>42190</v>
      </c>
      <c r="C6" t="s">
        <v>80</v>
      </c>
      <c r="D6" t="s">
        <v>22</v>
      </c>
      <c r="E6" t="str">
        <f>IFERROR(VLOOKUP(Tabela2[[#This Row],[Mercadoria]],cálculos!$M$7:$P$35,4,FALSE),"")</f>
        <v>Kg</v>
      </c>
      <c r="F6">
        <v>120</v>
      </c>
      <c r="G6" s="3">
        <f>IFERROR(VLOOKUP(Tabela2[[#This Row],[Mercadoria]],cálculos!$M$7:$P$35,2,FALSE),"")</f>
        <v>4.0659999999999998</v>
      </c>
      <c r="H6" s="6"/>
      <c r="I6" s="3">
        <f>Tabela2[[#This Row],[Quantidade]]*Tabela2[[#This Row],[Preço Unitário]]*(1-Tabela2[[#This Row],[Desconto]])</f>
        <v>487.91999999999996</v>
      </c>
    </row>
    <row r="7" spans="1:25" x14ac:dyDescent="0.3">
      <c r="B7" s="7">
        <v>42189</v>
      </c>
      <c r="C7" t="s">
        <v>80</v>
      </c>
      <c r="D7" t="s">
        <v>22</v>
      </c>
      <c r="E7" t="str">
        <f>IFERROR(VLOOKUP(Tabela2[[#This Row],[Mercadoria]],cálculos!$M$7:$P$35,4,FALSE),"")</f>
        <v>Kg</v>
      </c>
      <c r="F7">
        <v>150</v>
      </c>
      <c r="G7" s="3">
        <f>IFERROR(VLOOKUP(Tabela2[[#This Row],[Mercadoria]],cálculos!$M$7:$P$35,2,FALSE),"")</f>
        <v>4.0659999999999998</v>
      </c>
      <c r="H7" s="6"/>
      <c r="I7" s="3">
        <f>Tabela2[[#This Row],[Quantidade]]*Tabela2[[#This Row],[Preço Unitário]]*(1-Tabela2[[#This Row],[Desconto]])</f>
        <v>609.9</v>
      </c>
    </row>
    <row r="8" spans="1:25" x14ac:dyDescent="0.3">
      <c r="B8" s="7">
        <v>42189</v>
      </c>
      <c r="C8" t="s">
        <v>80</v>
      </c>
      <c r="D8" t="s">
        <v>21</v>
      </c>
      <c r="E8" t="str">
        <f>IFERROR(VLOOKUP(Tabela2[[#This Row],[Mercadoria]],cálculos!$M$7:$P$35,4,FALSE),"")</f>
        <v>Kg</v>
      </c>
      <c r="F8">
        <v>150</v>
      </c>
      <c r="G8" s="3">
        <f>IFERROR(VLOOKUP(Tabela2[[#This Row],[Mercadoria]],cálculos!$M$7:$P$35,2,FALSE),"")</f>
        <v>2.3406000000000002</v>
      </c>
      <c r="H8" s="6">
        <v>0.03</v>
      </c>
      <c r="I8" s="3">
        <f>Tabela2[[#This Row],[Quantidade]]*Tabela2[[#This Row],[Preço Unitário]]*(1-Tabela2[[#This Row],[Desconto]])</f>
        <v>340.5573</v>
      </c>
    </row>
    <row r="9" spans="1:25" x14ac:dyDescent="0.3">
      <c r="B9" s="7">
        <v>42189</v>
      </c>
      <c r="C9" t="s">
        <v>81</v>
      </c>
      <c r="D9" t="s">
        <v>34</v>
      </c>
      <c r="E9" t="str">
        <f>IFERROR(VLOOKUP(Tabela2[[#This Row],[Mercadoria]],cálculos!$M$7:$P$35,4,FALSE),"")</f>
        <v>Lata</v>
      </c>
      <c r="F9">
        <v>100</v>
      </c>
      <c r="G9" s="3">
        <f>IFERROR(VLOOKUP(Tabela2[[#This Row],[Mercadoria]],cálculos!$M$7:$P$35,2,FALSE),"")</f>
        <v>2.1023999999999998</v>
      </c>
      <c r="H9" s="6"/>
      <c r="I9" s="3">
        <f>Tabela2[[#This Row],[Quantidade]]*Tabela2[[#This Row],[Preço Unitário]]*(1-Tabela2[[#This Row],[Desconto]])</f>
        <v>210.23999999999998</v>
      </c>
    </row>
    <row r="10" spans="1:25" x14ac:dyDescent="0.3">
      <c r="B10" s="7">
        <v>42189</v>
      </c>
      <c r="C10" t="s">
        <v>81</v>
      </c>
      <c r="D10" t="s">
        <v>30</v>
      </c>
      <c r="E10" t="str">
        <f>IFERROR(VLOOKUP(Tabela2[[#This Row],[Mercadoria]],cálculos!$M$7:$P$35,4,FALSE),"")</f>
        <v>Litro</v>
      </c>
      <c r="F10">
        <v>200</v>
      </c>
      <c r="G10" s="3">
        <f>IFERROR(VLOOKUP(Tabela2[[#This Row],[Mercadoria]],cálculos!$M$7:$P$35,2,FALSE),"")</f>
        <v>3.2084999999999999</v>
      </c>
      <c r="H10" s="6"/>
      <c r="I10" s="3">
        <f>Tabela2[[#This Row],[Quantidade]]*Tabela2[[#This Row],[Preço Unitário]]*(1-Tabela2[[#This Row],[Desconto]])</f>
        <v>641.69999999999993</v>
      </c>
    </row>
    <row r="11" spans="1:25" x14ac:dyDescent="0.3">
      <c r="B11" s="7">
        <v>42188</v>
      </c>
      <c r="C11" t="s">
        <v>82</v>
      </c>
      <c r="D11" t="s">
        <v>40</v>
      </c>
      <c r="E11" t="str">
        <f>IFERROR(VLOOKUP(Tabela2[[#This Row],[Mercadoria]],cálculos!$M$7:$P$35,4,FALSE),"")</f>
        <v>Maço</v>
      </c>
      <c r="F11">
        <v>100</v>
      </c>
      <c r="G11" s="3">
        <f>IFERROR(VLOOKUP(Tabela2[[#This Row],[Mercadoria]],cálculos!$M$7:$P$35,2,FALSE),"")</f>
        <v>6.3449999999999998</v>
      </c>
      <c r="H11" s="6"/>
      <c r="I11" s="3">
        <f>Tabela2[[#This Row],[Quantidade]]*Tabela2[[#This Row],[Preço Unitário]]*(1-Tabela2[[#This Row],[Desconto]])</f>
        <v>634.5</v>
      </c>
    </row>
    <row r="12" spans="1:25" x14ac:dyDescent="0.3">
      <c r="B12" s="7">
        <v>42188</v>
      </c>
      <c r="C12" t="s">
        <v>83</v>
      </c>
      <c r="D12" t="s">
        <v>39</v>
      </c>
      <c r="E12" t="str">
        <f>IFERROR(VLOOKUP(Tabela2[[#This Row],[Mercadoria]],cálculos!$M$7:$P$35,4,FALSE),"")</f>
        <v>Barra</v>
      </c>
      <c r="F12">
        <v>100</v>
      </c>
      <c r="G12" s="3">
        <f>IFERROR(VLOOKUP(Tabela2[[#This Row],[Mercadoria]],cálculos!$M$7:$P$35,2,FALSE),"")</f>
        <v>4.5409000000000006</v>
      </c>
      <c r="H12" s="6"/>
      <c r="I12" s="3">
        <f>Tabela2[[#This Row],[Quantidade]]*Tabela2[[#This Row],[Preço Unitário]]*(1-Tabela2[[#This Row],[Desconto]])</f>
        <v>454.09000000000003</v>
      </c>
    </row>
    <row r="13" spans="1:25" x14ac:dyDescent="0.3">
      <c r="B13" s="7">
        <v>42188</v>
      </c>
      <c r="C13" t="s">
        <v>80</v>
      </c>
      <c r="D13" t="s">
        <v>22</v>
      </c>
      <c r="E13" t="str">
        <f>IFERROR(VLOOKUP(Tabela2[[#This Row],[Mercadoria]],cálculos!$M$7:$P$35,4,FALSE),"")</f>
        <v>Kg</v>
      </c>
      <c r="F13">
        <v>300</v>
      </c>
      <c r="G13" s="3">
        <f>IFERROR(VLOOKUP(Tabela2[[#This Row],[Mercadoria]],cálculos!$M$7:$P$35,2,FALSE),"")</f>
        <v>4.0659999999999998</v>
      </c>
      <c r="H13" s="6">
        <v>0.02</v>
      </c>
      <c r="I13" s="3">
        <f>Tabela2[[#This Row],[Quantidade]]*Tabela2[[#This Row],[Preço Unitário]]*(1-Tabela2[[#This Row],[Desconto]])</f>
        <v>1195.404</v>
      </c>
    </row>
    <row r="14" spans="1:25" x14ac:dyDescent="0.3">
      <c r="B14" s="7">
        <v>42188</v>
      </c>
      <c r="C14" t="s">
        <v>80</v>
      </c>
      <c r="D14" t="s">
        <v>33</v>
      </c>
      <c r="E14" t="str">
        <f>IFERROR(VLOOKUP(Tabela2[[#This Row],[Mercadoria]],cálculos!$M$7:$P$35,4,FALSE),"")</f>
        <v>Pacote</v>
      </c>
      <c r="F14">
        <v>50</v>
      </c>
      <c r="G14" s="3">
        <f>IFERROR(VLOOKUP(Tabela2[[#This Row],[Mercadoria]],cálculos!$M$7:$P$35,2,FALSE),"")</f>
        <v>1.0580000000000001</v>
      </c>
      <c r="H14" s="6"/>
      <c r="I14" s="3">
        <f>Tabela2[[#This Row],[Quantidade]]*Tabela2[[#This Row],[Preço Unitário]]*(1-Tabela2[[#This Row],[Desconto]])</f>
        <v>52.900000000000006</v>
      </c>
    </row>
    <row r="15" spans="1:25" x14ac:dyDescent="0.3">
      <c r="B15" s="7">
        <v>42188</v>
      </c>
      <c r="C15" t="s">
        <v>84</v>
      </c>
      <c r="D15" t="s">
        <v>76</v>
      </c>
      <c r="E15" t="str">
        <f>IFERROR(VLOOKUP(Tabela2[[#This Row],[Mercadoria]],cálculos!$M$7:$P$35,4,FALSE),"")</f>
        <v>Unidade</v>
      </c>
      <c r="F15">
        <v>300</v>
      </c>
      <c r="G15" s="3">
        <f>IFERROR(VLOOKUP(Tabela2[[#This Row],[Mercadoria]],cálculos!$M$7:$P$35,2,FALSE),"")</f>
        <v>2.6299000000000001</v>
      </c>
      <c r="H15" s="6"/>
      <c r="I15" s="3">
        <f>Tabela2[[#This Row],[Quantidade]]*Tabela2[[#This Row],[Preço Unitário]]*(1-Tabela2[[#This Row],[Desconto]])</f>
        <v>788.97</v>
      </c>
    </row>
    <row r="16" spans="1:25" x14ac:dyDescent="0.3">
      <c r="B16" s="7">
        <v>42188</v>
      </c>
      <c r="C16" t="s">
        <v>83</v>
      </c>
      <c r="D16" t="s">
        <v>38</v>
      </c>
      <c r="E16" t="str">
        <f>IFERROR(VLOOKUP(Tabela2[[#This Row],[Mercadoria]],cálculos!$M$7:$P$35,4,FALSE),"")</f>
        <v>Pacote</v>
      </c>
      <c r="F16">
        <v>100</v>
      </c>
      <c r="G16" s="3">
        <f>IFERROR(VLOOKUP(Tabela2[[#This Row],[Mercadoria]],cálculos!$M$7:$P$35,2,FALSE),"")</f>
        <v>1.8506999999999998</v>
      </c>
      <c r="H16" s="6"/>
      <c r="I16" s="3">
        <f>Tabela2[[#This Row],[Quantidade]]*Tabela2[[#This Row],[Preço Unitário]]*(1-Tabela2[[#This Row],[Desconto]])</f>
        <v>185.07</v>
      </c>
    </row>
    <row r="17" spans="2:9" x14ac:dyDescent="0.3">
      <c r="B17" s="7">
        <v>42188</v>
      </c>
      <c r="C17" t="s">
        <v>81</v>
      </c>
      <c r="D17" t="s">
        <v>34</v>
      </c>
      <c r="E17" t="str">
        <f>IFERROR(VLOOKUP(Tabela2[[#This Row],[Mercadoria]],cálculos!$M$7:$P$35,4,FALSE),"")</f>
        <v>Lata</v>
      </c>
      <c r="F17">
        <v>100</v>
      </c>
      <c r="G17" s="3">
        <f>IFERROR(VLOOKUP(Tabela2[[#This Row],[Mercadoria]],cálculos!$M$7:$P$35,2,FALSE),"")</f>
        <v>2.1023999999999998</v>
      </c>
      <c r="H17" s="6">
        <v>0.06</v>
      </c>
      <c r="I17" s="3">
        <f>Tabela2[[#This Row],[Quantidade]]*Tabela2[[#This Row],[Preço Unitário]]*(1-Tabela2[[#This Row],[Desconto]])</f>
        <v>197.62559999999996</v>
      </c>
    </row>
    <row r="18" spans="2:9" x14ac:dyDescent="0.3">
      <c r="B18" s="7">
        <v>42188</v>
      </c>
      <c r="C18" t="s">
        <v>85</v>
      </c>
      <c r="D18" t="s">
        <v>26</v>
      </c>
      <c r="E18" t="str">
        <f>IFERROR(VLOOKUP(Tabela2[[#This Row],[Mercadoria]],cálculos!$M$7:$P$35,4,FALSE),"")</f>
        <v>Kg</v>
      </c>
      <c r="F18">
        <v>110</v>
      </c>
      <c r="G18" s="3">
        <f>IFERROR(VLOOKUP(Tabela2[[#This Row],[Mercadoria]],cálculos!$M$7:$P$35,2,FALSE),"")</f>
        <v>6.4216000000000006</v>
      </c>
      <c r="H18" s="6">
        <v>0.03</v>
      </c>
      <c r="I18" s="3">
        <f>Tabela2[[#This Row],[Quantidade]]*Tabela2[[#This Row],[Preço Unitário]]*(1-Tabela2[[#This Row],[Desconto]])</f>
        <v>685.18472000000008</v>
      </c>
    </row>
    <row r="19" spans="2:9" x14ac:dyDescent="0.3">
      <c r="B19" s="7">
        <v>42188</v>
      </c>
      <c r="C19" t="s">
        <v>86</v>
      </c>
      <c r="D19" t="s">
        <v>27</v>
      </c>
      <c r="E19" t="str">
        <f>IFERROR(VLOOKUP(Tabela2[[#This Row],[Mercadoria]],cálculos!$M$7:$P$35,4,FALSE),"")</f>
        <v>Kg</v>
      </c>
      <c r="F19">
        <v>50</v>
      </c>
      <c r="G19" s="3">
        <f>IFERROR(VLOOKUP(Tabela2[[#This Row],[Mercadoria]],cálculos!$M$7:$P$35,2,FALSE),"")</f>
        <v>22.226999999999997</v>
      </c>
      <c r="H19" s="6"/>
      <c r="I19" s="3">
        <f>Tabela2[[#This Row],[Quantidade]]*Tabela2[[#This Row],[Preço Unitário]]*(1-Tabela2[[#This Row],[Desconto]])</f>
        <v>1111.3499999999999</v>
      </c>
    </row>
    <row r="20" spans="2:9" x14ac:dyDescent="0.3">
      <c r="B20" s="7">
        <v>42187</v>
      </c>
      <c r="C20" t="s">
        <v>80</v>
      </c>
      <c r="D20" t="s">
        <v>21</v>
      </c>
      <c r="E20" t="str">
        <f>IFERROR(VLOOKUP(Tabela2[[#This Row],[Mercadoria]],cálculos!$M$7:$P$35,4,FALSE),"")</f>
        <v>Kg</v>
      </c>
      <c r="F20">
        <v>300</v>
      </c>
      <c r="G20" s="3">
        <f>IFERROR(VLOOKUP(Tabela2[[#This Row],[Mercadoria]],cálculos!$M$7:$P$35,2,FALSE),"")</f>
        <v>2.3406000000000002</v>
      </c>
      <c r="H20" s="6"/>
      <c r="I20" s="3">
        <f>Tabela2[[#This Row],[Quantidade]]*Tabela2[[#This Row],[Preço Unitário]]*(1-Tabela2[[#This Row],[Desconto]])</f>
        <v>702.18000000000006</v>
      </c>
    </row>
    <row r="21" spans="2:9" x14ac:dyDescent="0.3">
      <c r="B21" s="7">
        <v>42187</v>
      </c>
      <c r="C21" t="s">
        <v>79</v>
      </c>
      <c r="D21" t="s">
        <v>24</v>
      </c>
      <c r="E21" t="str">
        <f>IFERROR(VLOOKUP(Tabela2[[#This Row],[Mercadoria]],cálculos!$M$7:$P$35,4,FALSE),"")</f>
        <v>Unidade</v>
      </c>
      <c r="F21">
        <v>150</v>
      </c>
      <c r="G21" s="3">
        <f>IFERROR(VLOOKUP(Tabela2[[#This Row],[Mercadoria]],cálculos!$M$7:$P$35,2,FALSE),"")</f>
        <v>2.8405</v>
      </c>
      <c r="H21" s="6"/>
      <c r="I21" s="3">
        <f>Tabela2[[#This Row],[Quantidade]]*Tabela2[[#This Row],[Preço Unitário]]*(1-Tabela2[[#This Row],[Desconto]])</f>
        <v>426.07499999999999</v>
      </c>
    </row>
    <row r="22" spans="2:9" x14ac:dyDescent="0.3">
      <c r="B22" s="7">
        <v>42187</v>
      </c>
      <c r="C22" t="s">
        <v>87</v>
      </c>
      <c r="D22" t="s">
        <v>31</v>
      </c>
      <c r="E22" t="str">
        <f>IFERROR(VLOOKUP(Tabela2[[#This Row],[Mercadoria]],cálculos!$M$7:$P$35,4,FALSE),"")</f>
        <v>Kg</v>
      </c>
      <c r="F22">
        <v>150</v>
      </c>
      <c r="G22" s="3">
        <f>IFERROR(VLOOKUP(Tabela2[[#This Row],[Mercadoria]],cálculos!$M$7:$P$35,2,FALSE),"")</f>
        <v>3.6309000000000005</v>
      </c>
      <c r="H22" s="6">
        <v>0.05</v>
      </c>
      <c r="I22" s="3">
        <f>Tabela2[[#This Row],[Quantidade]]*Tabela2[[#This Row],[Preço Unitário]]*(1-Tabela2[[#This Row],[Desconto]])</f>
        <v>517.40325000000007</v>
      </c>
    </row>
    <row r="23" spans="2:9" x14ac:dyDescent="0.3">
      <c r="B23" s="7">
        <v>42187</v>
      </c>
      <c r="C23" t="s">
        <v>88</v>
      </c>
      <c r="D23" t="s">
        <v>25</v>
      </c>
      <c r="E23" t="str">
        <f>IFERROR(VLOOKUP(Tabela2[[#This Row],[Mercadoria]],cálculos!$M$7:$P$35,4,FALSE),"")</f>
        <v>Kg</v>
      </c>
      <c r="F23">
        <v>150</v>
      </c>
      <c r="G23" s="3">
        <f>IFERROR(VLOOKUP(Tabela2[[#This Row],[Mercadoria]],cálculos!$M$7:$P$35,2,FALSE),"")</f>
        <v>14.469000000000001</v>
      </c>
      <c r="H23" s="6"/>
      <c r="I23" s="3">
        <f>Tabela2[[#This Row],[Quantidade]]*Tabela2[[#This Row],[Preço Unitário]]*(1-Tabela2[[#This Row],[Desconto]])</f>
        <v>2170.3500000000004</v>
      </c>
    </row>
    <row r="24" spans="2:9" x14ac:dyDescent="0.3">
      <c r="B24" s="7">
        <v>42187</v>
      </c>
      <c r="C24" t="s">
        <v>81</v>
      </c>
      <c r="D24" t="s">
        <v>34</v>
      </c>
      <c r="E24" t="str">
        <f>IFERROR(VLOOKUP(Tabela2[[#This Row],[Mercadoria]],cálculos!$M$7:$P$35,4,FALSE),"")</f>
        <v>Lata</v>
      </c>
      <c r="F24">
        <v>100</v>
      </c>
      <c r="G24" s="3">
        <f>IFERROR(VLOOKUP(Tabela2[[#This Row],[Mercadoria]],cálculos!$M$7:$P$35,2,FALSE),"")</f>
        <v>2.1023999999999998</v>
      </c>
      <c r="H24" s="6"/>
      <c r="I24" s="3">
        <f>Tabela2[[#This Row],[Quantidade]]*Tabela2[[#This Row],[Preço Unitário]]*(1-Tabela2[[#This Row],[Desconto]])</f>
        <v>210.23999999999998</v>
      </c>
    </row>
    <row r="25" spans="2:9" x14ac:dyDescent="0.3">
      <c r="B25" s="7">
        <v>42187</v>
      </c>
      <c r="C25" t="s">
        <v>81</v>
      </c>
      <c r="D25" t="s">
        <v>29</v>
      </c>
      <c r="E25" t="str">
        <f>IFERROR(VLOOKUP(Tabela2[[#This Row],[Mercadoria]],cálculos!$M$7:$P$35,4,FALSE),"")</f>
        <v>Garrafa</v>
      </c>
      <c r="F25">
        <v>80</v>
      </c>
      <c r="G25" s="3">
        <f>IFERROR(VLOOKUP(Tabela2[[#This Row],[Mercadoria]],cálculos!$M$7:$P$35,2,FALSE),"")</f>
        <v>26.012999999999998</v>
      </c>
      <c r="H25" s="6"/>
      <c r="I25" s="3">
        <f>Tabela2[[#This Row],[Quantidade]]*Tabela2[[#This Row],[Preço Unitário]]*(1-Tabela2[[#This Row],[Desconto]])</f>
        <v>2081.04</v>
      </c>
    </row>
    <row r="26" spans="2:9" x14ac:dyDescent="0.3">
      <c r="B26" s="7">
        <v>42187</v>
      </c>
      <c r="C26" t="s">
        <v>79</v>
      </c>
      <c r="D26" t="s">
        <v>36</v>
      </c>
      <c r="E26" t="str">
        <f>IFERROR(VLOOKUP(Tabela2[[#This Row],[Mercadoria]],cálculos!$M$7:$P$35,4,FALSE),"")</f>
        <v>Unidade</v>
      </c>
      <c r="F26">
        <v>100</v>
      </c>
      <c r="G26" s="3">
        <f>IFERROR(VLOOKUP(Tabela2[[#This Row],[Mercadoria]],cálculos!$M$7:$P$35,2,FALSE),"")</f>
        <v>2.3660000000000001</v>
      </c>
      <c r="H26" s="6"/>
      <c r="I26" s="3">
        <f>Tabela2[[#This Row],[Quantidade]]*Tabela2[[#This Row],[Preço Unitário]]*(1-Tabela2[[#This Row],[Desconto]])</f>
        <v>236.60000000000002</v>
      </c>
    </row>
    <row r="27" spans="2:9" x14ac:dyDescent="0.3">
      <c r="B27" s="7"/>
      <c r="F27" s="3"/>
      <c r="G27" s="6"/>
      <c r="H27" s="3"/>
    </row>
    <row r="28" spans="2:9" ht="21" x14ac:dyDescent="0.4">
      <c r="B28" s="11" t="s">
        <v>89</v>
      </c>
      <c r="C28" s="12"/>
      <c r="D28" s="12"/>
      <c r="E28" s="12"/>
      <c r="F28" s="12"/>
      <c r="G28" s="12"/>
      <c r="H28" s="12"/>
      <c r="I28" s="13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workbookViewId="0">
      <selection activeCell="B13" sqref="B13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2" customFormat="1" ht="28.05" customHeight="1" x14ac:dyDescent="0.45">
      <c r="A2" s="1"/>
      <c r="B2" s="4" t="s">
        <v>91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94</v>
      </c>
      <c r="C5" t="s">
        <v>46</v>
      </c>
      <c r="D5" t="s">
        <v>92</v>
      </c>
      <c r="E5" t="s">
        <v>93</v>
      </c>
    </row>
    <row r="6" spans="1:25" ht="46.8" customHeight="1" x14ac:dyDescent="0.3">
      <c r="B6" t="s">
        <v>95</v>
      </c>
      <c r="C6" s="7">
        <v>42129</v>
      </c>
      <c r="D6" s="10" t="s">
        <v>98</v>
      </c>
      <c r="E6" s="3">
        <v>400000</v>
      </c>
    </row>
    <row r="7" spans="1:25" ht="40.799999999999997" customHeight="1" x14ac:dyDescent="0.3">
      <c r="B7" t="s">
        <v>15</v>
      </c>
      <c r="C7" s="7"/>
      <c r="D7" s="10"/>
      <c r="E7" s="3">
        <v>0</v>
      </c>
    </row>
    <row r="8" spans="1:25" ht="38.4" customHeight="1" x14ac:dyDescent="0.3">
      <c r="B8" t="s">
        <v>96</v>
      </c>
      <c r="C8" s="7"/>
      <c r="D8" s="10"/>
      <c r="E8" s="3">
        <v>0</v>
      </c>
    </row>
    <row r="9" spans="1:25" ht="37.200000000000003" customHeight="1" x14ac:dyDescent="0.3">
      <c r="B9" t="s">
        <v>97</v>
      </c>
      <c r="C9" s="7"/>
      <c r="D9" s="10"/>
      <c r="E9" s="3">
        <v>0</v>
      </c>
    </row>
    <row r="10" spans="1:25" ht="51" customHeight="1" x14ac:dyDescent="0.3">
      <c r="B10" t="s">
        <v>5</v>
      </c>
      <c r="C10" s="7"/>
      <c r="D10" s="10"/>
      <c r="E10" s="3">
        <v>0</v>
      </c>
    </row>
    <row r="12" spans="1:25" ht="21" x14ac:dyDescent="0.4">
      <c r="B12" s="11" t="s">
        <v>99</v>
      </c>
      <c r="C12" s="12"/>
      <c r="D12" s="12"/>
      <c r="E12" s="13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>
      <selection activeCell="D31" sqref="D31"/>
    </sheetView>
  </sheetViews>
  <sheetFormatPr defaultRowHeight="14.4" x14ac:dyDescent="0.3"/>
  <cols>
    <col min="2" max="2" width="21.33203125" customWidth="1"/>
    <col min="3" max="3" width="22.5546875" bestFit="1" customWidth="1"/>
    <col min="4" max="4" width="18.5546875" bestFit="1" customWidth="1"/>
    <col min="5" max="5" width="22.5546875" bestFit="1" customWidth="1"/>
    <col min="6" max="6" width="20.77734375" bestFit="1" customWidth="1"/>
    <col min="7" max="7" width="18.109375" bestFit="1" customWidth="1"/>
    <col min="8" max="8" width="20.5546875" customWidth="1"/>
  </cols>
  <sheetData>
    <row r="2" spans="2:8" s="19" customFormat="1" ht="28.05" customHeight="1" x14ac:dyDescent="0.45">
      <c r="B2" s="20" t="s">
        <v>100</v>
      </c>
      <c r="E2" s="21"/>
    </row>
    <row r="3" spans="2:8" ht="48" customHeight="1" x14ac:dyDescent="0.3"/>
    <row r="5" spans="2:8" x14ac:dyDescent="0.3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</row>
    <row r="6" spans="2:8" x14ac:dyDescent="0.3">
      <c r="B6" t="s">
        <v>24</v>
      </c>
      <c r="C6" s="7">
        <f>IFERROR(INDEX(Tabela2[],MATCH(B6,Tabela2[Mercadoria],0),1),"")</f>
        <v>42187</v>
      </c>
      <c r="D6">
        <v>15</v>
      </c>
      <c r="E6">
        <f>SUMIF(Tabela2[Mercadoria],Tabela4[[#This Row],[Produto]],Tabela2[Quantidade])</f>
        <v>150</v>
      </c>
      <c r="G6">
        <f>Tabela4[[#This Row],[Quantidade Inicial]]+Tabela4[[#This Row],[Quantidade Comprada]]-Tabela4[[#This Row],[Quantidade Vendida]]</f>
        <v>165</v>
      </c>
      <c r="H6" t="str">
        <f>IF(Tabela4[[#This Row],[Quantidade Atual]]&lt;50,IF(Tabela4[[#This Row],[Quantidade Atual]]&lt;21,"Comprar","Atenção"),"OK")</f>
        <v>OK</v>
      </c>
    </row>
    <row r="7" spans="2:8" x14ac:dyDescent="0.3">
      <c r="B7" t="s">
        <v>33</v>
      </c>
      <c r="C7" s="7">
        <f>IFERROR(INDEX(Tabela2[],MATCH(B7,Tabela2[Mercadoria],0),1),"")</f>
        <v>42188</v>
      </c>
      <c r="D7">
        <v>10</v>
      </c>
      <c r="E7">
        <f>SUMIF(Tabela2[Mercadoria],Tabela4[[#This Row],[Produto]],Tabela2[Quantidade])</f>
        <v>50</v>
      </c>
      <c r="G7">
        <f>Tabela4[[#This Row],[Quantidade Inicial]]+Tabela4[[#This Row],[Quantidade Comprada]]-Tabela4[[#This Row],[Quantidade Vendida]]</f>
        <v>60</v>
      </c>
      <c r="H7" t="str">
        <f>IF(Tabela4[[#This Row],[Quantidade Atual]]&lt;50,IF(Tabela4[[#This Row],[Quantidade Atual]]&lt;21,"Comprar","Atenção"),"OK")</f>
        <v>OK</v>
      </c>
    </row>
    <row r="8" spans="2:8" x14ac:dyDescent="0.3">
      <c r="B8" t="s">
        <v>21</v>
      </c>
      <c r="C8" s="7">
        <f>IFERROR(INDEX(Tabela2[],MATCH(B8,Tabela2[Mercadoria],0),1),"")</f>
        <v>42189</v>
      </c>
      <c r="D8">
        <v>0</v>
      </c>
      <c r="E8">
        <f>SUMIF(Tabela2[Mercadoria],Tabela4[[#This Row],[Produto]],Tabela2[Quantidade])</f>
        <v>450</v>
      </c>
      <c r="G8">
        <f>Tabela4[[#This Row],[Quantidade Inicial]]+Tabela4[[#This Row],[Quantidade Comprada]]-Tabela4[[#This Row],[Quantidade Vendida]]</f>
        <v>450</v>
      </c>
      <c r="H8" t="str">
        <f>IF(Tabela4[[#This Row],[Quantidade Atual]]&lt;50,IF(Tabela4[[#This Row],[Quantidade Atual]]&lt;21,"Comprar","Atenção"),"OK")</f>
        <v>OK</v>
      </c>
    </row>
    <row r="9" spans="2:8" x14ac:dyDescent="0.3">
      <c r="B9" t="s">
        <v>38</v>
      </c>
      <c r="C9" s="7">
        <f>IFERROR(INDEX(Tabela2[],MATCH(B9,Tabela2[Mercadoria],0),1),"")</f>
        <v>42188</v>
      </c>
      <c r="D9">
        <v>0</v>
      </c>
      <c r="E9">
        <f>SUMIF(Tabela2[Mercadoria],Tabela4[[#This Row],[Produto]],Tabela2[Quantidade])</f>
        <v>100</v>
      </c>
      <c r="G9">
        <f>Tabela4[[#This Row],[Quantidade Inicial]]+Tabela4[[#This Row],[Quantidade Comprada]]-Tabela4[[#This Row],[Quantidade Vendida]]</f>
        <v>100</v>
      </c>
      <c r="H9" t="str">
        <f>IF(Tabela4[[#This Row],[Quantidade Atual]]&lt;50,IF(Tabela4[[#This Row],[Quantidade Atual]]&lt;21,"Comprar","Atenção"),"OK")</f>
        <v>OK</v>
      </c>
    </row>
    <row r="10" spans="2:8" x14ac:dyDescent="0.3">
      <c r="B10" t="s">
        <v>41</v>
      </c>
      <c r="C10" s="7" t="str">
        <f>IFERROR(INDEX(Tabela2[],MATCH(B10,Tabela2[Mercadoria],0),1),"")</f>
        <v/>
      </c>
      <c r="D10">
        <v>150</v>
      </c>
      <c r="E10">
        <f>SUMIF(Tabela2[Mercadoria],Tabela4[[#This Row],[Produto]],Tabela2[Quantidade])</f>
        <v>0</v>
      </c>
      <c r="G10">
        <f>Tabela4[[#This Row],[Quantidade Inicial]]+Tabela4[[#This Row],[Quantidade Comprada]]-Tabela4[[#This Row],[Quantidade Vendida]]</f>
        <v>150</v>
      </c>
      <c r="H10" t="str">
        <f>IF(Tabela4[[#This Row],[Quantidade Atual]]&lt;50,IF(Tabela4[[#This Row],[Quantidade Atual]]&lt;21,"Comprar","Atenção"),"OK")</f>
        <v>OK</v>
      </c>
    </row>
    <row r="11" spans="2:8" x14ac:dyDescent="0.3">
      <c r="B11" t="s">
        <v>37</v>
      </c>
      <c r="C11" s="7" t="str">
        <f>IFERROR(INDEX(Tabela2[],MATCH(B11,Tabela2[Mercadoria],0),1),"")</f>
        <v/>
      </c>
      <c r="D11">
        <v>15</v>
      </c>
      <c r="E11">
        <f>SUMIF(Tabela2[Mercadoria],Tabela4[[#This Row],[Produto]],Tabela2[Quantidade])</f>
        <v>0</v>
      </c>
      <c r="G11">
        <f>Tabela4[[#This Row],[Quantidade Inicial]]+Tabela4[[#This Row],[Quantidade Comprada]]-Tabela4[[#This Row],[Quantidade Vendida]]</f>
        <v>15</v>
      </c>
      <c r="H11" t="str">
        <f>IF(Tabela4[[#This Row],[Quantidade Atual]]&lt;50,IF(Tabela4[[#This Row],[Quantidade Atual]]&lt;21,"Comprar","Atenção"),"OK")</f>
        <v>Comprar</v>
      </c>
    </row>
    <row r="12" spans="2:8" x14ac:dyDescent="0.3">
      <c r="B12" t="s">
        <v>25</v>
      </c>
      <c r="C12" s="7">
        <f>IFERROR(INDEX(Tabela2[],MATCH(B12,Tabela2[Mercadoria],0),1),"")</f>
        <v>42187</v>
      </c>
      <c r="D12">
        <v>25</v>
      </c>
      <c r="E12">
        <f>SUMIF(Tabela2[Mercadoria],Tabela4[[#This Row],[Produto]],Tabela2[Quantidade])</f>
        <v>150</v>
      </c>
      <c r="G12">
        <f>Tabela4[[#This Row],[Quantidade Inicial]]+Tabela4[[#This Row],[Quantidade Comprada]]-Tabela4[[#This Row],[Quantidade Vendida]]</f>
        <v>175</v>
      </c>
      <c r="H12" t="str">
        <f>IF(Tabela4[[#This Row],[Quantidade Atual]]&lt;50,IF(Tabela4[[#This Row],[Quantidade Atual]]&lt;21,"Comprar","Atenção"),"OK")</f>
        <v>OK</v>
      </c>
    </row>
    <row r="13" spans="2:8" x14ac:dyDescent="0.3">
      <c r="B13" t="s">
        <v>31</v>
      </c>
      <c r="C13" s="7">
        <f>IFERROR(INDEX(Tabela2[],MATCH(B13,Tabela2[Mercadoria],0),1),"")</f>
        <v>42187</v>
      </c>
      <c r="D13">
        <v>0</v>
      </c>
      <c r="E13">
        <f>SUMIF(Tabela2[Mercadoria],Tabela4[[#This Row],[Produto]],Tabela2[Quantidade])</f>
        <v>150</v>
      </c>
      <c r="G13">
        <f>Tabela4[[#This Row],[Quantidade Inicial]]+Tabela4[[#This Row],[Quantidade Comprada]]-Tabela4[[#This Row],[Quantidade Vendida]]</f>
        <v>150</v>
      </c>
      <c r="H13" t="str">
        <f>IF(Tabela4[[#This Row],[Quantidade Atual]]&lt;50,IF(Tabela4[[#This Row],[Quantidade Atual]]&lt;21,"Comprar","Atenção"),"OK")</f>
        <v>OK</v>
      </c>
    </row>
    <row r="14" spans="2:8" x14ac:dyDescent="0.3">
      <c r="B14" t="s">
        <v>34</v>
      </c>
      <c r="C14" s="7">
        <f>IFERROR(INDEX(Tabela2[],MATCH(B14,Tabela2[Mercadoria],0),1),"")</f>
        <v>42189</v>
      </c>
      <c r="D14">
        <v>0</v>
      </c>
      <c r="E14">
        <f>SUMIF(Tabela2[Mercadoria],Tabela4[[#This Row],[Produto]],Tabela2[Quantidade])</f>
        <v>300</v>
      </c>
      <c r="G14">
        <f>Tabela4[[#This Row],[Quantidade Inicial]]+Tabela4[[#This Row],[Quantidade Comprada]]-Tabela4[[#This Row],[Quantidade Vendida]]</f>
        <v>300</v>
      </c>
      <c r="H14" t="str">
        <f>IF(Tabela4[[#This Row],[Quantidade Atual]]&lt;50,IF(Tabela4[[#This Row],[Quantidade Atual]]&lt;21,"Comprar","Atenção"),"OK")</f>
        <v>OK</v>
      </c>
    </row>
    <row r="15" spans="2:8" x14ac:dyDescent="0.3">
      <c r="B15" t="s">
        <v>39</v>
      </c>
      <c r="C15" s="7">
        <f>IFERROR(INDEX(Tabela2[],MATCH(B15,Tabela2[Mercadoria],0),1),"")</f>
        <v>42188</v>
      </c>
      <c r="D15">
        <v>30</v>
      </c>
      <c r="E15">
        <f>SUMIF(Tabela2[Mercadoria],Tabela4[[#This Row],[Produto]],Tabela2[Quantidade])</f>
        <v>100</v>
      </c>
      <c r="G15">
        <f>Tabela4[[#This Row],[Quantidade Inicial]]+Tabela4[[#This Row],[Quantidade Comprada]]-Tabela4[[#This Row],[Quantidade Vendida]]</f>
        <v>130</v>
      </c>
      <c r="H15" t="str">
        <f>IF(Tabela4[[#This Row],[Quantidade Atual]]&lt;50,IF(Tabela4[[#This Row],[Quantidade Atual]]&lt;21,"Comprar","Atenção"),"OK")</f>
        <v>OK</v>
      </c>
    </row>
    <row r="16" spans="2:8" x14ac:dyDescent="0.3">
      <c r="B16" t="s">
        <v>40</v>
      </c>
      <c r="C16" s="7">
        <f>IFERROR(INDEX(Tabela2[],MATCH(B16,Tabela2[Mercadoria],0),1),"")</f>
        <v>42188</v>
      </c>
      <c r="D16">
        <v>0</v>
      </c>
      <c r="E16">
        <f>SUMIF(Tabela2[Mercadoria],Tabela4[[#This Row],[Produto]],Tabela2[Quantidade])</f>
        <v>100</v>
      </c>
      <c r="G16">
        <f>Tabela4[[#This Row],[Quantidade Inicial]]+Tabela4[[#This Row],[Quantidade Comprada]]-Tabela4[[#This Row],[Quantidade Vendida]]</f>
        <v>100</v>
      </c>
      <c r="H16" t="str">
        <f>IF(Tabela4[[#This Row],[Quantidade Atual]]&lt;50,IF(Tabela4[[#This Row],[Quantidade Atual]]&lt;21,"Comprar","Atenção"),"OK")</f>
        <v>OK</v>
      </c>
    </row>
    <row r="17" spans="2:8" x14ac:dyDescent="0.3">
      <c r="B17" t="s">
        <v>36</v>
      </c>
      <c r="C17" s="7">
        <f>IFERROR(INDEX(Tabela2[],MATCH(B17,Tabela2[Mercadoria],0),1),"")</f>
        <v>42190</v>
      </c>
      <c r="D17">
        <v>0</v>
      </c>
      <c r="E17">
        <f>SUMIF(Tabela2[Mercadoria],Tabela4[[#This Row],[Produto]],Tabela2[Quantidade])</f>
        <v>150</v>
      </c>
      <c r="G17">
        <f>Tabela4[[#This Row],[Quantidade Inicial]]+Tabela4[[#This Row],[Quantidade Comprada]]-Tabela4[[#This Row],[Quantidade Vendida]]</f>
        <v>150</v>
      </c>
      <c r="H17" t="str">
        <f>IF(Tabela4[[#This Row],[Quantidade Atual]]&lt;50,IF(Tabela4[[#This Row],[Quantidade Atual]]&lt;21,"Comprar","Atenção"),"OK")</f>
        <v>OK</v>
      </c>
    </row>
    <row r="18" spans="2:8" x14ac:dyDescent="0.3">
      <c r="B18" t="s">
        <v>22</v>
      </c>
      <c r="C18" s="7">
        <f>IFERROR(INDEX(Tabela2[],MATCH(B18,Tabela2[Mercadoria],0),1),"")</f>
        <v>42190</v>
      </c>
      <c r="D18">
        <v>0</v>
      </c>
      <c r="E18">
        <f>SUMIF(Tabela2[Mercadoria],Tabela4[[#This Row],[Produto]],Tabela2[Quantidade])</f>
        <v>570</v>
      </c>
      <c r="G18">
        <f>Tabela4[[#This Row],[Quantidade Inicial]]+Tabela4[[#This Row],[Quantidade Comprada]]-Tabela4[[#This Row],[Quantidade Vendida]]</f>
        <v>570</v>
      </c>
      <c r="H18" t="str">
        <f>IF(Tabela4[[#This Row],[Quantidade Atual]]&lt;50,IF(Tabela4[[#This Row],[Quantidade Atual]]&lt;21,"Comprar","Atenção"),"OK")</f>
        <v>OK</v>
      </c>
    </row>
    <row r="19" spans="2:8" x14ac:dyDescent="0.3">
      <c r="B19" t="s">
        <v>26</v>
      </c>
      <c r="C19" s="7">
        <f>IFERROR(INDEX(Tabela2[],MATCH(B19,Tabela2[Mercadoria],0),1),"")</f>
        <v>42188</v>
      </c>
      <c r="D19">
        <v>0</v>
      </c>
      <c r="E19">
        <f>SUMIF(Tabela2[Mercadoria],Tabela4[[#This Row],[Produto]],Tabela2[Quantidade])</f>
        <v>110</v>
      </c>
      <c r="G19">
        <f>Tabela4[[#This Row],[Quantidade Inicial]]+Tabela4[[#This Row],[Quantidade Comprada]]-Tabela4[[#This Row],[Quantidade Vendida]]</f>
        <v>110</v>
      </c>
      <c r="H19" t="str">
        <f>IF(Tabela4[[#This Row],[Quantidade Atual]]&lt;50,IF(Tabela4[[#This Row],[Quantidade Atual]]&lt;21,"Comprar","Atenção"),"OK")</f>
        <v>OK</v>
      </c>
    </row>
    <row r="20" spans="2:8" x14ac:dyDescent="0.3">
      <c r="B20" t="s">
        <v>71</v>
      </c>
      <c r="C20" s="7" t="str">
        <f>IFERROR(INDEX(Tabela2[],MATCH(B20,Tabela2[Mercadoria],0),1),"")</f>
        <v/>
      </c>
      <c r="D20">
        <v>39</v>
      </c>
      <c r="E20">
        <f>SUMIF(Tabela2[Mercadoria],Tabela4[[#This Row],[Produto]],Tabela2[Quantidade])</f>
        <v>0</v>
      </c>
      <c r="G20">
        <f>Tabela4[[#This Row],[Quantidade Inicial]]+Tabela4[[#This Row],[Quantidade Comprada]]-Tabela4[[#This Row],[Quantidade Vendida]]</f>
        <v>39</v>
      </c>
      <c r="H20" t="str">
        <f>IF(Tabela4[[#This Row],[Quantidade Atual]]&lt;50,IF(Tabela4[[#This Row],[Quantidade Atual]]&lt;21,"Comprar","Atenção"),"OK")</f>
        <v>Atenção</v>
      </c>
    </row>
    <row r="21" spans="2:8" x14ac:dyDescent="0.3">
      <c r="B21" t="s">
        <v>76</v>
      </c>
      <c r="C21" s="7">
        <f>IFERROR(INDEX(Tabela2[],MATCH(B21,Tabela2[Mercadoria],0),1),"")</f>
        <v>42188</v>
      </c>
      <c r="D21">
        <v>0</v>
      </c>
      <c r="E21">
        <f>SUMIF(Tabela2[Mercadoria],Tabela4[[#This Row],[Produto]],Tabela2[Quantidade])</f>
        <v>300</v>
      </c>
      <c r="G21">
        <f>Tabela4[[#This Row],[Quantidade Inicial]]+Tabela4[[#This Row],[Quantidade Comprada]]-Tabela4[[#This Row],[Quantidade Vendida]]</f>
        <v>300</v>
      </c>
      <c r="H21" t="str">
        <f>IF(Tabela4[[#This Row],[Quantidade Atual]]&lt;50,IF(Tabela4[[#This Row],[Quantidade Atual]]&lt;21,"Comprar","Atenção"),"OK")</f>
        <v>OK</v>
      </c>
    </row>
    <row r="22" spans="2:8" x14ac:dyDescent="0.3">
      <c r="B22" t="s">
        <v>27</v>
      </c>
      <c r="C22" s="7">
        <f>IFERROR(INDEX(Tabela2[],MATCH(B22,Tabela2[Mercadoria],0),1),"")</f>
        <v>42188</v>
      </c>
      <c r="D22">
        <v>0</v>
      </c>
      <c r="E22">
        <f>SUMIF(Tabela2[Mercadoria],Tabela4[[#This Row],[Produto]],Tabela2[Quantidade])</f>
        <v>50</v>
      </c>
      <c r="G22">
        <f>Tabela4[[#This Row],[Quantidade Inicial]]+Tabela4[[#This Row],[Quantidade Comprada]]-Tabela4[[#This Row],[Quantidade Vendida]]</f>
        <v>50</v>
      </c>
      <c r="H22" t="str">
        <f>IF(Tabela4[[#This Row],[Quantidade Atual]]&lt;50,IF(Tabela4[[#This Row],[Quantidade Atual]]&lt;21,"Comprar","Atenção"),"OK")</f>
        <v>OK</v>
      </c>
    </row>
    <row r="23" spans="2:8" x14ac:dyDescent="0.3">
      <c r="B23" t="s">
        <v>28</v>
      </c>
      <c r="C23" s="7" t="str">
        <f>IFERROR(INDEX(Tabela2[],MATCH(B23,Tabela2[Mercadoria],0),1),"")</f>
        <v/>
      </c>
      <c r="D23">
        <v>10</v>
      </c>
      <c r="E23">
        <f>SUMIF(Tabela2[Mercadoria],Tabela4[[#This Row],[Produto]],Tabela2[Quantidade])</f>
        <v>0</v>
      </c>
      <c r="G23">
        <f>Tabela4[[#This Row],[Quantidade Inicial]]+Tabela4[[#This Row],[Quantidade Comprada]]-Tabela4[[#This Row],[Quantidade Vendida]]</f>
        <v>10</v>
      </c>
      <c r="H23" t="str">
        <f>IF(Tabela4[[#This Row],[Quantidade Atual]]&lt;50,IF(Tabela4[[#This Row],[Quantidade Atual]]&lt;21,"Comprar","Atenção"),"OK")</f>
        <v>Comprar</v>
      </c>
    </row>
    <row r="24" spans="2:8" x14ac:dyDescent="0.3">
      <c r="B24" t="s">
        <v>77</v>
      </c>
      <c r="C24" s="7" t="str">
        <f>IFERROR(INDEX(Tabela2[],MATCH(B24,Tabela2[Mercadoria],0),1),"")</f>
        <v/>
      </c>
      <c r="D24">
        <v>100</v>
      </c>
      <c r="E24">
        <f>SUMIF(Tabela2[Mercadoria],Tabela4[[#This Row],[Produto]],Tabela2[Quantidade])</f>
        <v>0</v>
      </c>
      <c r="G24">
        <f>Tabela4[[#This Row],[Quantidade Inicial]]+Tabela4[[#This Row],[Quantidade Comprada]]-Tabela4[[#This Row],[Quantidade Vendida]]</f>
        <v>100</v>
      </c>
      <c r="H24" t="str">
        <f>IF(Tabela4[[#This Row],[Quantidade Atual]]&lt;50,IF(Tabela4[[#This Row],[Quantidade Atual]]&lt;21,"Comprar","Atenção"),"OK")</f>
        <v>OK</v>
      </c>
    </row>
    <row r="25" spans="2:8" x14ac:dyDescent="0.3">
      <c r="B25" t="s">
        <v>30</v>
      </c>
      <c r="C25" s="7">
        <f>IFERROR(INDEX(Tabela2[],MATCH(B25,Tabela2[Mercadoria],0),1),"")</f>
        <v>42189</v>
      </c>
      <c r="D25">
        <v>0</v>
      </c>
      <c r="E25">
        <f>SUMIF(Tabela2[Mercadoria],Tabela4[[#This Row],[Produto]],Tabela2[Quantidade])</f>
        <v>200</v>
      </c>
      <c r="G25">
        <f>Tabela4[[#This Row],[Quantidade Inicial]]+Tabela4[[#This Row],[Quantidade Comprada]]-Tabela4[[#This Row],[Quantidade Vendida]]</f>
        <v>200</v>
      </c>
      <c r="H25" t="str">
        <f>IF(Tabela4[[#This Row],[Quantidade Atual]]&lt;50,IF(Tabela4[[#This Row],[Quantidade Atual]]&lt;21,"Comprar","Atenção"),"OK")</f>
        <v>OK</v>
      </c>
    </row>
    <row r="26" spans="2:8" x14ac:dyDescent="0.3">
      <c r="B26" t="s">
        <v>23</v>
      </c>
      <c r="C26" s="7" t="str">
        <f>IFERROR(INDEX(Tabela2[],MATCH(B26,Tabela2[Mercadoria],0),1),"")</f>
        <v/>
      </c>
      <c r="D26">
        <v>30</v>
      </c>
      <c r="E26">
        <f>SUMIF(Tabela2[Mercadoria],Tabela4[[#This Row],[Produto]],Tabela2[Quantidade])</f>
        <v>0</v>
      </c>
      <c r="G26">
        <f>Tabela4[[#This Row],[Quantidade Inicial]]+Tabela4[[#This Row],[Quantidade Comprada]]-Tabela4[[#This Row],[Quantidade Vendida]]</f>
        <v>30</v>
      </c>
      <c r="H26" t="str">
        <f>IF(Tabela4[[#This Row],[Quantidade Atual]]&lt;50,IF(Tabela4[[#This Row],[Quantidade Atual]]&lt;21,"Comprar","Atenção"),"OK")</f>
        <v>Atenção</v>
      </c>
    </row>
    <row r="27" spans="2:8" x14ac:dyDescent="0.3">
      <c r="B27" t="s">
        <v>32</v>
      </c>
      <c r="C27" s="7" t="str">
        <f>IFERROR(INDEX(Tabela2[],MATCH(B27,Tabela2[Mercadoria],0),1),"")</f>
        <v/>
      </c>
      <c r="D27">
        <v>50</v>
      </c>
      <c r="E27">
        <f>SUMIF(Tabela2[Mercadoria],Tabela4[[#This Row],[Produto]],Tabela2[Quantidade])</f>
        <v>0</v>
      </c>
      <c r="G27">
        <f>Tabela4[[#This Row],[Quantidade Inicial]]+Tabela4[[#This Row],[Quantidade Comprada]]-Tabela4[[#This Row],[Quantidade Vendida]]</f>
        <v>50</v>
      </c>
      <c r="H27" t="str">
        <f>IF(Tabela4[[#This Row],[Quantidade Atual]]&lt;50,IF(Tabela4[[#This Row],[Quantidade Atual]]&lt;21,"Comprar","Atenção"),"OK")</f>
        <v>OK</v>
      </c>
    </row>
    <row r="28" spans="2:8" x14ac:dyDescent="0.3">
      <c r="B28" t="s">
        <v>29</v>
      </c>
      <c r="C28" s="7">
        <f>IFERROR(INDEX(Tabela2[],MATCH(B28,Tabela2[Mercadoria],0),1),"")</f>
        <v>42187</v>
      </c>
      <c r="D28">
        <v>0</v>
      </c>
      <c r="E28">
        <f>SUMIF(Tabela2[Mercadoria],Tabela4[[#This Row],[Produto]],Tabela2[Quantidade])</f>
        <v>80</v>
      </c>
      <c r="G28">
        <f>Tabela4[[#This Row],[Quantidade Inicial]]+Tabela4[[#This Row],[Quantidade Comprada]]-Tabela4[[#This Row],[Quantidade Vendida]]</f>
        <v>80</v>
      </c>
      <c r="H28" t="str">
        <f>IF(Tabela4[[#This Row],[Quantidade Atual]]&lt;50,IF(Tabela4[[#This Row],[Quantidade Atual]]&lt;21,"Comprar","Atenção"),"OK")</f>
        <v>OK</v>
      </c>
    </row>
    <row r="29" spans="2:8" x14ac:dyDescent="0.3">
      <c r="B29" t="s">
        <v>35</v>
      </c>
      <c r="C29" s="7" t="str">
        <f>IFERROR(INDEX(Tabela2[],MATCH(B29,Tabela2[Mercadoria],0),1),"")</f>
        <v/>
      </c>
      <c r="D29">
        <v>20</v>
      </c>
      <c r="E29">
        <f>SUMIF(Tabela2[Mercadoria],Tabela4[[#This Row],[Produto]],Tabela2[Quantidade])</f>
        <v>0</v>
      </c>
      <c r="G29">
        <f>Tabela4[[#This Row],[Quantidade Inicial]]+Tabela4[[#This Row],[Quantidade Comprada]]-Tabela4[[#This Row],[Quantidade Vendida]]</f>
        <v>20</v>
      </c>
      <c r="H29" t="str">
        <f>IF(Tabela4[[#This Row],[Quantidade Atual]]&lt;50,IF(Tabela4[[#This Row],[Quantidade Atual]]&lt;21,"Comprar","Atenção"),"OK")</f>
        <v>Comprar</v>
      </c>
    </row>
  </sheetData>
  <conditionalFormatting sqref="H6:H29">
    <cfRule type="containsText" dxfId="4" priority="1" operator="containsText" text="Atenção">
      <formula>NOT(ISERROR(SEARCH("Atenção",H6)))</formula>
    </cfRule>
    <cfRule type="containsText" dxfId="3" priority="2" operator="containsText" text="Comprar">
      <formula>NOT(ISERROR(SEARCH("Comprar",H6)))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10</v>
      </c>
    </row>
    <row r="6" spans="2:2" x14ac:dyDescent="0.3">
      <c r="B6" t="s">
        <v>8</v>
      </c>
    </row>
    <row r="9" spans="2:2" x14ac:dyDescent="0.3">
      <c r="B9" t="s">
        <v>9</v>
      </c>
    </row>
    <row r="12" spans="2:2" x14ac:dyDescent="0.3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4.4" x14ac:dyDescent="0.3"/>
  <sheetData>
    <row r="3" spans="2:2" x14ac:dyDescent="0.3">
      <c r="B3" t="s">
        <v>6</v>
      </c>
    </row>
    <row r="5" spans="2:2" x14ac:dyDescent="0.3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9DC-7B01-4617-A53F-EAA1F10253E3}">
  <dimension ref="B2:M33"/>
  <sheetViews>
    <sheetView showGridLines="0" tabSelected="1" workbookViewId="0">
      <selection activeCell="G12" sqref="G12"/>
    </sheetView>
  </sheetViews>
  <sheetFormatPr defaultRowHeight="14.4" x14ac:dyDescent="0.3"/>
  <cols>
    <col min="2" max="2" width="17.109375" customWidth="1"/>
    <col min="3" max="3" width="10.5546875" bestFit="1" customWidth="1"/>
    <col min="4" max="4" width="14.77734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10.21875" bestFit="1" customWidth="1"/>
    <col min="11" max="11" width="17.21875" bestFit="1" customWidth="1"/>
    <col min="12" max="12" width="10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108</v>
      </c>
      <c r="E2" s="25"/>
    </row>
    <row r="3" spans="2:13" ht="48" customHeight="1" x14ac:dyDescent="0.3"/>
    <row r="4" spans="2:13" x14ac:dyDescent="0.3">
      <c r="B4" t="s">
        <v>109</v>
      </c>
      <c r="C4" t="s">
        <v>46</v>
      </c>
      <c r="D4" t="s">
        <v>101</v>
      </c>
      <c r="E4" t="s">
        <v>61</v>
      </c>
      <c r="F4" t="s">
        <v>62</v>
      </c>
      <c r="G4" t="s">
        <v>63</v>
      </c>
      <c r="H4" t="s">
        <v>110</v>
      </c>
      <c r="I4" t="s">
        <v>64</v>
      </c>
      <c r="J4" t="s">
        <v>111</v>
      </c>
      <c r="K4" t="s">
        <v>112</v>
      </c>
      <c r="L4" t="s">
        <v>113</v>
      </c>
      <c r="M4" t="s">
        <v>114</v>
      </c>
    </row>
    <row r="5" spans="2:13" x14ac:dyDescent="0.3">
      <c r="B5">
        <v>13</v>
      </c>
      <c r="C5" s="33">
        <v>42190</v>
      </c>
      <c r="D5" t="s">
        <v>33</v>
      </c>
      <c r="E5" t="str">
        <f>IFERROR(VLOOKUP(Tabela5[[#This Row],[Produto]],cálculos!$M$7:$P$30,4,FALSE),"")</f>
        <v>Pacote</v>
      </c>
      <c r="F5">
        <v>10</v>
      </c>
      <c r="G5" s="3">
        <f>IFERROR(VLOOKUP(Tabela5[[#This Row],[Produto]],cálculos!$M$7:$P$30,3,FALSE),0)</f>
        <v>1.1499999999999999</v>
      </c>
      <c r="H5" s="9">
        <f>Tabela5[[#This Row],[Preço Unitário]]*Tabela5[[#This Row],[Quantidade]]</f>
        <v>11.5</v>
      </c>
      <c r="I5" s="6"/>
      <c r="J5" t="s">
        <v>121</v>
      </c>
      <c r="K5" s="9">
        <f>IF(Tabela5[[#This Row],[Id da Venda]]=B6,0,VLOOKUP(Tabela5[[#This Row],[Entrega]],cálculos!$B$7:$C$11,2,FALSE))</f>
        <v>0</v>
      </c>
      <c r="L5" s="9">
        <f>Tabela5[[#This Row],[Subtotal]]*(1-Tabela5[[#This Row],[Desconto]])+Tabela5[[#This Row],[Valor de Entrega]]</f>
        <v>11.5</v>
      </c>
      <c r="M5" s="9" t="str">
        <f>IF(Tabela5[[#This Row],[Id da Venda]]=B6,"",SUMIF(Tabela5[Id da Venda],Tabela5[[#This Row],[Id da Venda]],Tabela5[Total]))</f>
        <v/>
      </c>
    </row>
    <row r="6" spans="2:13" x14ac:dyDescent="0.3">
      <c r="B6">
        <v>13</v>
      </c>
      <c r="C6" s="33">
        <v>42190</v>
      </c>
      <c r="D6" t="s">
        <v>37</v>
      </c>
      <c r="E6" t="str">
        <f>IFERROR(VLOOKUP(Tabela5[[#This Row],[Produto]],cálculos!$M$7:$P$30,4,FALSE),"")</f>
        <v>Pacote</v>
      </c>
      <c r="F6">
        <v>1</v>
      </c>
      <c r="G6" s="3">
        <f>IFERROR(VLOOKUP(Tabela5[[#This Row],[Produto]],cálculos!$M$7:$P$30,3,FALSE),0)</f>
        <v>0.79</v>
      </c>
      <c r="H6" s="9">
        <f>Tabela5[[#This Row],[Preço Unitário]]*Tabela5[[#This Row],[Quantidade]]</f>
        <v>0.79</v>
      </c>
      <c r="I6" s="6"/>
      <c r="J6" t="s">
        <v>121</v>
      </c>
      <c r="K6" s="9">
        <f>IF(Tabela5[[#This Row],[Id da Venda]]=B7,0,VLOOKUP(Tabela5[[#This Row],[Entrega]],cálculos!$B$7:$C$11,2,FALSE))</f>
        <v>0</v>
      </c>
      <c r="L6" s="9">
        <f>Tabela5[[#This Row],[Subtotal]]*(1-Tabela5[[#This Row],[Desconto]])+Tabela5[[#This Row],[Valor de Entrega]]</f>
        <v>0.79</v>
      </c>
      <c r="M6" s="9" t="str">
        <f>IF(Tabela5[[#This Row],[Id da Venda]]=B7,"",SUMIF(Tabela5[Id da Venda],Tabela5[[#This Row],[Id da Venda]],Tabela5[Total]))</f>
        <v/>
      </c>
    </row>
    <row r="7" spans="2:13" x14ac:dyDescent="0.3">
      <c r="B7">
        <v>13</v>
      </c>
      <c r="C7" s="33">
        <v>42190</v>
      </c>
      <c r="D7" t="s">
        <v>25</v>
      </c>
      <c r="E7" t="str">
        <f>IFERROR(VLOOKUP(Tabela5[[#This Row],[Produto]],cálculos!$M$7:$P$30,4,FALSE),"")</f>
        <v>Kg</v>
      </c>
      <c r="F7">
        <v>10</v>
      </c>
      <c r="G7" s="3">
        <f>IFERROR(VLOOKUP(Tabela5[[#This Row],[Produto]],cálculos!$M$7:$P$30,3,FALSE),0)</f>
        <v>15.9</v>
      </c>
      <c r="H7" s="9">
        <f>Tabela5[[#This Row],[Preço Unitário]]*Tabela5[[#This Row],[Quantidade]]</f>
        <v>159</v>
      </c>
      <c r="I7" s="6">
        <v>0.05</v>
      </c>
      <c r="J7" t="s">
        <v>121</v>
      </c>
      <c r="K7" s="9">
        <f>IF(Tabela5[[#This Row],[Id da Venda]]=B8,0,VLOOKUP(Tabela5[[#This Row],[Entrega]],cálculos!$B$7:$C$11,2,FALSE))</f>
        <v>0</v>
      </c>
      <c r="L7" s="9">
        <f>Tabela5[[#This Row],[Subtotal]]*(1-Tabela5[[#This Row],[Desconto]])+Tabela5[[#This Row],[Valor de Entrega]]</f>
        <v>151.04999999999998</v>
      </c>
      <c r="M7" s="9" t="str">
        <f>IF(Tabela5[[#This Row],[Id da Venda]]=B8,"",SUMIF(Tabela5[Id da Venda],Tabela5[[#This Row],[Id da Venda]],Tabela5[Total]))</f>
        <v/>
      </c>
    </row>
    <row r="8" spans="2:13" x14ac:dyDescent="0.3">
      <c r="B8">
        <v>13</v>
      </c>
      <c r="C8" s="33">
        <v>42190</v>
      </c>
      <c r="D8" t="s">
        <v>34</v>
      </c>
      <c r="E8" t="str">
        <f>IFERROR(VLOOKUP(Tabela5[[#This Row],[Produto]],cálculos!$M$7:$P$30,4,FALSE),"")</f>
        <v>Lata</v>
      </c>
      <c r="F8">
        <v>24</v>
      </c>
      <c r="G8" s="3">
        <f>IFERROR(VLOOKUP(Tabela5[[#This Row],[Produto]],cálculos!$M$7:$P$30,3,FALSE),0)</f>
        <v>2.19</v>
      </c>
      <c r="H8" s="9">
        <f>Tabela5[[#This Row],[Preço Unitário]]*Tabela5[[#This Row],[Quantidade]]</f>
        <v>52.56</v>
      </c>
      <c r="I8" s="6">
        <v>0.05</v>
      </c>
      <c r="J8" t="s">
        <v>121</v>
      </c>
      <c r="K8" s="9">
        <f>IF(Tabela5[[#This Row],[Id da Venda]]=B9,0,VLOOKUP(Tabela5[[#This Row],[Entrega]],cálculos!$B$7:$C$11,2,FALSE))</f>
        <v>6.5</v>
      </c>
      <c r="L8" s="9">
        <f>Tabela5[[#This Row],[Subtotal]]*(1-Tabela5[[#This Row],[Desconto]])+Tabela5[[#This Row],[Valor de Entrega]]</f>
        <v>56.432000000000002</v>
      </c>
      <c r="M8" s="9">
        <f>IF(Tabela5[[#This Row],[Id da Venda]]=B9,"",SUMIF(Tabela5[Id da Venda],Tabela5[[#This Row],[Id da Venda]],Tabela5[Total]))</f>
        <v>219.77199999999999</v>
      </c>
    </row>
    <row r="9" spans="2:13" x14ac:dyDescent="0.3">
      <c r="B9">
        <v>12</v>
      </c>
      <c r="C9" s="33">
        <v>42189</v>
      </c>
      <c r="D9" t="s">
        <v>34</v>
      </c>
      <c r="E9" t="str">
        <f>IFERROR(VLOOKUP(Tabela5[[#This Row],[Produto]],cálculos!$M$7:$P$30,4,FALSE),"")</f>
        <v>Lata</v>
      </c>
      <c r="F9">
        <v>1</v>
      </c>
      <c r="G9" s="3">
        <f>IFERROR(VLOOKUP(Tabela5[[#This Row],[Produto]],cálculos!$M$7:$P$30,3,FALSE),0)</f>
        <v>2.19</v>
      </c>
      <c r="H9" s="9">
        <f>Tabela5[[#This Row],[Preço Unitário]]*Tabela5[[#This Row],[Quantidade]]</f>
        <v>2.19</v>
      </c>
      <c r="I9" s="6"/>
      <c r="J9" t="s">
        <v>118</v>
      </c>
      <c r="K9" s="9">
        <f>IF(Tabela5[[#This Row],[Id da Venda]]=B10,0,VLOOKUP(Tabela5[[#This Row],[Entrega]],cálculos!$B$7:$C$11,2,FALSE))</f>
        <v>0</v>
      </c>
      <c r="L9" s="9">
        <f>Tabela5[[#This Row],[Subtotal]]*(1-Tabela5[[#This Row],[Desconto]])+Tabela5[[#This Row],[Valor de Entrega]]</f>
        <v>2.19</v>
      </c>
      <c r="M9" s="9">
        <f>IF(Tabela5[[#This Row],[Id da Venda]]=B10,"",SUMIF(Tabela5[Id da Venda],Tabela5[[#This Row],[Id da Venda]],Tabela5[Total]))</f>
        <v>2.19</v>
      </c>
    </row>
    <row r="10" spans="2:13" x14ac:dyDescent="0.3">
      <c r="B10">
        <v>11</v>
      </c>
      <c r="C10" s="33">
        <v>42189</v>
      </c>
      <c r="D10" t="s">
        <v>34</v>
      </c>
      <c r="E10" t="str">
        <f>IFERROR(VLOOKUP(Tabela5[[#This Row],[Produto]],cálculos!$M$7:$P$30,4,FALSE),"")</f>
        <v>Lata</v>
      </c>
      <c r="F10">
        <v>10</v>
      </c>
      <c r="G10" s="3">
        <f>IFERROR(VLOOKUP(Tabela5[[#This Row],[Produto]],cálculos!$M$7:$P$30,3,FALSE),0)</f>
        <v>2.19</v>
      </c>
      <c r="H10" s="9">
        <f>Tabela5[[#This Row],[Preço Unitário]]*Tabela5[[#This Row],[Quantidade]]</f>
        <v>21.9</v>
      </c>
      <c r="I10" s="6"/>
      <c r="J10" t="s">
        <v>118</v>
      </c>
      <c r="K10" s="9">
        <f>IF(Tabela5[[#This Row],[Id da Venda]]=B11,0,VLOOKUP(Tabela5[[#This Row],[Entrega]],cálculos!$B$7:$C$11,2,FALSE))</f>
        <v>0</v>
      </c>
      <c r="L10" s="9">
        <f>Tabela5[[#This Row],[Subtotal]]*(1-Tabela5[[#This Row],[Desconto]])+Tabela5[[#This Row],[Valor de Entrega]]</f>
        <v>21.9</v>
      </c>
      <c r="M10" s="9">
        <f>IF(Tabela5[[#This Row],[Id da Venda]]=B11,"",SUMIF(Tabela5[Id da Venda],Tabela5[[#This Row],[Id da Venda]],Tabela5[Total]))</f>
        <v>21.9</v>
      </c>
    </row>
    <row r="11" spans="2:13" x14ac:dyDescent="0.3">
      <c r="B11">
        <v>10</v>
      </c>
      <c r="C11" s="33">
        <v>42189</v>
      </c>
      <c r="D11" t="s">
        <v>22</v>
      </c>
      <c r="E11" t="str">
        <f>IFERROR(VLOOKUP(Tabela5[[#This Row],[Produto]],cálculos!$M$7:$P$30,4,FALSE),"")</f>
        <v>Kg</v>
      </c>
      <c r="F11">
        <v>6</v>
      </c>
      <c r="G11" s="3">
        <f>IFERROR(VLOOKUP(Tabela5[[#This Row],[Produto]],cálculos!$M$7:$P$30,3,FALSE),0)</f>
        <v>4.28</v>
      </c>
      <c r="H11" s="9">
        <f>Tabela5[[#This Row],[Preço Unitário]]*Tabela5[[#This Row],[Quantidade]]</f>
        <v>25.68</v>
      </c>
      <c r="I11" s="6"/>
      <c r="J11" t="s">
        <v>118</v>
      </c>
      <c r="K11" s="9">
        <f>IF(Tabela5[[#This Row],[Id da Venda]]=B12,0,VLOOKUP(Tabela5[[#This Row],[Entrega]],cálculos!$B$7:$C$11,2,FALSE))</f>
        <v>0</v>
      </c>
      <c r="L11" s="9">
        <f>Tabela5[[#This Row],[Subtotal]]*(1-Tabela5[[#This Row],[Desconto]])+Tabela5[[#This Row],[Valor de Entrega]]</f>
        <v>25.68</v>
      </c>
      <c r="M11" s="9" t="str">
        <f>IF(Tabela5[[#This Row],[Id da Venda]]=B12,"",SUMIF(Tabela5[Id da Venda],Tabela5[[#This Row],[Id da Venda]],Tabela5[Total]))</f>
        <v/>
      </c>
    </row>
    <row r="12" spans="2:13" x14ac:dyDescent="0.3">
      <c r="B12">
        <v>10</v>
      </c>
      <c r="C12" s="33">
        <v>42189</v>
      </c>
      <c r="D12" t="s">
        <v>77</v>
      </c>
      <c r="E12" t="str">
        <f>IFERROR(VLOOKUP(Tabela5[[#This Row],[Produto]],cálculos!$M$7:$P$30,4,FALSE),"")</f>
        <v>Litro</v>
      </c>
      <c r="F12">
        <v>4</v>
      </c>
      <c r="G12" s="3">
        <f>IFERROR(VLOOKUP(Tabela5[[#This Row],[Produto]],cálculos!$M$7:$P$30,3,FALSE),0)</f>
        <v>2.39</v>
      </c>
      <c r="H12" s="9">
        <f>Tabela5[[#This Row],[Preço Unitário]]*Tabela5[[#This Row],[Quantidade]]</f>
        <v>9.56</v>
      </c>
      <c r="I12" s="6"/>
      <c r="J12" t="s">
        <v>118</v>
      </c>
      <c r="K12" s="9">
        <f>IF(Tabela5[[#This Row],[Id da Venda]]=B13,0,VLOOKUP(Tabela5[[#This Row],[Entrega]],cálculos!$B$7:$C$11,2,FALSE))</f>
        <v>0</v>
      </c>
      <c r="L12" s="9">
        <f>Tabela5[[#This Row],[Subtotal]]*(1-Tabela5[[#This Row],[Desconto]])+Tabela5[[#This Row],[Valor de Entrega]]</f>
        <v>9.56</v>
      </c>
      <c r="M12" s="9">
        <f>IF(Tabela5[[#This Row],[Id da Venda]]=B13,"",SUMIF(Tabela5[Id da Venda],Tabela5[[#This Row],[Id da Venda]],Tabela5[Total]))</f>
        <v>35.24</v>
      </c>
    </row>
    <row r="13" spans="2:13" x14ac:dyDescent="0.3">
      <c r="B13">
        <v>9</v>
      </c>
      <c r="C13" s="33">
        <v>42188</v>
      </c>
      <c r="D13" t="s">
        <v>76</v>
      </c>
      <c r="E13" t="str">
        <f>IFERROR(VLOOKUP(Tabela5[[#This Row],[Produto]],cálculos!$M$7:$P$30,4,FALSE),"")</f>
        <v>Unidade</v>
      </c>
      <c r="F13">
        <v>5</v>
      </c>
      <c r="G13" s="3">
        <f>IFERROR(VLOOKUP(Tabela5[[#This Row],[Produto]],cálculos!$M$7:$P$30,3,FALSE),0)</f>
        <v>2.89</v>
      </c>
      <c r="H13" s="9">
        <f>Tabela5[[#This Row],[Preço Unitário]]*Tabela5[[#This Row],[Quantidade]]</f>
        <v>14.450000000000001</v>
      </c>
      <c r="I13" s="6"/>
      <c r="J13" t="s">
        <v>118</v>
      </c>
      <c r="K13" s="9">
        <f>IF(Tabela5[[#This Row],[Id da Venda]]=B14,0,VLOOKUP(Tabela5[[#This Row],[Entrega]],cálculos!$B$7:$C$11,2,FALSE))</f>
        <v>0</v>
      </c>
      <c r="L13" s="9">
        <f>Tabela5[[#This Row],[Subtotal]]*(1-Tabela5[[#This Row],[Desconto]])+Tabela5[[#This Row],[Valor de Entrega]]</f>
        <v>14.450000000000001</v>
      </c>
      <c r="M13" s="9" t="str">
        <f>IF(Tabela5[[#This Row],[Id da Venda]]=B14,"",SUMIF(Tabela5[Id da Venda],Tabela5[[#This Row],[Id da Venda]],Tabela5[Total]))</f>
        <v/>
      </c>
    </row>
    <row r="14" spans="2:13" x14ac:dyDescent="0.3">
      <c r="B14">
        <v>9</v>
      </c>
      <c r="C14" s="33">
        <v>42188</v>
      </c>
      <c r="D14" t="s">
        <v>32</v>
      </c>
      <c r="E14" t="str">
        <f>IFERROR(VLOOKUP(Tabela5[[#This Row],[Produto]],cálculos!$M$7:$P$30,4,FALSE),"")</f>
        <v>Kg</v>
      </c>
      <c r="F14">
        <v>2</v>
      </c>
      <c r="G14" s="3">
        <f>IFERROR(VLOOKUP(Tabela5[[#This Row],[Produto]],cálculos!$M$7:$P$30,3,FALSE),0)</f>
        <v>9.58</v>
      </c>
      <c r="H14" s="9">
        <f>Tabela5[[#This Row],[Preço Unitário]]*Tabela5[[#This Row],[Quantidade]]</f>
        <v>19.16</v>
      </c>
      <c r="I14" s="6"/>
      <c r="J14" t="s">
        <v>118</v>
      </c>
      <c r="K14" s="9">
        <f>IF(Tabela5[[#This Row],[Id da Venda]]=B15,0,VLOOKUP(Tabela5[[#This Row],[Entrega]],cálculos!$B$7:$C$11,2,FALSE))</f>
        <v>0</v>
      </c>
      <c r="L14" s="9">
        <f>Tabela5[[#This Row],[Subtotal]]*(1-Tabela5[[#This Row],[Desconto]])+Tabela5[[#This Row],[Valor de Entrega]]</f>
        <v>19.16</v>
      </c>
      <c r="M14" s="9" t="str">
        <f>IF(Tabela5[[#This Row],[Id da Venda]]=B15,"",SUMIF(Tabela5[Id da Venda],Tabela5[[#This Row],[Id da Venda]],Tabela5[Total]))</f>
        <v/>
      </c>
    </row>
    <row r="15" spans="2:13" x14ac:dyDescent="0.3">
      <c r="B15">
        <v>9</v>
      </c>
      <c r="C15" s="33">
        <v>42188</v>
      </c>
      <c r="D15" t="s">
        <v>28</v>
      </c>
      <c r="E15" t="str">
        <f>IFERROR(VLOOKUP(Tabela5[[#This Row],[Produto]],cálculos!$M$7:$P$30,4,FALSE),"")</f>
        <v>Kg</v>
      </c>
      <c r="F15">
        <v>1.5</v>
      </c>
      <c r="G15" s="3">
        <f>IFERROR(VLOOKUP(Tabela5[[#This Row],[Produto]],cálculos!$M$7:$P$30,3,FALSE),0)</f>
        <v>25.9</v>
      </c>
      <c r="H15" s="9">
        <f>Tabela5[[#This Row],[Preço Unitário]]*Tabela5[[#This Row],[Quantidade]]</f>
        <v>38.849999999999994</v>
      </c>
      <c r="I15" s="6"/>
      <c r="J15" t="s">
        <v>118</v>
      </c>
      <c r="K15" s="9">
        <f>IF(Tabela5[[#This Row],[Id da Venda]]=B16,0,VLOOKUP(Tabela5[[#This Row],[Entrega]],cálculos!$B$7:$C$11,2,FALSE))</f>
        <v>0</v>
      </c>
      <c r="L15" s="9">
        <f>Tabela5[[#This Row],[Subtotal]]*(1-Tabela5[[#This Row],[Desconto]])+Tabela5[[#This Row],[Valor de Entrega]]</f>
        <v>38.849999999999994</v>
      </c>
      <c r="M15" s="9" t="str">
        <f>IF(Tabela5[[#This Row],[Id da Venda]]=B16,"",SUMIF(Tabela5[Id da Venda],Tabela5[[#This Row],[Id da Venda]],Tabela5[Total]))</f>
        <v/>
      </c>
    </row>
    <row r="16" spans="2:13" x14ac:dyDescent="0.3">
      <c r="B16">
        <v>9</v>
      </c>
      <c r="C16" s="33">
        <v>42188</v>
      </c>
      <c r="D16" t="s">
        <v>22</v>
      </c>
      <c r="E16" t="str">
        <f>IFERROR(VLOOKUP(Tabela5[[#This Row],[Produto]],cálculos!$M$7:$P$30,4,FALSE),"")</f>
        <v>Kg</v>
      </c>
      <c r="F16">
        <v>4</v>
      </c>
      <c r="G16" s="3">
        <f>IFERROR(VLOOKUP(Tabela5[[#This Row],[Produto]],cálculos!$M$7:$P$30,3,FALSE),0)</f>
        <v>4.28</v>
      </c>
      <c r="H16" s="9">
        <f>Tabela5[[#This Row],[Preço Unitário]]*Tabela5[[#This Row],[Quantidade]]</f>
        <v>17.12</v>
      </c>
      <c r="I16" s="6"/>
      <c r="J16" t="s">
        <v>118</v>
      </c>
      <c r="K16" s="9">
        <f>IF(Tabela5[[#This Row],[Id da Venda]]=B17,0,VLOOKUP(Tabela5[[#This Row],[Entrega]],cálculos!$B$7:$C$11,2,FALSE))</f>
        <v>0</v>
      </c>
      <c r="L16" s="9">
        <f>Tabela5[[#This Row],[Subtotal]]*(1-Tabela5[[#This Row],[Desconto]])+Tabela5[[#This Row],[Valor de Entrega]]</f>
        <v>17.12</v>
      </c>
      <c r="M16" s="9">
        <f>IF(Tabela5[[#This Row],[Id da Venda]]=B17,"",SUMIF(Tabela5[Id da Venda],Tabela5[[#This Row],[Id da Venda]],Tabela5[Total]))</f>
        <v>89.58</v>
      </c>
    </row>
    <row r="17" spans="2:13" x14ac:dyDescent="0.3">
      <c r="B17">
        <v>8</v>
      </c>
      <c r="C17" s="33">
        <v>42188</v>
      </c>
      <c r="D17" t="s">
        <v>34</v>
      </c>
      <c r="E17" t="str">
        <f>IFERROR(VLOOKUP(Tabela5[[#This Row],[Produto]],cálculos!$M$7:$P$30,4,FALSE),"")</f>
        <v>Lata</v>
      </c>
      <c r="F17">
        <v>20</v>
      </c>
      <c r="G17" s="3">
        <f>IFERROR(VLOOKUP(Tabela5[[#This Row],[Produto]],cálculos!$M$7:$P$30,3,FALSE),0)</f>
        <v>2.19</v>
      </c>
      <c r="H17" s="9">
        <f>Tabela5[[#This Row],[Preço Unitário]]*Tabela5[[#This Row],[Quantidade]]</f>
        <v>43.8</v>
      </c>
      <c r="I17" s="6">
        <v>0.05</v>
      </c>
      <c r="J17" t="s">
        <v>121</v>
      </c>
      <c r="K17" s="9">
        <f>IF(Tabela5[[#This Row],[Id da Venda]]=B18,0,VLOOKUP(Tabela5[[#This Row],[Entrega]],cálculos!$B$7:$C$11,2,FALSE))</f>
        <v>6.5</v>
      </c>
      <c r="L17" s="9">
        <f>Tabela5[[#This Row],[Subtotal]]*(1-Tabela5[[#This Row],[Desconto]])+Tabela5[[#This Row],[Valor de Entrega]]</f>
        <v>48.109999999999992</v>
      </c>
      <c r="M17" s="9">
        <f>IF(Tabela5[[#This Row],[Id da Venda]]=B18,"",SUMIF(Tabela5[Id da Venda],Tabela5[[#This Row],[Id da Venda]],Tabela5[Total]))</f>
        <v>48.109999999999992</v>
      </c>
    </row>
    <row r="18" spans="2:13" x14ac:dyDescent="0.3">
      <c r="B18">
        <v>7</v>
      </c>
      <c r="C18" s="33">
        <v>42188</v>
      </c>
      <c r="D18" t="s">
        <v>34</v>
      </c>
      <c r="E18" t="str">
        <f>IFERROR(VLOOKUP(Tabela5[[#This Row],[Produto]],cálculos!$M$7:$P$30,4,FALSE),"")</f>
        <v>Lata</v>
      </c>
      <c r="F18">
        <v>20</v>
      </c>
      <c r="G18" s="3">
        <f>IFERROR(VLOOKUP(Tabela5[[#This Row],[Produto]],cálculos!$M$7:$P$30,3,FALSE),0)</f>
        <v>2.19</v>
      </c>
      <c r="H18" s="3">
        <f>Tabela5[[#This Row],[Preço Unitário]]*Tabela5[[#This Row],[Quantidade]]</f>
        <v>43.8</v>
      </c>
      <c r="I18">
        <v>0.05</v>
      </c>
      <c r="J18" t="s">
        <v>118</v>
      </c>
      <c r="K18" s="9">
        <f>IF(Tabela5[[#This Row],[Id da Venda]]=B19,0,VLOOKUP(Tabela5[[#This Row],[Entrega]],cálculos!$B$7:$C$11,2,FALSE))</f>
        <v>0</v>
      </c>
      <c r="L18" s="9">
        <f>Tabela5[[#This Row],[Subtotal]]*(1-Tabela5[[#This Row],[Desconto]])+Tabela5[[#This Row],[Valor de Entrega]]</f>
        <v>41.609999999999992</v>
      </c>
      <c r="M18" s="9">
        <f>IF(Tabela5[[#This Row],[Id da Venda]]=B19,"",SUMIF(Tabela5[Id da Venda],Tabela5[[#This Row],[Id da Venda]],Tabela5[Total]))</f>
        <v>41.609999999999992</v>
      </c>
    </row>
    <row r="19" spans="2:13" x14ac:dyDescent="0.3">
      <c r="B19">
        <v>6</v>
      </c>
      <c r="C19" s="33">
        <v>42188</v>
      </c>
      <c r="D19" t="s">
        <v>37</v>
      </c>
      <c r="E19" s="31" t="str">
        <f>IFERROR(VLOOKUP(Tabela5[[#This Row],[Produto]],cálculos!$M$7:$P$30,4,FALSE),"")</f>
        <v>Pacote</v>
      </c>
      <c r="F19">
        <v>2</v>
      </c>
      <c r="G19" s="3">
        <f>IFERROR(VLOOKUP(Tabela5[[#This Row],[Produto]],cálculos!$M$7:$P$30,3,FALSE),0)</f>
        <v>0.79</v>
      </c>
      <c r="H19" s="3">
        <f>Tabela5[[#This Row],[Preço Unitário]]*Tabela5[[#This Row],[Quantidade]]</f>
        <v>1.58</v>
      </c>
      <c r="J19" t="s">
        <v>118</v>
      </c>
      <c r="K19" s="32">
        <f>IF(Tabela5[[#This Row],[Id da Venda]]=B20,0,VLOOKUP(Tabela5[[#This Row],[Entrega]],cálculos!$B$7:$C$11,2,FALSE))</f>
        <v>0</v>
      </c>
      <c r="L19" s="32">
        <f>Tabela5[[#This Row],[Subtotal]]*(1-Tabela5[[#This Row],[Desconto]])+Tabela5[[#This Row],[Valor de Entrega]]</f>
        <v>1.58</v>
      </c>
      <c r="M19" s="9" t="str">
        <f>IF(Tabela5[[#This Row],[Id da Venda]]=B20,"",SUMIF(Tabela5[Id da Venda],Tabela5[[#This Row],[Id da Venda]],Tabela5[Total]))</f>
        <v/>
      </c>
    </row>
    <row r="20" spans="2:13" x14ac:dyDescent="0.3">
      <c r="B20">
        <v>6</v>
      </c>
      <c r="C20" s="33">
        <v>42188</v>
      </c>
      <c r="D20" t="s">
        <v>25</v>
      </c>
      <c r="E20" s="31" t="str">
        <f>IFERROR(VLOOKUP(Tabela5[[#This Row],[Produto]],cálculos!$M$7:$P$30,4,FALSE),"")</f>
        <v>Kg</v>
      </c>
      <c r="F20">
        <v>6</v>
      </c>
      <c r="G20" s="3">
        <f>IFERROR(VLOOKUP(Tabela5[[#This Row],[Produto]],cálculos!$M$7:$P$30,3,FALSE),0)</f>
        <v>15.9</v>
      </c>
      <c r="H20" s="3">
        <f>Tabela5[[#This Row],[Preço Unitário]]*Tabela5[[#This Row],[Quantidade]]</f>
        <v>95.4</v>
      </c>
      <c r="J20" t="s">
        <v>118</v>
      </c>
      <c r="K20" s="32">
        <f>IF(Tabela5[[#This Row],[Id da Venda]]=B21,0,VLOOKUP(Tabela5[[#This Row],[Entrega]],cálculos!$B$7:$C$11,2,FALSE))</f>
        <v>0</v>
      </c>
      <c r="L20" s="32">
        <f>Tabela5[[#This Row],[Subtotal]]*(1-Tabela5[[#This Row],[Desconto]])+Tabela5[[#This Row],[Valor de Entrega]]</f>
        <v>95.4</v>
      </c>
      <c r="M20" s="9" t="str">
        <f>IF(Tabela5[[#This Row],[Id da Venda]]=B21,"",SUMIF(Tabela5[Id da Venda],Tabela5[[#This Row],[Id da Venda]],Tabela5[Total]))</f>
        <v/>
      </c>
    </row>
    <row r="21" spans="2:13" x14ac:dyDescent="0.3">
      <c r="B21">
        <v>6</v>
      </c>
      <c r="C21" s="33">
        <v>42188</v>
      </c>
      <c r="D21" t="s">
        <v>34</v>
      </c>
      <c r="E21" s="31" t="str">
        <f>IFERROR(VLOOKUP(Tabela5[[#This Row],[Produto]],cálculos!$M$7:$P$30,4,FALSE),"")</f>
        <v>Lata</v>
      </c>
      <c r="F21">
        <v>12</v>
      </c>
      <c r="G21" s="3">
        <f>IFERROR(VLOOKUP(Tabela5[[#This Row],[Produto]],cálculos!$M$7:$P$30,3,FALSE),0)</f>
        <v>2.19</v>
      </c>
      <c r="H21" s="3">
        <f>Tabela5[[#This Row],[Preço Unitário]]*Tabela5[[#This Row],[Quantidade]]</f>
        <v>26.28</v>
      </c>
      <c r="J21" t="s">
        <v>118</v>
      </c>
      <c r="K21" s="32">
        <f>IF(Tabela5[[#This Row],[Id da Venda]]=B22,0,VLOOKUP(Tabela5[[#This Row],[Entrega]],cálculos!$B$7:$C$11,2,FALSE))</f>
        <v>0</v>
      </c>
      <c r="L21" s="32">
        <f>Tabela5[[#This Row],[Subtotal]]*(1-Tabela5[[#This Row],[Desconto]])+Tabela5[[#This Row],[Valor de Entrega]]</f>
        <v>26.28</v>
      </c>
      <c r="M21" s="9">
        <f>IF(Tabela5[[#This Row],[Id da Venda]]=B22,"",SUMIF(Tabela5[Id da Venda],Tabela5[[#This Row],[Id da Venda]],Tabela5[Total]))</f>
        <v>123.26</v>
      </c>
    </row>
    <row r="22" spans="2:13" x14ac:dyDescent="0.3">
      <c r="B22">
        <v>5</v>
      </c>
      <c r="C22" s="33">
        <v>42187</v>
      </c>
      <c r="D22" t="s">
        <v>24</v>
      </c>
      <c r="E22" s="31" t="str">
        <f>IFERROR(VLOOKUP(Tabela5[[#This Row],[Produto]],cálculos!$M$7:$P$30,4,FALSE),"")</f>
        <v>Unidade</v>
      </c>
      <c r="F22">
        <v>3</v>
      </c>
      <c r="G22" s="3">
        <f>IFERROR(VLOOKUP(Tabela5[[#This Row],[Produto]],cálculos!$M$7:$P$30,3,FALSE),0)</f>
        <v>2.99</v>
      </c>
      <c r="H22" s="3">
        <f>Tabela5[[#This Row],[Preço Unitário]]*Tabela5[[#This Row],[Quantidade]]</f>
        <v>8.9700000000000006</v>
      </c>
      <c r="J22" t="s">
        <v>121</v>
      </c>
      <c r="K22" s="32">
        <f>IF(Tabela5[[#This Row],[Id da Venda]]=B23,0,VLOOKUP(Tabela5[[#This Row],[Entrega]],cálculos!$B$7:$C$11,2,FALSE))</f>
        <v>6.5</v>
      </c>
      <c r="L22" s="32">
        <f>Tabela5[[#This Row],[Subtotal]]*(1-Tabela5[[#This Row],[Desconto]])+Tabela5[[#This Row],[Valor de Entrega]]</f>
        <v>15.47</v>
      </c>
      <c r="M22" s="9">
        <f>IF(Tabela5[[#This Row],[Id da Venda]]=B23,"",SUMIF(Tabela5[Id da Venda],Tabela5[[#This Row],[Id da Venda]],Tabela5[Total]))</f>
        <v>15.47</v>
      </c>
    </row>
    <row r="23" spans="2:13" x14ac:dyDescent="0.3">
      <c r="B23">
        <v>4</v>
      </c>
      <c r="C23" s="33">
        <v>42187</v>
      </c>
      <c r="D23" t="s">
        <v>38</v>
      </c>
      <c r="E23" s="31" t="str">
        <f>IFERROR(VLOOKUP(Tabela5[[#This Row],[Produto]],cálculos!$M$7:$P$30,4,FALSE),"")</f>
        <v>Pacote</v>
      </c>
      <c r="F23">
        <v>2</v>
      </c>
      <c r="G23" s="3">
        <f>IFERROR(VLOOKUP(Tabela5[[#This Row],[Produto]],cálculos!$M$7:$P$30,3,FALSE),0)</f>
        <v>1.99</v>
      </c>
      <c r="H23" s="3">
        <f>Tabela5[[#This Row],[Preço Unitário]]*Tabela5[[#This Row],[Quantidade]]</f>
        <v>3.98</v>
      </c>
      <c r="J23" t="s">
        <v>119</v>
      </c>
      <c r="K23" s="32">
        <f>IF(Tabela5[[#This Row],[Id da Venda]]=B24,0,VLOOKUP(Tabela5[[#This Row],[Entrega]],cálculos!$B$7:$C$11,2,FALSE))</f>
        <v>0</v>
      </c>
      <c r="L23" s="32">
        <f>Tabela5[[#This Row],[Subtotal]]*(1-Tabela5[[#This Row],[Desconto]])+Tabela5[[#This Row],[Valor de Entrega]]</f>
        <v>3.98</v>
      </c>
      <c r="M23" s="9" t="str">
        <f>IF(Tabela5[[#This Row],[Id da Venda]]=B24,"",SUMIF(Tabela5[Id da Venda],Tabela5[[#This Row],[Id da Venda]],Tabela5[Total]))</f>
        <v/>
      </c>
    </row>
    <row r="24" spans="2:13" x14ac:dyDescent="0.3">
      <c r="B24">
        <v>4</v>
      </c>
      <c r="C24" s="33">
        <v>42187</v>
      </c>
      <c r="D24" t="s">
        <v>21</v>
      </c>
      <c r="E24" s="31" t="str">
        <f>IFERROR(VLOOKUP(Tabela5[[#This Row],[Produto]],cálculos!$M$7:$P$30,4,FALSE),"")</f>
        <v>Kg</v>
      </c>
      <c r="F24">
        <v>5</v>
      </c>
      <c r="G24" s="3">
        <f>IFERROR(VLOOKUP(Tabela5[[#This Row],[Produto]],cálculos!$M$7:$P$30,3,FALSE),0)</f>
        <v>2.4900000000000002</v>
      </c>
      <c r="H24" s="3">
        <f>Tabela5[[#This Row],[Preço Unitário]]*Tabela5[[#This Row],[Quantidade]]</f>
        <v>12.450000000000001</v>
      </c>
      <c r="J24" t="s">
        <v>119</v>
      </c>
      <c r="K24" s="32">
        <f>IF(Tabela5[[#This Row],[Id da Venda]]=B25,0,VLOOKUP(Tabela5[[#This Row],[Entrega]],cálculos!$B$7:$C$11,2,FALSE))</f>
        <v>6.5</v>
      </c>
      <c r="L24" s="32">
        <f>Tabela5[[#This Row],[Subtotal]]*(1-Tabela5[[#This Row],[Desconto]])+Tabela5[[#This Row],[Valor de Entrega]]</f>
        <v>18.950000000000003</v>
      </c>
      <c r="M24" s="9">
        <f>IF(Tabela5[[#This Row],[Id da Venda]]=B25,"",SUMIF(Tabela5[Id da Venda],Tabela5[[#This Row],[Id da Venda]],Tabela5[Total]))</f>
        <v>22.930000000000003</v>
      </c>
    </row>
    <row r="25" spans="2:13" x14ac:dyDescent="0.3">
      <c r="B25">
        <v>3</v>
      </c>
      <c r="C25" s="33">
        <v>42187</v>
      </c>
      <c r="D25" t="s">
        <v>71</v>
      </c>
      <c r="E25" s="31" t="str">
        <f>IFERROR(VLOOKUP(Tabela5[[#This Row],[Produto]],cálculos!$M$7:$P$30,4,FALSE),"")</f>
        <v>Litro</v>
      </c>
      <c r="F25">
        <v>6</v>
      </c>
      <c r="G25" s="3">
        <f>IFERROR(VLOOKUP(Tabela5[[#This Row],[Produto]],cálculos!$M$7:$P$30,3,FALSE),0)</f>
        <v>1.49</v>
      </c>
      <c r="H25" s="3">
        <f>Tabela5[[#This Row],[Preço Unitário]]*Tabela5[[#This Row],[Quantidade]]</f>
        <v>8.94</v>
      </c>
      <c r="J25" t="s">
        <v>120</v>
      </c>
      <c r="K25" s="32">
        <f>IF(Tabela5[[#This Row],[Id da Venda]]=B26,0,VLOOKUP(Tabela5[[#This Row],[Entrega]],cálculos!$B$7:$C$11,2,FALSE))</f>
        <v>8</v>
      </c>
      <c r="L25" s="32">
        <f>Tabela5[[#This Row],[Subtotal]]*(1-Tabela5[[#This Row],[Desconto]])+Tabela5[[#This Row],[Valor de Entrega]]</f>
        <v>16.939999999999998</v>
      </c>
      <c r="M25" s="9">
        <f>IF(Tabela5[[#This Row],[Id da Venda]]=B26,"",SUMIF(Tabela5[Id da Venda],Tabela5[[#This Row],[Id da Venda]],Tabela5[Total]))</f>
        <v>16.939999999999998</v>
      </c>
    </row>
    <row r="26" spans="2:13" x14ac:dyDescent="0.3">
      <c r="B26">
        <v>2</v>
      </c>
      <c r="C26" s="33">
        <v>42187</v>
      </c>
      <c r="D26" t="s">
        <v>38</v>
      </c>
      <c r="E26" s="31" t="str">
        <f>IFERROR(VLOOKUP(Tabela5[[#This Row],[Produto]],cálculos!$M$7:$P$30,4,FALSE),"")</f>
        <v>Pacote</v>
      </c>
      <c r="F26">
        <v>1</v>
      </c>
      <c r="G26" s="3">
        <f>IFERROR(VLOOKUP(Tabela5[[#This Row],[Produto]],cálculos!$M$7:$P$30,3,FALSE),0)</f>
        <v>1.99</v>
      </c>
      <c r="H26" s="3">
        <f>Tabela5[[#This Row],[Preço Unitário]]*Tabela5[[#This Row],[Quantidade]]</f>
        <v>1.99</v>
      </c>
      <c r="J26" t="s">
        <v>119</v>
      </c>
      <c r="K26" s="32">
        <f>IF(Tabela5[[#This Row],[Id da Venda]]=B27,0,VLOOKUP(Tabela5[[#This Row],[Entrega]],cálculos!$B$7:$C$11,2,FALSE))</f>
        <v>6.5</v>
      </c>
      <c r="L26" s="32">
        <f>Tabela5[[#This Row],[Subtotal]]*(1-Tabela5[[#This Row],[Desconto]])+Tabela5[[#This Row],[Valor de Entrega]]</f>
        <v>8.49</v>
      </c>
      <c r="M26" s="9">
        <f>IF(Tabela5[[#This Row],[Id da Venda]]=B27,"",SUMIF(Tabela5[Id da Venda],Tabela5[[#This Row],[Id da Venda]],Tabela5[Total]))</f>
        <v>8.49</v>
      </c>
    </row>
    <row r="27" spans="2:13" x14ac:dyDescent="0.3">
      <c r="B27">
        <v>1</v>
      </c>
      <c r="C27" s="33">
        <v>42187</v>
      </c>
      <c r="D27" t="s">
        <v>21</v>
      </c>
      <c r="E27" s="31" t="str">
        <f>IFERROR(VLOOKUP(Tabela5[[#This Row],[Produto]],cálculos!$M$7:$P$30,4,FALSE),"")</f>
        <v>Kg</v>
      </c>
      <c r="F27">
        <v>2</v>
      </c>
      <c r="G27" s="3">
        <f>IFERROR(VLOOKUP(Tabela5[[#This Row],[Produto]],cálculos!$M$7:$P$30,3,FALSE),0)</f>
        <v>2.4900000000000002</v>
      </c>
      <c r="H27" s="3">
        <f>Tabela5[[#This Row],[Preço Unitário]]*Tabela5[[#This Row],[Quantidade]]</f>
        <v>4.9800000000000004</v>
      </c>
      <c r="J27" t="s">
        <v>118</v>
      </c>
      <c r="K27" s="32">
        <f>IF(Tabela5[[#This Row],[Id da Venda]]=B28,0,VLOOKUP(Tabela5[[#This Row],[Entrega]],cálculos!$B$7:$C$11,2,FALSE))</f>
        <v>0</v>
      </c>
      <c r="L27" s="32">
        <f>Tabela5[[#This Row],[Subtotal]]*(1-Tabela5[[#This Row],[Desconto]])+Tabela5[[#This Row],[Valor de Entrega]]</f>
        <v>4.9800000000000004</v>
      </c>
      <c r="M27" s="9" t="str">
        <f>IF(Tabela5[[#This Row],[Id da Venda]]=B28,"",SUMIF(Tabela5[Id da Venda],Tabela5[[#This Row],[Id da Venda]],Tabela5[Total]))</f>
        <v/>
      </c>
    </row>
    <row r="28" spans="2:13" x14ac:dyDescent="0.3">
      <c r="B28">
        <v>1</v>
      </c>
      <c r="C28" s="33">
        <v>42187</v>
      </c>
      <c r="D28" t="s">
        <v>33</v>
      </c>
      <c r="E28" s="31" t="str">
        <f>IFERROR(VLOOKUP(Tabela5[[#This Row],[Produto]],cálculos!$M$7:$P$30,4,FALSE),"")</f>
        <v>Pacote</v>
      </c>
      <c r="F28">
        <v>3</v>
      </c>
      <c r="G28" s="3">
        <f>IFERROR(VLOOKUP(Tabela5[[#This Row],[Produto]],cálculos!$M$7:$P$30,3,FALSE),0)</f>
        <v>1.1499999999999999</v>
      </c>
      <c r="H28" s="3">
        <f>Tabela5[[#This Row],[Preço Unitário]]*Tabela5[[#This Row],[Quantidade]]</f>
        <v>3.4499999999999997</v>
      </c>
      <c r="J28" t="s">
        <v>118</v>
      </c>
      <c r="K28" s="32">
        <f>IF(Tabela5[[#This Row],[Id da Venda]]=B29,0,VLOOKUP(Tabela5[[#This Row],[Entrega]],cálculos!$B$7:$C$11,2,FALSE))</f>
        <v>0</v>
      </c>
      <c r="L28" s="32">
        <f>Tabela5[[#This Row],[Subtotal]]*(1-Tabela5[[#This Row],[Desconto]])+Tabela5[[#This Row],[Valor de Entrega]]</f>
        <v>3.4499999999999997</v>
      </c>
      <c r="M28" s="9" t="str">
        <f>IF(Tabela5[[#This Row],[Id da Venda]]=B29,"",SUMIF(Tabela5[Id da Venda],Tabela5[[#This Row],[Id da Venda]],Tabela5[Total]))</f>
        <v/>
      </c>
    </row>
    <row r="29" spans="2:13" x14ac:dyDescent="0.3">
      <c r="B29">
        <v>1</v>
      </c>
      <c r="C29" s="33">
        <v>42187</v>
      </c>
      <c r="D29" t="s">
        <v>38</v>
      </c>
      <c r="E29" s="31" t="str">
        <f>IFERROR(VLOOKUP(Tabela5[[#This Row],[Produto]],cálculos!$M$7:$P$30,4,FALSE),"")</f>
        <v>Pacote</v>
      </c>
      <c r="F29">
        <v>1</v>
      </c>
      <c r="G29" s="3">
        <f>IFERROR(VLOOKUP(Tabela5[[#This Row],[Produto]],cálculos!$M$7:$P$30,3,FALSE),0)</f>
        <v>1.99</v>
      </c>
      <c r="H29" s="3">
        <f>Tabela5[[#This Row],[Preço Unitário]]*Tabela5[[#This Row],[Quantidade]]</f>
        <v>1.99</v>
      </c>
      <c r="J29" t="s">
        <v>118</v>
      </c>
      <c r="K29" s="32">
        <f>IF(Tabela5[[#This Row],[Id da Venda]]=B30,0,VLOOKUP(Tabela5[[#This Row],[Entrega]],cálculos!$B$7:$C$11,2,FALSE))</f>
        <v>0</v>
      </c>
      <c r="L29" s="32">
        <f>Tabela5[[#This Row],[Subtotal]]*(1-Tabela5[[#This Row],[Desconto]])+Tabela5[[#This Row],[Valor de Entrega]]</f>
        <v>1.99</v>
      </c>
      <c r="M29" s="9">
        <f>IF(Tabela5[[#This Row],[Id da Venda]]=B30,"",SUMIF(Tabela5[Id da Venda],Tabela5[[#This Row],[Id da Venda]],Tabela5[Total]))</f>
        <v>10.42</v>
      </c>
    </row>
    <row r="32" spans="2:13" ht="21" x14ac:dyDescent="0.4">
      <c r="B32" s="26" t="s">
        <v>122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>
        <f>SUM(Tabela5[Total])</f>
        <v>655.91200000000026</v>
      </c>
    </row>
    <row r="33" spans="2:13" ht="21" x14ac:dyDescent="0.4">
      <c r="B33" s="28" t="s">
        <v>123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0">
        <f>SUM(Tabela5[Valor de Entrega])</f>
        <v>40.5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66EC0D-1BC0-49D9-96A4-9A8CF6948B80}">
          <x14:formula1>
            <xm:f>cálculos!$B$7:$B$11</xm:f>
          </x14:formula1>
          <xm:sqref>J5:J29</xm:sqref>
        </x14:dataValidation>
        <x14:dataValidation type="list" allowBlank="1" showInputMessage="1" showErrorMessage="1" xr:uid="{AE81A9EC-71BF-4F15-86A0-132E43A08279}">
          <x14:formula1>
            <xm:f>cálculos!$M$7:$M$30</xm:f>
          </x14:formula1>
          <xm:sqref>D5:D29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89DD-8E74-475E-938D-4416B6403A0F}">
  <dimension ref="B2:M22"/>
  <sheetViews>
    <sheetView showGridLines="0" workbookViewId="0">
      <selection activeCell="G5" sqref="G5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124</v>
      </c>
      <c r="E2" s="25"/>
    </row>
    <row r="3" spans="2:13" ht="48" customHeight="1" x14ac:dyDescent="0.3"/>
    <row r="4" spans="2:13" x14ac:dyDescent="0.3">
      <c r="B4" t="s">
        <v>109</v>
      </c>
      <c r="C4" t="s">
        <v>46</v>
      </c>
      <c r="D4" t="s">
        <v>101</v>
      </c>
      <c r="E4" t="s">
        <v>61</v>
      </c>
      <c r="F4" t="s">
        <v>62</v>
      </c>
      <c r="G4" t="s">
        <v>63</v>
      </c>
      <c r="H4" t="s">
        <v>110</v>
      </c>
      <c r="I4" t="s">
        <v>64</v>
      </c>
      <c r="J4" t="s">
        <v>111</v>
      </c>
      <c r="K4" t="s">
        <v>112</v>
      </c>
      <c r="L4" t="s">
        <v>113</v>
      </c>
      <c r="M4" t="s">
        <v>114</v>
      </c>
    </row>
    <row r="5" spans="2:13" x14ac:dyDescent="0.3">
      <c r="B5">
        <v>100</v>
      </c>
      <c r="C5" s="7">
        <v>42139</v>
      </c>
      <c r="D5" t="s">
        <v>35</v>
      </c>
      <c r="E5" t="str">
        <f>IFERROR(VLOOKUP(Tabela57[[#This Row],[Produto]],cálculos!$M$7:$P$30,4,FALSE),"")</f>
        <v>Garrafa</v>
      </c>
      <c r="F5">
        <v>1</v>
      </c>
      <c r="G5" s="3">
        <f>IFERROR(VLOOKUP(Tabela57[[#This Row],[Produto]],cálculos!$M$7:$P$30,3,FALSE),0)</f>
        <v>54.9</v>
      </c>
      <c r="H5" s="9">
        <f>Tabela57[[#This Row],[Quantidade]]*Tabela57[[#This Row],[Preço Unitário]]</f>
        <v>54.9</v>
      </c>
      <c r="I5" s="6"/>
      <c r="J5" t="s">
        <v>120</v>
      </c>
      <c r="K5" s="9">
        <f>IFERROR(VLOOKUP(Tabela57[[#This Row],[Entrega]],cálculos!$B$7:$C$11,2,FALSE),0)</f>
        <v>8</v>
      </c>
      <c r="L5" s="9">
        <f>Tabela57[[#This Row],[Subtotal]]*(1-Tabela57[[#This Row],[Desconto]])+Tabela57[[#This Row],[Valor de Entrega]]</f>
        <v>62.9</v>
      </c>
      <c r="M5" s="9">
        <f>IF(Tabela57[[#This Row],[Id da Venda]]=B6,"",SUMIF(Tabela57[Id da Venda],Tabela57[[#This Row],[Id da Venda]],Tabela57[Total]))</f>
        <v>62.9</v>
      </c>
    </row>
    <row r="6" spans="2:13" x14ac:dyDescent="0.3">
      <c r="C6" s="7"/>
      <c r="E6" t="str">
        <f>IFERROR(VLOOKUP(Tabela57[[#This Row],[Produto]],cálculos!$M$7:$P$30,4,FALSE),"")</f>
        <v/>
      </c>
      <c r="G6" s="3">
        <f>IFERROR(VLOOKUP(Tabela57[[#This Row],[Produto]],cálculos!$M$7:$P$30,3,FALSE),0)</f>
        <v>0</v>
      </c>
      <c r="H6" s="9">
        <f>Tabela57[[#This Row],[Quantidade]]*Tabela57[[#This Row],[Preço Unitário]]</f>
        <v>0</v>
      </c>
      <c r="I6" s="6"/>
      <c r="K6" s="9">
        <f>IFERROR(VLOOKUP(Tabela57[[#This Row],[Entrega]],cálculos!$B$7:$C$11,2,FALSE),0)</f>
        <v>0</v>
      </c>
      <c r="L6" s="9">
        <f>Tabela57[[#This Row],[Subtotal]]*(1-Tabela57[[#This Row],[Desconto]])+Tabela57[[#This Row],[Valor de Entrega]]</f>
        <v>0</v>
      </c>
      <c r="M6" s="9" t="str">
        <f>IF(Tabela57[[#This Row],[Id da Venda]]=B7,"",SUMIF(Tabela57[Id da Venda],Tabela57[[#This Row],[Id da Venda]],Tabela57[Total]))</f>
        <v/>
      </c>
    </row>
    <row r="7" spans="2:13" x14ac:dyDescent="0.3">
      <c r="E7" t="str">
        <f>IFERROR(VLOOKUP(Tabela57[[#This Row],[Produto]],cálculos!$M$7:$P$30,4,FALSE),"")</f>
        <v/>
      </c>
      <c r="G7" s="3">
        <f>IFERROR(VLOOKUP(Tabela57[[#This Row],[Produto]],cálculos!$M$7:$P$30,3,FALSE),0)</f>
        <v>0</v>
      </c>
      <c r="H7" s="9">
        <f>Tabela57[[#This Row],[Quantidade]]*Tabela57[[#This Row],[Preço Unitário]]</f>
        <v>0</v>
      </c>
      <c r="I7" s="6"/>
      <c r="K7" s="9">
        <f>IFERROR(VLOOKUP(Tabela57[[#This Row],[Entrega]],cálculos!$B$7:$C$11,2,FALSE),0)</f>
        <v>0</v>
      </c>
      <c r="L7" s="9">
        <f>Tabela57[[#This Row],[Subtotal]]*(1-Tabela57[[#This Row],[Desconto]])+Tabela57[[#This Row],[Valor de Entrega]]</f>
        <v>0</v>
      </c>
      <c r="M7" s="9" t="str">
        <f>IF(Tabela57[[#This Row],[Id da Venda]]=B8,"",SUMIF(Tabela57[Id da Venda],Tabela57[[#This Row],[Id da Venda]],Tabela57[Total]))</f>
        <v/>
      </c>
    </row>
    <row r="8" spans="2:13" x14ac:dyDescent="0.3">
      <c r="E8" t="str">
        <f>IFERROR(VLOOKUP(Tabela57[[#This Row],[Produto]],cálculos!$M$7:$P$30,4,FALSE),"")</f>
        <v/>
      </c>
      <c r="G8" s="3">
        <f>IFERROR(VLOOKUP(Tabela57[[#This Row],[Produto]],cálculos!$M$7:$P$30,3,FALSE),0)</f>
        <v>0</v>
      </c>
      <c r="H8" s="9">
        <f>Tabela57[[#This Row],[Quantidade]]*Tabela57[[#This Row],[Preço Unitário]]</f>
        <v>0</v>
      </c>
      <c r="I8" s="6"/>
      <c r="K8" s="9">
        <f>IFERROR(VLOOKUP(Tabela57[[#This Row],[Entrega]],cálculos!$B$7:$C$11,2,FALSE),0)</f>
        <v>0</v>
      </c>
      <c r="L8" s="9">
        <f>Tabela57[[#This Row],[Subtotal]]*(1-Tabela57[[#This Row],[Desconto]])+Tabela57[[#This Row],[Valor de Entrega]]</f>
        <v>0</v>
      </c>
      <c r="M8" s="9" t="str">
        <f>IF(Tabela57[[#This Row],[Id da Venda]]=B9,"",SUMIF(Tabela57[Id da Venda],Tabela57[[#This Row],[Id da Venda]],Tabela57[Total]))</f>
        <v/>
      </c>
    </row>
    <row r="9" spans="2:13" x14ac:dyDescent="0.3">
      <c r="E9" t="str">
        <f>IFERROR(VLOOKUP(Tabela57[[#This Row],[Produto]],cálculos!$M$7:$P$30,4,FALSE),"")</f>
        <v/>
      </c>
      <c r="G9" s="3">
        <f>IFERROR(VLOOKUP(Tabela57[[#This Row],[Produto]],cálculos!$M$7:$P$30,3,FALSE),0)</f>
        <v>0</v>
      </c>
      <c r="H9" s="9">
        <f>Tabela57[[#This Row],[Quantidade]]*Tabela57[[#This Row],[Preço Unitário]]</f>
        <v>0</v>
      </c>
      <c r="I9" s="6"/>
      <c r="K9" s="9">
        <f>IFERROR(VLOOKUP(Tabela57[[#This Row],[Entrega]],cálculos!$B$7:$C$11,2,FALSE),0)</f>
        <v>0</v>
      </c>
      <c r="L9" s="9">
        <f>Tabela57[[#This Row],[Subtotal]]*(1-Tabela57[[#This Row],[Desconto]])+Tabela57[[#This Row],[Valor de Entrega]]</f>
        <v>0</v>
      </c>
      <c r="M9" s="9" t="str">
        <f>IF(Tabela57[[#This Row],[Id da Venda]]=B10,"",SUMIF(Tabela57[Id da Venda],Tabela57[[#This Row],[Id da Venda]],Tabela57[Total]))</f>
        <v/>
      </c>
    </row>
    <row r="10" spans="2:13" x14ac:dyDescent="0.3">
      <c r="E10" t="str">
        <f>IFERROR(VLOOKUP(Tabela57[[#This Row],[Produto]],cálculos!$M$7:$P$30,4,FALSE),"")</f>
        <v/>
      </c>
      <c r="G10" s="3">
        <f>IFERROR(VLOOKUP(Tabela57[[#This Row],[Produto]],cálculos!$M$7:$P$30,3,FALSE),0)</f>
        <v>0</v>
      </c>
      <c r="H10" s="9">
        <f>Tabela57[[#This Row],[Quantidade]]*Tabela57[[#This Row],[Preço Unitário]]</f>
        <v>0</v>
      </c>
      <c r="I10" s="6"/>
      <c r="K10" s="9">
        <f>IFERROR(VLOOKUP(Tabela57[[#This Row],[Entrega]],cálculos!$B$7:$C$11,2,FALSE),0)</f>
        <v>0</v>
      </c>
      <c r="L10" s="9">
        <f>Tabela57[[#This Row],[Subtotal]]*(1-Tabela57[[#This Row],[Desconto]])+Tabela57[[#This Row],[Valor de Entrega]]</f>
        <v>0</v>
      </c>
      <c r="M10" s="9" t="str">
        <f>IF(Tabela57[[#This Row],[Id da Venda]]=B11,"",SUMIF(Tabela57[Id da Venda],Tabela57[[#This Row],[Id da Venda]],Tabela57[Total]))</f>
        <v/>
      </c>
    </row>
    <row r="11" spans="2:13" x14ac:dyDescent="0.3">
      <c r="E11" t="str">
        <f>IFERROR(VLOOKUP(Tabela57[[#This Row],[Produto]],cálculos!$M$7:$P$30,4,FALSE),"")</f>
        <v/>
      </c>
      <c r="G11" s="3">
        <f>IFERROR(VLOOKUP(Tabela57[[#This Row],[Produto]],cálculos!$M$7:$P$30,3,FALSE),0)</f>
        <v>0</v>
      </c>
      <c r="H11" s="9">
        <f>Tabela57[[#This Row],[Quantidade]]*Tabela57[[#This Row],[Preço Unitário]]</f>
        <v>0</v>
      </c>
      <c r="I11" s="6"/>
      <c r="K11" s="9">
        <f>IFERROR(VLOOKUP(Tabela57[[#This Row],[Entrega]],cálculos!$B$7:$C$11,2,FALSE),0)</f>
        <v>0</v>
      </c>
      <c r="L11" s="9">
        <f>Tabela57[[#This Row],[Subtotal]]*(1-Tabela57[[#This Row],[Desconto]])+Tabela57[[#This Row],[Valor de Entrega]]</f>
        <v>0</v>
      </c>
      <c r="M11" s="9" t="str">
        <f>IF(Tabela57[[#This Row],[Id da Venda]]=B12,"",SUMIF(Tabela57[Id da Venda],Tabela57[[#This Row],[Id da Venda]],Tabela57[Total]))</f>
        <v/>
      </c>
    </row>
    <row r="12" spans="2:13" x14ac:dyDescent="0.3">
      <c r="E12" t="str">
        <f>IFERROR(VLOOKUP(Tabela57[[#This Row],[Produto]],cálculos!$M$7:$P$30,4,FALSE),"")</f>
        <v/>
      </c>
      <c r="G12" s="3">
        <f>IFERROR(VLOOKUP(Tabela57[[#This Row],[Produto]],cálculos!$M$7:$P$30,3,FALSE),0)</f>
        <v>0</v>
      </c>
      <c r="H12" s="9">
        <f>Tabela57[[#This Row],[Quantidade]]*Tabela57[[#This Row],[Preço Unitário]]</f>
        <v>0</v>
      </c>
      <c r="I12" s="6"/>
      <c r="K12" s="9">
        <f>IFERROR(VLOOKUP(Tabela57[[#This Row],[Entrega]],cálculos!$B$7:$C$11,2,FALSE),0)</f>
        <v>0</v>
      </c>
      <c r="L12" s="9">
        <f>Tabela57[[#This Row],[Subtotal]]*(1-Tabela57[[#This Row],[Desconto]])+Tabela57[[#This Row],[Valor de Entrega]]</f>
        <v>0</v>
      </c>
      <c r="M12" s="9" t="str">
        <f>IF(Tabela57[[#This Row],[Id da Venda]]=B13,"",SUMIF(Tabela57[Id da Venda],Tabela57[[#This Row],[Id da Venda]],Tabela57[Total]))</f>
        <v/>
      </c>
    </row>
    <row r="13" spans="2:13" x14ac:dyDescent="0.3">
      <c r="E13" t="str">
        <f>IFERROR(VLOOKUP(Tabela57[[#This Row],[Produto]],cálculos!$M$7:$P$30,4,FALSE),"")</f>
        <v/>
      </c>
      <c r="G13" s="3">
        <f>IFERROR(VLOOKUP(Tabela57[[#This Row],[Produto]],cálculos!$M$7:$P$30,3,FALSE),0)</f>
        <v>0</v>
      </c>
      <c r="H13" s="9">
        <f>Tabela57[[#This Row],[Quantidade]]*Tabela57[[#This Row],[Preço Unitário]]</f>
        <v>0</v>
      </c>
      <c r="I13" s="6"/>
      <c r="K13" s="9">
        <f>IFERROR(VLOOKUP(Tabela57[[#This Row],[Entrega]],cálculos!$B$7:$C$11,2,FALSE),0)</f>
        <v>0</v>
      </c>
      <c r="L13" s="9">
        <f>Tabela57[[#This Row],[Subtotal]]*(1-Tabela57[[#This Row],[Desconto]])+Tabela57[[#This Row],[Valor de Entrega]]</f>
        <v>0</v>
      </c>
      <c r="M13" s="9" t="str">
        <f>IF(Tabela57[[#This Row],[Id da Venda]]=B14,"",SUMIF(Tabela57[Id da Venda],Tabela57[[#This Row],[Id da Venda]],Tabela57[Total]))</f>
        <v/>
      </c>
    </row>
    <row r="14" spans="2:13" x14ac:dyDescent="0.3">
      <c r="E14" t="str">
        <f>IFERROR(VLOOKUP(Tabela57[[#This Row],[Produto]],cálculos!$M$7:$P$30,4,FALSE),"")</f>
        <v/>
      </c>
      <c r="G14" s="3">
        <f>IFERROR(VLOOKUP(Tabela57[[#This Row],[Produto]],cálculos!$M$7:$P$30,3,FALSE),0)</f>
        <v>0</v>
      </c>
      <c r="H14" s="9">
        <f>Tabela57[[#This Row],[Quantidade]]*Tabela57[[#This Row],[Preço Unitário]]</f>
        <v>0</v>
      </c>
      <c r="I14" s="6"/>
      <c r="K14" s="9">
        <f>IFERROR(VLOOKUP(Tabela57[[#This Row],[Entrega]],cálculos!$B$7:$C$11,2,FALSE),0)</f>
        <v>0</v>
      </c>
      <c r="L14" s="9">
        <f>Tabela57[[#This Row],[Subtotal]]*(1-Tabela57[[#This Row],[Desconto]])+Tabela57[[#This Row],[Valor de Entrega]]</f>
        <v>0</v>
      </c>
      <c r="M14" s="9" t="str">
        <f>IF(Tabela57[[#This Row],[Id da Venda]]=B15,"",SUMIF(Tabela57[Id da Venda],Tabela57[[#This Row],[Id da Venda]],Tabela57[Total]))</f>
        <v/>
      </c>
    </row>
    <row r="15" spans="2:13" x14ac:dyDescent="0.3">
      <c r="E15" t="str">
        <f>IFERROR(VLOOKUP(Tabela57[[#This Row],[Produto]],cálculos!$M$7:$P$30,4,FALSE),"")</f>
        <v/>
      </c>
      <c r="G15" s="3">
        <f>IFERROR(VLOOKUP(Tabela57[[#This Row],[Produto]],cálculos!$M$7:$P$30,3,FALSE),0)</f>
        <v>0</v>
      </c>
      <c r="H15" s="9">
        <f>Tabela57[[#This Row],[Quantidade]]*Tabela57[[#This Row],[Preço Unitário]]</f>
        <v>0</v>
      </c>
      <c r="I15" s="6"/>
      <c r="K15" s="9">
        <f>IFERROR(VLOOKUP(Tabela57[[#This Row],[Entrega]],cálculos!$B$7:$C$11,2,FALSE),0)</f>
        <v>0</v>
      </c>
      <c r="L15" s="9">
        <f>Tabela57[[#This Row],[Subtotal]]*(1-Tabela57[[#This Row],[Desconto]])+Tabela57[[#This Row],[Valor de Entrega]]</f>
        <v>0</v>
      </c>
      <c r="M15" s="9" t="str">
        <f>IF(Tabela57[[#This Row],[Id da Venda]]=B16,"",SUMIF(Tabela57[Id da Venda],Tabela57[[#This Row],[Id da Venda]],Tabela57[Total]))</f>
        <v/>
      </c>
    </row>
    <row r="16" spans="2:13" x14ac:dyDescent="0.3">
      <c r="E16" t="str">
        <f>IFERROR(VLOOKUP(Tabela57[[#This Row],[Produto]],cálculos!$M$7:$P$30,4,FALSE),"")</f>
        <v/>
      </c>
      <c r="G16" s="3">
        <f>IFERROR(VLOOKUP(Tabela57[[#This Row],[Produto]],cálculos!$M$7:$P$30,3,FALSE),0)</f>
        <v>0</v>
      </c>
      <c r="H16" s="9">
        <f>Tabela57[[#This Row],[Quantidade]]*Tabela57[[#This Row],[Preço Unitário]]</f>
        <v>0</v>
      </c>
      <c r="I16" s="6"/>
      <c r="K16" s="9">
        <f>IFERROR(VLOOKUP(Tabela57[[#This Row],[Entrega]],cálculos!$B$7:$C$11,2,FALSE),0)</f>
        <v>0</v>
      </c>
      <c r="L16" s="9">
        <f>Tabela57[[#This Row],[Subtotal]]*(1-Tabela57[[#This Row],[Desconto]])+Tabela57[[#This Row],[Valor de Entrega]]</f>
        <v>0</v>
      </c>
      <c r="M16" s="9" t="str">
        <f>IF(Tabela57[[#This Row],[Id da Venda]]=B17,"",SUMIF(Tabela57[Id da Venda],Tabela57[[#This Row],[Id da Venda]],Tabela57[Total]))</f>
        <v/>
      </c>
    </row>
    <row r="17" spans="2:13" x14ac:dyDescent="0.3">
      <c r="E17" t="str">
        <f>IFERROR(VLOOKUP(Tabela57[[#This Row],[Produto]],cálculos!$M$7:$P$30,4,FALSE),"")</f>
        <v/>
      </c>
      <c r="G17" s="3">
        <f>IFERROR(VLOOKUP(Tabela57[[#This Row],[Produto]],cálculos!$M$7:$P$30,3,FALSE),0)</f>
        <v>0</v>
      </c>
      <c r="H17" s="9">
        <f>Tabela57[[#This Row],[Quantidade]]*Tabela57[[#This Row],[Preço Unitário]]</f>
        <v>0</v>
      </c>
      <c r="I17" s="6"/>
      <c r="K17" s="9">
        <f>IFERROR(VLOOKUP(Tabela57[[#This Row],[Entrega]],cálculos!$B$7:$C$11,2,FALSE),0)</f>
        <v>0</v>
      </c>
      <c r="L17" s="9">
        <f>Tabela57[[#This Row],[Subtotal]]*(1-Tabela57[[#This Row],[Desconto]])+Tabela57[[#This Row],[Valor de Entrega]]</f>
        <v>0</v>
      </c>
      <c r="M17" s="9" t="str">
        <f>IF(Tabela57[[#This Row],[Id da Venda]]=B18,"",SUMIF(Tabela57[Id da Venda],Tabela57[[#This Row],[Id da Venda]],Tabela57[Total]))</f>
        <v/>
      </c>
    </row>
    <row r="18" spans="2:13" x14ac:dyDescent="0.3">
      <c r="E18" t="str">
        <f>IFERROR(VLOOKUP(Tabela57[[#This Row],[Produto]],cálculos!$M$7:$P$30,4,FALSE),"")</f>
        <v/>
      </c>
      <c r="G18" s="3">
        <f>IFERROR(VLOOKUP(Tabela57[[#This Row],[Produto]],cálculos!$M$7:$P$30,3,FALSE),0)</f>
        <v>0</v>
      </c>
      <c r="H18" s="3">
        <f>Tabela57[[#This Row],[Quantidade]]*Tabela57[[#This Row],[Preço Unitário]]</f>
        <v>0</v>
      </c>
      <c r="K18" s="9">
        <f>IFERROR(VLOOKUP(Tabela57[[#This Row],[Entrega]],cálculos!$B$7:$C$11,2,FALSE),0)</f>
        <v>0</v>
      </c>
      <c r="L18" s="9">
        <f>Tabela57[[#This Row],[Subtotal]]*(1-Tabela57[[#This Row],[Desconto]])+Tabela57[[#This Row],[Valor de Entrega]]</f>
        <v>0</v>
      </c>
      <c r="M18" s="9" t="str">
        <f>IF(Tabela57[[#This Row],[Id da Venda]]=B19,"",SUMIF(Tabela57[Id da Venda],Tabela57[[#This Row],[Id da Venda]],Tabela57[Total]))</f>
        <v/>
      </c>
    </row>
    <row r="21" spans="2:13" ht="21" x14ac:dyDescent="0.4">
      <c r="B21" s="26" t="s">
        <v>122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SUM(Tabela57[Total])</f>
        <v>62.9</v>
      </c>
    </row>
    <row r="22" spans="2:13" ht="21" x14ac:dyDescent="0.4">
      <c r="B22" s="28" t="s">
        <v>123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SUM(Tabela57[Valor de Entrega])</f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EC845B-31B4-4140-A17B-E261E7C04178}">
          <x14:formula1>
            <xm:f>cálculos!$B$7:$B$11</xm:f>
          </x14:formula1>
          <xm:sqref>J5:J18</xm:sqref>
        </x14:dataValidation>
        <x14:dataValidation type="list" allowBlank="1" showInputMessage="1" showErrorMessage="1" xr:uid="{B1219302-A5D5-4B02-BEEC-CA85C513DCB6}">
          <x14:formula1>
            <xm:f>cálculos!$M$7:$M$30</xm:f>
          </x14:formula1>
          <xm:sqref>D5:D17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Menu</vt:lpstr>
      <vt:lpstr>Despesas</vt:lpstr>
      <vt:lpstr>Compras Mercadorias</vt:lpstr>
      <vt:lpstr>Investimentos</vt:lpstr>
      <vt:lpstr>Controle de Estoque</vt:lpstr>
      <vt:lpstr>Resultados</vt:lpstr>
      <vt:lpstr>Vendas</vt:lpstr>
      <vt:lpstr>Semana 1</vt:lpstr>
      <vt:lpstr>Semana 2</vt:lpstr>
      <vt:lpstr>Semana 3</vt:lpstr>
      <vt:lpstr>Semana 4</vt:lpstr>
      <vt:lpstr>Semana 5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2020-04-03T06:17:58Z</dcterms:modified>
</cp:coreProperties>
</file>