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Karen\Excel\Projeto\"/>
    </mc:Choice>
  </mc:AlternateContent>
  <xr:revisionPtr revIDLastSave="0" documentId="13_ncr:1_{3098E72D-7C04-4993-A029-511EBEEAD42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enu" sheetId="1" r:id="rId1"/>
    <sheet name="Despesas" sheetId="2" r:id="rId2"/>
    <sheet name="Controle Mercadorias" sheetId="6" r:id="rId3"/>
    <sheet name="Investimentos" sheetId="7" r:id="rId4"/>
    <sheet name="Controle de Estoque" sheetId="8" r:id="rId5"/>
    <sheet name="Resultados" sheetId="4" r:id="rId6"/>
    <sheet name="Vendas" sheetId="3" r:id="rId7"/>
    <sheet name="cálculos" sheetId="5" r:id="rId8"/>
  </sheets>
  <definedNames>
    <definedName name="_xlnm._FilterDatabase" localSheetId="7" hidden="1">cálculos!$M$6:$P$6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8" l="1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12" i="7" l="1"/>
  <c r="G5" i="6" l="1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8" i="6" l="1"/>
  <c r="G32" i="2" s="1"/>
  <c r="G33" i="2" s="1"/>
  <c r="G21" i="2"/>
  <c r="G14" i="2"/>
  <c r="G6" i="2"/>
  <c r="G31" i="2" s="1"/>
</calcChain>
</file>

<file path=xl/sharedStrings.xml><?xml version="1.0" encoding="utf-8"?>
<sst xmlns="http://schemas.openxmlformats.org/spreadsheetml/2006/main" count="192" uniqueCount="108">
  <si>
    <t>Manutenção de Equipamentos</t>
  </si>
  <si>
    <t>Impostos</t>
  </si>
  <si>
    <t>Limpeza</t>
  </si>
  <si>
    <t>Aluguel Loja</t>
  </si>
  <si>
    <t>Seguros</t>
  </si>
  <si>
    <t>Outros</t>
  </si>
  <si>
    <t>Vendas</t>
  </si>
  <si>
    <t>Serviços de Entrega</t>
  </si>
  <si>
    <t>Receita Líquida</t>
  </si>
  <si>
    <t>Lucro Operacional Bruto</t>
  </si>
  <si>
    <t>Faturamento Bruto</t>
  </si>
  <si>
    <t>Lucro Líquido</t>
  </si>
  <si>
    <t>Salários</t>
  </si>
  <si>
    <t>Bonificações</t>
  </si>
  <si>
    <t>Vales (Refeição, Transporte)</t>
  </si>
  <si>
    <t>Informática</t>
  </si>
  <si>
    <t>Serviços Terceirizados</t>
  </si>
  <si>
    <t>Escritório Contábil</t>
  </si>
  <si>
    <t>Escritório Advocacia</t>
  </si>
  <si>
    <t>Entregas</t>
  </si>
  <si>
    <t>Marketing</t>
  </si>
  <si>
    <t>Arroz</t>
  </si>
  <si>
    <t>Feijão</t>
  </si>
  <si>
    <t>Tomate</t>
  </si>
  <si>
    <t>Alface</t>
  </si>
  <si>
    <t>Carne</t>
  </si>
  <si>
    <t>Frango</t>
  </si>
  <si>
    <t>Peixe</t>
  </si>
  <si>
    <t>Queijo</t>
  </si>
  <si>
    <t>Vinho</t>
  </si>
  <si>
    <t>Suco</t>
  </si>
  <si>
    <t>Cenoura</t>
  </si>
  <si>
    <t>Vagem</t>
  </si>
  <si>
    <t>Amendoim</t>
  </si>
  <si>
    <t>Cerveja</t>
  </si>
  <si>
    <t>Vodka</t>
  </si>
  <si>
    <t>Couve</t>
  </si>
  <si>
    <t>Caixa de Fósforo</t>
  </si>
  <si>
    <t>Bala</t>
  </si>
  <si>
    <t>Chocolate</t>
  </si>
  <si>
    <t>Cigarro</t>
  </si>
  <si>
    <t>Barra de Cereal</t>
  </si>
  <si>
    <t>Despesas</t>
  </si>
  <si>
    <t>Despesas de Funcionamento</t>
  </si>
  <si>
    <t>Itens Despesas</t>
  </si>
  <si>
    <t>Funcionários</t>
  </si>
  <si>
    <t>Data</t>
  </si>
  <si>
    <t>Observação</t>
  </si>
  <si>
    <t>Valor Final</t>
  </si>
  <si>
    <t>Valor Intermediário</t>
  </si>
  <si>
    <t>Água</t>
  </si>
  <si>
    <t>Energia</t>
  </si>
  <si>
    <t>Gás</t>
  </si>
  <si>
    <t>Telefone</t>
  </si>
  <si>
    <t>Despesas Funcionamento</t>
  </si>
  <si>
    <t>Férias, Licença Maternidade</t>
  </si>
  <si>
    <t>Total de Despesas Funcionamento</t>
  </si>
  <si>
    <t>Compras Mercadorias</t>
  </si>
  <si>
    <t>Fornecedor</t>
  </si>
  <si>
    <t>Mercadoria</t>
  </si>
  <si>
    <t>Unidade</t>
  </si>
  <si>
    <t>Medida</t>
  </si>
  <si>
    <t>Quantidade</t>
  </si>
  <si>
    <t>Preço Unitário</t>
  </si>
  <si>
    <t>Desconto</t>
  </si>
  <si>
    <t>Valor Pago</t>
  </si>
  <si>
    <t>Produtos</t>
  </si>
  <si>
    <t>Preço de Compra Unitário</t>
  </si>
  <si>
    <t>Preço de Venda Unitário</t>
  </si>
  <si>
    <t>Pacote</t>
  </si>
  <si>
    <t>Kg</t>
  </si>
  <si>
    <t>Leite</t>
  </si>
  <si>
    <t>Litro</t>
  </si>
  <si>
    <t>Lata</t>
  </si>
  <si>
    <t>Barra</t>
  </si>
  <si>
    <t>Maço</t>
  </si>
  <si>
    <t>Pão de Forma</t>
  </si>
  <si>
    <t>Refrigerante</t>
  </si>
  <si>
    <t>Garrafa</t>
  </si>
  <si>
    <t>Fornecedor de Verduras</t>
  </si>
  <si>
    <t>Fornecedor de Grãos e Sementes</t>
  </si>
  <si>
    <t>Fornecedor de Bebidas</t>
  </si>
  <si>
    <t>Fornecedor de Cigarro</t>
  </si>
  <si>
    <t>Fornecedor de Doces</t>
  </si>
  <si>
    <t>Padaria</t>
  </si>
  <si>
    <t>Fornecedor de Frango</t>
  </si>
  <si>
    <t>Fornecedor de Peixe</t>
  </si>
  <si>
    <t>Fornecedor de Legumes</t>
  </si>
  <si>
    <t>Fornecedor de Carne</t>
  </si>
  <si>
    <t>Total de Compra de Mercadorias</t>
  </si>
  <si>
    <t>Total de Despesas</t>
  </si>
  <si>
    <t>Investimentos</t>
  </si>
  <si>
    <t>Descrição</t>
  </si>
  <si>
    <t>Valor</t>
  </si>
  <si>
    <t>Investimento</t>
  </si>
  <si>
    <t>Investimento Inicial</t>
  </si>
  <si>
    <t>Equipamentos (carrinhos, balanças, cortador de queijo, etc)</t>
  </si>
  <si>
    <t>Estrutura (estantes, prateleiras, etc)</t>
  </si>
  <si>
    <t>Documentação, Sistema de Informação, Estrutura Inicial, Sistema de Refrigeração, Equipamentos</t>
  </si>
  <si>
    <t>Total Investido</t>
  </si>
  <si>
    <t>Controle de Estoque</t>
  </si>
  <si>
    <t>Produto</t>
  </si>
  <si>
    <t>Data da última compra</t>
  </si>
  <si>
    <t>Quantidade Inicial</t>
  </si>
  <si>
    <t>Quantidade Comprada</t>
  </si>
  <si>
    <t>Quantidade Vendida</t>
  </si>
  <si>
    <t>Quantidade Atual</t>
  </si>
  <si>
    <t>Situação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</si>
</sst>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4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3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44" fontId="0" fillId="0" borderId="0" xfId="0" applyNumberFormat="1"/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9" fontId="0" fillId="0" borderId="0" xfId="2" applyFont="1"/>
    <xf numFmtId="14" fontId="0" fillId="0" borderId="0" xfId="0" applyNumberFormat="1"/>
    <xf numFmtId="0" fontId="4" fillId="0" borderId="0" xfId="0" applyFont="1"/>
    <xf numFmtId="44" fontId="0" fillId="0" borderId="0" xfId="1" applyFont="1"/>
    <xf numFmtId="0" fontId="0" fillId="0" borderId="0" xfId="0" applyAlignment="1">
      <alignment wrapText="1"/>
    </xf>
    <xf numFmtId="14" fontId="5" fillId="0" borderId="1" xfId="0" applyNumberFormat="1" applyFont="1" applyBorder="1"/>
    <xf numFmtId="0" fontId="5" fillId="0" borderId="1" xfId="0" applyFont="1" applyBorder="1"/>
    <xf numFmtId="44" fontId="5" fillId="0" borderId="1" xfId="0" applyNumberFormat="1" applyFont="1" applyBorder="1"/>
    <xf numFmtId="0" fontId="5" fillId="0" borderId="0" xfId="0" applyFont="1"/>
    <xf numFmtId="44" fontId="5" fillId="0" borderId="0" xfId="0" applyNumberFormat="1" applyFont="1"/>
    <xf numFmtId="14" fontId="5" fillId="0" borderId="2" xfId="0" applyNumberFormat="1" applyFont="1" applyBorder="1"/>
    <xf numFmtId="0" fontId="5" fillId="0" borderId="2" xfId="0" applyFont="1" applyBorder="1"/>
    <xf numFmtId="44" fontId="5" fillId="0" borderId="2" xfId="0" applyNumberFormat="1" applyFont="1" applyBorder="1"/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2" fillId="2" borderId="0" xfId="0" applyFont="1" applyFill="1" applyAlignment="1"/>
  </cellXfs>
  <cellStyles count="3">
    <cellStyle name="Moeda" xfId="1" builtinId="4"/>
    <cellStyle name="Normal" xfId="0" builtinId="0"/>
    <cellStyle name="Porcentagem" xfId="2" builtinId="5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fill>
        <patternFill>
          <bgColor theme="7" tint="0.39994506668294322"/>
        </patternFill>
      </fill>
    </dxf>
    <dxf>
      <font>
        <color rgb="FFFF0000"/>
      </font>
      <fill>
        <patternFill>
          <fgColor auto="1"/>
          <bgColor theme="5" tint="0.59996337778862885"/>
        </patternFill>
      </fill>
    </dxf>
    <dxf>
      <numFmt numFmtId="34" formatCode="_-&quot;R$&quot;\ * #,##0.00_-;\-&quot;R$&quot;\ * #,##0.00_-;_-&quot;R$&quot;\ * &quot;-&quot;??_-;_-@_-"/>
    </dxf>
    <dxf>
      <alignment horizontal="general" vertical="bottom" textRotation="0" wrapText="1" indent="0" justifyLastLine="0" shrinkToFit="0" readingOrder="0"/>
    </dxf>
    <dxf>
      <numFmt numFmtId="19" formatCode="dd/mm/yyyy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9" formatCode="dd/mm/yyyy"/>
    </dxf>
    <dxf>
      <numFmt numFmtId="34" formatCode="_-&quot;R$&quot;\ * #,##0.00_-;\-&quot;R$&quot;\ * #,##0.00_-;_-&quot;R$&quot;\ * &quot;-&quot;??_-;_-@_-"/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Controle Mercadorias'!A1"/><Relationship Id="rId7" Type="http://schemas.openxmlformats.org/officeDocument/2006/relationships/hyperlink" Target="#Vendas!A1"/><Relationship Id="rId2" Type="http://schemas.openxmlformats.org/officeDocument/2006/relationships/hyperlink" Target="#Despesas!A1"/><Relationship Id="rId1" Type="http://schemas.openxmlformats.org/officeDocument/2006/relationships/image" Target="../media/image1.png"/><Relationship Id="rId6" Type="http://schemas.openxmlformats.org/officeDocument/2006/relationships/hyperlink" Target="#Resultados!A1"/><Relationship Id="rId5" Type="http://schemas.openxmlformats.org/officeDocument/2006/relationships/hyperlink" Target="#'Controle de Estoque'!A1"/><Relationship Id="rId4" Type="http://schemas.openxmlformats.org/officeDocument/2006/relationships/hyperlink" Target="#Investimento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0</xdr:row>
      <xdr:rowOff>0</xdr:rowOff>
    </xdr:from>
    <xdr:to>
      <xdr:col>23</xdr:col>
      <xdr:colOff>541020</xdr:colOff>
      <xdr:row>42</xdr:row>
      <xdr:rowOff>175260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A7B77496-F4AC-40E5-962D-84C5AD21A5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" y="0"/>
          <a:ext cx="14554200" cy="7856220"/>
        </a:xfrm>
        <a:prstGeom prst="rect">
          <a:avLst/>
        </a:prstGeom>
      </xdr:spPr>
    </xdr:pic>
    <xdr:clientData/>
  </xdr:twoCellAnchor>
  <xdr:twoCellAnchor>
    <xdr:from>
      <xdr:col>0</xdr:col>
      <xdr:colOff>160020</xdr:colOff>
      <xdr:row>20</xdr:row>
      <xdr:rowOff>0</xdr:rowOff>
    </xdr:from>
    <xdr:to>
      <xdr:col>3</xdr:col>
      <xdr:colOff>525780</xdr:colOff>
      <xdr:row>23</xdr:row>
      <xdr:rowOff>53340</xdr:rowOff>
    </xdr:to>
    <xdr:sp macro="" textlink="">
      <xdr:nvSpPr>
        <xdr:cNvPr id="3" name="Fluxograma: Process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63A4AC2-2A10-464B-854E-B11B2821A790}"/>
            </a:ext>
          </a:extLst>
        </xdr:cNvPr>
        <xdr:cNvSpPr/>
      </xdr:nvSpPr>
      <xdr:spPr>
        <a:xfrm>
          <a:off x="160020" y="3657600"/>
          <a:ext cx="2194560" cy="601980"/>
        </a:xfrm>
        <a:prstGeom prst="flowChartProcess">
          <a:avLst/>
        </a:prstGeom>
        <a:solidFill>
          <a:schemeClr val="bg1"/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accent1"/>
              </a:solidFill>
            </a:rPr>
            <a:t>Despesas</a:t>
          </a:r>
        </a:p>
      </xdr:txBody>
    </xdr:sp>
    <xdr:clientData/>
  </xdr:twoCellAnchor>
  <xdr:twoCellAnchor>
    <xdr:from>
      <xdr:col>4</xdr:col>
      <xdr:colOff>68580</xdr:colOff>
      <xdr:row>20</xdr:row>
      <xdr:rowOff>0</xdr:rowOff>
    </xdr:from>
    <xdr:to>
      <xdr:col>7</xdr:col>
      <xdr:colOff>434340</xdr:colOff>
      <xdr:row>23</xdr:row>
      <xdr:rowOff>53340</xdr:rowOff>
    </xdr:to>
    <xdr:sp macro="" textlink="">
      <xdr:nvSpPr>
        <xdr:cNvPr id="4" name="Fluxograma: Process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B582D2A-6809-46C0-BB5C-E7B181F0A03E}"/>
            </a:ext>
          </a:extLst>
        </xdr:cNvPr>
        <xdr:cNvSpPr/>
      </xdr:nvSpPr>
      <xdr:spPr>
        <a:xfrm>
          <a:off x="2506980" y="3657600"/>
          <a:ext cx="2194560" cy="601980"/>
        </a:xfrm>
        <a:prstGeom prst="flowChartProcess">
          <a:avLst/>
        </a:prstGeom>
        <a:solidFill>
          <a:schemeClr val="bg1"/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accent1"/>
              </a:solidFill>
            </a:rPr>
            <a:t>Compras Mercadorias</a:t>
          </a:r>
        </a:p>
      </xdr:txBody>
    </xdr:sp>
    <xdr:clientData/>
  </xdr:twoCellAnchor>
  <xdr:twoCellAnchor>
    <xdr:from>
      <xdr:col>7</xdr:col>
      <xdr:colOff>571500</xdr:colOff>
      <xdr:row>20</xdr:row>
      <xdr:rowOff>7620</xdr:rowOff>
    </xdr:from>
    <xdr:to>
      <xdr:col>11</xdr:col>
      <xdr:colOff>327660</xdr:colOff>
      <xdr:row>23</xdr:row>
      <xdr:rowOff>60960</xdr:rowOff>
    </xdr:to>
    <xdr:sp macro="" textlink="">
      <xdr:nvSpPr>
        <xdr:cNvPr id="5" name="Fluxograma: Processo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7B91159-C35A-414A-A048-6560EEB675A0}"/>
            </a:ext>
          </a:extLst>
        </xdr:cNvPr>
        <xdr:cNvSpPr/>
      </xdr:nvSpPr>
      <xdr:spPr>
        <a:xfrm>
          <a:off x="4838700" y="3665220"/>
          <a:ext cx="2194560" cy="601980"/>
        </a:xfrm>
        <a:prstGeom prst="flowChartProcess">
          <a:avLst/>
        </a:prstGeom>
        <a:solidFill>
          <a:schemeClr val="bg1"/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accent1"/>
              </a:solidFill>
            </a:rPr>
            <a:t>Investimentos</a:t>
          </a:r>
        </a:p>
      </xdr:txBody>
    </xdr:sp>
    <xdr:clientData/>
  </xdr:twoCellAnchor>
  <xdr:twoCellAnchor>
    <xdr:from>
      <xdr:col>11</xdr:col>
      <xdr:colOff>449580</xdr:colOff>
      <xdr:row>20</xdr:row>
      <xdr:rowOff>7620</xdr:rowOff>
    </xdr:from>
    <xdr:to>
      <xdr:col>15</xdr:col>
      <xdr:colOff>205740</xdr:colOff>
      <xdr:row>23</xdr:row>
      <xdr:rowOff>60960</xdr:rowOff>
    </xdr:to>
    <xdr:sp macro="" textlink="">
      <xdr:nvSpPr>
        <xdr:cNvPr id="6" name="Fluxograma: Processo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50B9023-6B4B-4D48-8C5F-0628DC37F9D1}"/>
            </a:ext>
          </a:extLst>
        </xdr:cNvPr>
        <xdr:cNvSpPr/>
      </xdr:nvSpPr>
      <xdr:spPr>
        <a:xfrm>
          <a:off x="7155180" y="3665220"/>
          <a:ext cx="2194560" cy="601980"/>
        </a:xfrm>
        <a:prstGeom prst="flowChartProcess">
          <a:avLst/>
        </a:prstGeom>
        <a:solidFill>
          <a:schemeClr val="bg1"/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accent1"/>
              </a:solidFill>
            </a:rPr>
            <a:t>Controle de Estoque</a:t>
          </a:r>
        </a:p>
      </xdr:txBody>
    </xdr:sp>
    <xdr:clientData/>
  </xdr:twoCellAnchor>
  <xdr:twoCellAnchor>
    <xdr:from>
      <xdr:col>19</xdr:col>
      <xdr:colOff>213360</xdr:colOff>
      <xdr:row>20</xdr:row>
      <xdr:rowOff>0</xdr:rowOff>
    </xdr:from>
    <xdr:to>
      <xdr:col>22</xdr:col>
      <xdr:colOff>579120</xdr:colOff>
      <xdr:row>23</xdr:row>
      <xdr:rowOff>53340</xdr:rowOff>
    </xdr:to>
    <xdr:sp macro="" textlink="">
      <xdr:nvSpPr>
        <xdr:cNvPr id="7" name="Fluxograma: Processo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9C7B16C6-F9E0-4B02-BA01-04FEE2D1A0F7}"/>
            </a:ext>
          </a:extLst>
        </xdr:cNvPr>
        <xdr:cNvSpPr/>
      </xdr:nvSpPr>
      <xdr:spPr>
        <a:xfrm>
          <a:off x="11795760" y="3657600"/>
          <a:ext cx="2194560" cy="601980"/>
        </a:xfrm>
        <a:prstGeom prst="flowChartProcess">
          <a:avLst/>
        </a:prstGeom>
        <a:solidFill>
          <a:schemeClr val="bg1"/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accent1"/>
              </a:solidFill>
            </a:rPr>
            <a:t>Resultados</a:t>
          </a:r>
        </a:p>
      </xdr:txBody>
    </xdr:sp>
    <xdr:clientData/>
  </xdr:twoCellAnchor>
  <xdr:twoCellAnchor>
    <xdr:from>
      <xdr:col>15</xdr:col>
      <xdr:colOff>327660</xdr:colOff>
      <xdr:row>20</xdr:row>
      <xdr:rowOff>0</xdr:rowOff>
    </xdr:from>
    <xdr:to>
      <xdr:col>19</xdr:col>
      <xdr:colOff>83820</xdr:colOff>
      <xdr:row>23</xdr:row>
      <xdr:rowOff>53340</xdr:rowOff>
    </xdr:to>
    <xdr:sp macro="" textlink="">
      <xdr:nvSpPr>
        <xdr:cNvPr id="9" name="Fluxograma: Processo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91139E2-F71A-4B73-BEC2-D4ED24FE94B6}"/>
            </a:ext>
          </a:extLst>
        </xdr:cNvPr>
        <xdr:cNvSpPr/>
      </xdr:nvSpPr>
      <xdr:spPr>
        <a:xfrm>
          <a:off x="9471660" y="3657600"/>
          <a:ext cx="2194560" cy="601980"/>
        </a:xfrm>
        <a:prstGeom prst="flowChartProcess">
          <a:avLst/>
        </a:prstGeom>
        <a:solidFill>
          <a:schemeClr val="bg1"/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accent1"/>
              </a:solidFill>
            </a:rPr>
            <a:t>Vendas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F8239A-6B19-4C4D-A13C-A3CDE664781D}" name="Tabela1" displayName="Tabela1" ref="B4:G29" totalsRowShown="0">
  <autoFilter ref="B4:G29" xr:uid="{B8BA4C6E-FE8B-4545-87A2-5D8F28B96CDB}"/>
  <tableColumns count="6">
    <tableColumn id="1" xr3:uid="{E0A7A83C-0587-4CD3-8BEE-282C78890C3C}" name="Despesas de Funcionamento"/>
    <tableColumn id="2" xr3:uid="{9C64D963-63DB-46A0-A750-8711E48A12FC}" name="Itens Despesas"/>
    <tableColumn id="3" xr3:uid="{060D3661-46AF-4733-A5FA-310DAE872F3B}" name="Data"/>
    <tableColumn id="4" xr3:uid="{C7FD1F45-6591-4A70-B5D6-88A947871079}" name="Observação"/>
    <tableColumn id="5" xr3:uid="{C077D5F0-3B7B-4003-A04F-8FCDCB159E09}" name="Valor Intermediário"/>
    <tableColumn id="6" xr3:uid="{87F99A74-457F-46C1-83C0-85FE250EB676}" name="Valor Final" dataDxfId="13"/>
  </tableColumns>
  <tableStyleInfo name="TableStyleMedium2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093F57-EAEF-49BA-ADB8-368753FF91EC}" name="Tabela2" displayName="Tabela2" ref="B4:I26" totalsRowShown="0">
  <autoFilter ref="B4:I26" xr:uid="{48167811-6120-4487-B8AE-AF61421F5AF1}"/>
  <sortState xmlns:xlrd2="http://schemas.microsoft.com/office/spreadsheetml/2017/richdata2" ref="B5:I26">
    <sortCondition descending="1" ref="B4:B26"/>
  </sortState>
  <tableColumns count="8">
    <tableColumn id="1" xr3:uid="{0EEB83A6-F4B9-435A-8D34-649252E5C12C}" name="Data" dataDxfId="12"/>
    <tableColumn id="2" xr3:uid="{5A90F27E-71CD-4AFD-9169-04935483B7FC}" name="Fornecedor"/>
    <tableColumn id="3" xr3:uid="{1B71B8C7-9BCE-4D9E-905F-EDA0563E190C}" name="Mercadoria"/>
    <tableColumn id="4" xr3:uid="{3F486BB6-4D35-41B1-9117-DF6E7C6D0529}" name="Medida" dataDxfId="11">
      <calculatedColumnFormula>IFERROR(VLOOKUP(Tabela2[[#This Row],[Mercadoria]],cálculos!$M$7:$P$35,4,FALSE),"")</calculatedColumnFormula>
    </tableColumn>
    <tableColumn id="5" xr3:uid="{72B0BF28-47FE-4E5D-A0BF-3A891C46063C}" name="Quantidade"/>
    <tableColumn id="6" xr3:uid="{2A49550F-3530-4E59-BED2-151AC4FFB8D3}" name="Preço Unitário" dataDxfId="10">
      <calculatedColumnFormula>IFERROR(VLOOKUP(Tabela2[[#This Row],[Mercadoria]],cálculos!$M$7:$P$35,2,FALSE),"")</calculatedColumnFormula>
    </tableColumn>
    <tableColumn id="7" xr3:uid="{99A9462F-2400-46FB-9851-646D7FFE5442}" name="Desconto" dataCellStyle="Porcentagem"/>
    <tableColumn id="8" xr3:uid="{C45480F4-82CC-4B7B-BED7-A7F41DFD189F}" name="Valor Pago" dataDxfId="9">
      <calculatedColumnFormula>Tabela2[[#This Row],[Quantidade]]*Tabela2[[#This Row],[Preço Unitário]]*(1-Tabela2[[#This Row],[Desconto]])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D91259-D524-4F49-9C66-B1FF16508444}" name="Tabela3" displayName="Tabela3" ref="B5:E10" totalsRowShown="0">
  <autoFilter ref="B5:E10" xr:uid="{487AEE34-60B2-4100-A9BD-BD0DF808678C}"/>
  <tableColumns count="4">
    <tableColumn id="1" xr3:uid="{9B7EBAA0-64AD-4E77-9A2E-2E4538EACCC3}" name="Investimento"/>
    <tableColumn id="2" xr3:uid="{8DFEE324-E65A-425F-94A2-66FF909D7C30}" name="Data" dataDxfId="8"/>
    <tableColumn id="3" xr3:uid="{239BE80D-7805-4BBC-9C2D-C1DA9176F006}" name="Descrição" dataDxfId="7"/>
    <tableColumn id="4" xr3:uid="{2870BF42-AA4B-45ED-882A-312D44EF0ADB}" name="Valor" dataDxf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AB07D7C-7269-4ADB-A46D-2F73513CEA69}" name="Tabela4" displayName="Tabela4" ref="B5:H29" totalsRowShown="0">
  <autoFilter ref="B5:H29" xr:uid="{43996090-F30C-43D8-B342-21C0D20BB2FD}"/>
  <tableColumns count="7">
    <tableColumn id="1" xr3:uid="{39158332-0439-4634-A356-C285BC1CE3AE}" name="Produto"/>
    <tableColumn id="2" xr3:uid="{ABEAA5C0-16F7-4E1B-917F-C5C8BFD55C9A}" name="Data da última compra" dataDxfId="3">
      <calculatedColumnFormula>IFERROR(INDEX(Tabela2[],MATCH(B6,Tabela2[Mercadoria],0),1),"")</calculatedColumnFormula>
    </tableColumn>
    <tableColumn id="3" xr3:uid="{C81A6D67-961E-4493-8C24-EBAD0C4F2A48}" name="Quantidade Inicial"/>
    <tableColumn id="4" xr3:uid="{80CA6ACE-4BB2-4EAD-A586-E6541DCF9474}" name="Quantidade Comprada" dataDxfId="2">
      <calculatedColumnFormula>SUMIF(Tabela2[Mercadoria],Tabela4[[#This Row],[Produto]],Tabela2[Quantidade])</calculatedColumnFormula>
    </tableColumn>
    <tableColumn id="5" xr3:uid="{2535A214-2CD4-404B-A5DE-50CC6CD08CB7}" name="Quantidade Vendida"/>
    <tableColumn id="6" xr3:uid="{1AD92F18-4970-4BF8-9E1A-44FD14A235E3}" name="Quantidade Atual" dataDxfId="1">
      <calculatedColumnFormula>Tabela4[[#This Row],[Quantidade Inicial]]+Tabela4[[#This Row],[Quantidade Comprada]]-Tabela4[[#This Row],[Quantidade Vendida]]</calculatedColumnFormula>
    </tableColumn>
    <tableColumn id="7" xr3:uid="{D0D7FE62-656C-4A80-A7CD-44E952E7B569}" name="Situação" dataDxfId="0">
      <calculatedColumnFormula>IF(Tabela4[[#This Row],[Quantidade Atual]]&lt;50,IF(Tabela4[[#This Row],[Quantidade Atual]]&lt;21,"Comprar","Atenção"),"OK")</calculatedColumnFormula>
    </tableColumn>
  </tableColumns>
  <tableStyleInfo name="TableStyleMedium4" showFirstColumn="1" showLastColumn="1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M47" sqref="M47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S33"/>
  <sheetViews>
    <sheetView showGridLines="0" workbookViewId="0">
      <selection activeCell="H17" sqref="H17"/>
    </sheetView>
  </sheetViews>
  <sheetFormatPr defaultRowHeight="14.4" x14ac:dyDescent="0.3"/>
  <cols>
    <col min="2" max="2" width="46.5546875" bestFit="1" customWidth="1"/>
    <col min="3" max="3" width="24.21875" bestFit="1" customWidth="1"/>
    <col min="4" max="4" width="13.88671875" customWidth="1"/>
    <col min="5" max="5" width="25.21875" customWidth="1"/>
    <col min="6" max="6" width="20.6640625" customWidth="1"/>
    <col min="7" max="7" width="19.5546875" bestFit="1" customWidth="1"/>
  </cols>
  <sheetData>
    <row r="2" spans="1:19" s="2" customFormat="1" ht="28.05" customHeight="1" x14ac:dyDescent="0.45">
      <c r="A2" s="1"/>
      <c r="B2" s="22" t="s">
        <v>42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48" customHeight="1" x14ac:dyDescent="0.3"/>
    <row r="4" spans="1:19" x14ac:dyDescent="0.3">
      <c r="B4" t="s">
        <v>43</v>
      </c>
      <c r="C4" t="s">
        <v>44</v>
      </c>
      <c r="D4" t="s">
        <v>46</v>
      </c>
      <c r="E4" t="s">
        <v>47</v>
      </c>
      <c r="F4" t="s">
        <v>49</v>
      </c>
      <c r="G4" t="s">
        <v>48</v>
      </c>
    </row>
    <row r="5" spans="1:19" x14ac:dyDescent="0.3">
      <c r="B5" t="s">
        <v>3</v>
      </c>
      <c r="F5" s="3"/>
      <c r="G5" s="3">
        <v>1000</v>
      </c>
    </row>
    <row r="6" spans="1:19" x14ac:dyDescent="0.3">
      <c r="B6" t="s">
        <v>45</v>
      </c>
      <c r="F6" s="3"/>
      <c r="G6" s="3">
        <f>SUM(F7:F11)</f>
        <v>17500</v>
      </c>
    </row>
    <row r="7" spans="1:19" x14ac:dyDescent="0.3">
      <c r="C7" t="s">
        <v>12</v>
      </c>
      <c r="F7" s="3">
        <v>10000</v>
      </c>
      <c r="G7" s="3"/>
    </row>
    <row r="8" spans="1:19" x14ac:dyDescent="0.3">
      <c r="C8" t="s">
        <v>13</v>
      </c>
      <c r="F8" s="3">
        <v>500</v>
      </c>
      <c r="G8" s="3"/>
    </row>
    <row r="9" spans="1:19" x14ac:dyDescent="0.3">
      <c r="C9" t="s">
        <v>1</v>
      </c>
      <c r="F9" s="3">
        <v>3000</v>
      </c>
      <c r="G9" s="3"/>
    </row>
    <row r="10" spans="1:19" x14ac:dyDescent="0.3">
      <c r="C10" t="s">
        <v>14</v>
      </c>
      <c r="F10" s="3">
        <v>2500</v>
      </c>
      <c r="G10" s="3"/>
    </row>
    <row r="11" spans="1:19" x14ac:dyDescent="0.3">
      <c r="C11" t="s">
        <v>5</v>
      </c>
      <c r="E11" t="s">
        <v>55</v>
      </c>
      <c r="F11" s="3">
        <v>1500</v>
      </c>
      <c r="G11" s="3"/>
    </row>
    <row r="12" spans="1:19" x14ac:dyDescent="0.3">
      <c r="B12" t="s">
        <v>0</v>
      </c>
      <c r="F12" s="3"/>
      <c r="G12" s="3">
        <v>900</v>
      </c>
    </row>
    <row r="13" spans="1:19" x14ac:dyDescent="0.3">
      <c r="B13" t="s">
        <v>1</v>
      </c>
      <c r="F13" s="3"/>
      <c r="G13" s="3">
        <v>6000</v>
      </c>
    </row>
    <row r="14" spans="1:19" x14ac:dyDescent="0.3">
      <c r="B14" t="s">
        <v>54</v>
      </c>
      <c r="G14" s="3">
        <f>SUM(F15:F19)</f>
        <v>5300</v>
      </c>
    </row>
    <row r="15" spans="1:19" x14ac:dyDescent="0.3">
      <c r="C15" t="s">
        <v>50</v>
      </c>
      <c r="F15" s="3">
        <v>800</v>
      </c>
      <c r="G15" s="3"/>
    </row>
    <row r="16" spans="1:19" x14ac:dyDescent="0.3">
      <c r="C16" t="s">
        <v>51</v>
      </c>
      <c r="F16" s="3">
        <v>3200</v>
      </c>
      <c r="G16" s="3"/>
    </row>
    <row r="17" spans="2:7" x14ac:dyDescent="0.3">
      <c r="C17" t="s">
        <v>52</v>
      </c>
      <c r="F17" s="3">
        <v>500</v>
      </c>
      <c r="G17" s="3"/>
    </row>
    <row r="18" spans="2:7" x14ac:dyDescent="0.3">
      <c r="C18" t="s">
        <v>53</v>
      </c>
      <c r="F18" s="3">
        <v>800</v>
      </c>
      <c r="G18" s="3"/>
    </row>
    <row r="19" spans="2:7" x14ac:dyDescent="0.3">
      <c r="C19" t="s">
        <v>5</v>
      </c>
      <c r="F19" s="3">
        <v>0</v>
      </c>
      <c r="G19" s="3"/>
    </row>
    <row r="20" spans="2:7" x14ac:dyDescent="0.3">
      <c r="B20" t="s">
        <v>2</v>
      </c>
      <c r="F20" s="3"/>
      <c r="G20" s="3">
        <v>300</v>
      </c>
    </row>
    <row r="21" spans="2:7" x14ac:dyDescent="0.3">
      <c r="B21" t="s">
        <v>16</v>
      </c>
      <c r="F21" s="3"/>
      <c r="G21" s="3">
        <f>SUM(F22:F27)</f>
        <v>11950</v>
      </c>
    </row>
    <row r="22" spans="2:7" x14ac:dyDescent="0.3">
      <c r="C22" t="s">
        <v>17</v>
      </c>
      <c r="F22" s="3">
        <v>1650</v>
      </c>
      <c r="G22" s="3"/>
    </row>
    <row r="23" spans="2:7" x14ac:dyDescent="0.3">
      <c r="C23" t="s">
        <v>18</v>
      </c>
      <c r="F23" s="3">
        <v>3000</v>
      </c>
      <c r="G23" s="3"/>
    </row>
    <row r="24" spans="2:7" x14ac:dyDescent="0.3">
      <c r="C24" t="s">
        <v>19</v>
      </c>
      <c r="F24" s="3">
        <v>3000</v>
      </c>
      <c r="G24" s="3"/>
    </row>
    <row r="25" spans="2:7" x14ac:dyDescent="0.3">
      <c r="C25" t="s">
        <v>20</v>
      </c>
      <c r="F25" s="3">
        <v>2700</v>
      </c>
      <c r="G25" s="3"/>
    </row>
    <row r="26" spans="2:7" x14ac:dyDescent="0.3">
      <c r="C26" t="s">
        <v>15</v>
      </c>
      <c r="F26" s="3">
        <v>1500</v>
      </c>
      <c r="G26" s="3"/>
    </row>
    <row r="27" spans="2:7" x14ac:dyDescent="0.3">
      <c r="C27" t="s">
        <v>5</v>
      </c>
      <c r="F27" s="3">
        <v>100</v>
      </c>
      <c r="G27" s="3"/>
    </row>
    <row r="28" spans="2:7" x14ac:dyDescent="0.3">
      <c r="B28" t="s">
        <v>4</v>
      </c>
      <c r="F28" s="3"/>
      <c r="G28" s="3">
        <v>1500</v>
      </c>
    </row>
    <row r="29" spans="2:7" x14ac:dyDescent="0.3">
      <c r="B29" t="s">
        <v>5</v>
      </c>
      <c r="G29" s="3">
        <v>957</v>
      </c>
    </row>
    <row r="31" spans="2:7" ht="21" x14ac:dyDescent="0.4">
      <c r="B31" s="14" t="s">
        <v>56</v>
      </c>
      <c r="C31" s="14"/>
      <c r="D31" s="14"/>
      <c r="E31" s="14"/>
      <c r="F31" s="14"/>
      <c r="G31" s="15">
        <f>SUM(Tabela1[Valor Final])</f>
        <v>45407</v>
      </c>
    </row>
    <row r="32" spans="2:7" ht="21" x14ac:dyDescent="0.4">
      <c r="B32" s="11" t="s">
        <v>89</v>
      </c>
      <c r="C32" s="12"/>
      <c r="D32" s="12"/>
      <c r="E32" s="12"/>
      <c r="F32" s="12"/>
      <c r="G32" s="13">
        <f>'Controle Mercadorias'!I28</f>
        <v>14057.59987</v>
      </c>
    </row>
    <row r="33" spans="2:7" ht="21" x14ac:dyDescent="0.4">
      <c r="B33" s="16" t="s">
        <v>90</v>
      </c>
      <c r="C33" s="17"/>
      <c r="D33" s="17"/>
      <c r="E33" s="17"/>
      <c r="F33" s="17"/>
      <c r="G33" s="18">
        <f>SUM(G31,G32)</f>
        <v>59464.599869999998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C776A12-0323-49C0-AC38-680196F327F2}">
          <x14:formula1>
            <xm:f>cálculos!$M$7:$M$35</xm:f>
          </x14:formula1>
          <xm:sqref>D32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Y28"/>
  <sheetViews>
    <sheetView showGridLines="0" workbookViewId="0">
      <selection activeCell="F7" sqref="F7"/>
    </sheetView>
  </sheetViews>
  <sheetFormatPr defaultRowHeight="14.4" x14ac:dyDescent="0.3"/>
  <cols>
    <col min="2" max="2" width="26.5546875" customWidth="1"/>
    <col min="3" max="3" width="28.33203125" customWidth="1"/>
    <col min="4" max="4" width="22.6640625" customWidth="1"/>
    <col min="5" max="5" width="20.5546875" customWidth="1"/>
    <col min="6" max="6" width="22.33203125" customWidth="1"/>
    <col min="7" max="7" width="22.5546875" customWidth="1"/>
    <col min="8" max="8" width="20.6640625" customWidth="1"/>
    <col min="9" max="9" width="26.21875" customWidth="1"/>
  </cols>
  <sheetData>
    <row r="2" spans="1:25" s="2" customFormat="1" ht="28.05" customHeight="1" x14ac:dyDescent="0.45">
      <c r="A2" s="1"/>
      <c r="B2" s="4" t="s">
        <v>57</v>
      </c>
      <c r="C2" s="1"/>
      <c r="D2" s="1"/>
      <c r="E2" s="5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48" customHeight="1" x14ac:dyDescent="0.3"/>
    <row r="4" spans="1:25" x14ac:dyDescent="0.3">
      <c r="B4" t="s">
        <v>46</v>
      </c>
      <c r="C4" t="s">
        <v>58</v>
      </c>
      <c r="D4" t="s">
        <v>59</v>
      </c>
      <c r="E4" t="s">
        <v>61</v>
      </c>
      <c r="F4" t="s">
        <v>62</v>
      </c>
      <c r="G4" t="s">
        <v>63</v>
      </c>
      <c r="H4" t="s">
        <v>64</v>
      </c>
      <c r="I4" t="s">
        <v>65</v>
      </c>
    </row>
    <row r="5" spans="1:25" x14ac:dyDescent="0.3">
      <c r="B5" s="7">
        <v>42190</v>
      </c>
      <c r="C5" t="s">
        <v>79</v>
      </c>
      <c r="D5" t="s">
        <v>36</v>
      </c>
      <c r="E5" t="str">
        <f>IFERROR(VLOOKUP(Tabela2[[#This Row],[Mercadoria]],cálculos!$M$7:$P$35,4,FALSE),"")</f>
        <v>Unidade</v>
      </c>
      <c r="F5">
        <v>50</v>
      </c>
      <c r="G5" s="3">
        <f>IFERROR(VLOOKUP(Tabela2[[#This Row],[Mercadoria]],cálculos!$M$7:$P$35,2,FALSE),"")</f>
        <v>2.3660000000000001</v>
      </c>
      <c r="H5" s="6"/>
      <c r="I5" s="3">
        <f>Tabela2[[#This Row],[Quantidade]]*Tabela2[[#This Row],[Preço Unitário]]*(1-Tabela2[[#This Row],[Desconto]])</f>
        <v>118.30000000000001</v>
      </c>
    </row>
    <row r="6" spans="1:25" x14ac:dyDescent="0.3">
      <c r="B6" s="7">
        <v>42190</v>
      </c>
      <c r="C6" t="s">
        <v>80</v>
      </c>
      <c r="D6" t="s">
        <v>22</v>
      </c>
      <c r="E6" t="str">
        <f>IFERROR(VLOOKUP(Tabela2[[#This Row],[Mercadoria]],cálculos!$M$7:$P$35,4,FALSE),"")</f>
        <v>Kg</v>
      </c>
      <c r="F6">
        <v>120</v>
      </c>
      <c r="G6" s="3">
        <f>IFERROR(VLOOKUP(Tabela2[[#This Row],[Mercadoria]],cálculos!$M$7:$P$35,2,FALSE),"")</f>
        <v>4.0659999999999998</v>
      </c>
      <c r="H6" s="6"/>
      <c r="I6" s="3">
        <f>Tabela2[[#This Row],[Quantidade]]*Tabela2[[#This Row],[Preço Unitário]]*(1-Tabela2[[#This Row],[Desconto]])</f>
        <v>487.91999999999996</v>
      </c>
    </row>
    <row r="7" spans="1:25" x14ac:dyDescent="0.3">
      <c r="B7" s="7">
        <v>42189</v>
      </c>
      <c r="C7" t="s">
        <v>80</v>
      </c>
      <c r="D7" t="s">
        <v>22</v>
      </c>
      <c r="E7" t="str">
        <f>IFERROR(VLOOKUP(Tabela2[[#This Row],[Mercadoria]],cálculos!$M$7:$P$35,4,FALSE),"")</f>
        <v>Kg</v>
      </c>
      <c r="F7">
        <v>150</v>
      </c>
      <c r="G7" s="3">
        <f>IFERROR(VLOOKUP(Tabela2[[#This Row],[Mercadoria]],cálculos!$M$7:$P$35,2,FALSE),"")</f>
        <v>4.0659999999999998</v>
      </c>
      <c r="H7" s="6"/>
      <c r="I7" s="3">
        <f>Tabela2[[#This Row],[Quantidade]]*Tabela2[[#This Row],[Preço Unitário]]*(1-Tabela2[[#This Row],[Desconto]])</f>
        <v>609.9</v>
      </c>
    </row>
    <row r="8" spans="1:25" x14ac:dyDescent="0.3">
      <c r="B8" s="7">
        <v>42189</v>
      </c>
      <c r="C8" t="s">
        <v>80</v>
      </c>
      <c r="D8" t="s">
        <v>21</v>
      </c>
      <c r="E8" t="str">
        <f>IFERROR(VLOOKUP(Tabela2[[#This Row],[Mercadoria]],cálculos!$M$7:$P$35,4,FALSE),"")</f>
        <v>Kg</v>
      </c>
      <c r="F8">
        <v>150</v>
      </c>
      <c r="G8" s="3">
        <f>IFERROR(VLOOKUP(Tabela2[[#This Row],[Mercadoria]],cálculos!$M$7:$P$35,2,FALSE),"")</f>
        <v>2.3406000000000002</v>
      </c>
      <c r="H8" s="6">
        <v>0.03</v>
      </c>
      <c r="I8" s="3">
        <f>Tabela2[[#This Row],[Quantidade]]*Tabela2[[#This Row],[Preço Unitário]]*(1-Tabela2[[#This Row],[Desconto]])</f>
        <v>340.5573</v>
      </c>
    </row>
    <row r="9" spans="1:25" x14ac:dyDescent="0.3">
      <c r="B9" s="7">
        <v>42189</v>
      </c>
      <c r="C9" t="s">
        <v>81</v>
      </c>
      <c r="D9" t="s">
        <v>34</v>
      </c>
      <c r="E9" t="str">
        <f>IFERROR(VLOOKUP(Tabela2[[#This Row],[Mercadoria]],cálculos!$M$7:$P$35,4,FALSE),"")</f>
        <v>Lata</v>
      </c>
      <c r="F9">
        <v>100</v>
      </c>
      <c r="G9" s="3">
        <f>IFERROR(VLOOKUP(Tabela2[[#This Row],[Mercadoria]],cálculos!$M$7:$P$35,2,FALSE),"")</f>
        <v>2.1023999999999998</v>
      </c>
      <c r="H9" s="6"/>
      <c r="I9" s="3">
        <f>Tabela2[[#This Row],[Quantidade]]*Tabela2[[#This Row],[Preço Unitário]]*(1-Tabela2[[#This Row],[Desconto]])</f>
        <v>210.23999999999998</v>
      </c>
    </row>
    <row r="10" spans="1:25" x14ac:dyDescent="0.3">
      <c r="B10" s="7">
        <v>42189</v>
      </c>
      <c r="C10" t="s">
        <v>81</v>
      </c>
      <c r="D10" t="s">
        <v>30</v>
      </c>
      <c r="E10" t="str">
        <f>IFERROR(VLOOKUP(Tabela2[[#This Row],[Mercadoria]],cálculos!$M$7:$P$35,4,FALSE),"")</f>
        <v>Litro</v>
      </c>
      <c r="F10">
        <v>200</v>
      </c>
      <c r="G10" s="3">
        <f>IFERROR(VLOOKUP(Tabela2[[#This Row],[Mercadoria]],cálculos!$M$7:$P$35,2,FALSE),"")</f>
        <v>3.2084999999999999</v>
      </c>
      <c r="H10" s="6"/>
      <c r="I10" s="3">
        <f>Tabela2[[#This Row],[Quantidade]]*Tabela2[[#This Row],[Preço Unitário]]*(1-Tabela2[[#This Row],[Desconto]])</f>
        <v>641.69999999999993</v>
      </c>
    </row>
    <row r="11" spans="1:25" x14ac:dyDescent="0.3">
      <c r="B11" s="7">
        <v>42188</v>
      </c>
      <c r="C11" t="s">
        <v>82</v>
      </c>
      <c r="D11" t="s">
        <v>40</v>
      </c>
      <c r="E11" t="str">
        <f>IFERROR(VLOOKUP(Tabela2[[#This Row],[Mercadoria]],cálculos!$M$7:$P$35,4,FALSE),"")</f>
        <v>Maço</v>
      </c>
      <c r="F11">
        <v>100</v>
      </c>
      <c r="G11" s="3">
        <f>IFERROR(VLOOKUP(Tabela2[[#This Row],[Mercadoria]],cálculos!$M$7:$P$35,2,FALSE),"")</f>
        <v>6.3449999999999998</v>
      </c>
      <c r="H11" s="6"/>
      <c r="I11" s="3">
        <f>Tabela2[[#This Row],[Quantidade]]*Tabela2[[#This Row],[Preço Unitário]]*(1-Tabela2[[#This Row],[Desconto]])</f>
        <v>634.5</v>
      </c>
    </row>
    <row r="12" spans="1:25" x14ac:dyDescent="0.3">
      <c r="B12" s="7">
        <v>42188</v>
      </c>
      <c r="C12" t="s">
        <v>83</v>
      </c>
      <c r="D12" t="s">
        <v>39</v>
      </c>
      <c r="E12" t="str">
        <f>IFERROR(VLOOKUP(Tabela2[[#This Row],[Mercadoria]],cálculos!$M$7:$P$35,4,FALSE),"")</f>
        <v>Barra</v>
      </c>
      <c r="F12">
        <v>100</v>
      </c>
      <c r="G12" s="3">
        <f>IFERROR(VLOOKUP(Tabela2[[#This Row],[Mercadoria]],cálculos!$M$7:$P$35,2,FALSE),"")</f>
        <v>4.5409000000000006</v>
      </c>
      <c r="H12" s="6"/>
      <c r="I12" s="3">
        <f>Tabela2[[#This Row],[Quantidade]]*Tabela2[[#This Row],[Preço Unitário]]*(1-Tabela2[[#This Row],[Desconto]])</f>
        <v>454.09000000000003</v>
      </c>
    </row>
    <row r="13" spans="1:25" x14ac:dyDescent="0.3">
      <c r="B13" s="7">
        <v>42188</v>
      </c>
      <c r="C13" t="s">
        <v>80</v>
      </c>
      <c r="D13" t="s">
        <v>22</v>
      </c>
      <c r="E13" t="str">
        <f>IFERROR(VLOOKUP(Tabela2[[#This Row],[Mercadoria]],cálculos!$M$7:$P$35,4,FALSE),"")</f>
        <v>Kg</v>
      </c>
      <c r="F13">
        <v>300</v>
      </c>
      <c r="G13" s="3">
        <f>IFERROR(VLOOKUP(Tabela2[[#This Row],[Mercadoria]],cálculos!$M$7:$P$35,2,FALSE),"")</f>
        <v>4.0659999999999998</v>
      </c>
      <c r="H13" s="6">
        <v>0.02</v>
      </c>
      <c r="I13" s="3">
        <f>Tabela2[[#This Row],[Quantidade]]*Tabela2[[#This Row],[Preço Unitário]]*(1-Tabela2[[#This Row],[Desconto]])</f>
        <v>1195.404</v>
      </c>
    </row>
    <row r="14" spans="1:25" x14ac:dyDescent="0.3">
      <c r="B14" s="7">
        <v>42188</v>
      </c>
      <c r="C14" t="s">
        <v>80</v>
      </c>
      <c r="D14" t="s">
        <v>33</v>
      </c>
      <c r="E14" t="str">
        <f>IFERROR(VLOOKUP(Tabela2[[#This Row],[Mercadoria]],cálculos!$M$7:$P$35,4,FALSE),"")</f>
        <v>Pacote</v>
      </c>
      <c r="F14">
        <v>50</v>
      </c>
      <c r="G14" s="3">
        <f>IFERROR(VLOOKUP(Tabela2[[#This Row],[Mercadoria]],cálculos!$M$7:$P$35,2,FALSE),"")</f>
        <v>1.0580000000000001</v>
      </c>
      <c r="H14" s="6"/>
      <c r="I14" s="3">
        <f>Tabela2[[#This Row],[Quantidade]]*Tabela2[[#This Row],[Preço Unitário]]*(1-Tabela2[[#This Row],[Desconto]])</f>
        <v>52.900000000000006</v>
      </c>
    </row>
    <row r="15" spans="1:25" x14ac:dyDescent="0.3">
      <c r="B15" s="7">
        <v>42188</v>
      </c>
      <c r="C15" t="s">
        <v>84</v>
      </c>
      <c r="D15" t="s">
        <v>76</v>
      </c>
      <c r="E15" t="str">
        <f>IFERROR(VLOOKUP(Tabela2[[#This Row],[Mercadoria]],cálculos!$M$7:$P$35,4,FALSE),"")</f>
        <v>Unidade</v>
      </c>
      <c r="F15">
        <v>300</v>
      </c>
      <c r="G15" s="3">
        <f>IFERROR(VLOOKUP(Tabela2[[#This Row],[Mercadoria]],cálculos!$M$7:$P$35,2,FALSE),"")</f>
        <v>2.6299000000000001</v>
      </c>
      <c r="H15" s="6"/>
      <c r="I15" s="3">
        <f>Tabela2[[#This Row],[Quantidade]]*Tabela2[[#This Row],[Preço Unitário]]*(1-Tabela2[[#This Row],[Desconto]])</f>
        <v>788.97</v>
      </c>
    </row>
    <row r="16" spans="1:25" x14ac:dyDescent="0.3">
      <c r="B16" s="7">
        <v>42188</v>
      </c>
      <c r="C16" t="s">
        <v>83</v>
      </c>
      <c r="D16" t="s">
        <v>38</v>
      </c>
      <c r="E16" t="str">
        <f>IFERROR(VLOOKUP(Tabela2[[#This Row],[Mercadoria]],cálculos!$M$7:$P$35,4,FALSE),"")</f>
        <v>Pacote</v>
      </c>
      <c r="F16">
        <v>100</v>
      </c>
      <c r="G16" s="3">
        <f>IFERROR(VLOOKUP(Tabela2[[#This Row],[Mercadoria]],cálculos!$M$7:$P$35,2,FALSE),"")</f>
        <v>1.8506999999999998</v>
      </c>
      <c r="H16" s="6"/>
      <c r="I16" s="3">
        <f>Tabela2[[#This Row],[Quantidade]]*Tabela2[[#This Row],[Preço Unitário]]*(1-Tabela2[[#This Row],[Desconto]])</f>
        <v>185.07</v>
      </c>
    </row>
    <row r="17" spans="2:9" x14ac:dyDescent="0.3">
      <c r="B17" s="7">
        <v>42188</v>
      </c>
      <c r="C17" t="s">
        <v>81</v>
      </c>
      <c r="D17" t="s">
        <v>34</v>
      </c>
      <c r="E17" t="str">
        <f>IFERROR(VLOOKUP(Tabela2[[#This Row],[Mercadoria]],cálculos!$M$7:$P$35,4,FALSE),"")</f>
        <v>Lata</v>
      </c>
      <c r="F17">
        <v>100</v>
      </c>
      <c r="G17" s="3">
        <f>IFERROR(VLOOKUP(Tabela2[[#This Row],[Mercadoria]],cálculos!$M$7:$P$35,2,FALSE),"")</f>
        <v>2.1023999999999998</v>
      </c>
      <c r="H17" s="6">
        <v>0.06</v>
      </c>
      <c r="I17" s="3">
        <f>Tabela2[[#This Row],[Quantidade]]*Tabela2[[#This Row],[Preço Unitário]]*(1-Tabela2[[#This Row],[Desconto]])</f>
        <v>197.62559999999996</v>
      </c>
    </row>
    <row r="18" spans="2:9" x14ac:dyDescent="0.3">
      <c r="B18" s="7">
        <v>42188</v>
      </c>
      <c r="C18" t="s">
        <v>85</v>
      </c>
      <c r="D18" t="s">
        <v>26</v>
      </c>
      <c r="E18" t="str">
        <f>IFERROR(VLOOKUP(Tabela2[[#This Row],[Mercadoria]],cálculos!$M$7:$P$35,4,FALSE),"")</f>
        <v>Kg</v>
      </c>
      <c r="F18">
        <v>110</v>
      </c>
      <c r="G18" s="3">
        <f>IFERROR(VLOOKUP(Tabela2[[#This Row],[Mercadoria]],cálculos!$M$7:$P$35,2,FALSE),"")</f>
        <v>6.4216000000000006</v>
      </c>
      <c r="H18" s="6">
        <v>0.03</v>
      </c>
      <c r="I18" s="3">
        <f>Tabela2[[#This Row],[Quantidade]]*Tabela2[[#This Row],[Preço Unitário]]*(1-Tabela2[[#This Row],[Desconto]])</f>
        <v>685.18472000000008</v>
      </c>
    </row>
    <row r="19" spans="2:9" x14ac:dyDescent="0.3">
      <c r="B19" s="7">
        <v>42188</v>
      </c>
      <c r="C19" t="s">
        <v>86</v>
      </c>
      <c r="D19" t="s">
        <v>27</v>
      </c>
      <c r="E19" t="str">
        <f>IFERROR(VLOOKUP(Tabela2[[#This Row],[Mercadoria]],cálculos!$M$7:$P$35,4,FALSE),"")</f>
        <v>Kg</v>
      </c>
      <c r="F19">
        <v>50</v>
      </c>
      <c r="G19" s="3">
        <f>IFERROR(VLOOKUP(Tabela2[[#This Row],[Mercadoria]],cálculos!$M$7:$P$35,2,FALSE),"")</f>
        <v>22.226999999999997</v>
      </c>
      <c r="H19" s="6"/>
      <c r="I19" s="3">
        <f>Tabela2[[#This Row],[Quantidade]]*Tabela2[[#This Row],[Preço Unitário]]*(1-Tabela2[[#This Row],[Desconto]])</f>
        <v>1111.3499999999999</v>
      </c>
    </row>
    <row r="20" spans="2:9" x14ac:dyDescent="0.3">
      <c r="B20" s="7">
        <v>42187</v>
      </c>
      <c r="C20" t="s">
        <v>80</v>
      </c>
      <c r="D20" t="s">
        <v>21</v>
      </c>
      <c r="E20" t="str">
        <f>IFERROR(VLOOKUP(Tabela2[[#This Row],[Mercadoria]],cálculos!$M$7:$P$35,4,FALSE),"")</f>
        <v>Kg</v>
      </c>
      <c r="F20">
        <v>300</v>
      </c>
      <c r="G20" s="3">
        <f>IFERROR(VLOOKUP(Tabela2[[#This Row],[Mercadoria]],cálculos!$M$7:$P$35,2,FALSE),"")</f>
        <v>2.3406000000000002</v>
      </c>
      <c r="H20" s="6"/>
      <c r="I20" s="3">
        <f>Tabela2[[#This Row],[Quantidade]]*Tabela2[[#This Row],[Preço Unitário]]*(1-Tabela2[[#This Row],[Desconto]])</f>
        <v>702.18000000000006</v>
      </c>
    </row>
    <row r="21" spans="2:9" x14ac:dyDescent="0.3">
      <c r="B21" s="7">
        <v>42187</v>
      </c>
      <c r="C21" t="s">
        <v>79</v>
      </c>
      <c r="D21" t="s">
        <v>24</v>
      </c>
      <c r="E21" t="str">
        <f>IFERROR(VLOOKUP(Tabela2[[#This Row],[Mercadoria]],cálculos!$M$7:$P$35,4,FALSE),"")</f>
        <v>Unidade</v>
      </c>
      <c r="F21">
        <v>150</v>
      </c>
      <c r="G21" s="3">
        <f>IFERROR(VLOOKUP(Tabela2[[#This Row],[Mercadoria]],cálculos!$M$7:$P$35,2,FALSE),"")</f>
        <v>2.8405</v>
      </c>
      <c r="H21" s="6"/>
      <c r="I21" s="3">
        <f>Tabela2[[#This Row],[Quantidade]]*Tabela2[[#This Row],[Preço Unitário]]*(1-Tabela2[[#This Row],[Desconto]])</f>
        <v>426.07499999999999</v>
      </c>
    </row>
    <row r="22" spans="2:9" x14ac:dyDescent="0.3">
      <c r="B22" s="7">
        <v>42187</v>
      </c>
      <c r="C22" t="s">
        <v>87</v>
      </c>
      <c r="D22" t="s">
        <v>31</v>
      </c>
      <c r="E22" t="str">
        <f>IFERROR(VLOOKUP(Tabela2[[#This Row],[Mercadoria]],cálculos!$M$7:$P$35,4,FALSE),"")</f>
        <v>Kg</v>
      </c>
      <c r="F22">
        <v>150</v>
      </c>
      <c r="G22" s="3">
        <f>IFERROR(VLOOKUP(Tabela2[[#This Row],[Mercadoria]],cálculos!$M$7:$P$35,2,FALSE),"")</f>
        <v>3.6309000000000005</v>
      </c>
      <c r="H22" s="6">
        <v>0.05</v>
      </c>
      <c r="I22" s="3">
        <f>Tabela2[[#This Row],[Quantidade]]*Tabela2[[#This Row],[Preço Unitário]]*(1-Tabela2[[#This Row],[Desconto]])</f>
        <v>517.40325000000007</v>
      </c>
    </row>
    <row r="23" spans="2:9" x14ac:dyDescent="0.3">
      <c r="B23" s="7">
        <v>42187</v>
      </c>
      <c r="C23" t="s">
        <v>88</v>
      </c>
      <c r="D23" t="s">
        <v>25</v>
      </c>
      <c r="E23" t="str">
        <f>IFERROR(VLOOKUP(Tabela2[[#This Row],[Mercadoria]],cálculos!$M$7:$P$35,4,FALSE),"")</f>
        <v>Kg</v>
      </c>
      <c r="F23">
        <v>150</v>
      </c>
      <c r="G23" s="3">
        <f>IFERROR(VLOOKUP(Tabela2[[#This Row],[Mercadoria]],cálculos!$M$7:$P$35,2,FALSE),"")</f>
        <v>14.469000000000001</v>
      </c>
      <c r="H23" s="6"/>
      <c r="I23" s="3">
        <f>Tabela2[[#This Row],[Quantidade]]*Tabela2[[#This Row],[Preço Unitário]]*(1-Tabela2[[#This Row],[Desconto]])</f>
        <v>2170.3500000000004</v>
      </c>
    </row>
    <row r="24" spans="2:9" x14ac:dyDescent="0.3">
      <c r="B24" s="7">
        <v>42187</v>
      </c>
      <c r="C24" t="s">
        <v>81</v>
      </c>
      <c r="D24" t="s">
        <v>34</v>
      </c>
      <c r="E24" t="str">
        <f>IFERROR(VLOOKUP(Tabela2[[#This Row],[Mercadoria]],cálculos!$M$7:$P$35,4,FALSE),"")</f>
        <v>Lata</v>
      </c>
      <c r="F24">
        <v>100</v>
      </c>
      <c r="G24" s="3">
        <f>IFERROR(VLOOKUP(Tabela2[[#This Row],[Mercadoria]],cálculos!$M$7:$P$35,2,FALSE),"")</f>
        <v>2.1023999999999998</v>
      </c>
      <c r="H24" s="6"/>
      <c r="I24" s="3">
        <f>Tabela2[[#This Row],[Quantidade]]*Tabela2[[#This Row],[Preço Unitário]]*(1-Tabela2[[#This Row],[Desconto]])</f>
        <v>210.23999999999998</v>
      </c>
    </row>
    <row r="25" spans="2:9" x14ac:dyDescent="0.3">
      <c r="B25" s="7">
        <v>42187</v>
      </c>
      <c r="C25" t="s">
        <v>81</v>
      </c>
      <c r="D25" t="s">
        <v>29</v>
      </c>
      <c r="E25" t="str">
        <f>IFERROR(VLOOKUP(Tabela2[[#This Row],[Mercadoria]],cálculos!$M$7:$P$35,4,FALSE),"")</f>
        <v>Garrafa</v>
      </c>
      <c r="F25">
        <v>80</v>
      </c>
      <c r="G25" s="3">
        <f>IFERROR(VLOOKUP(Tabela2[[#This Row],[Mercadoria]],cálculos!$M$7:$P$35,2,FALSE),"")</f>
        <v>26.012999999999998</v>
      </c>
      <c r="H25" s="6"/>
      <c r="I25" s="3">
        <f>Tabela2[[#This Row],[Quantidade]]*Tabela2[[#This Row],[Preço Unitário]]*(1-Tabela2[[#This Row],[Desconto]])</f>
        <v>2081.04</v>
      </c>
    </row>
    <row r="26" spans="2:9" x14ac:dyDescent="0.3">
      <c r="B26" s="7">
        <v>42187</v>
      </c>
      <c r="C26" t="s">
        <v>79</v>
      </c>
      <c r="D26" t="s">
        <v>36</v>
      </c>
      <c r="E26" t="str">
        <f>IFERROR(VLOOKUP(Tabela2[[#This Row],[Mercadoria]],cálculos!$M$7:$P$35,4,FALSE),"")</f>
        <v>Unidade</v>
      </c>
      <c r="F26">
        <v>100</v>
      </c>
      <c r="G26" s="3">
        <f>IFERROR(VLOOKUP(Tabela2[[#This Row],[Mercadoria]],cálculos!$M$7:$P$35,2,FALSE),"")</f>
        <v>2.3660000000000001</v>
      </c>
      <c r="H26" s="6"/>
      <c r="I26" s="3">
        <f>Tabela2[[#This Row],[Quantidade]]*Tabela2[[#This Row],[Preço Unitário]]*(1-Tabela2[[#This Row],[Desconto]])</f>
        <v>236.60000000000002</v>
      </c>
    </row>
    <row r="27" spans="2:9" x14ac:dyDescent="0.3">
      <c r="B27" s="7"/>
      <c r="F27" s="3"/>
      <c r="G27" s="6"/>
      <c r="H27" s="3"/>
    </row>
    <row r="28" spans="2:9" ht="21" x14ac:dyDescent="0.4">
      <c r="B28" s="11" t="s">
        <v>89</v>
      </c>
      <c r="C28" s="12"/>
      <c r="D28" s="12"/>
      <c r="E28" s="12"/>
      <c r="F28" s="12"/>
      <c r="G28" s="12"/>
      <c r="H28" s="12"/>
      <c r="I28" s="13">
        <f>SUM(Tabela2[Valor Pago])</f>
        <v>14057.59987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4264881-43E6-4560-99B8-55E8E7C4DD75}">
          <x14:formula1>
            <xm:f>cálculos!$M$7:$M$35</xm:f>
          </x14:formula1>
          <xm:sqref>D28</xm:sqref>
        </x14:dataValidation>
        <x14:dataValidation type="list" allowBlank="1" showInputMessage="1" showErrorMessage="1" xr:uid="{10D0A801-07C4-47E4-B813-BBA0F2096D07}">
          <x14:formula1>
            <xm:f>cálculos!$M$7:$M$30</xm:f>
          </x14:formula1>
          <xm:sqref>D5:D27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Y12"/>
  <sheetViews>
    <sheetView showGridLines="0" workbookViewId="0">
      <selection activeCell="C16" sqref="C16"/>
    </sheetView>
  </sheetViews>
  <sheetFormatPr defaultRowHeight="14.4" x14ac:dyDescent="0.3"/>
  <cols>
    <col min="2" max="2" width="51.5546875" customWidth="1"/>
    <col min="3" max="3" width="22.44140625" customWidth="1"/>
    <col min="4" max="4" width="75.33203125" customWidth="1"/>
    <col min="5" max="5" width="21.109375" bestFit="1" customWidth="1"/>
  </cols>
  <sheetData>
    <row r="2" spans="1:25" s="2" customFormat="1" ht="28.05" customHeight="1" x14ac:dyDescent="0.45">
      <c r="A2" s="1"/>
      <c r="B2" s="4" t="s">
        <v>91</v>
      </c>
      <c r="C2" s="1"/>
      <c r="D2" s="1"/>
      <c r="E2" s="5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48" customHeight="1" x14ac:dyDescent="0.3"/>
    <row r="5" spans="1:25" x14ac:dyDescent="0.3">
      <c r="B5" t="s">
        <v>94</v>
      </c>
      <c r="C5" t="s">
        <v>46</v>
      </c>
      <c r="D5" t="s">
        <v>92</v>
      </c>
      <c r="E5" t="s">
        <v>93</v>
      </c>
    </row>
    <row r="6" spans="1:25" ht="46.8" customHeight="1" x14ac:dyDescent="0.3">
      <c r="B6" t="s">
        <v>95</v>
      </c>
      <c r="C6" s="7">
        <v>42129</v>
      </c>
      <c r="D6" s="10" t="s">
        <v>98</v>
      </c>
      <c r="E6" s="3">
        <v>400000</v>
      </c>
    </row>
    <row r="7" spans="1:25" ht="40.799999999999997" customHeight="1" x14ac:dyDescent="0.3">
      <c r="B7" t="s">
        <v>15</v>
      </c>
      <c r="C7" s="7"/>
      <c r="D7" s="10"/>
      <c r="E7" s="3">
        <v>0</v>
      </c>
    </row>
    <row r="8" spans="1:25" ht="38.4" customHeight="1" x14ac:dyDescent="0.3">
      <c r="B8" t="s">
        <v>96</v>
      </c>
      <c r="C8" s="7"/>
      <c r="D8" s="10"/>
      <c r="E8" s="3">
        <v>0</v>
      </c>
    </row>
    <row r="9" spans="1:25" ht="37.200000000000003" customHeight="1" x14ac:dyDescent="0.3">
      <c r="B9" t="s">
        <v>97</v>
      </c>
      <c r="C9" s="7"/>
      <c r="D9" s="10"/>
      <c r="E9" s="3">
        <v>0</v>
      </c>
    </row>
    <row r="10" spans="1:25" ht="51" customHeight="1" x14ac:dyDescent="0.3">
      <c r="B10" t="s">
        <v>5</v>
      </c>
      <c r="C10" s="7"/>
      <c r="D10" s="10"/>
      <c r="E10" s="3">
        <v>0</v>
      </c>
    </row>
    <row r="12" spans="1:25" ht="21" x14ac:dyDescent="0.4">
      <c r="B12" s="11" t="s">
        <v>99</v>
      </c>
      <c r="C12" s="12"/>
      <c r="D12" s="12"/>
      <c r="E12" s="13">
        <f>SUM(Tabela3[Valor])</f>
        <v>400000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1E2ABB7-FBE6-4C0B-B0A0-6F75641A5FC7}">
          <x14:formula1>
            <xm:f>cálculos!$M$7:$M$35</xm:f>
          </x14:formula1>
          <xm:sqref>D12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29"/>
  <sheetViews>
    <sheetView workbookViewId="0">
      <selection activeCell="K11" sqref="K11"/>
    </sheetView>
  </sheetViews>
  <sheetFormatPr defaultRowHeight="14.4" x14ac:dyDescent="0.3"/>
  <cols>
    <col min="2" max="2" width="21.33203125" customWidth="1"/>
    <col min="3" max="3" width="22.5546875" bestFit="1" customWidth="1"/>
    <col min="4" max="4" width="18.5546875" bestFit="1" customWidth="1"/>
    <col min="5" max="5" width="22.5546875" bestFit="1" customWidth="1"/>
    <col min="6" max="6" width="20.77734375" bestFit="1" customWidth="1"/>
    <col min="7" max="7" width="18.109375" bestFit="1" customWidth="1"/>
    <col min="8" max="8" width="20.5546875" customWidth="1"/>
  </cols>
  <sheetData>
    <row r="2" spans="2:8" s="19" customFormat="1" ht="28.05" customHeight="1" x14ac:dyDescent="0.45">
      <c r="B2" s="20" t="s">
        <v>100</v>
      </c>
      <c r="E2" s="21"/>
    </row>
    <row r="3" spans="2:8" ht="48" customHeight="1" x14ac:dyDescent="0.3"/>
    <row r="5" spans="2:8" x14ac:dyDescent="0.3">
      <c r="B5" t="s">
        <v>101</v>
      </c>
      <c r="C5" t="s">
        <v>102</v>
      </c>
      <c r="D5" t="s">
        <v>103</v>
      </c>
      <c r="E5" t="s">
        <v>104</v>
      </c>
      <c r="F5" t="s">
        <v>105</v>
      </c>
      <c r="G5" t="s">
        <v>106</v>
      </c>
      <c r="H5" t="s">
        <v>107</v>
      </c>
    </row>
    <row r="6" spans="2:8" x14ac:dyDescent="0.3">
      <c r="B6" t="s">
        <v>24</v>
      </c>
      <c r="C6" s="7">
        <f>IFERROR(INDEX(Tabela2[],MATCH(B6,Tabela2[Mercadoria],0),1),"")</f>
        <v>42187</v>
      </c>
      <c r="D6">
        <v>15</v>
      </c>
      <c r="E6">
        <f>SUMIF(Tabela2[Mercadoria],Tabela4[[#This Row],[Produto]],Tabela2[Quantidade])</f>
        <v>150</v>
      </c>
      <c r="G6">
        <f>Tabela4[[#This Row],[Quantidade Inicial]]+Tabela4[[#This Row],[Quantidade Comprada]]-Tabela4[[#This Row],[Quantidade Vendida]]</f>
        <v>165</v>
      </c>
      <c r="H6" t="str">
        <f>IF(Tabela4[[#This Row],[Quantidade Atual]]&lt;50,IF(Tabela4[[#This Row],[Quantidade Atual]]&lt;21,"Comprar","Atenção"),"OK")</f>
        <v>OK</v>
      </c>
    </row>
    <row r="7" spans="2:8" x14ac:dyDescent="0.3">
      <c r="B7" t="s">
        <v>33</v>
      </c>
      <c r="C7" s="7">
        <f>IFERROR(INDEX(Tabela2[],MATCH(B7,Tabela2[Mercadoria],0),1),"")</f>
        <v>42188</v>
      </c>
      <c r="D7">
        <v>10</v>
      </c>
      <c r="E7">
        <f>SUMIF(Tabela2[Mercadoria],Tabela4[[#This Row],[Produto]],Tabela2[Quantidade])</f>
        <v>50</v>
      </c>
      <c r="G7">
        <f>Tabela4[[#This Row],[Quantidade Inicial]]+Tabela4[[#This Row],[Quantidade Comprada]]-Tabela4[[#This Row],[Quantidade Vendida]]</f>
        <v>60</v>
      </c>
      <c r="H7" t="str">
        <f>IF(Tabela4[[#This Row],[Quantidade Atual]]&lt;50,IF(Tabela4[[#This Row],[Quantidade Atual]]&lt;21,"Comprar","Atenção"),"OK")</f>
        <v>OK</v>
      </c>
    </row>
    <row r="8" spans="2:8" x14ac:dyDescent="0.3">
      <c r="B8" t="s">
        <v>21</v>
      </c>
      <c r="C8" s="7">
        <f>IFERROR(INDEX(Tabela2[],MATCH(B8,Tabela2[Mercadoria],0),1),"")</f>
        <v>42189</v>
      </c>
      <c r="D8">
        <v>0</v>
      </c>
      <c r="E8">
        <f>SUMIF(Tabela2[Mercadoria],Tabela4[[#This Row],[Produto]],Tabela2[Quantidade])</f>
        <v>450</v>
      </c>
      <c r="G8">
        <f>Tabela4[[#This Row],[Quantidade Inicial]]+Tabela4[[#This Row],[Quantidade Comprada]]-Tabela4[[#This Row],[Quantidade Vendida]]</f>
        <v>450</v>
      </c>
      <c r="H8" t="str">
        <f>IF(Tabela4[[#This Row],[Quantidade Atual]]&lt;50,IF(Tabela4[[#This Row],[Quantidade Atual]]&lt;21,"Comprar","Atenção"),"OK")</f>
        <v>OK</v>
      </c>
    </row>
    <row r="9" spans="2:8" x14ac:dyDescent="0.3">
      <c r="B9" t="s">
        <v>38</v>
      </c>
      <c r="C9" s="7">
        <f>IFERROR(INDEX(Tabela2[],MATCH(B9,Tabela2[Mercadoria],0),1),"")</f>
        <v>42188</v>
      </c>
      <c r="D9">
        <v>0</v>
      </c>
      <c r="E9">
        <f>SUMIF(Tabela2[Mercadoria],Tabela4[[#This Row],[Produto]],Tabela2[Quantidade])</f>
        <v>100</v>
      </c>
      <c r="G9">
        <f>Tabela4[[#This Row],[Quantidade Inicial]]+Tabela4[[#This Row],[Quantidade Comprada]]-Tabela4[[#This Row],[Quantidade Vendida]]</f>
        <v>100</v>
      </c>
      <c r="H9" t="str">
        <f>IF(Tabela4[[#This Row],[Quantidade Atual]]&lt;50,IF(Tabela4[[#This Row],[Quantidade Atual]]&lt;21,"Comprar","Atenção"),"OK")</f>
        <v>OK</v>
      </c>
    </row>
    <row r="10" spans="2:8" x14ac:dyDescent="0.3">
      <c r="B10" t="s">
        <v>41</v>
      </c>
      <c r="C10" s="7" t="str">
        <f>IFERROR(INDEX(Tabela2[],MATCH(B10,Tabela2[Mercadoria],0),1),"")</f>
        <v/>
      </c>
      <c r="D10">
        <v>150</v>
      </c>
      <c r="E10">
        <f>SUMIF(Tabela2[Mercadoria],Tabela4[[#This Row],[Produto]],Tabela2[Quantidade])</f>
        <v>0</v>
      </c>
      <c r="G10">
        <f>Tabela4[[#This Row],[Quantidade Inicial]]+Tabela4[[#This Row],[Quantidade Comprada]]-Tabela4[[#This Row],[Quantidade Vendida]]</f>
        <v>150</v>
      </c>
      <c r="H10" t="str">
        <f>IF(Tabela4[[#This Row],[Quantidade Atual]]&lt;50,IF(Tabela4[[#This Row],[Quantidade Atual]]&lt;21,"Comprar","Atenção"),"OK")</f>
        <v>OK</v>
      </c>
    </row>
    <row r="11" spans="2:8" x14ac:dyDescent="0.3">
      <c r="B11" t="s">
        <v>37</v>
      </c>
      <c r="C11" s="7" t="str">
        <f>IFERROR(INDEX(Tabela2[],MATCH(B11,Tabela2[Mercadoria],0),1),"")</f>
        <v/>
      </c>
      <c r="D11">
        <v>15</v>
      </c>
      <c r="E11">
        <f>SUMIF(Tabela2[Mercadoria],Tabela4[[#This Row],[Produto]],Tabela2[Quantidade])</f>
        <v>0</v>
      </c>
      <c r="G11">
        <f>Tabela4[[#This Row],[Quantidade Inicial]]+Tabela4[[#This Row],[Quantidade Comprada]]-Tabela4[[#This Row],[Quantidade Vendida]]</f>
        <v>15</v>
      </c>
      <c r="H11" t="str">
        <f>IF(Tabela4[[#This Row],[Quantidade Atual]]&lt;50,IF(Tabela4[[#This Row],[Quantidade Atual]]&lt;21,"Comprar","Atenção"),"OK")</f>
        <v>Comprar</v>
      </c>
    </row>
    <row r="12" spans="2:8" x14ac:dyDescent="0.3">
      <c r="B12" t="s">
        <v>25</v>
      </c>
      <c r="C12" s="7">
        <f>IFERROR(INDEX(Tabela2[],MATCH(B12,Tabela2[Mercadoria],0),1),"")</f>
        <v>42187</v>
      </c>
      <c r="D12">
        <v>25</v>
      </c>
      <c r="E12">
        <f>SUMIF(Tabela2[Mercadoria],Tabela4[[#This Row],[Produto]],Tabela2[Quantidade])</f>
        <v>150</v>
      </c>
      <c r="G12">
        <f>Tabela4[[#This Row],[Quantidade Inicial]]+Tabela4[[#This Row],[Quantidade Comprada]]-Tabela4[[#This Row],[Quantidade Vendida]]</f>
        <v>175</v>
      </c>
      <c r="H12" t="str">
        <f>IF(Tabela4[[#This Row],[Quantidade Atual]]&lt;50,IF(Tabela4[[#This Row],[Quantidade Atual]]&lt;21,"Comprar","Atenção"),"OK")</f>
        <v>OK</v>
      </c>
    </row>
    <row r="13" spans="2:8" x14ac:dyDescent="0.3">
      <c r="B13" t="s">
        <v>31</v>
      </c>
      <c r="C13" s="7">
        <f>IFERROR(INDEX(Tabela2[],MATCH(B13,Tabela2[Mercadoria],0),1),"")</f>
        <v>42187</v>
      </c>
      <c r="D13">
        <v>0</v>
      </c>
      <c r="E13">
        <f>SUMIF(Tabela2[Mercadoria],Tabela4[[#This Row],[Produto]],Tabela2[Quantidade])</f>
        <v>150</v>
      </c>
      <c r="G13">
        <f>Tabela4[[#This Row],[Quantidade Inicial]]+Tabela4[[#This Row],[Quantidade Comprada]]-Tabela4[[#This Row],[Quantidade Vendida]]</f>
        <v>150</v>
      </c>
      <c r="H13" t="str">
        <f>IF(Tabela4[[#This Row],[Quantidade Atual]]&lt;50,IF(Tabela4[[#This Row],[Quantidade Atual]]&lt;21,"Comprar","Atenção"),"OK")</f>
        <v>OK</v>
      </c>
    </row>
    <row r="14" spans="2:8" x14ac:dyDescent="0.3">
      <c r="B14" t="s">
        <v>34</v>
      </c>
      <c r="C14" s="7">
        <f>IFERROR(INDEX(Tabela2[],MATCH(B14,Tabela2[Mercadoria],0),1),"")</f>
        <v>42189</v>
      </c>
      <c r="D14">
        <v>0</v>
      </c>
      <c r="E14">
        <f>SUMIF(Tabela2[Mercadoria],Tabela4[[#This Row],[Produto]],Tabela2[Quantidade])</f>
        <v>300</v>
      </c>
      <c r="G14">
        <f>Tabela4[[#This Row],[Quantidade Inicial]]+Tabela4[[#This Row],[Quantidade Comprada]]-Tabela4[[#This Row],[Quantidade Vendida]]</f>
        <v>300</v>
      </c>
      <c r="H14" t="str">
        <f>IF(Tabela4[[#This Row],[Quantidade Atual]]&lt;50,IF(Tabela4[[#This Row],[Quantidade Atual]]&lt;21,"Comprar","Atenção"),"OK")</f>
        <v>OK</v>
      </c>
    </row>
    <row r="15" spans="2:8" x14ac:dyDescent="0.3">
      <c r="B15" t="s">
        <v>39</v>
      </c>
      <c r="C15" s="7">
        <f>IFERROR(INDEX(Tabela2[],MATCH(B15,Tabela2[Mercadoria],0),1),"")</f>
        <v>42188</v>
      </c>
      <c r="D15">
        <v>30</v>
      </c>
      <c r="E15">
        <f>SUMIF(Tabela2[Mercadoria],Tabela4[[#This Row],[Produto]],Tabela2[Quantidade])</f>
        <v>100</v>
      </c>
      <c r="G15">
        <f>Tabela4[[#This Row],[Quantidade Inicial]]+Tabela4[[#This Row],[Quantidade Comprada]]-Tabela4[[#This Row],[Quantidade Vendida]]</f>
        <v>130</v>
      </c>
      <c r="H15" t="str">
        <f>IF(Tabela4[[#This Row],[Quantidade Atual]]&lt;50,IF(Tabela4[[#This Row],[Quantidade Atual]]&lt;21,"Comprar","Atenção"),"OK")</f>
        <v>OK</v>
      </c>
    </row>
    <row r="16" spans="2:8" x14ac:dyDescent="0.3">
      <c r="B16" t="s">
        <v>40</v>
      </c>
      <c r="C16" s="7">
        <f>IFERROR(INDEX(Tabela2[],MATCH(B16,Tabela2[Mercadoria],0),1),"")</f>
        <v>42188</v>
      </c>
      <c r="D16">
        <v>0</v>
      </c>
      <c r="E16">
        <f>SUMIF(Tabela2[Mercadoria],Tabela4[[#This Row],[Produto]],Tabela2[Quantidade])</f>
        <v>100</v>
      </c>
      <c r="G16">
        <f>Tabela4[[#This Row],[Quantidade Inicial]]+Tabela4[[#This Row],[Quantidade Comprada]]-Tabela4[[#This Row],[Quantidade Vendida]]</f>
        <v>100</v>
      </c>
      <c r="H16" t="str">
        <f>IF(Tabela4[[#This Row],[Quantidade Atual]]&lt;50,IF(Tabela4[[#This Row],[Quantidade Atual]]&lt;21,"Comprar","Atenção"),"OK")</f>
        <v>OK</v>
      </c>
    </row>
    <row r="17" spans="2:8" x14ac:dyDescent="0.3">
      <c r="B17" t="s">
        <v>36</v>
      </c>
      <c r="C17" s="7">
        <f>IFERROR(INDEX(Tabela2[],MATCH(B17,Tabela2[Mercadoria],0),1),"")</f>
        <v>42190</v>
      </c>
      <c r="D17">
        <v>0</v>
      </c>
      <c r="E17">
        <f>SUMIF(Tabela2[Mercadoria],Tabela4[[#This Row],[Produto]],Tabela2[Quantidade])</f>
        <v>150</v>
      </c>
      <c r="G17">
        <f>Tabela4[[#This Row],[Quantidade Inicial]]+Tabela4[[#This Row],[Quantidade Comprada]]-Tabela4[[#This Row],[Quantidade Vendida]]</f>
        <v>150</v>
      </c>
      <c r="H17" t="str">
        <f>IF(Tabela4[[#This Row],[Quantidade Atual]]&lt;50,IF(Tabela4[[#This Row],[Quantidade Atual]]&lt;21,"Comprar","Atenção"),"OK")</f>
        <v>OK</v>
      </c>
    </row>
    <row r="18" spans="2:8" x14ac:dyDescent="0.3">
      <c r="B18" t="s">
        <v>22</v>
      </c>
      <c r="C18" s="7">
        <f>IFERROR(INDEX(Tabela2[],MATCH(B18,Tabela2[Mercadoria],0),1),"")</f>
        <v>42190</v>
      </c>
      <c r="D18">
        <v>0</v>
      </c>
      <c r="E18">
        <f>SUMIF(Tabela2[Mercadoria],Tabela4[[#This Row],[Produto]],Tabela2[Quantidade])</f>
        <v>570</v>
      </c>
      <c r="G18">
        <f>Tabela4[[#This Row],[Quantidade Inicial]]+Tabela4[[#This Row],[Quantidade Comprada]]-Tabela4[[#This Row],[Quantidade Vendida]]</f>
        <v>570</v>
      </c>
      <c r="H18" t="str">
        <f>IF(Tabela4[[#This Row],[Quantidade Atual]]&lt;50,IF(Tabela4[[#This Row],[Quantidade Atual]]&lt;21,"Comprar","Atenção"),"OK")</f>
        <v>OK</v>
      </c>
    </row>
    <row r="19" spans="2:8" x14ac:dyDescent="0.3">
      <c r="B19" t="s">
        <v>26</v>
      </c>
      <c r="C19" s="7">
        <f>IFERROR(INDEX(Tabela2[],MATCH(B19,Tabela2[Mercadoria],0),1),"")</f>
        <v>42188</v>
      </c>
      <c r="D19">
        <v>0</v>
      </c>
      <c r="E19">
        <f>SUMIF(Tabela2[Mercadoria],Tabela4[[#This Row],[Produto]],Tabela2[Quantidade])</f>
        <v>110</v>
      </c>
      <c r="G19">
        <f>Tabela4[[#This Row],[Quantidade Inicial]]+Tabela4[[#This Row],[Quantidade Comprada]]-Tabela4[[#This Row],[Quantidade Vendida]]</f>
        <v>110</v>
      </c>
      <c r="H19" t="str">
        <f>IF(Tabela4[[#This Row],[Quantidade Atual]]&lt;50,IF(Tabela4[[#This Row],[Quantidade Atual]]&lt;21,"Comprar","Atenção"),"OK")</f>
        <v>OK</v>
      </c>
    </row>
    <row r="20" spans="2:8" x14ac:dyDescent="0.3">
      <c r="B20" t="s">
        <v>71</v>
      </c>
      <c r="C20" s="7" t="str">
        <f>IFERROR(INDEX(Tabela2[],MATCH(B20,Tabela2[Mercadoria],0),1),"")</f>
        <v/>
      </c>
      <c r="D20">
        <v>39</v>
      </c>
      <c r="E20">
        <f>SUMIF(Tabela2[Mercadoria],Tabela4[[#This Row],[Produto]],Tabela2[Quantidade])</f>
        <v>0</v>
      </c>
      <c r="G20">
        <f>Tabela4[[#This Row],[Quantidade Inicial]]+Tabela4[[#This Row],[Quantidade Comprada]]-Tabela4[[#This Row],[Quantidade Vendida]]</f>
        <v>39</v>
      </c>
      <c r="H20" t="str">
        <f>IF(Tabela4[[#This Row],[Quantidade Atual]]&lt;50,IF(Tabela4[[#This Row],[Quantidade Atual]]&lt;21,"Comprar","Atenção"),"OK")</f>
        <v>Atenção</v>
      </c>
    </row>
    <row r="21" spans="2:8" x14ac:dyDescent="0.3">
      <c r="B21" t="s">
        <v>76</v>
      </c>
      <c r="C21" s="7">
        <f>IFERROR(INDEX(Tabela2[],MATCH(B21,Tabela2[Mercadoria],0),1),"")</f>
        <v>42188</v>
      </c>
      <c r="D21">
        <v>0</v>
      </c>
      <c r="E21">
        <f>SUMIF(Tabela2[Mercadoria],Tabela4[[#This Row],[Produto]],Tabela2[Quantidade])</f>
        <v>300</v>
      </c>
      <c r="G21">
        <f>Tabela4[[#This Row],[Quantidade Inicial]]+Tabela4[[#This Row],[Quantidade Comprada]]-Tabela4[[#This Row],[Quantidade Vendida]]</f>
        <v>300</v>
      </c>
      <c r="H21" t="str">
        <f>IF(Tabela4[[#This Row],[Quantidade Atual]]&lt;50,IF(Tabela4[[#This Row],[Quantidade Atual]]&lt;21,"Comprar","Atenção"),"OK")</f>
        <v>OK</v>
      </c>
    </row>
    <row r="22" spans="2:8" x14ac:dyDescent="0.3">
      <c r="B22" t="s">
        <v>27</v>
      </c>
      <c r="C22" s="7">
        <f>IFERROR(INDEX(Tabela2[],MATCH(B22,Tabela2[Mercadoria],0),1),"")</f>
        <v>42188</v>
      </c>
      <c r="D22">
        <v>0</v>
      </c>
      <c r="E22">
        <f>SUMIF(Tabela2[Mercadoria],Tabela4[[#This Row],[Produto]],Tabela2[Quantidade])</f>
        <v>50</v>
      </c>
      <c r="G22">
        <f>Tabela4[[#This Row],[Quantidade Inicial]]+Tabela4[[#This Row],[Quantidade Comprada]]-Tabela4[[#This Row],[Quantidade Vendida]]</f>
        <v>50</v>
      </c>
      <c r="H22" t="str">
        <f>IF(Tabela4[[#This Row],[Quantidade Atual]]&lt;50,IF(Tabela4[[#This Row],[Quantidade Atual]]&lt;21,"Comprar","Atenção"),"OK")</f>
        <v>OK</v>
      </c>
    </row>
    <row r="23" spans="2:8" x14ac:dyDescent="0.3">
      <c r="B23" t="s">
        <v>28</v>
      </c>
      <c r="C23" s="7" t="str">
        <f>IFERROR(INDEX(Tabela2[],MATCH(B23,Tabela2[Mercadoria],0),1),"")</f>
        <v/>
      </c>
      <c r="D23">
        <v>10</v>
      </c>
      <c r="E23">
        <f>SUMIF(Tabela2[Mercadoria],Tabela4[[#This Row],[Produto]],Tabela2[Quantidade])</f>
        <v>0</v>
      </c>
      <c r="G23">
        <f>Tabela4[[#This Row],[Quantidade Inicial]]+Tabela4[[#This Row],[Quantidade Comprada]]-Tabela4[[#This Row],[Quantidade Vendida]]</f>
        <v>10</v>
      </c>
      <c r="H23" t="str">
        <f>IF(Tabela4[[#This Row],[Quantidade Atual]]&lt;50,IF(Tabela4[[#This Row],[Quantidade Atual]]&lt;21,"Comprar","Atenção"),"OK")</f>
        <v>Comprar</v>
      </c>
    </row>
    <row r="24" spans="2:8" x14ac:dyDescent="0.3">
      <c r="B24" t="s">
        <v>77</v>
      </c>
      <c r="C24" s="7" t="str">
        <f>IFERROR(INDEX(Tabela2[],MATCH(B24,Tabela2[Mercadoria],0),1),"")</f>
        <v/>
      </c>
      <c r="D24">
        <v>100</v>
      </c>
      <c r="E24">
        <f>SUMIF(Tabela2[Mercadoria],Tabela4[[#This Row],[Produto]],Tabela2[Quantidade])</f>
        <v>0</v>
      </c>
      <c r="G24">
        <f>Tabela4[[#This Row],[Quantidade Inicial]]+Tabela4[[#This Row],[Quantidade Comprada]]-Tabela4[[#This Row],[Quantidade Vendida]]</f>
        <v>100</v>
      </c>
      <c r="H24" t="str">
        <f>IF(Tabela4[[#This Row],[Quantidade Atual]]&lt;50,IF(Tabela4[[#This Row],[Quantidade Atual]]&lt;21,"Comprar","Atenção"),"OK")</f>
        <v>OK</v>
      </c>
    </row>
    <row r="25" spans="2:8" x14ac:dyDescent="0.3">
      <c r="B25" t="s">
        <v>30</v>
      </c>
      <c r="C25" s="7">
        <f>IFERROR(INDEX(Tabela2[],MATCH(B25,Tabela2[Mercadoria],0),1),"")</f>
        <v>42189</v>
      </c>
      <c r="D25">
        <v>0</v>
      </c>
      <c r="E25">
        <f>SUMIF(Tabela2[Mercadoria],Tabela4[[#This Row],[Produto]],Tabela2[Quantidade])</f>
        <v>200</v>
      </c>
      <c r="G25">
        <f>Tabela4[[#This Row],[Quantidade Inicial]]+Tabela4[[#This Row],[Quantidade Comprada]]-Tabela4[[#This Row],[Quantidade Vendida]]</f>
        <v>200</v>
      </c>
      <c r="H25" t="str">
        <f>IF(Tabela4[[#This Row],[Quantidade Atual]]&lt;50,IF(Tabela4[[#This Row],[Quantidade Atual]]&lt;21,"Comprar","Atenção"),"OK")</f>
        <v>OK</v>
      </c>
    </row>
    <row r="26" spans="2:8" x14ac:dyDescent="0.3">
      <c r="B26" t="s">
        <v>23</v>
      </c>
      <c r="C26" s="7" t="str">
        <f>IFERROR(INDEX(Tabela2[],MATCH(B26,Tabela2[Mercadoria],0),1),"")</f>
        <v/>
      </c>
      <c r="D26">
        <v>30</v>
      </c>
      <c r="E26">
        <f>SUMIF(Tabela2[Mercadoria],Tabela4[[#This Row],[Produto]],Tabela2[Quantidade])</f>
        <v>0</v>
      </c>
      <c r="G26">
        <f>Tabela4[[#This Row],[Quantidade Inicial]]+Tabela4[[#This Row],[Quantidade Comprada]]-Tabela4[[#This Row],[Quantidade Vendida]]</f>
        <v>30</v>
      </c>
      <c r="H26" t="str">
        <f>IF(Tabela4[[#This Row],[Quantidade Atual]]&lt;50,IF(Tabela4[[#This Row],[Quantidade Atual]]&lt;21,"Comprar","Atenção"),"OK")</f>
        <v>Atenção</v>
      </c>
    </row>
    <row r="27" spans="2:8" x14ac:dyDescent="0.3">
      <c r="B27" t="s">
        <v>32</v>
      </c>
      <c r="C27" s="7" t="str">
        <f>IFERROR(INDEX(Tabela2[],MATCH(B27,Tabela2[Mercadoria],0),1),"")</f>
        <v/>
      </c>
      <c r="D27">
        <v>50</v>
      </c>
      <c r="E27">
        <f>SUMIF(Tabela2[Mercadoria],Tabela4[[#This Row],[Produto]],Tabela2[Quantidade])</f>
        <v>0</v>
      </c>
      <c r="G27">
        <f>Tabela4[[#This Row],[Quantidade Inicial]]+Tabela4[[#This Row],[Quantidade Comprada]]-Tabela4[[#This Row],[Quantidade Vendida]]</f>
        <v>50</v>
      </c>
      <c r="H27" t="str">
        <f>IF(Tabela4[[#This Row],[Quantidade Atual]]&lt;50,IF(Tabela4[[#This Row],[Quantidade Atual]]&lt;21,"Comprar","Atenção"),"OK")</f>
        <v>OK</v>
      </c>
    </row>
    <row r="28" spans="2:8" x14ac:dyDescent="0.3">
      <c r="B28" t="s">
        <v>29</v>
      </c>
      <c r="C28" s="7">
        <f>IFERROR(INDEX(Tabela2[],MATCH(B28,Tabela2[Mercadoria],0),1),"")</f>
        <v>42187</v>
      </c>
      <c r="D28">
        <v>0</v>
      </c>
      <c r="E28">
        <f>SUMIF(Tabela2[Mercadoria],Tabela4[[#This Row],[Produto]],Tabela2[Quantidade])</f>
        <v>80</v>
      </c>
      <c r="G28">
        <f>Tabela4[[#This Row],[Quantidade Inicial]]+Tabela4[[#This Row],[Quantidade Comprada]]-Tabela4[[#This Row],[Quantidade Vendida]]</f>
        <v>80</v>
      </c>
      <c r="H28" t="str">
        <f>IF(Tabela4[[#This Row],[Quantidade Atual]]&lt;50,IF(Tabela4[[#This Row],[Quantidade Atual]]&lt;21,"Comprar","Atenção"),"OK")</f>
        <v>OK</v>
      </c>
    </row>
    <row r="29" spans="2:8" x14ac:dyDescent="0.3">
      <c r="B29" t="s">
        <v>35</v>
      </c>
      <c r="C29" s="7" t="str">
        <f>IFERROR(INDEX(Tabela2[],MATCH(B29,Tabela2[Mercadoria],0),1),"")</f>
        <v/>
      </c>
      <c r="D29">
        <v>20</v>
      </c>
      <c r="E29">
        <f>SUMIF(Tabela2[Mercadoria],Tabela4[[#This Row],[Produto]],Tabela2[Quantidade])</f>
        <v>0</v>
      </c>
      <c r="G29">
        <f>Tabela4[[#This Row],[Quantidade Inicial]]+Tabela4[[#This Row],[Quantidade Comprada]]-Tabela4[[#This Row],[Quantidade Vendida]]</f>
        <v>20</v>
      </c>
      <c r="H29" t="str">
        <f>IF(Tabela4[[#This Row],[Quantidade Atual]]&lt;50,IF(Tabela4[[#This Row],[Quantidade Atual]]&lt;21,"Comprar","Atenção"),"OK")</f>
        <v>Comprar</v>
      </c>
    </row>
  </sheetData>
  <conditionalFormatting sqref="H6:H29">
    <cfRule type="containsText" dxfId="5" priority="2" operator="containsText" text="Comprar">
      <formula>NOT(ISERROR(SEARCH("Comprar",H6)))</formula>
    </cfRule>
    <cfRule type="containsText" dxfId="4" priority="1" operator="containsText" text="Atenção">
      <formula>NOT(ISERROR(SEARCH("Atenção",H6)))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B12"/>
  <sheetViews>
    <sheetView workbookViewId="0"/>
  </sheetViews>
  <sheetFormatPr defaultRowHeight="14.4" x14ac:dyDescent="0.3"/>
  <sheetData>
    <row r="3" spans="2:2" x14ac:dyDescent="0.3">
      <c r="B3" t="s">
        <v>10</v>
      </c>
    </row>
    <row r="6" spans="2:2" x14ac:dyDescent="0.3">
      <c r="B6" t="s">
        <v>8</v>
      </c>
    </row>
    <row r="9" spans="2:2" x14ac:dyDescent="0.3">
      <c r="B9" t="s">
        <v>9</v>
      </c>
    </row>
    <row r="12" spans="2:2" x14ac:dyDescent="0.3">
      <c r="B12" t="s">
        <v>11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B5"/>
  <sheetViews>
    <sheetView workbookViewId="0"/>
  </sheetViews>
  <sheetFormatPr defaultRowHeight="14.4" x14ac:dyDescent="0.3"/>
  <sheetData>
    <row r="3" spans="2:2" x14ac:dyDescent="0.3">
      <c r="B3" t="s">
        <v>6</v>
      </c>
    </row>
    <row r="5" spans="2:2" x14ac:dyDescent="0.3">
      <c r="B5" t="s">
        <v>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M6:P30"/>
  <sheetViews>
    <sheetView topLeftCell="A8" workbookViewId="0">
      <selection activeCell="H10" sqref="H10"/>
    </sheetView>
  </sheetViews>
  <sheetFormatPr defaultRowHeight="14.4" x14ac:dyDescent="0.3"/>
  <cols>
    <col min="13" max="13" width="14.77734375" bestFit="1" customWidth="1"/>
    <col min="14" max="14" width="25.21875" bestFit="1" customWidth="1"/>
    <col min="15" max="15" width="24" bestFit="1" customWidth="1"/>
    <col min="16" max="16" width="9.6640625" bestFit="1" customWidth="1"/>
  </cols>
  <sheetData>
    <row r="6" spans="13:16" x14ac:dyDescent="0.3">
      <c r="M6" s="8" t="s">
        <v>66</v>
      </c>
      <c r="N6" s="8" t="s">
        <v>67</v>
      </c>
      <c r="O6" s="8" t="s">
        <v>68</v>
      </c>
      <c r="P6" s="8" t="s">
        <v>61</v>
      </c>
    </row>
    <row r="7" spans="13:16" x14ac:dyDescent="0.3">
      <c r="M7" t="s">
        <v>24</v>
      </c>
      <c r="N7" s="9">
        <v>2.8405</v>
      </c>
      <c r="O7" s="9">
        <v>2.99</v>
      </c>
      <c r="P7" t="s">
        <v>60</v>
      </c>
    </row>
    <row r="8" spans="13:16" x14ac:dyDescent="0.3">
      <c r="M8" t="s">
        <v>33</v>
      </c>
      <c r="N8" s="9">
        <v>1.0580000000000001</v>
      </c>
      <c r="O8" s="9">
        <v>1.1499999999999999</v>
      </c>
      <c r="P8" t="s">
        <v>69</v>
      </c>
    </row>
    <row r="9" spans="13:16" x14ac:dyDescent="0.3">
      <c r="M9" t="s">
        <v>21</v>
      </c>
      <c r="N9" s="9">
        <v>2.3406000000000002</v>
      </c>
      <c r="O9" s="9">
        <v>2.4900000000000002</v>
      </c>
      <c r="P9" t="s">
        <v>70</v>
      </c>
    </row>
    <row r="10" spans="13:16" x14ac:dyDescent="0.3">
      <c r="M10" t="s">
        <v>38</v>
      </c>
      <c r="N10" s="9">
        <v>1.8506999999999998</v>
      </c>
      <c r="O10" s="9">
        <v>1.99</v>
      </c>
      <c r="P10" t="s">
        <v>69</v>
      </c>
    </row>
    <row r="11" spans="13:16" x14ac:dyDescent="0.3">
      <c r="M11" t="s">
        <v>41</v>
      </c>
      <c r="N11" s="9">
        <v>1.0924999999999998</v>
      </c>
      <c r="O11" s="9">
        <v>1.1499999999999999</v>
      </c>
      <c r="P11" t="s">
        <v>69</v>
      </c>
    </row>
    <row r="12" spans="13:16" x14ac:dyDescent="0.3">
      <c r="M12" t="s">
        <v>37</v>
      </c>
      <c r="N12" s="9">
        <v>0.74260000000000004</v>
      </c>
      <c r="O12" s="9">
        <v>0.79</v>
      </c>
      <c r="P12" t="s">
        <v>69</v>
      </c>
    </row>
    <row r="13" spans="13:16" x14ac:dyDescent="0.3">
      <c r="M13" t="s">
        <v>25</v>
      </c>
      <c r="N13" s="9">
        <v>14.469000000000001</v>
      </c>
      <c r="O13" s="9">
        <v>15.9</v>
      </c>
      <c r="P13" t="s">
        <v>70</v>
      </c>
    </row>
    <row r="14" spans="13:16" x14ac:dyDescent="0.3">
      <c r="M14" t="s">
        <v>31</v>
      </c>
      <c r="N14" s="9">
        <v>3.6309000000000005</v>
      </c>
      <c r="O14" s="9">
        <v>3.99</v>
      </c>
      <c r="P14" t="s">
        <v>70</v>
      </c>
    </row>
    <row r="15" spans="13:16" x14ac:dyDescent="0.3">
      <c r="M15" t="s">
        <v>34</v>
      </c>
      <c r="N15" s="9">
        <v>2.1023999999999998</v>
      </c>
      <c r="O15" s="9">
        <v>2.19</v>
      </c>
      <c r="P15" t="s">
        <v>73</v>
      </c>
    </row>
    <row r="16" spans="13:16" x14ac:dyDescent="0.3">
      <c r="M16" t="s">
        <v>39</v>
      </c>
      <c r="N16" s="9">
        <v>4.5409000000000006</v>
      </c>
      <c r="O16" s="9">
        <v>4.99</v>
      </c>
      <c r="P16" t="s">
        <v>74</v>
      </c>
    </row>
    <row r="17" spans="13:16" x14ac:dyDescent="0.3">
      <c r="M17" t="s">
        <v>40</v>
      </c>
      <c r="N17" s="9">
        <v>6.3449999999999998</v>
      </c>
      <c r="O17" s="9">
        <v>6.75</v>
      </c>
      <c r="P17" t="s">
        <v>75</v>
      </c>
    </row>
    <row r="18" spans="13:16" x14ac:dyDescent="0.3">
      <c r="M18" t="s">
        <v>36</v>
      </c>
      <c r="N18" s="9">
        <v>2.3660000000000001</v>
      </c>
      <c r="O18" s="9">
        <v>2.6</v>
      </c>
      <c r="P18" t="s">
        <v>60</v>
      </c>
    </row>
    <row r="19" spans="13:16" x14ac:dyDescent="0.3">
      <c r="M19" t="s">
        <v>22</v>
      </c>
      <c r="N19" s="9">
        <v>4.0659999999999998</v>
      </c>
      <c r="O19" s="9">
        <v>4.28</v>
      </c>
      <c r="P19" t="s">
        <v>70</v>
      </c>
    </row>
    <row r="20" spans="13:16" x14ac:dyDescent="0.3">
      <c r="M20" t="s">
        <v>26</v>
      </c>
      <c r="N20" s="9">
        <v>6.4216000000000006</v>
      </c>
      <c r="O20" s="9">
        <v>6.98</v>
      </c>
      <c r="P20" t="s">
        <v>70</v>
      </c>
    </row>
    <row r="21" spans="13:16" x14ac:dyDescent="0.3">
      <c r="M21" t="s">
        <v>71</v>
      </c>
      <c r="N21" s="9">
        <v>1.3708</v>
      </c>
      <c r="O21" s="9">
        <v>1.49</v>
      </c>
      <c r="P21" t="s">
        <v>72</v>
      </c>
    </row>
    <row r="22" spans="13:16" x14ac:dyDescent="0.3">
      <c r="M22" t="s">
        <v>76</v>
      </c>
      <c r="N22" s="9">
        <v>2.6299000000000001</v>
      </c>
      <c r="O22" s="9">
        <v>2.89</v>
      </c>
      <c r="P22" t="s">
        <v>60</v>
      </c>
    </row>
    <row r="23" spans="13:16" x14ac:dyDescent="0.3">
      <c r="M23" t="s">
        <v>27</v>
      </c>
      <c r="N23" s="9">
        <v>22.226999999999997</v>
      </c>
      <c r="O23" s="9">
        <v>23.9</v>
      </c>
      <c r="P23" t="s">
        <v>70</v>
      </c>
    </row>
    <row r="24" spans="13:16" x14ac:dyDescent="0.3">
      <c r="M24" t="s">
        <v>28</v>
      </c>
      <c r="N24" s="9">
        <v>23.827999999999999</v>
      </c>
      <c r="O24" s="9">
        <v>25.9</v>
      </c>
      <c r="P24" t="s">
        <v>70</v>
      </c>
    </row>
    <row r="25" spans="13:16" x14ac:dyDescent="0.3">
      <c r="M25" t="s">
        <v>77</v>
      </c>
      <c r="N25" s="9">
        <v>2.1749000000000001</v>
      </c>
      <c r="O25" s="9">
        <v>2.39</v>
      </c>
      <c r="P25" t="s">
        <v>72</v>
      </c>
    </row>
    <row r="26" spans="13:16" x14ac:dyDescent="0.3">
      <c r="M26" t="s">
        <v>30</v>
      </c>
      <c r="N26" s="9">
        <v>3.2084999999999999</v>
      </c>
      <c r="O26" s="9">
        <v>3.45</v>
      </c>
      <c r="P26" t="s">
        <v>72</v>
      </c>
    </row>
    <row r="27" spans="13:16" x14ac:dyDescent="0.3">
      <c r="M27" t="s">
        <v>23</v>
      </c>
      <c r="N27" s="9">
        <v>5.3544000000000009</v>
      </c>
      <c r="O27" s="9">
        <v>5.82</v>
      </c>
      <c r="P27" t="s">
        <v>70</v>
      </c>
    </row>
    <row r="28" spans="13:16" x14ac:dyDescent="0.3">
      <c r="M28" t="s">
        <v>32</v>
      </c>
      <c r="N28" s="9">
        <v>9.1009999999999991</v>
      </c>
      <c r="O28" s="9">
        <v>9.58</v>
      </c>
      <c r="P28" t="s">
        <v>70</v>
      </c>
    </row>
    <row r="29" spans="13:16" x14ac:dyDescent="0.3">
      <c r="M29" t="s">
        <v>29</v>
      </c>
      <c r="N29" s="9">
        <v>26.012999999999998</v>
      </c>
      <c r="O29" s="9">
        <v>29.9</v>
      </c>
      <c r="P29" t="s">
        <v>78</v>
      </c>
    </row>
    <row r="30" spans="13:16" x14ac:dyDescent="0.3">
      <c r="M30" t="s">
        <v>35</v>
      </c>
      <c r="N30" s="9">
        <v>46.664999999999999</v>
      </c>
      <c r="O30" s="9">
        <v>54.9</v>
      </c>
      <c r="P30" t="s">
        <v>78</v>
      </c>
    </row>
  </sheetData>
  <autoFilter ref="M6:P6" xr:uid="{ECCBCB4F-BB79-43B6-A004-52505D7F85F7}">
    <sortState xmlns:xlrd2="http://schemas.microsoft.com/office/spreadsheetml/2017/richdata2" ref="M7:P30">
      <sortCondition ref="M6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Menu</vt:lpstr>
      <vt:lpstr>Despesas</vt:lpstr>
      <vt:lpstr>Controle Mercadorias</vt:lpstr>
      <vt:lpstr>Investimentos</vt:lpstr>
      <vt:lpstr>Controle de Estoque</vt:lpstr>
      <vt:lpstr>Resultados</vt:lpstr>
      <vt:lpstr>Vendas</vt:lpstr>
      <vt:lpstr>cálculos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karen</cp:lastModifiedBy>
  <dcterms:created xsi:type="dcterms:W3CDTF">2015-06-24T19:21:22Z</dcterms:created>
  <dcterms:modified xsi:type="dcterms:W3CDTF">2020-04-03T01:11:00Z</dcterms:modified>
</cp:coreProperties>
</file>