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Karen\Excel\Projeto\"/>
    </mc:Choice>
  </mc:AlternateContent>
  <xr:revisionPtr revIDLastSave="0" documentId="13_ncr:1_{69D88C47-D2C6-4152-B00E-CA65F869D7ED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Menu" sheetId="1" r:id="rId1"/>
    <sheet name="Despesas" sheetId="2" r:id="rId2"/>
    <sheet name="Compras Mercadorias" sheetId="6" r:id="rId3"/>
    <sheet name="Investimentos" sheetId="7" r:id="rId4"/>
    <sheet name="Controle de Estoque" sheetId="8" r:id="rId5"/>
    <sheet name="Resultados" sheetId="4" r:id="rId6"/>
    <sheet name="Vendas" sheetId="3" r:id="rId7"/>
    <sheet name="Semana 1" sheetId="9" r:id="rId8"/>
    <sheet name="Semana 2" sheetId="10" r:id="rId9"/>
    <sheet name="Semana 3" sheetId="11" r:id="rId10"/>
    <sheet name="Semana 4" sheetId="12" r:id="rId11"/>
    <sheet name="Semana 5" sheetId="13" r:id="rId12"/>
    <sheet name="cálculos" sheetId="5" r:id="rId13"/>
  </sheets>
  <definedNames>
    <definedName name="_xlnm._FilterDatabase" localSheetId="12" hidden="1">cálculos!$M$6:$P$6</definedName>
    <definedName name="_xlnm.Print_Area" localSheetId="5">Resultados!$C$4:$E$25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4" l="1"/>
  <c r="E13" i="4"/>
  <c r="E12" i="4"/>
  <c r="E11" i="4" s="1"/>
  <c r="E6" i="4"/>
  <c r="E5" i="4" s="1"/>
  <c r="E4" i="4" l="1"/>
  <c r="E15" i="4" s="1"/>
  <c r="E21" i="4" s="1"/>
  <c r="D53" i="3"/>
  <c r="D51" i="3"/>
  <c r="E23" i="4" l="1"/>
  <c r="E25" i="4"/>
  <c r="E8" i="4"/>
  <c r="E9" i="4" s="1"/>
  <c r="M23" i="13"/>
  <c r="M23" i="12"/>
  <c r="M23" i="11"/>
  <c r="M23" i="10"/>
  <c r="M34" i="9"/>
  <c r="D14" i="3"/>
  <c r="D13" i="3"/>
  <c r="D12" i="3"/>
  <c r="D10" i="3"/>
  <c r="C18" i="3"/>
  <c r="G5" i="9" l="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H5" i="9" l="1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E18" i="10" l="1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5" i="9"/>
  <c r="M28" i="9"/>
  <c r="M27" i="9"/>
  <c r="M23" i="9"/>
  <c r="M20" i="9"/>
  <c r="M19" i="9"/>
  <c r="M15" i="9"/>
  <c r="M14" i="9"/>
  <c r="M13" i="9"/>
  <c r="M11" i="9"/>
  <c r="M7" i="9"/>
  <c r="M6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E6" i="9"/>
  <c r="E7" i="9"/>
  <c r="E19" i="9"/>
  <c r="E20" i="9"/>
  <c r="E21" i="9"/>
  <c r="E22" i="9"/>
  <c r="E23" i="9"/>
  <c r="E24" i="9"/>
  <c r="E25" i="9"/>
  <c r="E26" i="9"/>
  <c r="E27" i="9"/>
  <c r="E28" i="9"/>
  <c r="E29" i="9"/>
  <c r="L25" i="9"/>
  <c r="M25" i="9" s="1"/>
  <c r="L27" i="9" l="1"/>
  <c r="L28" i="9"/>
  <c r="L20" i="9"/>
  <c r="L24" i="9"/>
  <c r="L23" i="9"/>
  <c r="L19" i="9"/>
  <c r="L29" i="9"/>
  <c r="L26" i="9"/>
  <c r="M26" i="9" s="1"/>
  <c r="L22" i="9"/>
  <c r="M22" i="9" s="1"/>
  <c r="L21" i="9"/>
  <c r="M18" i="13"/>
  <c r="K18" i="13"/>
  <c r="G18" i="13"/>
  <c r="H18" i="13" s="1"/>
  <c r="L18" i="13" s="1"/>
  <c r="E18" i="13"/>
  <c r="M17" i="13"/>
  <c r="K17" i="13"/>
  <c r="G17" i="13"/>
  <c r="H17" i="13" s="1"/>
  <c r="L17" i="13" s="1"/>
  <c r="E17" i="13"/>
  <c r="M16" i="13"/>
  <c r="K16" i="13"/>
  <c r="G16" i="13"/>
  <c r="H16" i="13" s="1"/>
  <c r="L16" i="13" s="1"/>
  <c r="E16" i="13"/>
  <c r="M15" i="13"/>
  <c r="K15" i="13"/>
  <c r="G15" i="13"/>
  <c r="H15" i="13" s="1"/>
  <c r="L15" i="13" s="1"/>
  <c r="E15" i="13"/>
  <c r="M14" i="13"/>
  <c r="K14" i="13"/>
  <c r="G14" i="13"/>
  <c r="H14" i="13" s="1"/>
  <c r="L14" i="13" s="1"/>
  <c r="E14" i="13"/>
  <c r="M13" i="13"/>
  <c r="K13" i="13"/>
  <c r="G13" i="13"/>
  <c r="H13" i="13" s="1"/>
  <c r="L13" i="13" s="1"/>
  <c r="E13" i="13"/>
  <c r="M12" i="13"/>
  <c r="K12" i="13"/>
  <c r="G12" i="13"/>
  <c r="H12" i="13" s="1"/>
  <c r="L12" i="13" s="1"/>
  <c r="E12" i="13"/>
  <c r="M11" i="13"/>
  <c r="K11" i="13"/>
  <c r="G11" i="13"/>
  <c r="H11" i="13" s="1"/>
  <c r="L11" i="13" s="1"/>
  <c r="E11" i="13"/>
  <c r="M10" i="13"/>
  <c r="K10" i="13"/>
  <c r="L10" i="13" s="1"/>
  <c r="H10" i="13"/>
  <c r="G10" i="13"/>
  <c r="E10" i="13"/>
  <c r="M9" i="13"/>
  <c r="K9" i="13"/>
  <c r="G9" i="13"/>
  <c r="H9" i="13" s="1"/>
  <c r="L9" i="13" s="1"/>
  <c r="E9" i="13"/>
  <c r="M8" i="13"/>
  <c r="K8" i="13"/>
  <c r="L8" i="13" s="1"/>
  <c r="H8" i="13"/>
  <c r="G8" i="13"/>
  <c r="E8" i="13"/>
  <c r="M7" i="13"/>
  <c r="K7" i="13"/>
  <c r="G7" i="13"/>
  <c r="H7" i="13" s="1"/>
  <c r="L7" i="13" s="1"/>
  <c r="K6" i="13"/>
  <c r="G6" i="13"/>
  <c r="H6" i="13" s="1"/>
  <c r="M5" i="13"/>
  <c r="K5" i="13"/>
  <c r="G5" i="13"/>
  <c r="H5" i="13" s="1"/>
  <c r="L5" i="13" s="1"/>
  <c r="M18" i="12"/>
  <c r="K18" i="12"/>
  <c r="G18" i="12"/>
  <c r="H18" i="12" s="1"/>
  <c r="L18" i="12" s="1"/>
  <c r="E18" i="12"/>
  <c r="M17" i="12"/>
  <c r="K17" i="12"/>
  <c r="H17" i="12"/>
  <c r="L17" i="12" s="1"/>
  <c r="G17" i="12"/>
  <c r="E17" i="12"/>
  <c r="M16" i="12"/>
  <c r="K16" i="12"/>
  <c r="G16" i="12"/>
  <c r="H16" i="12" s="1"/>
  <c r="L16" i="12" s="1"/>
  <c r="E16" i="12"/>
  <c r="M15" i="12"/>
  <c r="K15" i="12"/>
  <c r="H15" i="12"/>
  <c r="L15" i="12" s="1"/>
  <c r="G15" i="12"/>
  <c r="E15" i="12"/>
  <c r="M14" i="12"/>
  <c r="K14" i="12"/>
  <c r="G14" i="12"/>
  <c r="H14" i="12" s="1"/>
  <c r="L14" i="12" s="1"/>
  <c r="E14" i="12"/>
  <c r="M13" i="12"/>
  <c r="K13" i="12"/>
  <c r="H13" i="12"/>
  <c r="L13" i="12" s="1"/>
  <c r="G13" i="12"/>
  <c r="E13" i="12"/>
  <c r="M12" i="12"/>
  <c r="K12" i="12"/>
  <c r="G12" i="12"/>
  <c r="H12" i="12" s="1"/>
  <c r="L12" i="12" s="1"/>
  <c r="E12" i="12"/>
  <c r="M11" i="12"/>
  <c r="K11" i="12"/>
  <c r="H11" i="12"/>
  <c r="L11" i="12" s="1"/>
  <c r="G11" i="12"/>
  <c r="E11" i="12"/>
  <c r="M10" i="12"/>
  <c r="K10" i="12"/>
  <c r="G10" i="12"/>
  <c r="H10" i="12" s="1"/>
  <c r="L10" i="12" s="1"/>
  <c r="E10" i="12"/>
  <c r="M9" i="12"/>
  <c r="K9" i="12"/>
  <c r="H9" i="12"/>
  <c r="L9" i="12" s="1"/>
  <c r="G9" i="12"/>
  <c r="E9" i="12"/>
  <c r="M8" i="12"/>
  <c r="K8" i="12"/>
  <c r="G8" i="12"/>
  <c r="H8" i="12" s="1"/>
  <c r="L8" i="12" s="1"/>
  <c r="E8" i="12"/>
  <c r="M7" i="12"/>
  <c r="K7" i="12"/>
  <c r="G7" i="12"/>
  <c r="H7" i="12" s="1"/>
  <c r="L7" i="12" s="1"/>
  <c r="K6" i="12"/>
  <c r="G6" i="12"/>
  <c r="H6" i="12" s="1"/>
  <c r="L6" i="12" s="1"/>
  <c r="M5" i="12"/>
  <c r="K5" i="12"/>
  <c r="H5" i="12"/>
  <c r="L5" i="12" s="1"/>
  <c r="G5" i="12"/>
  <c r="M18" i="11"/>
  <c r="K18" i="11"/>
  <c r="G18" i="11"/>
  <c r="H18" i="11" s="1"/>
  <c r="L18" i="11" s="1"/>
  <c r="E18" i="11"/>
  <c r="M17" i="11"/>
  <c r="K17" i="11"/>
  <c r="H17" i="11"/>
  <c r="L17" i="11" s="1"/>
  <c r="G17" i="11"/>
  <c r="E17" i="11"/>
  <c r="M16" i="11"/>
  <c r="K16" i="11"/>
  <c r="G16" i="11"/>
  <c r="H16" i="11" s="1"/>
  <c r="L16" i="11" s="1"/>
  <c r="E16" i="11"/>
  <c r="M15" i="11"/>
  <c r="K15" i="11"/>
  <c r="H15" i="11"/>
  <c r="L15" i="11" s="1"/>
  <c r="G15" i="11"/>
  <c r="E15" i="11"/>
  <c r="M14" i="11"/>
  <c r="K14" i="11"/>
  <c r="G14" i="11"/>
  <c r="H14" i="11" s="1"/>
  <c r="L14" i="11" s="1"/>
  <c r="E14" i="11"/>
  <c r="M13" i="11"/>
  <c r="K13" i="11"/>
  <c r="H13" i="11"/>
  <c r="L13" i="11" s="1"/>
  <c r="G13" i="11"/>
  <c r="E13" i="11"/>
  <c r="M12" i="11"/>
  <c r="K12" i="11"/>
  <c r="G12" i="11"/>
  <c r="H12" i="11" s="1"/>
  <c r="L12" i="11" s="1"/>
  <c r="E12" i="11"/>
  <c r="M11" i="11"/>
  <c r="K11" i="11"/>
  <c r="H11" i="11"/>
  <c r="L11" i="11" s="1"/>
  <c r="G11" i="11"/>
  <c r="E11" i="11"/>
  <c r="M10" i="11"/>
  <c r="K10" i="11"/>
  <c r="G10" i="11"/>
  <c r="H10" i="11" s="1"/>
  <c r="L10" i="11" s="1"/>
  <c r="E10" i="11"/>
  <c r="M9" i="11"/>
  <c r="K9" i="11"/>
  <c r="H9" i="11"/>
  <c r="L9" i="11" s="1"/>
  <c r="G9" i="11"/>
  <c r="E9" i="11"/>
  <c r="M8" i="11"/>
  <c r="K8" i="11"/>
  <c r="G8" i="11"/>
  <c r="H8" i="11" s="1"/>
  <c r="L8" i="11" s="1"/>
  <c r="M7" i="11"/>
  <c r="K7" i="11"/>
  <c r="G7" i="11"/>
  <c r="H7" i="11" s="1"/>
  <c r="L7" i="11" s="1"/>
  <c r="K6" i="11"/>
  <c r="G6" i="11"/>
  <c r="H6" i="11" s="1"/>
  <c r="M5" i="11"/>
  <c r="K5" i="11"/>
  <c r="G5" i="11"/>
  <c r="H5" i="11" s="1"/>
  <c r="L5" i="11" s="1"/>
  <c r="M18" i="10"/>
  <c r="K18" i="10"/>
  <c r="G18" i="10"/>
  <c r="H18" i="10" s="1"/>
  <c r="M17" i="10"/>
  <c r="K17" i="10"/>
  <c r="H17" i="10"/>
  <c r="L17" i="10" s="1"/>
  <c r="G17" i="10"/>
  <c r="M16" i="10"/>
  <c r="K16" i="10"/>
  <c r="G16" i="10"/>
  <c r="H16" i="10" s="1"/>
  <c r="L16" i="10" s="1"/>
  <c r="M15" i="10"/>
  <c r="K15" i="10"/>
  <c r="G15" i="10"/>
  <c r="H15" i="10" s="1"/>
  <c r="L15" i="10" s="1"/>
  <c r="M14" i="10"/>
  <c r="K14" i="10"/>
  <c r="G14" i="10"/>
  <c r="H14" i="10" s="1"/>
  <c r="M13" i="10"/>
  <c r="K13" i="10"/>
  <c r="G13" i="10"/>
  <c r="H13" i="10" s="1"/>
  <c r="M12" i="10"/>
  <c r="K12" i="10"/>
  <c r="G12" i="10"/>
  <c r="H12" i="10" s="1"/>
  <c r="L12" i="10" s="1"/>
  <c r="M11" i="10"/>
  <c r="K11" i="10"/>
  <c r="G11" i="10"/>
  <c r="H11" i="10" s="1"/>
  <c r="L11" i="10" s="1"/>
  <c r="M10" i="10"/>
  <c r="K10" i="10"/>
  <c r="G10" i="10"/>
  <c r="H10" i="10" s="1"/>
  <c r="M9" i="10"/>
  <c r="K9" i="10"/>
  <c r="H9" i="10"/>
  <c r="G9" i="10"/>
  <c r="M8" i="10"/>
  <c r="K8" i="10"/>
  <c r="G8" i="10"/>
  <c r="H8" i="10" s="1"/>
  <c r="M7" i="10"/>
  <c r="K7" i="10"/>
  <c r="G7" i="10"/>
  <c r="H7" i="10" s="1"/>
  <c r="L7" i="10" s="1"/>
  <c r="K6" i="10"/>
  <c r="G6" i="10"/>
  <c r="H6" i="10" s="1"/>
  <c r="K5" i="10"/>
  <c r="G5" i="10"/>
  <c r="H5" i="10" s="1"/>
  <c r="D28" i="3" l="1"/>
  <c r="M21" i="9"/>
  <c r="M24" i="9"/>
  <c r="M29" i="9"/>
  <c r="L5" i="10"/>
  <c r="M5" i="10" s="1"/>
  <c r="L14" i="10"/>
  <c r="L8" i="10"/>
  <c r="L9" i="10"/>
  <c r="L13" i="10"/>
  <c r="L6" i="10"/>
  <c r="L10" i="10"/>
  <c r="L18" i="10"/>
  <c r="M33" i="9"/>
  <c r="M22" i="13"/>
  <c r="L6" i="13"/>
  <c r="M22" i="12"/>
  <c r="M22" i="11"/>
  <c r="L6" i="11"/>
  <c r="M21" i="11" s="1"/>
  <c r="M22" i="10"/>
  <c r="D30" i="3" s="1"/>
  <c r="M21" i="13"/>
  <c r="M6" i="13"/>
  <c r="M21" i="12"/>
  <c r="M6" i="12"/>
  <c r="M6" i="11"/>
  <c r="M6" i="10"/>
  <c r="D50" i="3" s="1"/>
  <c r="E8" i="9"/>
  <c r="E9" i="9"/>
  <c r="E10" i="9"/>
  <c r="E11" i="9"/>
  <c r="E12" i="9"/>
  <c r="E13" i="9"/>
  <c r="E14" i="9"/>
  <c r="E15" i="9"/>
  <c r="E16" i="9"/>
  <c r="E17" i="9"/>
  <c r="E18" i="9"/>
  <c r="D49" i="3" l="1"/>
  <c r="D52" i="3"/>
  <c r="D29" i="3"/>
  <c r="M21" i="10"/>
  <c r="M5" i="9"/>
  <c r="D37" i="3" l="1"/>
  <c r="D11" i="3"/>
  <c r="D18" i="3" s="1"/>
  <c r="L5" i="9"/>
  <c r="L6" i="9"/>
  <c r="L9" i="9"/>
  <c r="M9" i="9" s="1"/>
  <c r="L10" i="9"/>
  <c r="M10" i="9" s="1"/>
  <c r="L11" i="9"/>
  <c r="L12" i="9"/>
  <c r="L13" i="9"/>
  <c r="L14" i="9"/>
  <c r="L15" i="9"/>
  <c r="L16" i="9"/>
  <c r="L17" i="9"/>
  <c r="M17" i="9" s="1"/>
  <c r="L18" i="9"/>
  <c r="M18" i="9" s="1"/>
  <c r="L7" i="9"/>
  <c r="L8" i="9"/>
  <c r="M12" i="9" l="1"/>
  <c r="M16" i="9"/>
  <c r="M8" i="9"/>
  <c r="M32" i="9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2" i="7" l="1"/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8" i="6" l="1"/>
  <c r="G32" i="2" s="1"/>
  <c r="G33" i="2" s="1"/>
  <c r="G21" i="2"/>
  <c r="G14" i="2"/>
  <c r="G6" i="2"/>
  <c r="G31" i="2" s="1"/>
</calcChain>
</file>

<file path=xl/sharedStrings.xml><?xml version="1.0" encoding="utf-8"?>
<sst xmlns="http://schemas.openxmlformats.org/spreadsheetml/2006/main" count="358" uniqueCount="147">
  <si>
    <t>Manutenção de Equipamentos</t>
  </si>
  <si>
    <t>Impostos</t>
  </si>
  <si>
    <t>Limpeza</t>
  </si>
  <si>
    <t>Aluguel Loja</t>
  </si>
  <si>
    <t>Seguros</t>
  </si>
  <si>
    <t>Outros</t>
  </si>
  <si>
    <t>Receita Líquida</t>
  </si>
  <si>
    <t>Salários</t>
  </si>
  <si>
    <t>Bonificações</t>
  </si>
  <si>
    <t>Vales (Refeição, Transporte)</t>
  </si>
  <si>
    <t>Informática</t>
  </si>
  <si>
    <t>Serviços Terceirizados</t>
  </si>
  <si>
    <t>Escritório Contábil</t>
  </si>
  <si>
    <t>Escritório Advocacia</t>
  </si>
  <si>
    <t>Entregas</t>
  </si>
  <si>
    <t>Marketing</t>
  </si>
  <si>
    <t>Arroz</t>
  </si>
  <si>
    <t>Feijão</t>
  </si>
  <si>
    <t>Tomate</t>
  </si>
  <si>
    <t>Alface</t>
  </si>
  <si>
    <t>Carne</t>
  </si>
  <si>
    <t>Frango</t>
  </si>
  <si>
    <t>Peixe</t>
  </si>
  <si>
    <t>Queijo</t>
  </si>
  <si>
    <t>Vinho</t>
  </si>
  <si>
    <t>Suco</t>
  </si>
  <si>
    <t>Cenoura</t>
  </si>
  <si>
    <t>Vagem</t>
  </si>
  <si>
    <t>Amendoim</t>
  </si>
  <si>
    <t>Cerveja</t>
  </si>
  <si>
    <t>Vodka</t>
  </si>
  <si>
    <t>Couve</t>
  </si>
  <si>
    <t>Caixa de Fósforo</t>
  </si>
  <si>
    <t>Bala</t>
  </si>
  <si>
    <t>Chocolate</t>
  </si>
  <si>
    <t>Cigarro</t>
  </si>
  <si>
    <t>Barra de Cereal</t>
  </si>
  <si>
    <t>Despesas</t>
  </si>
  <si>
    <t>Despesas de Funcionamento</t>
  </si>
  <si>
    <t>Itens Despesas</t>
  </si>
  <si>
    <t>Funcionários</t>
  </si>
  <si>
    <t>Data</t>
  </si>
  <si>
    <t>Observação</t>
  </si>
  <si>
    <t>Valor Final</t>
  </si>
  <si>
    <t>Valor Intermediário</t>
  </si>
  <si>
    <t>Água</t>
  </si>
  <si>
    <t>Energia</t>
  </si>
  <si>
    <t>Gás</t>
  </si>
  <si>
    <t>Telefone</t>
  </si>
  <si>
    <t>Despesas Funcionamento</t>
  </si>
  <si>
    <t>Férias, Licença Maternidade</t>
  </si>
  <si>
    <t>Total de Despesas Funcionamento</t>
  </si>
  <si>
    <t>Compras Mercadorias</t>
  </si>
  <si>
    <t>Fornecedor</t>
  </si>
  <si>
    <t>Mercadoria</t>
  </si>
  <si>
    <t>Unidade</t>
  </si>
  <si>
    <t>Medida</t>
  </si>
  <si>
    <t>Quantidade</t>
  </si>
  <si>
    <t>Preço Unitário</t>
  </si>
  <si>
    <t>Desconto</t>
  </si>
  <si>
    <t>Valor Pago</t>
  </si>
  <si>
    <t>Produtos</t>
  </si>
  <si>
    <t>Preço de Compra Unitário</t>
  </si>
  <si>
    <t>Preço de Venda Unitário</t>
  </si>
  <si>
    <t>Pacote</t>
  </si>
  <si>
    <t>Kg</t>
  </si>
  <si>
    <t>Leite</t>
  </si>
  <si>
    <t>Litro</t>
  </si>
  <si>
    <t>Lata</t>
  </si>
  <si>
    <t>Barra</t>
  </si>
  <si>
    <t>Maço</t>
  </si>
  <si>
    <t>Pão de Forma</t>
  </si>
  <si>
    <t>Refrigerante</t>
  </si>
  <si>
    <t>Garrafa</t>
  </si>
  <si>
    <t>Fornecedor de Verduras</t>
  </si>
  <si>
    <t>Fornecedor de Grãos e Sementes</t>
  </si>
  <si>
    <t>Fornecedor de Bebidas</t>
  </si>
  <si>
    <t>Fornecedor de Cigarro</t>
  </si>
  <si>
    <t>Fornecedor de Doces</t>
  </si>
  <si>
    <t>Padaria</t>
  </si>
  <si>
    <t>Fornecedor de Frango</t>
  </si>
  <si>
    <t>Fornecedor de Peixe</t>
  </si>
  <si>
    <t>Fornecedor de Legumes</t>
  </si>
  <si>
    <t>Fornecedor de Carne</t>
  </si>
  <si>
    <t>Total de Compra de Mercadorias</t>
  </si>
  <si>
    <t>Total de Despesas</t>
  </si>
  <si>
    <t>Investimentos</t>
  </si>
  <si>
    <t>Descrição</t>
  </si>
  <si>
    <t>Valor</t>
  </si>
  <si>
    <t>Investimento</t>
  </si>
  <si>
    <t>Investimento Inicial</t>
  </si>
  <si>
    <t>Equipamentos (carrinhos, balanças, cortador de queijo, etc)</t>
  </si>
  <si>
    <t>Estrutura (estantes, prateleiras, etc)</t>
  </si>
  <si>
    <t>Documentação, Sistema de Informação, Estrutura Inicial, Sistema de Refrigeração, Equipamentos</t>
  </si>
  <si>
    <t>Controle de Estoque</t>
  </si>
  <si>
    <t>Produto</t>
  </si>
  <si>
    <t>Data da última compra</t>
  </si>
  <si>
    <t>Quantidade Inicial</t>
  </si>
  <si>
    <t>Quantidade Comprada</t>
  </si>
  <si>
    <t>Quantidade Vendida</t>
  </si>
  <si>
    <t>Quantidade Atual</t>
  </si>
  <si>
    <t>Situação</t>
  </si>
  <si>
    <t>Vendas Semana 1</t>
  </si>
  <si>
    <t>Id da Venda</t>
  </si>
  <si>
    <t>Subtotal</t>
  </si>
  <si>
    <t>Entrega</t>
  </si>
  <si>
    <t>Valor de Entrega</t>
  </si>
  <si>
    <t>Total</t>
  </si>
  <si>
    <t>Total para o Cliente</t>
  </si>
  <si>
    <t>Regiões de Entrega</t>
  </si>
  <si>
    <t>Preço de Entrega</t>
  </si>
  <si>
    <t>Centro</t>
  </si>
  <si>
    <t>Loja</t>
  </si>
  <si>
    <t>Zona Norte</t>
  </si>
  <si>
    <t>Zona Oeste</t>
  </si>
  <si>
    <t>Zona Sul</t>
  </si>
  <si>
    <t>Receita de Vendas na Semana</t>
  </si>
  <si>
    <t>Receita de Entregas</t>
  </si>
  <si>
    <t>Vendas Semana 2</t>
  </si>
  <si>
    <t>Vendas Semana 3</t>
  </si>
  <si>
    <t>Vendas Semana 4</t>
  </si>
  <si>
    <t>Vendas Semana 5</t>
  </si>
  <si>
    <t>Ticket Médio</t>
  </si>
  <si>
    <t>Quantidade de Vendas por Região</t>
  </si>
  <si>
    <t>Total de Vendas Semana 1</t>
  </si>
  <si>
    <t>Total de Vendas Semana 2</t>
  </si>
  <si>
    <t>Total de Vendas Semana 3</t>
  </si>
  <si>
    <t>Total de Vendas Semana 4</t>
  </si>
  <si>
    <t>Total de Vendas Semana 5</t>
  </si>
  <si>
    <t>Julho</t>
  </si>
  <si>
    <t>Vendas por Entrega (%)</t>
  </si>
  <si>
    <t>Vendas por Entrega (R$)</t>
  </si>
  <si>
    <t>Receita de Entregas (R$)</t>
  </si>
  <si>
    <t>Número de Vendas</t>
  </si>
  <si>
    <t xml:space="preserve">Vendas </t>
  </si>
  <si>
    <t>Resultados</t>
  </si>
  <si>
    <t>Total de Receitas</t>
  </si>
  <si>
    <t>Imposto</t>
  </si>
  <si>
    <t>Imposto sobre Receita</t>
  </si>
  <si>
    <t>Resultado Bruto</t>
  </si>
  <si>
    <t>Depreciação e Amortização</t>
  </si>
  <si>
    <t>Resultado antes do Imposto</t>
  </si>
  <si>
    <t>Resultado Líquido</t>
  </si>
  <si>
    <t>Receita das Entregas</t>
  </si>
  <si>
    <t>Receita Mercadorias</t>
  </si>
  <si>
    <t>Despesas Mercadorias</t>
  </si>
  <si>
    <t>Total 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</si>
</sst>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9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6"/>
      <color theme="9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ck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7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4" fontId="0" fillId="0" borderId="0" xfId="0" applyNumberForma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9" fontId="0" fillId="0" borderId="0" xfId="2" applyFont="1"/>
    <xf numFmtId="14" fontId="0" fillId="0" borderId="0" xfId="0" applyNumberFormat="1"/>
    <xf numFmtId="0" fontId="4" fillId="0" borderId="0" xfId="0" applyFont="1"/>
    <xf numFmtId="44" fontId="0" fillId="0" borderId="0" xfId="1" applyFont="1"/>
    <xf numFmtId="0" fontId="0" fillId="0" borderId="0" xfId="0" applyAlignment="1">
      <alignment wrapText="1"/>
    </xf>
    <xf numFmtId="14" fontId="5" fillId="0" borderId="1" xfId="0" applyNumberFormat="1" applyFont="1" applyBorder="1"/>
    <xf numFmtId="0" fontId="5" fillId="0" borderId="1" xfId="0" applyFont="1" applyBorder="1"/>
    <xf numFmtId="44" fontId="5" fillId="0" borderId="1" xfId="0" applyNumberFormat="1" applyFont="1" applyBorder="1"/>
    <xf numFmtId="0" fontId="5" fillId="0" borderId="0" xfId="0" applyFont="1"/>
    <xf numFmtId="44" fontId="5" fillId="0" borderId="0" xfId="0" applyNumberFormat="1" applyFont="1"/>
    <xf numFmtId="14" fontId="5" fillId="0" borderId="2" xfId="0" applyNumberFormat="1" applyFont="1" applyBorder="1"/>
    <xf numFmtId="0" fontId="5" fillId="0" borderId="2" xfId="0" applyFont="1" applyBorder="1"/>
    <xf numFmtId="44" fontId="5" fillId="0" borderId="2" xfId="0" applyNumberFormat="1" applyFont="1" applyBorder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2" borderId="0" xfId="0" applyFont="1" applyFill="1" applyAlignment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6" fillId="0" borderId="3" xfId="0" applyFont="1" applyBorder="1"/>
    <xf numFmtId="44" fontId="6" fillId="0" borderId="3" xfId="0" applyNumberFormat="1" applyFont="1" applyBorder="1"/>
    <xf numFmtId="0" fontId="6" fillId="0" borderId="4" xfId="0" applyFont="1" applyBorder="1"/>
    <xf numFmtId="0" fontId="7" fillId="0" borderId="4" xfId="0" applyFont="1" applyBorder="1"/>
    <xf numFmtId="44" fontId="6" fillId="0" borderId="4" xfId="0" applyNumberFormat="1" applyFont="1" applyBorder="1"/>
    <xf numFmtId="0" fontId="0" fillId="0" borderId="0" xfId="0" applyNumberFormat="1"/>
    <xf numFmtId="44" fontId="0" fillId="0" borderId="0" xfId="1" applyNumberFormat="1" applyFont="1"/>
    <xf numFmtId="14" fontId="0" fillId="0" borderId="5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10" fillId="0" borderId="8" xfId="0" applyFont="1" applyBorder="1"/>
    <xf numFmtId="0" fontId="8" fillId="0" borderId="0" xfId="0" applyFont="1" applyBorder="1"/>
    <xf numFmtId="0" fontId="9" fillId="0" borderId="13" xfId="0" applyFont="1" applyBorder="1"/>
    <xf numFmtId="44" fontId="9" fillId="0" borderId="13" xfId="0" applyNumberFormat="1" applyFont="1" applyBorder="1"/>
    <xf numFmtId="0" fontId="9" fillId="0" borderId="15" xfId="0" applyFont="1" applyBorder="1"/>
    <xf numFmtId="44" fontId="9" fillId="0" borderId="15" xfId="0" applyNumberFormat="1" applyFont="1" applyBorder="1"/>
    <xf numFmtId="0" fontId="9" fillId="0" borderId="8" xfId="0" applyFont="1" applyBorder="1"/>
    <xf numFmtId="44" fontId="9" fillId="0" borderId="8" xfId="0" applyNumberFormat="1" applyFont="1" applyBorder="1"/>
    <xf numFmtId="0" fontId="12" fillId="0" borderId="0" xfId="0" applyFont="1" applyBorder="1"/>
    <xf numFmtId="44" fontId="12" fillId="0" borderId="0" xfId="0" applyNumberFormat="1" applyFont="1" applyBorder="1"/>
    <xf numFmtId="0" fontId="10" fillId="0" borderId="6" xfId="0" applyFont="1" applyBorder="1" applyAlignment="1">
      <alignment horizontal="right"/>
    </xf>
    <xf numFmtId="9" fontId="9" fillId="0" borderId="13" xfId="2" applyFont="1" applyBorder="1"/>
    <xf numFmtId="0" fontId="6" fillId="0" borderId="4" xfId="0" applyNumberFormat="1" applyFont="1" applyBorder="1"/>
    <xf numFmtId="0" fontId="13" fillId="0" borderId="16" xfId="0" applyFont="1" applyBorder="1"/>
    <xf numFmtId="44" fontId="13" fillId="0" borderId="16" xfId="0" applyNumberFormat="1" applyFont="1" applyBorder="1"/>
    <xf numFmtId="0" fontId="13" fillId="0" borderId="0" xfId="0" applyFont="1"/>
    <xf numFmtId="0" fontId="13" fillId="0" borderId="17" xfId="0" applyFont="1" applyBorder="1"/>
    <xf numFmtId="44" fontId="13" fillId="0" borderId="17" xfId="0" applyNumberFormat="1" applyFont="1" applyBorder="1"/>
    <xf numFmtId="44" fontId="13" fillId="0" borderId="0" xfId="0" applyNumberFormat="1" applyFont="1"/>
    <xf numFmtId="0" fontId="13" fillId="0" borderId="18" xfId="0" applyFont="1" applyBorder="1"/>
    <xf numFmtId="44" fontId="13" fillId="0" borderId="18" xfId="0" applyNumberFormat="1" applyFont="1" applyBorder="1"/>
    <xf numFmtId="0" fontId="14" fillId="0" borderId="0" xfId="0" applyFont="1"/>
    <xf numFmtId="0" fontId="13" fillId="0" borderId="19" xfId="0" applyFont="1" applyBorder="1"/>
    <xf numFmtId="44" fontId="13" fillId="0" borderId="19" xfId="0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45">
    <dxf>
      <font>
        <color rgb="FFFF0000"/>
      </font>
      <fill>
        <patternFill>
          <fgColor auto="1"/>
          <bgColor theme="5" tint="0.59996337778862885"/>
        </patternFill>
      </fill>
    </dxf>
    <dxf>
      <fill>
        <patternFill>
          <bgColor theme="7" tint="0.3999450666829432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9" formatCode="dd/mm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34" formatCode="_-&quot;R$&quot;\ * #,##0.00_-;\-&quot;R$&quot;\ * #,##0.00_-;_-&quot;R$&quot;\ * &quot;-&quot;??_-;_-@_-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9" formatCode="dd/mm/yyyy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Vendas!$C$10:$C$14</c:f>
              <c:strCache>
                <c:ptCount val="5"/>
                <c:pt idx="0">
                  <c:v>Total de Vendas Semana 1</c:v>
                </c:pt>
                <c:pt idx="1">
                  <c:v>Total de Vendas Semana 2</c:v>
                </c:pt>
                <c:pt idx="2">
                  <c:v>Total de Vendas Semana 3</c:v>
                </c:pt>
                <c:pt idx="3">
                  <c:v>Total de Vendas Semana 4</c:v>
                </c:pt>
                <c:pt idx="4">
                  <c:v>Total de Vendas Semana 5</c:v>
                </c:pt>
              </c:strCache>
            </c:strRef>
          </c:cat>
          <c:val>
            <c:numRef>
              <c:f>Vendas!$D$10:$D$14</c:f>
              <c:numCache>
                <c:formatCode>_("R$"* #,##0.00_);_("R$"* \(#,##0.00\);_("R$"* "-"??_);_(@_)</c:formatCode>
                <c:ptCount val="5"/>
                <c:pt idx="0">
                  <c:v>655.91200000000026</c:v>
                </c:pt>
                <c:pt idx="1">
                  <c:v>62.9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1-4D43-9A83-7A5A41B6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3945808"/>
        <c:axId val="1778979024"/>
      </c:barChart>
      <c:catAx>
        <c:axId val="12939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979024"/>
        <c:crosses val="autoZero"/>
        <c:auto val="1"/>
        <c:lblAlgn val="ctr"/>
        <c:lblOffset val="100"/>
        <c:noMultiLvlLbl val="0"/>
      </c:catAx>
      <c:valAx>
        <c:axId val="17789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394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Vendas!$C$29:$C$30</c:f>
              <c:strCache>
                <c:ptCount val="2"/>
                <c:pt idx="0">
                  <c:v>Vendas por Entrega (R$)</c:v>
                </c:pt>
                <c:pt idx="1">
                  <c:v>Receita de Entregas (R$)</c:v>
                </c:pt>
              </c:strCache>
            </c:strRef>
          </c:cat>
          <c:val>
            <c:numRef>
              <c:f>Vendas!$D$29:$D$30</c:f>
              <c:numCache>
                <c:formatCode>_("R$"* #,##0.00_);_("R$"* \(#,##0.00\);_("R$"* "-"??_);_(@_)</c:formatCode>
                <c:ptCount val="2"/>
                <c:pt idx="0">
                  <c:v>394.61200000000002</c:v>
                </c:pt>
                <c:pt idx="1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9-4C4B-9C12-50FF0FA9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7453344"/>
        <c:axId val="41330448"/>
      </c:barChart>
      <c:catAx>
        <c:axId val="4745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30448"/>
        <c:crosses val="autoZero"/>
        <c:auto val="1"/>
        <c:lblAlgn val="ctr"/>
        <c:lblOffset val="100"/>
        <c:noMultiLvlLbl val="0"/>
      </c:catAx>
      <c:valAx>
        <c:axId val="4133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5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E3-44EC-ACC6-B06B389508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E3-44EC-ACC6-B06B389508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E3-44EC-ACC6-B06B389508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E3-44EC-ACC6-B06B3895084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E3-44EC-ACC6-B06B38950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Vendas!$C$49:$C$53</c:f>
              <c:strCache>
                <c:ptCount val="5"/>
                <c:pt idx="0">
                  <c:v>Loja</c:v>
                </c:pt>
                <c:pt idx="1">
                  <c:v>Centro</c:v>
                </c:pt>
                <c:pt idx="2">
                  <c:v>Zona Norte</c:v>
                </c:pt>
                <c:pt idx="3">
                  <c:v>Zona Oeste</c:v>
                </c:pt>
                <c:pt idx="4">
                  <c:v>Zona Sul</c:v>
                </c:pt>
              </c:strCache>
            </c:strRef>
          </c:cat>
          <c:val>
            <c:numRef>
              <c:f>Vendas!$D$49:$D$53</c:f>
              <c:numCache>
                <c:formatCode>General</c:formatCode>
                <c:ptCount val="5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7-479F-B6CE-B0C8A879D0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trole Mercadorias'!A1"/><Relationship Id="rId7" Type="http://schemas.openxmlformats.org/officeDocument/2006/relationships/hyperlink" Target="#Vendas!A1"/><Relationship Id="rId2" Type="http://schemas.openxmlformats.org/officeDocument/2006/relationships/hyperlink" Target="#Despesas!A1"/><Relationship Id="rId1" Type="http://schemas.openxmlformats.org/officeDocument/2006/relationships/image" Target="../media/image1.png"/><Relationship Id="rId6" Type="http://schemas.openxmlformats.org/officeDocument/2006/relationships/hyperlink" Target="#Resultados!A1"/><Relationship Id="rId5" Type="http://schemas.openxmlformats.org/officeDocument/2006/relationships/hyperlink" Target="#'Controle de Estoque'!A1"/><Relationship Id="rId4" Type="http://schemas.openxmlformats.org/officeDocument/2006/relationships/hyperlink" Target="#Investimento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0</xdr:rowOff>
    </xdr:from>
    <xdr:to>
      <xdr:col>23</xdr:col>
      <xdr:colOff>541020</xdr:colOff>
      <xdr:row>42</xdr:row>
      <xdr:rowOff>175260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7B77496-F4AC-40E5-962D-84C5AD21A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0"/>
          <a:ext cx="14554200" cy="7856220"/>
        </a:xfrm>
        <a:prstGeom prst="rect">
          <a:avLst/>
        </a:prstGeom>
      </xdr:spPr>
    </xdr:pic>
    <xdr:clientData/>
  </xdr:twoCellAnchor>
  <xdr:twoCellAnchor>
    <xdr:from>
      <xdr:col>0</xdr:col>
      <xdr:colOff>160020</xdr:colOff>
      <xdr:row>20</xdr:row>
      <xdr:rowOff>0</xdr:rowOff>
    </xdr:from>
    <xdr:to>
      <xdr:col>3</xdr:col>
      <xdr:colOff>525780</xdr:colOff>
      <xdr:row>23</xdr:row>
      <xdr:rowOff>53340</xdr:rowOff>
    </xdr:to>
    <xdr:sp macro="" textlink="">
      <xdr:nvSpPr>
        <xdr:cNvPr id="3" name="Fluxograma: Process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3A4AC2-2A10-464B-854E-B11B2821A790}"/>
            </a:ext>
          </a:extLst>
        </xdr:cNvPr>
        <xdr:cNvSpPr/>
      </xdr:nvSpPr>
      <xdr:spPr>
        <a:xfrm>
          <a:off x="16002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Despesas</a:t>
          </a:r>
        </a:p>
      </xdr:txBody>
    </xdr:sp>
    <xdr:clientData/>
  </xdr:twoCellAnchor>
  <xdr:twoCellAnchor>
    <xdr:from>
      <xdr:col>4</xdr:col>
      <xdr:colOff>68580</xdr:colOff>
      <xdr:row>20</xdr:row>
      <xdr:rowOff>0</xdr:rowOff>
    </xdr:from>
    <xdr:to>
      <xdr:col>7</xdr:col>
      <xdr:colOff>434340</xdr:colOff>
      <xdr:row>23</xdr:row>
      <xdr:rowOff>53340</xdr:rowOff>
    </xdr:to>
    <xdr:sp macro="" textlink="">
      <xdr:nvSpPr>
        <xdr:cNvPr id="4" name="Fluxograma: Process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582D2A-6809-46C0-BB5C-E7B181F0A03E}"/>
            </a:ext>
          </a:extLst>
        </xdr:cNvPr>
        <xdr:cNvSpPr/>
      </xdr:nvSpPr>
      <xdr:spPr>
        <a:xfrm>
          <a:off x="250698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Compras Mercadorias</a:t>
          </a:r>
        </a:p>
      </xdr:txBody>
    </xdr:sp>
    <xdr:clientData/>
  </xdr:twoCellAnchor>
  <xdr:twoCellAnchor>
    <xdr:from>
      <xdr:col>7</xdr:col>
      <xdr:colOff>571500</xdr:colOff>
      <xdr:row>20</xdr:row>
      <xdr:rowOff>7620</xdr:rowOff>
    </xdr:from>
    <xdr:to>
      <xdr:col>11</xdr:col>
      <xdr:colOff>327660</xdr:colOff>
      <xdr:row>23</xdr:row>
      <xdr:rowOff>60960</xdr:rowOff>
    </xdr:to>
    <xdr:sp macro="" textlink="">
      <xdr:nvSpPr>
        <xdr:cNvPr id="5" name="Fluxograma: Process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7B91159-C35A-414A-A048-6560EEB675A0}"/>
            </a:ext>
          </a:extLst>
        </xdr:cNvPr>
        <xdr:cNvSpPr/>
      </xdr:nvSpPr>
      <xdr:spPr>
        <a:xfrm>
          <a:off x="4838700" y="366522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Investimentos</a:t>
          </a:r>
        </a:p>
      </xdr:txBody>
    </xdr:sp>
    <xdr:clientData/>
  </xdr:twoCellAnchor>
  <xdr:twoCellAnchor>
    <xdr:from>
      <xdr:col>11</xdr:col>
      <xdr:colOff>449580</xdr:colOff>
      <xdr:row>20</xdr:row>
      <xdr:rowOff>7620</xdr:rowOff>
    </xdr:from>
    <xdr:to>
      <xdr:col>15</xdr:col>
      <xdr:colOff>205740</xdr:colOff>
      <xdr:row>23</xdr:row>
      <xdr:rowOff>60960</xdr:rowOff>
    </xdr:to>
    <xdr:sp macro="" textlink="">
      <xdr:nvSpPr>
        <xdr:cNvPr id="6" name="Fluxograma: Process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50B9023-6B4B-4D48-8C5F-0628DC37F9D1}"/>
            </a:ext>
          </a:extLst>
        </xdr:cNvPr>
        <xdr:cNvSpPr/>
      </xdr:nvSpPr>
      <xdr:spPr>
        <a:xfrm>
          <a:off x="7155180" y="366522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Controle de Estoque</a:t>
          </a:r>
        </a:p>
      </xdr:txBody>
    </xdr:sp>
    <xdr:clientData/>
  </xdr:twoCellAnchor>
  <xdr:twoCellAnchor>
    <xdr:from>
      <xdr:col>19</xdr:col>
      <xdr:colOff>213360</xdr:colOff>
      <xdr:row>20</xdr:row>
      <xdr:rowOff>0</xdr:rowOff>
    </xdr:from>
    <xdr:to>
      <xdr:col>22</xdr:col>
      <xdr:colOff>579120</xdr:colOff>
      <xdr:row>23</xdr:row>
      <xdr:rowOff>53340</xdr:rowOff>
    </xdr:to>
    <xdr:sp macro="" textlink="">
      <xdr:nvSpPr>
        <xdr:cNvPr id="7" name="Fluxograma: Process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C7B16C6-F9E0-4B02-BA01-04FEE2D1A0F7}"/>
            </a:ext>
          </a:extLst>
        </xdr:cNvPr>
        <xdr:cNvSpPr/>
      </xdr:nvSpPr>
      <xdr:spPr>
        <a:xfrm>
          <a:off x="1179576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Resultados</a:t>
          </a:r>
        </a:p>
      </xdr:txBody>
    </xdr:sp>
    <xdr:clientData/>
  </xdr:twoCellAnchor>
  <xdr:twoCellAnchor>
    <xdr:from>
      <xdr:col>15</xdr:col>
      <xdr:colOff>327660</xdr:colOff>
      <xdr:row>20</xdr:row>
      <xdr:rowOff>0</xdr:rowOff>
    </xdr:from>
    <xdr:to>
      <xdr:col>19</xdr:col>
      <xdr:colOff>83820</xdr:colOff>
      <xdr:row>23</xdr:row>
      <xdr:rowOff>53340</xdr:rowOff>
    </xdr:to>
    <xdr:sp macro="" textlink="">
      <xdr:nvSpPr>
        <xdr:cNvPr id="9" name="Fluxograma: Process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91139E2-F71A-4B73-BEC2-D4ED24FE94B6}"/>
            </a:ext>
          </a:extLst>
        </xdr:cNvPr>
        <xdr:cNvSpPr/>
      </xdr:nvSpPr>
      <xdr:spPr>
        <a:xfrm>
          <a:off x="9471660" y="3657600"/>
          <a:ext cx="2194560" cy="60198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accent1"/>
              </a:solidFill>
            </a:rPr>
            <a:t>Vendas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5</xdr:row>
      <xdr:rowOff>80010</xdr:rowOff>
    </xdr:from>
    <xdr:to>
      <xdr:col>12</xdr:col>
      <xdr:colOff>1463040</xdr:colOff>
      <xdr:row>21</xdr:row>
      <xdr:rowOff>44958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0888DC-F508-4C36-9FB4-4C81CCE71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205740</xdr:colOff>
      <xdr:row>26</xdr:row>
      <xdr:rowOff>30480</xdr:rowOff>
    </xdr:from>
    <xdr:to>
      <xdr:col>12</xdr:col>
      <xdr:colOff>1112520</xdr:colOff>
      <xdr:row>38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4F3F7D-777D-4331-881F-0C9FAA57A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739140</xdr:colOff>
      <xdr:row>44</xdr:row>
      <xdr:rowOff>108965</xdr:rowOff>
    </xdr:from>
    <xdr:to>
      <xdr:col>12</xdr:col>
      <xdr:colOff>960120</xdr:colOff>
      <xdr:row>60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6FAAD6-09FF-464F-933F-1586F6318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8239A-6B19-4C4D-A13C-A3CDE664781D}" name="Tabela1" displayName="Tabela1" ref="B4:G29" totalsRowShown="0">
  <autoFilter ref="B4:G29" xr:uid="{B8BA4C6E-FE8B-4545-87A2-5D8F28B96CDB}"/>
  <tableColumns count="6">
    <tableColumn id="1" xr3:uid="{E0A7A83C-0587-4CD3-8BEE-282C78890C3C}" name="Despesas de Funcionamento"/>
    <tableColumn id="2" xr3:uid="{9C64D963-63DB-46A0-A750-8711E48A12FC}" name="Itens Despesas"/>
    <tableColumn id="3" xr3:uid="{060D3661-46AF-4733-A5FA-310DAE872F3B}" name="Data"/>
    <tableColumn id="4" xr3:uid="{C7FD1F45-6591-4A70-B5D6-88A947871079}" name="Observação"/>
    <tableColumn id="5" xr3:uid="{C077D5F0-3B7B-4003-A04F-8FCDCB159E09}" name="Valor Intermediário"/>
    <tableColumn id="6" xr3:uid="{87F99A74-457F-46C1-83C0-85FE250EB676}" name="Valor Final" dataDxfId="44"/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093F57-EAEF-49BA-ADB8-368753FF91EC}" name="Tabela2" displayName="Tabela2" ref="B4:I26" totalsRowShown="0">
  <autoFilter ref="B4:I26" xr:uid="{48167811-6120-4487-B8AE-AF61421F5AF1}"/>
  <sortState xmlns:xlrd2="http://schemas.microsoft.com/office/spreadsheetml/2017/richdata2" ref="B5:I26">
    <sortCondition descending="1" ref="B4:B26"/>
  </sortState>
  <tableColumns count="8">
    <tableColumn id="1" xr3:uid="{0EEB83A6-F4B9-435A-8D34-649252E5C12C}" name="Data" dataDxfId="43"/>
    <tableColumn id="2" xr3:uid="{5A90F27E-71CD-4AFD-9169-04935483B7FC}" name="Fornecedor"/>
    <tableColumn id="3" xr3:uid="{1B71B8C7-9BCE-4D9E-905F-EDA0563E190C}" name="Mercadoria"/>
    <tableColumn id="4" xr3:uid="{3F486BB6-4D35-41B1-9117-DF6E7C6D0529}" name="Medida" dataDxfId="42">
      <calculatedColumnFormula>IFERROR(VLOOKUP(Tabela2[[#This Row],[Mercadoria]],cálculos!$M$7:$P$35,4,FALSE),"")</calculatedColumnFormula>
    </tableColumn>
    <tableColumn id="5" xr3:uid="{72B0BF28-47FE-4E5D-A0BF-3A891C46063C}" name="Quantidade"/>
    <tableColumn id="6" xr3:uid="{2A49550F-3530-4E59-BED2-151AC4FFB8D3}" name="Preço Unitário" dataDxfId="41">
      <calculatedColumnFormula>IFERROR(VLOOKUP(Tabela2[[#This Row],[Mercadoria]],cálculos!$M$7:$P$35,2,FALSE),"")</calculatedColumnFormula>
    </tableColumn>
    <tableColumn id="7" xr3:uid="{99A9462F-2400-46FB-9851-646D7FFE5442}" name="Desconto" dataCellStyle="Porcentagem"/>
    <tableColumn id="8" xr3:uid="{C45480F4-82CC-4B7B-BED7-A7F41DFD189F}" name="Valor Pago" dataDxfId="40">
      <calculatedColumnFormula>Tabela2[[#This Row],[Quantidade]]*Tabela2[[#This Row],[Preço Unitário]]*(1-Tabela2[[#This Row],[Desconto]])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D91259-D524-4F49-9C66-B1FF16508444}" name="Tabela3" displayName="Tabela3" ref="B5:E10" totalsRowShown="0">
  <autoFilter ref="B5:E10" xr:uid="{487AEE34-60B2-4100-A9BD-BD0DF808678C}"/>
  <tableColumns count="4">
    <tableColumn id="1" xr3:uid="{9B7EBAA0-64AD-4E77-9A2E-2E4538EACCC3}" name="Investimento"/>
    <tableColumn id="2" xr3:uid="{8DFEE324-E65A-425F-94A2-66FF909D7C30}" name="Data" dataDxfId="39"/>
    <tableColumn id="3" xr3:uid="{239BE80D-7805-4BBC-9C2D-C1DA9176F006}" name="Descrição" dataDxfId="38"/>
    <tableColumn id="4" xr3:uid="{2870BF42-AA4B-45ED-882A-312D44EF0ADB}" name="Valor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B07D7C-7269-4ADB-A46D-2F73513CEA69}" name="Tabela4" displayName="Tabela4" ref="B5:H29" totalsRowShown="0">
  <autoFilter ref="B5:H29" xr:uid="{43996090-F30C-43D8-B342-21C0D20BB2FD}"/>
  <tableColumns count="7">
    <tableColumn id="1" xr3:uid="{39158332-0439-4634-A356-C285BC1CE3AE}" name="Produto"/>
    <tableColumn id="2" xr3:uid="{ABEAA5C0-16F7-4E1B-917F-C5C8BFD55C9A}" name="Data da última compra" dataDxfId="36">
      <calculatedColumnFormula>IFERROR(INDEX(Tabela2[],MATCH(B6,Tabela2[Mercadoria],0),1),"")</calculatedColumnFormula>
    </tableColumn>
    <tableColumn id="3" xr3:uid="{C81A6D67-961E-4493-8C24-EBAD0C4F2A48}" name="Quantidade Inicial"/>
    <tableColumn id="4" xr3:uid="{80CA6ACE-4BB2-4EAD-A586-E6541DCF9474}" name="Quantidade Comprada" dataDxfId="35">
      <calculatedColumnFormula>SUMIF(Tabela2[Mercadoria],Tabela4[[#This Row],[Produto]],Tabela2[Quantidade])</calculatedColumnFormula>
    </tableColumn>
    <tableColumn id="5" xr3:uid="{2535A214-2CD4-404B-A5DE-50CC6CD08CB7}" name="Quantidade Vendida"/>
    <tableColumn id="6" xr3:uid="{1AD92F18-4970-4BF8-9E1A-44FD14A235E3}" name="Quantidade Atual" dataDxfId="34">
      <calculatedColumnFormula>Tabela4[[#This Row],[Quantidade Inicial]]+Tabela4[[#This Row],[Quantidade Comprada]]-Tabela4[[#This Row],[Quantidade Vendida]]</calculatedColumnFormula>
    </tableColumn>
    <tableColumn id="7" xr3:uid="{D0D7FE62-656C-4A80-A7CD-44E952E7B569}" name="Situação" dataDxfId="33">
      <calculatedColumnFormula>IF(Tabela4[[#This Row],[Quantidade Atual]]&lt;50,IF(Tabela4[[#This Row],[Quantidade Atual]]&lt;21,"Comprar","Atenção"),"OK")</calculatedColumnFormula>
    </tableColumn>
  </tableColumns>
  <tableStyleInfo name="TableStyleMedium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6424D3-48C0-48F8-B901-4A8615125E86}" name="Tabela5" displayName="Tabela5" ref="B4:M29" totalsRowShown="0">
  <autoFilter ref="B4:M29" xr:uid="{B50BFCED-FC59-453B-8B7C-F57FDEA11B36}"/>
  <sortState xmlns:xlrd2="http://schemas.microsoft.com/office/spreadsheetml/2017/richdata2" ref="B5:M29">
    <sortCondition descending="1" ref="B4:B29"/>
  </sortState>
  <tableColumns count="12">
    <tableColumn id="1" xr3:uid="{F276C9DD-59EC-41C0-BFAC-41E0A3A571C2}" name="Id da Venda"/>
    <tableColumn id="2" xr3:uid="{3529F82E-B4A1-48C9-9A2E-330F4411134E}" name="Data" dataDxfId="32"/>
    <tableColumn id="3" xr3:uid="{2B56FFC1-C17B-4DEF-827B-9C7EC45BD06E}" name="Produto"/>
    <tableColumn id="4" xr3:uid="{EE0D7D70-F609-446A-B897-48419548EFFF}" name="Medida" dataDxfId="31">
      <calculatedColumnFormula>IFERROR(VLOOKUP(Tabela5[[#This Row],[Produto]],cálculos!$M$7:$P$30,4,FALSE),"")</calculatedColumnFormula>
    </tableColumn>
    <tableColumn id="5" xr3:uid="{ECD320CD-0C19-481C-AC06-2DF8EC8F82C8}" name="Quantidade"/>
    <tableColumn id="6" xr3:uid="{A4672970-7224-4ED5-BDAB-2C7E72C2B5F6}" name="Preço Unitário" dataDxfId="30">
      <calculatedColumnFormula>IFERROR(VLOOKUP(Tabela5[[#This Row],[Produto]],cálculos!$M$7:$P$30,3,FALSE),0)</calculatedColumnFormula>
    </tableColumn>
    <tableColumn id="7" xr3:uid="{88382475-B4D6-4765-B6AE-CC313E146A53}" name="Subtotal" dataDxfId="29">
      <calculatedColumnFormula>Tabela5[[#This Row],[Preço Unitário]]*Tabela5[[#This Row],[Quantidade]]</calculatedColumnFormula>
    </tableColumn>
    <tableColumn id="8" xr3:uid="{8B8EC2C3-549F-49CD-A604-107200146A94}" name="Desconto"/>
    <tableColumn id="9" xr3:uid="{46D927CD-3071-4D04-8D49-1EA3FD2ECC74}" name="Entrega"/>
    <tableColumn id="10" xr3:uid="{48B3E9CB-5AB9-46A7-9A54-542CE53A4B9E}" name="Valor de Entrega" dataDxfId="28">
      <calculatedColumnFormula>IF(Tabela5[[#This Row],[Id da Venda]]=B6,0,VLOOKUP(Tabela5[[#This Row],[Entrega]],cálculos!$B$7:$C$11,2,FALSE))</calculatedColumnFormula>
    </tableColumn>
    <tableColumn id="11" xr3:uid="{99652A64-363A-4AC6-B1F1-CA3A5A4034D6}" name="Total" dataDxfId="27" dataCellStyle="Moeda">
      <calculatedColumnFormula>Tabela5[[#This Row],[Subtotal]]*(1-Tabela5[[#This Row],[Desconto]])+Tabela5[[#This Row],[Valor de Entrega]]</calculatedColumnFormula>
    </tableColumn>
    <tableColumn id="12" xr3:uid="{6B592051-6175-4221-97FA-655EC0C06504}" name="Total para o Cliente" dataDxfId="26" dataCellStyle="Moeda">
      <calculatedColumnFormula>IF(Tabela5[[#This Row],[Id da Venda]]=B6,"",SUMIF(Tabela5[Id da Venda],Tabela5[[#This Row],[Id da Venda]],Tabela5[Total]))</calculatedColumnFormula>
    </tableColumn>
  </tableColumns>
  <tableStyleInfo name="TableStyleMedium7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0B7C4F-7AC1-4174-BF5E-C9A3363D892F}" name="Tabela57" displayName="Tabela57" ref="B4:M18" totalsRowShown="0">
  <autoFilter ref="B4:M18" xr:uid="{F86BA69B-3CD2-42B4-AC3F-96638BE8E5C4}"/>
  <tableColumns count="12">
    <tableColumn id="1" xr3:uid="{2C4AE0FF-C596-4D14-8423-F3244BD268CC}" name="Id da Venda"/>
    <tableColumn id="2" xr3:uid="{C476D0D7-08DD-4048-AEBD-F9721DD466B2}" name="Data"/>
    <tableColumn id="3" xr3:uid="{825084DE-5629-4618-B846-6DC4FC002F06}" name="Produto"/>
    <tableColumn id="4" xr3:uid="{57D26F82-C1ED-49EE-9B67-8210E04B0BF1}" name="Medida" dataDxfId="25">
      <calculatedColumnFormula>IFERROR(VLOOKUP(Tabela57[[#This Row],[Produto]],cálculos!$M$7:$P$30,4,FALSE),"")</calculatedColumnFormula>
    </tableColumn>
    <tableColumn id="5" xr3:uid="{B830440C-A533-4606-A26A-F3905C47119F}" name="Quantidade"/>
    <tableColumn id="6" xr3:uid="{51247FC8-4677-4C6C-BE89-E91C64D8F500}" name="Preço Unitário" dataDxfId="24">
      <calculatedColumnFormula>IFERROR(VLOOKUP(Tabela57[[#This Row],[Produto]],cálculos!$M$7:$P$30,3,FALSE),0)</calculatedColumnFormula>
    </tableColumn>
    <tableColumn id="7" xr3:uid="{D3AF7287-3CC6-4B88-98EE-2F7F2F27F6F4}" name="Subtotal" dataDxfId="23">
      <calculatedColumnFormula>Tabela57[[#This Row],[Quantidade]]*Tabela57[[#This Row],[Preço Unitário]]</calculatedColumnFormula>
    </tableColumn>
    <tableColumn id="8" xr3:uid="{E0953CBC-F483-454B-99B0-004F4EE4430B}" name="Desconto"/>
    <tableColumn id="9" xr3:uid="{437D2BDF-6981-4CA2-A7E8-0237A5CC523F}" name="Entrega"/>
    <tableColumn id="10" xr3:uid="{B60EEEF5-5A20-4921-A88E-1B41ED536B36}" name="Valor de Entrega" dataDxfId="22">
      <calculatedColumnFormula>IFERROR(VLOOKUP(Tabela57[[#This Row],[Entrega]],cálculos!$B$7:$C$11,2,FALSE),0)</calculatedColumnFormula>
    </tableColumn>
    <tableColumn id="11" xr3:uid="{51FD6AC1-FF5F-4DB7-9636-BC9EE0CA7CB4}" name="Total" dataDxfId="21" dataCellStyle="Moeda">
      <calculatedColumnFormula>Tabela57[[#This Row],[Subtotal]]*(1-Tabela57[[#This Row],[Desconto]])+Tabela57[[#This Row],[Valor de Entrega]]</calculatedColumnFormula>
    </tableColumn>
    <tableColumn id="12" xr3:uid="{BD2AF258-48CF-4D82-8ECD-208E70DE80C6}" name="Total para o Cliente" dataDxfId="20" dataCellStyle="Moeda">
      <calculatedColumnFormula>IF(Tabela57[[#This Row],[Id da Venda]]=B6,"",SUMIF(Tabela57[Id da Venda],Tabela57[[#This Row],[Id da Venda]],Tabela57[Total]))</calculatedColumnFormula>
    </tableColumn>
  </tableColumns>
  <tableStyleInfo name="TableStyleMedium7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FFD4BF-DEC8-4919-9768-314AB472FA38}" name="Tabela579" displayName="Tabela579" ref="B4:M18" totalsRowShown="0">
  <autoFilter ref="B4:M18" xr:uid="{0E460EF7-3A59-4D67-AD0A-01726A1EBF93}"/>
  <tableColumns count="12">
    <tableColumn id="1" xr3:uid="{B4BC53A0-7378-4377-BE14-03A712A411B1}" name="Id da Venda"/>
    <tableColumn id="2" xr3:uid="{D797BDB1-66EA-484A-8E2C-20E87BDD996C}" name="Data"/>
    <tableColumn id="3" xr3:uid="{C4B3F03E-C755-40D5-96C5-6B5FBF77B673}" name="Produto"/>
    <tableColumn id="4" xr3:uid="{DCE05453-0EB3-42A7-ACC4-242B68C24C54}" name="Medida" dataDxfId="19">
      <calculatedColumnFormula>IFERROR(VLOOKUP(Tabela579[[#This Row],[Produto]],cálculos!$M$7:$P$30,4,FALSE),"")</calculatedColumnFormula>
    </tableColumn>
    <tableColumn id="5" xr3:uid="{4A95D4C6-EFF6-4E4D-81BF-DD3980903078}" name="Quantidade"/>
    <tableColumn id="6" xr3:uid="{D5B98FBE-05E2-4958-989C-2126373F4E39}" name="Preço Unitário" dataDxfId="18">
      <calculatedColumnFormula>IFERROR(VLOOKUP(Tabela579[[#This Row],[Produto]],cálculos!$M$7:$P$30,3,FALSE),0)</calculatedColumnFormula>
    </tableColumn>
    <tableColumn id="7" xr3:uid="{1BCECE7F-B835-4008-9B5A-09B7244572FB}" name="Subtotal" dataDxfId="17">
      <calculatedColumnFormula>Tabela579[[#This Row],[Quantidade]]*Tabela579[[#This Row],[Preço Unitário]]</calculatedColumnFormula>
    </tableColumn>
    <tableColumn id="8" xr3:uid="{2DD77BE8-D137-4A5A-84D8-97D95CF9E837}" name="Desconto"/>
    <tableColumn id="9" xr3:uid="{55191C68-5370-49F2-9D72-98C5B24D7EFC}" name="Entrega"/>
    <tableColumn id="10" xr3:uid="{D41D8B72-5882-42DE-9FA6-E9558A5F7C94}" name="Valor de Entrega" dataDxfId="16">
      <calculatedColumnFormula>IFERROR(VLOOKUP(Tabela579[[#This Row],[Entrega]],cálculos!$B$7:$C$11,2,FALSE),0)</calculatedColumnFormula>
    </tableColumn>
    <tableColumn id="11" xr3:uid="{D3D9C423-E79C-4BC8-8090-0470F4D1A8F2}" name="Total" dataDxfId="15" dataCellStyle="Moeda">
      <calculatedColumnFormula>Tabela579[[#This Row],[Subtotal]]*(1-Tabela579[[#This Row],[Desconto]])+Tabela579[[#This Row],[Valor de Entrega]]</calculatedColumnFormula>
    </tableColumn>
    <tableColumn id="12" xr3:uid="{704D5592-7153-45E1-AF9F-7ECEBB85180B}" name="Total para o Cliente" dataDxfId="14" dataCellStyle="Moeda">
      <calculatedColumnFormula>IF(Tabela579[[#This Row],[Id da Venda]]=B6,"",SUMIF(Tabela579[Id da Venda],Tabela579[[#This Row],[Id da Venda]],Tabela579[Total]))</calculatedColumnFormula>
    </tableColumn>
  </tableColumns>
  <tableStyleInfo name="TableStyleMedium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BADB4D8-8F72-40FF-8638-5B636C6F1190}" name="Tabela5710" displayName="Tabela5710" ref="B4:M18" totalsRowShown="0">
  <autoFilter ref="B4:M18" xr:uid="{786B6B72-672E-492D-A55A-E8C86D347186}"/>
  <tableColumns count="12">
    <tableColumn id="1" xr3:uid="{3CE324D0-A6A8-4C54-A0F4-EB1CED1E842E}" name="Id da Venda"/>
    <tableColumn id="2" xr3:uid="{9B021535-FE6E-4B01-97AE-CC4E4B246268}" name="Data"/>
    <tableColumn id="3" xr3:uid="{700F5C03-4629-422F-BCFF-80F35D531A54}" name="Produto"/>
    <tableColumn id="4" xr3:uid="{30FEC86B-7527-402A-BB23-848902DE3961}" name="Medida" dataDxfId="13">
      <calculatedColumnFormula>IFERROR(VLOOKUP(Tabela5710[[#This Row],[Produto]],cálculos!$M$7:$P$30,4,FALSE),"")</calculatedColumnFormula>
    </tableColumn>
    <tableColumn id="5" xr3:uid="{C64E63D5-9EC1-4020-88F2-10F4E1F6369D}" name="Quantidade"/>
    <tableColumn id="6" xr3:uid="{F43F2544-44C3-4899-A038-908EEB3D72B6}" name="Preço Unitário" dataDxfId="12">
      <calculatedColumnFormula>IFERROR(VLOOKUP(Tabela5710[[#This Row],[Produto]],cálculos!$M$7:$P$30,3,FALSE),0)</calculatedColumnFormula>
    </tableColumn>
    <tableColumn id="7" xr3:uid="{DFD4F22F-248E-49CB-9B75-EF042D228021}" name="Subtotal" dataDxfId="11">
      <calculatedColumnFormula>Tabela5710[[#This Row],[Quantidade]]*Tabela5710[[#This Row],[Preço Unitário]]</calculatedColumnFormula>
    </tableColumn>
    <tableColumn id="8" xr3:uid="{5A7EEB63-A4D4-4AC4-B639-8D76302CD235}" name="Desconto"/>
    <tableColumn id="9" xr3:uid="{44EC7BB8-2680-4E35-871D-B96B46AB6D94}" name="Entrega"/>
    <tableColumn id="10" xr3:uid="{D3843451-0C02-44E0-8972-7A14B7E27DC3}" name="Valor de Entrega" dataDxfId="10">
      <calculatedColumnFormula>IFERROR(VLOOKUP(Tabela5710[[#This Row],[Entrega]],cálculos!$B$7:$C$11,2,FALSE),0)</calculatedColumnFormula>
    </tableColumn>
    <tableColumn id="11" xr3:uid="{011E81B0-590C-47EC-B368-9B1B796105D6}" name="Total" dataDxfId="9" dataCellStyle="Moeda">
      <calculatedColumnFormula>Tabela5710[[#This Row],[Subtotal]]*(1-Tabela5710[[#This Row],[Desconto]])+Tabela5710[[#This Row],[Valor de Entrega]]</calculatedColumnFormula>
    </tableColumn>
    <tableColumn id="12" xr3:uid="{5A261D43-1FEF-446F-8EA6-60F6BD0012CD}" name="Total para o Cliente" dataDxfId="8" dataCellStyle="Moeda">
      <calculatedColumnFormula>IF(Tabela5710[[#This Row],[Id da Venda]]=B6,"",SUMIF(Tabela5710[Id da Venda],Tabela5710[[#This Row],[Id da Venda]],Tabela5710[Total]))</calculatedColumnFormula>
    </tableColumn>
  </tableColumns>
  <tableStyleInfo name="TableStyleMedium7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E69D0A6-21DD-4747-BE97-255E236964C5}" name="Tabela5711" displayName="Tabela5711" ref="B4:M18" totalsRowShown="0">
  <autoFilter ref="B4:M18" xr:uid="{7D631E6B-AFC5-47B3-BBEE-A2998877C790}"/>
  <tableColumns count="12">
    <tableColumn id="1" xr3:uid="{64037792-5108-432B-8BA6-2C47E1E85906}" name="Id da Venda"/>
    <tableColumn id="2" xr3:uid="{C129BA88-F633-479A-B05F-0274947FAFF2}" name="Data"/>
    <tableColumn id="3" xr3:uid="{03CBF25C-9C82-43BD-9A1F-BD7252C9EBF0}" name="Produto"/>
    <tableColumn id="4" xr3:uid="{85C8041C-7017-4927-8685-C2EBA29C69C0}" name="Medida" dataDxfId="7">
      <calculatedColumnFormula>IFERROR(VLOOKUP(Tabela5711[[#This Row],[Produto]],cálculos!$M$7:$P$30,4,FALSE),"")</calculatedColumnFormula>
    </tableColumn>
    <tableColumn id="5" xr3:uid="{562302A2-16DA-4F6F-AA40-B1C6C574B103}" name="Quantidade"/>
    <tableColumn id="6" xr3:uid="{7B8CC8E5-9591-49FE-9735-41EED24870F7}" name="Preço Unitário" dataDxfId="6">
      <calculatedColumnFormula>IFERROR(VLOOKUP(Tabela5711[[#This Row],[Produto]],cálculos!$M$7:$P$30,3,FALSE),0)</calculatedColumnFormula>
    </tableColumn>
    <tableColumn id="7" xr3:uid="{04B5F1D5-0AC7-4751-A0E1-78A8862A98DE}" name="Subtotal" dataDxfId="5">
      <calculatedColumnFormula>Tabela5711[[#This Row],[Quantidade]]*Tabela5711[[#This Row],[Preço Unitário]]</calculatedColumnFormula>
    </tableColumn>
    <tableColumn id="8" xr3:uid="{C5251237-7BEB-43D5-AC78-915AAFC34495}" name="Desconto"/>
    <tableColumn id="9" xr3:uid="{F21FE56F-58FA-4D15-9F92-D24F6A18F241}" name="Entrega"/>
    <tableColumn id="10" xr3:uid="{1F71F3AD-5DB7-4904-8AA2-D4C782F52FAC}" name="Valor de Entrega" dataDxfId="4">
      <calculatedColumnFormula>IFERROR(VLOOKUP(Tabela5711[[#This Row],[Entrega]],cálculos!$B$7:$C$11,2,FALSE),0)</calculatedColumnFormula>
    </tableColumn>
    <tableColumn id="11" xr3:uid="{48F411BB-CA63-4110-A581-D027E49563D2}" name="Total" dataDxfId="3" dataCellStyle="Moeda">
      <calculatedColumnFormula>Tabela5711[[#This Row],[Subtotal]]*(1-Tabela5711[[#This Row],[Desconto]])+Tabela5711[[#This Row],[Valor de Entrega]]</calculatedColumnFormula>
    </tableColumn>
    <tableColumn id="12" xr3:uid="{D2DCD0C1-4A1E-44C3-A54A-F9EC56725856}" name="Total para o Cliente" dataDxfId="2" dataCellStyle="Moeda">
      <calculatedColumnFormula>IF(Tabela5711[[#This Row],[Id da Venda]]=B6,"",SUMIF(Tabela5711[Id da Venda],Tabela5711[[#This Row],[Id da Venda]],Tabela5711[Total]))</calculatedColumnFormula>
    </tableColumn>
  </tableColumns>
  <tableStyleInfo name="TableStyleMedium7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K46" sqref="K4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4B8C-19AF-4625-871C-84AF439D1D62}">
  <dimension ref="B2:M23"/>
  <sheetViews>
    <sheetView showGridLines="0" workbookViewId="0">
      <selection activeCell="F11" sqref="F11"/>
    </sheetView>
  </sheetViews>
  <sheetFormatPr defaultRowHeight="14.4" x14ac:dyDescent="0.3"/>
  <cols>
    <col min="2" max="2" width="26.109375" bestFit="1" customWidth="1"/>
    <col min="3" max="3" width="10.5546875" bestFit="1" customWidth="1"/>
    <col min="4" max="4" width="10.109375" bestFit="1" customWidth="1"/>
    <col min="5" max="5" width="9.6640625" bestFit="1" customWidth="1"/>
    <col min="6" max="6" width="13.109375" bestFit="1" customWidth="1"/>
    <col min="7" max="7" width="15.33203125" bestFit="1" customWidth="1"/>
    <col min="8" max="8" width="10.33203125" bestFit="1" customWidth="1"/>
    <col min="9" max="9" width="11.109375" bestFit="1" customWidth="1"/>
    <col min="10" max="10" width="9.6640625" bestFit="1" customWidth="1"/>
    <col min="11" max="11" width="17.21875" bestFit="1" customWidth="1"/>
    <col min="12" max="12" width="9.33203125" bestFit="1" customWidth="1"/>
    <col min="13" max="13" width="19.6640625" bestFit="1" customWidth="1"/>
  </cols>
  <sheetData>
    <row r="2" spans="2:13" s="23" customFormat="1" ht="28.05" customHeight="1" x14ac:dyDescent="0.45">
      <c r="B2" s="24" t="s">
        <v>119</v>
      </c>
      <c r="E2" s="25"/>
    </row>
    <row r="3" spans="2:13" ht="48" customHeight="1" x14ac:dyDescent="0.3"/>
    <row r="4" spans="2:13" x14ac:dyDescent="0.3">
      <c r="B4" t="s">
        <v>103</v>
      </c>
      <c r="C4" t="s">
        <v>41</v>
      </c>
      <c r="D4" t="s">
        <v>95</v>
      </c>
      <c r="E4" t="s">
        <v>56</v>
      </c>
      <c r="F4" t="s">
        <v>57</v>
      </c>
      <c r="G4" t="s">
        <v>58</v>
      </c>
      <c r="H4" t="s">
        <v>104</v>
      </c>
      <c r="I4" t="s">
        <v>59</v>
      </c>
      <c r="J4" t="s">
        <v>105</v>
      </c>
      <c r="K4" t="s">
        <v>106</v>
      </c>
      <c r="L4" t="s">
        <v>107</v>
      </c>
      <c r="M4" t="s">
        <v>108</v>
      </c>
    </row>
    <row r="5" spans="2:13" x14ac:dyDescent="0.3">
      <c r="C5" s="7"/>
      <c r="G5" s="3">
        <f>IFERROR(VLOOKUP(Tabela579[[#This Row],[Produto]],cálculos!$M$7:$P$30,3,FALSE),0)</f>
        <v>0</v>
      </c>
      <c r="H5" s="9">
        <f>Tabela579[[#This Row],[Quantidade]]*Tabela579[[#This Row],[Preço Unitário]]</f>
        <v>0</v>
      </c>
      <c r="I5" s="6"/>
      <c r="K5" s="9">
        <f>IFERROR(VLOOKUP(Tabela579[[#This Row],[Entrega]],cálculos!$B$7:$C$11,2,FALSE),0)</f>
        <v>0</v>
      </c>
      <c r="L5" s="9">
        <f>Tabela579[[#This Row],[Subtotal]]*(1-Tabela579[[#This Row],[Desconto]])+Tabela579[[#This Row],[Valor de Entrega]]</f>
        <v>0</v>
      </c>
      <c r="M5" s="9" t="str">
        <f>IF(Tabela579[[#This Row],[Id da Venda]]=B6,"",SUMIF(Tabela579[Id da Venda],Tabela579[[#This Row],[Id da Venda]],Tabela579[Total]))</f>
        <v/>
      </c>
    </row>
    <row r="6" spans="2:13" x14ac:dyDescent="0.3">
      <c r="C6" s="7"/>
      <c r="G6" s="3">
        <f>IFERROR(VLOOKUP(Tabela579[[#This Row],[Produto]],cálculos!$M$7:$P$30,3,FALSE),0)</f>
        <v>0</v>
      </c>
      <c r="H6" s="9">
        <f>Tabela579[[#This Row],[Quantidade]]*Tabela579[[#This Row],[Preço Unitário]]</f>
        <v>0</v>
      </c>
      <c r="I6" s="6"/>
      <c r="K6" s="9">
        <f>IFERROR(VLOOKUP(Tabela579[[#This Row],[Entrega]],cálculos!$B$7:$C$11,2,FALSE),0)</f>
        <v>0</v>
      </c>
      <c r="L6" s="9">
        <f>Tabela579[[#This Row],[Subtotal]]*(1-Tabela579[[#This Row],[Desconto]])+Tabela579[[#This Row],[Valor de Entrega]]</f>
        <v>0</v>
      </c>
      <c r="M6" s="9" t="str">
        <f>IF(Tabela579[[#This Row],[Id da Venda]]=B7,"",SUMIF(Tabela579[Id da Venda],Tabela579[[#This Row],[Id da Venda]],Tabela579[Total]))</f>
        <v/>
      </c>
    </row>
    <row r="7" spans="2:13" x14ac:dyDescent="0.3">
      <c r="G7" s="3">
        <f>IFERROR(VLOOKUP(Tabela579[[#This Row],[Produto]],cálculos!$M$7:$P$30,3,FALSE),0)</f>
        <v>0</v>
      </c>
      <c r="H7" s="9">
        <f>Tabela579[[#This Row],[Quantidade]]*Tabela579[[#This Row],[Preço Unitário]]</f>
        <v>0</v>
      </c>
      <c r="I7" s="6"/>
      <c r="K7" s="9">
        <f>IFERROR(VLOOKUP(Tabela579[[#This Row],[Entrega]],cálculos!$B$7:$C$11,2,FALSE),0)</f>
        <v>0</v>
      </c>
      <c r="L7" s="9">
        <f>Tabela579[[#This Row],[Subtotal]]*(1-Tabela579[[#This Row],[Desconto]])+Tabela579[[#This Row],[Valor de Entrega]]</f>
        <v>0</v>
      </c>
      <c r="M7" s="9" t="str">
        <f>IF(Tabela579[[#This Row],[Id da Venda]]=B8,"",SUMIF(Tabela579[Id da Venda],Tabela579[[#This Row],[Id da Venda]],Tabela579[Total]))</f>
        <v/>
      </c>
    </row>
    <row r="8" spans="2:13" x14ac:dyDescent="0.3">
      <c r="G8" s="3">
        <f>IFERROR(VLOOKUP(Tabela579[[#This Row],[Produto]],cálculos!$M$7:$P$30,3,FALSE),0)</f>
        <v>0</v>
      </c>
      <c r="H8" s="9">
        <f>Tabela579[[#This Row],[Quantidade]]*Tabela579[[#This Row],[Preço Unitário]]</f>
        <v>0</v>
      </c>
      <c r="I8" s="6"/>
      <c r="K8" s="9">
        <f>IFERROR(VLOOKUP(Tabela579[[#This Row],[Entrega]],cálculos!$B$7:$C$11,2,FALSE),0)</f>
        <v>0</v>
      </c>
      <c r="L8" s="9">
        <f>Tabela579[[#This Row],[Subtotal]]*(1-Tabela579[[#This Row],[Desconto]])+Tabela579[[#This Row],[Valor de Entrega]]</f>
        <v>0</v>
      </c>
      <c r="M8" s="9" t="str">
        <f>IF(Tabela579[[#This Row],[Id da Venda]]=B9,"",SUMIF(Tabela579[Id da Venda],Tabela579[[#This Row],[Id da Venda]],Tabela579[Total]))</f>
        <v/>
      </c>
    </row>
    <row r="9" spans="2:13" x14ac:dyDescent="0.3">
      <c r="E9" t="str">
        <f>IFERROR(VLOOKUP(Tabela579[[#This Row],[Produto]],cálculos!$M$7:$P$30,4,FALSE),"")</f>
        <v/>
      </c>
      <c r="G9" s="3">
        <f>IFERROR(VLOOKUP(Tabela579[[#This Row],[Produto]],cálculos!$M$7:$P$30,3,FALSE),0)</f>
        <v>0</v>
      </c>
      <c r="H9" s="9">
        <f>Tabela579[[#This Row],[Quantidade]]*Tabela579[[#This Row],[Preço Unitário]]</f>
        <v>0</v>
      </c>
      <c r="I9" s="6"/>
      <c r="K9" s="9">
        <f>IFERROR(VLOOKUP(Tabela579[[#This Row],[Entrega]],cálculos!$B$7:$C$11,2,FALSE),0)</f>
        <v>0</v>
      </c>
      <c r="L9" s="9">
        <f>Tabela579[[#This Row],[Subtotal]]*(1-Tabela579[[#This Row],[Desconto]])+Tabela579[[#This Row],[Valor de Entrega]]</f>
        <v>0</v>
      </c>
      <c r="M9" s="9" t="str">
        <f>IF(Tabela579[[#This Row],[Id da Venda]]=B10,"",SUMIF(Tabela579[Id da Venda],Tabela579[[#This Row],[Id da Venda]],Tabela579[Total]))</f>
        <v/>
      </c>
    </row>
    <row r="10" spans="2:13" x14ac:dyDescent="0.3">
      <c r="E10" t="str">
        <f>IFERROR(VLOOKUP(Tabela579[[#This Row],[Produto]],cálculos!$M$7:$P$30,4,FALSE),"")</f>
        <v/>
      </c>
      <c r="G10" s="3">
        <f>IFERROR(VLOOKUP(Tabela579[[#This Row],[Produto]],cálculos!$M$7:$P$30,3,FALSE),0)</f>
        <v>0</v>
      </c>
      <c r="H10" s="9">
        <f>Tabela579[[#This Row],[Quantidade]]*Tabela579[[#This Row],[Preço Unitário]]</f>
        <v>0</v>
      </c>
      <c r="I10" s="6"/>
      <c r="K10" s="9">
        <f>IFERROR(VLOOKUP(Tabela579[[#This Row],[Entrega]],cálculos!$B$7:$C$11,2,FALSE),0)</f>
        <v>0</v>
      </c>
      <c r="L10" s="9">
        <f>Tabela579[[#This Row],[Subtotal]]*(1-Tabela579[[#This Row],[Desconto]])+Tabela579[[#This Row],[Valor de Entrega]]</f>
        <v>0</v>
      </c>
      <c r="M10" s="9" t="str">
        <f>IF(Tabela579[[#This Row],[Id da Venda]]=B11,"",SUMIF(Tabela579[Id da Venda],Tabela579[[#This Row],[Id da Venda]],Tabela579[Total]))</f>
        <v/>
      </c>
    </row>
    <row r="11" spans="2:13" x14ac:dyDescent="0.3">
      <c r="E11" t="str">
        <f>IFERROR(VLOOKUP(Tabela579[[#This Row],[Produto]],cálculos!$M$7:$P$30,4,FALSE),"")</f>
        <v/>
      </c>
      <c r="G11" s="3">
        <f>IFERROR(VLOOKUP(Tabela579[[#This Row],[Produto]],cálculos!$M$7:$P$30,3,FALSE),0)</f>
        <v>0</v>
      </c>
      <c r="H11" s="9">
        <f>Tabela579[[#This Row],[Quantidade]]*Tabela579[[#This Row],[Preço Unitário]]</f>
        <v>0</v>
      </c>
      <c r="I11" s="6"/>
      <c r="K11" s="9">
        <f>IFERROR(VLOOKUP(Tabela579[[#This Row],[Entrega]],cálculos!$B$7:$C$11,2,FALSE),0)</f>
        <v>0</v>
      </c>
      <c r="L11" s="9">
        <f>Tabela579[[#This Row],[Subtotal]]*(1-Tabela579[[#This Row],[Desconto]])+Tabela579[[#This Row],[Valor de Entrega]]</f>
        <v>0</v>
      </c>
      <c r="M11" s="9" t="str">
        <f>IF(Tabela579[[#This Row],[Id da Venda]]=B12,"",SUMIF(Tabela579[Id da Venda],Tabela579[[#This Row],[Id da Venda]],Tabela579[Total]))</f>
        <v/>
      </c>
    </row>
    <row r="12" spans="2:13" x14ac:dyDescent="0.3">
      <c r="E12" t="str">
        <f>IFERROR(VLOOKUP(Tabela579[[#This Row],[Produto]],cálculos!$M$7:$P$30,4,FALSE),"")</f>
        <v/>
      </c>
      <c r="G12" s="3">
        <f>IFERROR(VLOOKUP(Tabela579[[#This Row],[Produto]],cálculos!$M$7:$P$30,3,FALSE),0)</f>
        <v>0</v>
      </c>
      <c r="H12" s="9">
        <f>Tabela579[[#This Row],[Quantidade]]*Tabela579[[#This Row],[Preço Unitário]]</f>
        <v>0</v>
      </c>
      <c r="I12" s="6"/>
      <c r="K12" s="9">
        <f>IFERROR(VLOOKUP(Tabela579[[#This Row],[Entrega]],cálculos!$B$7:$C$11,2,FALSE),0)</f>
        <v>0</v>
      </c>
      <c r="L12" s="9">
        <f>Tabela579[[#This Row],[Subtotal]]*(1-Tabela579[[#This Row],[Desconto]])+Tabela579[[#This Row],[Valor de Entrega]]</f>
        <v>0</v>
      </c>
      <c r="M12" s="9" t="str">
        <f>IF(Tabela579[[#This Row],[Id da Venda]]=B13,"",SUMIF(Tabela579[Id da Venda],Tabela579[[#This Row],[Id da Venda]],Tabela579[Total]))</f>
        <v/>
      </c>
    </row>
    <row r="13" spans="2:13" x14ac:dyDescent="0.3">
      <c r="E13" t="str">
        <f>IFERROR(VLOOKUP(Tabela579[[#This Row],[Produto]],cálculos!$M$7:$P$30,4,FALSE),"")</f>
        <v/>
      </c>
      <c r="G13" s="3">
        <f>IFERROR(VLOOKUP(Tabela579[[#This Row],[Produto]],cálculos!$M$7:$P$30,3,FALSE),0)</f>
        <v>0</v>
      </c>
      <c r="H13" s="9">
        <f>Tabela579[[#This Row],[Quantidade]]*Tabela579[[#This Row],[Preço Unitário]]</f>
        <v>0</v>
      </c>
      <c r="I13" s="6"/>
      <c r="K13" s="9">
        <f>IFERROR(VLOOKUP(Tabela579[[#This Row],[Entrega]],cálculos!$B$7:$C$11,2,FALSE),0)</f>
        <v>0</v>
      </c>
      <c r="L13" s="9">
        <f>Tabela579[[#This Row],[Subtotal]]*(1-Tabela579[[#This Row],[Desconto]])+Tabela579[[#This Row],[Valor de Entrega]]</f>
        <v>0</v>
      </c>
      <c r="M13" s="9" t="str">
        <f>IF(Tabela579[[#This Row],[Id da Venda]]=B14,"",SUMIF(Tabela579[Id da Venda],Tabela579[[#This Row],[Id da Venda]],Tabela579[Total]))</f>
        <v/>
      </c>
    </row>
    <row r="14" spans="2:13" x14ac:dyDescent="0.3">
      <c r="E14" t="str">
        <f>IFERROR(VLOOKUP(Tabela579[[#This Row],[Produto]],cálculos!$M$7:$P$30,4,FALSE),"")</f>
        <v/>
      </c>
      <c r="G14" s="3">
        <f>IFERROR(VLOOKUP(Tabela579[[#This Row],[Produto]],cálculos!$M$7:$P$30,3,FALSE),0)</f>
        <v>0</v>
      </c>
      <c r="H14" s="9">
        <f>Tabela579[[#This Row],[Quantidade]]*Tabela579[[#This Row],[Preço Unitário]]</f>
        <v>0</v>
      </c>
      <c r="I14" s="6"/>
      <c r="K14" s="9">
        <f>IFERROR(VLOOKUP(Tabela579[[#This Row],[Entrega]],cálculos!$B$7:$C$11,2,FALSE),0)</f>
        <v>0</v>
      </c>
      <c r="L14" s="9">
        <f>Tabela579[[#This Row],[Subtotal]]*(1-Tabela579[[#This Row],[Desconto]])+Tabela579[[#This Row],[Valor de Entrega]]</f>
        <v>0</v>
      </c>
      <c r="M14" s="9" t="str">
        <f>IF(Tabela579[[#This Row],[Id da Venda]]=B15,"",SUMIF(Tabela579[Id da Venda],Tabela579[[#This Row],[Id da Venda]],Tabela579[Total]))</f>
        <v/>
      </c>
    </row>
    <row r="15" spans="2:13" x14ac:dyDescent="0.3">
      <c r="E15" t="str">
        <f>IFERROR(VLOOKUP(Tabela579[[#This Row],[Produto]],cálculos!$M$7:$P$30,4,FALSE),"")</f>
        <v/>
      </c>
      <c r="G15" s="3">
        <f>IFERROR(VLOOKUP(Tabela579[[#This Row],[Produto]],cálculos!$M$7:$P$30,3,FALSE),0)</f>
        <v>0</v>
      </c>
      <c r="H15" s="9">
        <f>Tabela579[[#This Row],[Quantidade]]*Tabela579[[#This Row],[Preço Unitário]]</f>
        <v>0</v>
      </c>
      <c r="I15" s="6"/>
      <c r="K15" s="9">
        <f>IFERROR(VLOOKUP(Tabela579[[#This Row],[Entrega]],cálculos!$B$7:$C$11,2,FALSE),0)</f>
        <v>0</v>
      </c>
      <c r="L15" s="9">
        <f>Tabela579[[#This Row],[Subtotal]]*(1-Tabela579[[#This Row],[Desconto]])+Tabela579[[#This Row],[Valor de Entrega]]</f>
        <v>0</v>
      </c>
      <c r="M15" s="9" t="str">
        <f>IF(Tabela579[[#This Row],[Id da Venda]]=B16,"",SUMIF(Tabela579[Id da Venda],Tabela579[[#This Row],[Id da Venda]],Tabela579[Total]))</f>
        <v/>
      </c>
    </row>
    <row r="16" spans="2:13" x14ac:dyDescent="0.3">
      <c r="E16" t="str">
        <f>IFERROR(VLOOKUP(Tabela579[[#This Row],[Produto]],cálculos!$M$7:$P$30,4,FALSE),"")</f>
        <v/>
      </c>
      <c r="G16" s="3">
        <f>IFERROR(VLOOKUP(Tabela579[[#This Row],[Produto]],cálculos!$M$7:$P$30,3,FALSE),0)</f>
        <v>0</v>
      </c>
      <c r="H16" s="9">
        <f>Tabela579[[#This Row],[Quantidade]]*Tabela579[[#This Row],[Preço Unitário]]</f>
        <v>0</v>
      </c>
      <c r="I16" s="6"/>
      <c r="K16" s="9">
        <f>IFERROR(VLOOKUP(Tabela579[[#This Row],[Entrega]],cálculos!$B$7:$C$11,2,FALSE),0)</f>
        <v>0</v>
      </c>
      <c r="L16" s="9">
        <f>Tabela579[[#This Row],[Subtotal]]*(1-Tabela579[[#This Row],[Desconto]])+Tabela579[[#This Row],[Valor de Entrega]]</f>
        <v>0</v>
      </c>
      <c r="M16" s="9" t="str">
        <f>IF(Tabela579[[#This Row],[Id da Venda]]=B17,"",SUMIF(Tabela579[Id da Venda],Tabela579[[#This Row],[Id da Venda]],Tabela579[Total]))</f>
        <v/>
      </c>
    </row>
    <row r="17" spans="2:13" x14ac:dyDescent="0.3">
      <c r="E17" t="str">
        <f>IFERROR(VLOOKUP(Tabela579[[#This Row],[Produto]],cálculos!$M$7:$P$30,4,FALSE),"")</f>
        <v/>
      </c>
      <c r="G17" s="3">
        <f>IFERROR(VLOOKUP(Tabela579[[#This Row],[Produto]],cálculos!$M$7:$P$30,3,FALSE),0)</f>
        <v>0</v>
      </c>
      <c r="H17" s="9">
        <f>Tabela579[[#This Row],[Quantidade]]*Tabela579[[#This Row],[Preço Unitário]]</f>
        <v>0</v>
      </c>
      <c r="I17" s="6"/>
      <c r="K17" s="9">
        <f>IFERROR(VLOOKUP(Tabela579[[#This Row],[Entrega]],cálculos!$B$7:$C$11,2,FALSE),0)</f>
        <v>0</v>
      </c>
      <c r="L17" s="9">
        <f>Tabela579[[#This Row],[Subtotal]]*(1-Tabela579[[#This Row],[Desconto]])+Tabela579[[#This Row],[Valor de Entrega]]</f>
        <v>0</v>
      </c>
      <c r="M17" s="9" t="str">
        <f>IF(Tabela579[[#This Row],[Id da Venda]]=B18,"",SUMIF(Tabela579[Id da Venda],Tabela579[[#This Row],[Id da Venda]],Tabela579[Total]))</f>
        <v/>
      </c>
    </row>
    <row r="18" spans="2:13" x14ac:dyDescent="0.3">
      <c r="E18" t="str">
        <f>IFERROR(VLOOKUP(Tabela579[[#This Row],[Produto]],cálculos!$M$7:$P$30,4,FALSE),"")</f>
        <v/>
      </c>
      <c r="G18" s="3">
        <f>IFERROR(VLOOKUP(Tabela579[[#This Row],[Produto]],cálculos!$M$7:$P$30,3,FALSE),0)</f>
        <v>0</v>
      </c>
      <c r="H18" s="3">
        <f>Tabela579[[#This Row],[Quantidade]]*Tabela579[[#This Row],[Preço Unitário]]</f>
        <v>0</v>
      </c>
      <c r="K18" s="9">
        <f>IFERROR(VLOOKUP(Tabela579[[#This Row],[Entrega]],cálculos!$B$7:$C$11,2,FALSE),0)</f>
        <v>0</v>
      </c>
      <c r="L18" s="9">
        <f>Tabela579[[#This Row],[Subtotal]]*(1-Tabela579[[#This Row],[Desconto]])+Tabela579[[#This Row],[Valor de Entrega]]</f>
        <v>0</v>
      </c>
      <c r="M18" s="9" t="str">
        <f>IF(Tabela579[[#This Row],[Id da Venda]]=B19,"",SUMIF(Tabela579[Id da Venda],Tabela579[[#This Row],[Id da Venda]],Tabela579[Total]))</f>
        <v/>
      </c>
    </row>
    <row r="21" spans="2:13" ht="21" x14ac:dyDescent="0.4">
      <c r="B21" s="26" t="s">
        <v>116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7">
        <f>SUM(Tabela579[Total])</f>
        <v>0</v>
      </c>
    </row>
    <row r="22" spans="2:13" ht="21" x14ac:dyDescent="0.4">
      <c r="B22" s="28" t="s">
        <v>117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0">
        <f>SUM(Tabela579[Valor de Entrega])</f>
        <v>0</v>
      </c>
    </row>
    <row r="23" spans="2:13" ht="21" x14ac:dyDescent="0.4">
      <c r="B23" s="28" t="s">
        <v>133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55">
        <f>SUM(IF(FREQUENCY(Tabela579[Id da Venda],Tabela579[Id da Venda])&gt;0,1,0))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1B7128-F199-43A0-9DAA-C6F32418B6DA}">
          <x14:formula1>
            <xm:f>cálculos!$B$7:$B$11</xm:f>
          </x14:formula1>
          <xm:sqref>J5:J18</xm:sqref>
        </x14:dataValidation>
        <x14:dataValidation type="list" allowBlank="1" showInputMessage="1" showErrorMessage="1" xr:uid="{12944083-AAEB-4507-BC0A-41F74CD4A77D}">
          <x14:formula1>
            <xm:f>cálculos!$M$7:$M$30</xm:f>
          </x14:formula1>
          <xm:sqref>D5:D17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29C4-D73F-4E48-BE9D-70BC53DB52DE}">
  <dimension ref="B2:M23"/>
  <sheetViews>
    <sheetView showGridLines="0" workbookViewId="0">
      <selection activeCell="M23" sqref="M23"/>
    </sheetView>
  </sheetViews>
  <sheetFormatPr defaultRowHeight="14.4" x14ac:dyDescent="0.3"/>
  <cols>
    <col min="2" max="2" width="26.109375" bestFit="1" customWidth="1"/>
    <col min="3" max="3" width="10.5546875" bestFit="1" customWidth="1"/>
    <col min="4" max="4" width="10.109375" bestFit="1" customWidth="1"/>
    <col min="5" max="5" width="9.6640625" bestFit="1" customWidth="1"/>
    <col min="6" max="6" width="13.109375" bestFit="1" customWidth="1"/>
    <col min="7" max="7" width="15.33203125" bestFit="1" customWidth="1"/>
    <col min="8" max="8" width="10.33203125" bestFit="1" customWidth="1"/>
    <col min="9" max="9" width="11.109375" bestFit="1" customWidth="1"/>
    <col min="10" max="10" width="9.6640625" bestFit="1" customWidth="1"/>
    <col min="11" max="11" width="17.21875" bestFit="1" customWidth="1"/>
    <col min="12" max="12" width="9.33203125" bestFit="1" customWidth="1"/>
    <col min="13" max="13" width="19.6640625" bestFit="1" customWidth="1"/>
  </cols>
  <sheetData>
    <row r="2" spans="2:13" s="23" customFormat="1" ht="28.05" customHeight="1" x14ac:dyDescent="0.45">
      <c r="B2" s="24" t="s">
        <v>120</v>
      </c>
      <c r="E2" s="25"/>
    </row>
    <row r="3" spans="2:13" ht="48" customHeight="1" x14ac:dyDescent="0.3"/>
    <row r="4" spans="2:13" x14ac:dyDescent="0.3">
      <c r="B4" t="s">
        <v>103</v>
      </c>
      <c r="C4" t="s">
        <v>41</v>
      </c>
      <c r="D4" t="s">
        <v>95</v>
      </c>
      <c r="E4" t="s">
        <v>56</v>
      </c>
      <c r="F4" t="s">
        <v>57</v>
      </c>
      <c r="G4" t="s">
        <v>58</v>
      </c>
      <c r="H4" t="s">
        <v>104</v>
      </c>
      <c r="I4" t="s">
        <v>59</v>
      </c>
      <c r="J4" t="s">
        <v>105</v>
      </c>
      <c r="K4" t="s">
        <v>106</v>
      </c>
      <c r="L4" t="s">
        <v>107</v>
      </c>
      <c r="M4" t="s">
        <v>108</v>
      </c>
    </row>
    <row r="5" spans="2:13" x14ac:dyDescent="0.3">
      <c r="C5" s="7"/>
      <c r="G5" s="3">
        <f>IFERROR(VLOOKUP(Tabela5710[[#This Row],[Produto]],cálculos!$M$7:$P$30,3,FALSE),0)</f>
        <v>0</v>
      </c>
      <c r="H5" s="9">
        <f>Tabela5710[[#This Row],[Quantidade]]*Tabela5710[[#This Row],[Preço Unitário]]</f>
        <v>0</v>
      </c>
      <c r="I5" s="6"/>
      <c r="K5" s="9">
        <f>IFERROR(VLOOKUP(Tabela5710[[#This Row],[Entrega]],cálculos!$B$7:$C$11,2,FALSE),0)</f>
        <v>0</v>
      </c>
      <c r="L5" s="9">
        <f>Tabela5710[[#This Row],[Subtotal]]*(1-Tabela5710[[#This Row],[Desconto]])+Tabela5710[[#This Row],[Valor de Entrega]]</f>
        <v>0</v>
      </c>
      <c r="M5" s="9" t="str">
        <f>IF(Tabela5710[[#This Row],[Id da Venda]]=B6,"",SUMIF(Tabela5710[Id da Venda],Tabela5710[[#This Row],[Id da Venda]],Tabela5710[Total]))</f>
        <v/>
      </c>
    </row>
    <row r="6" spans="2:13" x14ac:dyDescent="0.3">
      <c r="C6" s="7"/>
      <c r="G6" s="3">
        <f>IFERROR(VLOOKUP(Tabela5710[[#This Row],[Produto]],cálculos!$M$7:$P$30,3,FALSE),0)</f>
        <v>0</v>
      </c>
      <c r="H6" s="9">
        <f>Tabela5710[[#This Row],[Quantidade]]*Tabela5710[[#This Row],[Preço Unitário]]</f>
        <v>0</v>
      </c>
      <c r="I6" s="6"/>
      <c r="K6" s="9">
        <f>IFERROR(VLOOKUP(Tabela5710[[#This Row],[Entrega]],cálculos!$B$7:$C$11,2,FALSE),0)</f>
        <v>0</v>
      </c>
      <c r="L6" s="9">
        <f>Tabela5710[[#This Row],[Subtotal]]*(1-Tabela5710[[#This Row],[Desconto]])+Tabela5710[[#This Row],[Valor de Entrega]]</f>
        <v>0</v>
      </c>
      <c r="M6" s="9" t="str">
        <f>IF(Tabela5710[[#This Row],[Id da Venda]]=B7,"",SUMIF(Tabela5710[Id da Venda],Tabela5710[[#This Row],[Id da Venda]],Tabela5710[Total]))</f>
        <v/>
      </c>
    </row>
    <row r="7" spans="2:13" x14ac:dyDescent="0.3">
      <c r="G7" s="3">
        <f>IFERROR(VLOOKUP(Tabela5710[[#This Row],[Produto]],cálculos!$M$7:$P$30,3,FALSE),0)</f>
        <v>0</v>
      </c>
      <c r="H7" s="9">
        <f>Tabela5710[[#This Row],[Quantidade]]*Tabela5710[[#This Row],[Preço Unitário]]</f>
        <v>0</v>
      </c>
      <c r="I7" s="6"/>
      <c r="K7" s="9">
        <f>IFERROR(VLOOKUP(Tabela5710[[#This Row],[Entrega]],cálculos!$B$7:$C$11,2,FALSE),0)</f>
        <v>0</v>
      </c>
      <c r="L7" s="9">
        <f>Tabela5710[[#This Row],[Subtotal]]*(1-Tabela5710[[#This Row],[Desconto]])+Tabela5710[[#This Row],[Valor de Entrega]]</f>
        <v>0</v>
      </c>
      <c r="M7" s="9" t="str">
        <f>IF(Tabela5710[[#This Row],[Id da Venda]]=B8,"",SUMIF(Tabela5710[Id da Venda],Tabela5710[[#This Row],[Id da Venda]],Tabela5710[Total]))</f>
        <v/>
      </c>
    </row>
    <row r="8" spans="2:13" x14ac:dyDescent="0.3">
      <c r="E8" t="str">
        <f>IFERROR(VLOOKUP(Tabela5710[[#This Row],[Produto]],cálculos!$M$7:$P$30,4,FALSE),"")</f>
        <v/>
      </c>
      <c r="G8" s="3">
        <f>IFERROR(VLOOKUP(Tabela5710[[#This Row],[Produto]],cálculos!$M$7:$P$30,3,FALSE),0)</f>
        <v>0</v>
      </c>
      <c r="H8" s="9">
        <f>Tabela5710[[#This Row],[Quantidade]]*Tabela5710[[#This Row],[Preço Unitário]]</f>
        <v>0</v>
      </c>
      <c r="I8" s="6"/>
      <c r="K8" s="9">
        <f>IFERROR(VLOOKUP(Tabela5710[[#This Row],[Entrega]],cálculos!$B$7:$C$11,2,FALSE),0)</f>
        <v>0</v>
      </c>
      <c r="L8" s="9">
        <f>Tabela5710[[#This Row],[Subtotal]]*(1-Tabela5710[[#This Row],[Desconto]])+Tabela5710[[#This Row],[Valor de Entrega]]</f>
        <v>0</v>
      </c>
      <c r="M8" s="9" t="str">
        <f>IF(Tabela5710[[#This Row],[Id da Venda]]=B9,"",SUMIF(Tabela5710[Id da Venda],Tabela5710[[#This Row],[Id da Venda]],Tabela5710[Total]))</f>
        <v/>
      </c>
    </row>
    <row r="9" spans="2:13" x14ac:dyDescent="0.3">
      <c r="E9" t="str">
        <f>IFERROR(VLOOKUP(Tabela5710[[#This Row],[Produto]],cálculos!$M$7:$P$30,4,FALSE),"")</f>
        <v/>
      </c>
      <c r="G9" s="3">
        <f>IFERROR(VLOOKUP(Tabela5710[[#This Row],[Produto]],cálculos!$M$7:$P$30,3,FALSE),0)</f>
        <v>0</v>
      </c>
      <c r="H9" s="9">
        <f>Tabela5710[[#This Row],[Quantidade]]*Tabela5710[[#This Row],[Preço Unitário]]</f>
        <v>0</v>
      </c>
      <c r="I9" s="6"/>
      <c r="K9" s="9">
        <f>IFERROR(VLOOKUP(Tabela5710[[#This Row],[Entrega]],cálculos!$B$7:$C$11,2,FALSE),0)</f>
        <v>0</v>
      </c>
      <c r="L9" s="9">
        <f>Tabela5710[[#This Row],[Subtotal]]*(1-Tabela5710[[#This Row],[Desconto]])+Tabela5710[[#This Row],[Valor de Entrega]]</f>
        <v>0</v>
      </c>
      <c r="M9" s="9" t="str">
        <f>IF(Tabela5710[[#This Row],[Id da Venda]]=B10,"",SUMIF(Tabela5710[Id da Venda],Tabela5710[[#This Row],[Id da Venda]],Tabela5710[Total]))</f>
        <v/>
      </c>
    </row>
    <row r="10" spans="2:13" x14ac:dyDescent="0.3">
      <c r="E10" t="str">
        <f>IFERROR(VLOOKUP(Tabela5710[[#This Row],[Produto]],cálculos!$M$7:$P$30,4,FALSE),"")</f>
        <v/>
      </c>
      <c r="G10" s="3">
        <f>IFERROR(VLOOKUP(Tabela5710[[#This Row],[Produto]],cálculos!$M$7:$P$30,3,FALSE),0)</f>
        <v>0</v>
      </c>
      <c r="H10" s="9">
        <f>Tabela5710[[#This Row],[Quantidade]]*Tabela5710[[#This Row],[Preço Unitário]]</f>
        <v>0</v>
      </c>
      <c r="I10" s="6"/>
      <c r="K10" s="9">
        <f>IFERROR(VLOOKUP(Tabela5710[[#This Row],[Entrega]],cálculos!$B$7:$C$11,2,FALSE),0)</f>
        <v>0</v>
      </c>
      <c r="L10" s="9">
        <f>Tabela5710[[#This Row],[Subtotal]]*(1-Tabela5710[[#This Row],[Desconto]])+Tabela5710[[#This Row],[Valor de Entrega]]</f>
        <v>0</v>
      </c>
      <c r="M10" s="9" t="str">
        <f>IF(Tabela5710[[#This Row],[Id da Venda]]=B11,"",SUMIF(Tabela5710[Id da Venda],Tabela5710[[#This Row],[Id da Venda]],Tabela5710[Total]))</f>
        <v/>
      </c>
    </row>
    <row r="11" spans="2:13" x14ac:dyDescent="0.3">
      <c r="E11" t="str">
        <f>IFERROR(VLOOKUP(Tabela5710[[#This Row],[Produto]],cálculos!$M$7:$P$30,4,FALSE),"")</f>
        <v/>
      </c>
      <c r="G11" s="3">
        <f>IFERROR(VLOOKUP(Tabela5710[[#This Row],[Produto]],cálculos!$M$7:$P$30,3,FALSE),0)</f>
        <v>0</v>
      </c>
      <c r="H11" s="9">
        <f>Tabela5710[[#This Row],[Quantidade]]*Tabela5710[[#This Row],[Preço Unitário]]</f>
        <v>0</v>
      </c>
      <c r="I11" s="6"/>
      <c r="K11" s="9">
        <f>IFERROR(VLOOKUP(Tabela5710[[#This Row],[Entrega]],cálculos!$B$7:$C$11,2,FALSE),0)</f>
        <v>0</v>
      </c>
      <c r="L11" s="9">
        <f>Tabela5710[[#This Row],[Subtotal]]*(1-Tabela5710[[#This Row],[Desconto]])+Tabela5710[[#This Row],[Valor de Entrega]]</f>
        <v>0</v>
      </c>
      <c r="M11" s="9" t="str">
        <f>IF(Tabela5710[[#This Row],[Id da Venda]]=B12,"",SUMIF(Tabela5710[Id da Venda],Tabela5710[[#This Row],[Id da Venda]],Tabela5710[Total]))</f>
        <v/>
      </c>
    </row>
    <row r="12" spans="2:13" x14ac:dyDescent="0.3">
      <c r="E12" t="str">
        <f>IFERROR(VLOOKUP(Tabela5710[[#This Row],[Produto]],cálculos!$M$7:$P$30,4,FALSE),"")</f>
        <v/>
      </c>
      <c r="G12" s="3">
        <f>IFERROR(VLOOKUP(Tabela5710[[#This Row],[Produto]],cálculos!$M$7:$P$30,3,FALSE),0)</f>
        <v>0</v>
      </c>
      <c r="H12" s="9">
        <f>Tabela5710[[#This Row],[Quantidade]]*Tabela5710[[#This Row],[Preço Unitário]]</f>
        <v>0</v>
      </c>
      <c r="I12" s="6"/>
      <c r="K12" s="9">
        <f>IFERROR(VLOOKUP(Tabela5710[[#This Row],[Entrega]],cálculos!$B$7:$C$11,2,FALSE),0)</f>
        <v>0</v>
      </c>
      <c r="L12" s="9">
        <f>Tabela5710[[#This Row],[Subtotal]]*(1-Tabela5710[[#This Row],[Desconto]])+Tabela5710[[#This Row],[Valor de Entrega]]</f>
        <v>0</v>
      </c>
      <c r="M12" s="9" t="str">
        <f>IF(Tabela5710[[#This Row],[Id da Venda]]=B13,"",SUMIF(Tabela5710[Id da Venda],Tabela5710[[#This Row],[Id da Venda]],Tabela5710[Total]))</f>
        <v/>
      </c>
    </row>
    <row r="13" spans="2:13" x14ac:dyDescent="0.3">
      <c r="E13" t="str">
        <f>IFERROR(VLOOKUP(Tabela5710[[#This Row],[Produto]],cálculos!$M$7:$P$30,4,FALSE),"")</f>
        <v/>
      </c>
      <c r="G13" s="3">
        <f>IFERROR(VLOOKUP(Tabela5710[[#This Row],[Produto]],cálculos!$M$7:$P$30,3,FALSE),0)</f>
        <v>0</v>
      </c>
      <c r="H13" s="9">
        <f>Tabela5710[[#This Row],[Quantidade]]*Tabela5710[[#This Row],[Preço Unitário]]</f>
        <v>0</v>
      </c>
      <c r="I13" s="6"/>
      <c r="K13" s="9">
        <f>IFERROR(VLOOKUP(Tabela5710[[#This Row],[Entrega]],cálculos!$B$7:$C$11,2,FALSE),0)</f>
        <v>0</v>
      </c>
      <c r="L13" s="9">
        <f>Tabela5710[[#This Row],[Subtotal]]*(1-Tabela5710[[#This Row],[Desconto]])+Tabela5710[[#This Row],[Valor de Entrega]]</f>
        <v>0</v>
      </c>
      <c r="M13" s="9" t="str">
        <f>IF(Tabela5710[[#This Row],[Id da Venda]]=B14,"",SUMIF(Tabela5710[Id da Venda],Tabela5710[[#This Row],[Id da Venda]],Tabela5710[Total]))</f>
        <v/>
      </c>
    </row>
    <row r="14" spans="2:13" x14ac:dyDescent="0.3">
      <c r="E14" t="str">
        <f>IFERROR(VLOOKUP(Tabela5710[[#This Row],[Produto]],cálculos!$M$7:$P$30,4,FALSE),"")</f>
        <v/>
      </c>
      <c r="G14" s="3">
        <f>IFERROR(VLOOKUP(Tabela5710[[#This Row],[Produto]],cálculos!$M$7:$P$30,3,FALSE),0)</f>
        <v>0</v>
      </c>
      <c r="H14" s="9">
        <f>Tabela5710[[#This Row],[Quantidade]]*Tabela5710[[#This Row],[Preço Unitário]]</f>
        <v>0</v>
      </c>
      <c r="I14" s="6"/>
      <c r="K14" s="9">
        <f>IFERROR(VLOOKUP(Tabela5710[[#This Row],[Entrega]],cálculos!$B$7:$C$11,2,FALSE),0)</f>
        <v>0</v>
      </c>
      <c r="L14" s="9">
        <f>Tabela5710[[#This Row],[Subtotal]]*(1-Tabela5710[[#This Row],[Desconto]])+Tabela5710[[#This Row],[Valor de Entrega]]</f>
        <v>0</v>
      </c>
      <c r="M14" s="9" t="str">
        <f>IF(Tabela5710[[#This Row],[Id da Venda]]=B15,"",SUMIF(Tabela5710[Id da Venda],Tabela5710[[#This Row],[Id da Venda]],Tabela5710[Total]))</f>
        <v/>
      </c>
    </row>
    <row r="15" spans="2:13" x14ac:dyDescent="0.3">
      <c r="E15" t="str">
        <f>IFERROR(VLOOKUP(Tabela5710[[#This Row],[Produto]],cálculos!$M$7:$P$30,4,FALSE),"")</f>
        <v/>
      </c>
      <c r="G15" s="3">
        <f>IFERROR(VLOOKUP(Tabela5710[[#This Row],[Produto]],cálculos!$M$7:$P$30,3,FALSE),0)</f>
        <v>0</v>
      </c>
      <c r="H15" s="9">
        <f>Tabela5710[[#This Row],[Quantidade]]*Tabela5710[[#This Row],[Preço Unitário]]</f>
        <v>0</v>
      </c>
      <c r="I15" s="6"/>
      <c r="K15" s="9">
        <f>IFERROR(VLOOKUP(Tabela5710[[#This Row],[Entrega]],cálculos!$B$7:$C$11,2,FALSE),0)</f>
        <v>0</v>
      </c>
      <c r="L15" s="9">
        <f>Tabela5710[[#This Row],[Subtotal]]*(1-Tabela5710[[#This Row],[Desconto]])+Tabela5710[[#This Row],[Valor de Entrega]]</f>
        <v>0</v>
      </c>
      <c r="M15" s="9" t="str">
        <f>IF(Tabela5710[[#This Row],[Id da Venda]]=B16,"",SUMIF(Tabela5710[Id da Venda],Tabela5710[[#This Row],[Id da Venda]],Tabela5710[Total]))</f>
        <v/>
      </c>
    </row>
    <row r="16" spans="2:13" x14ac:dyDescent="0.3">
      <c r="E16" t="str">
        <f>IFERROR(VLOOKUP(Tabela5710[[#This Row],[Produto]],cálculos!$M$7:$P$30,4,FALSE),"")</f>
        <v/>
      </c>
      <c r="G16" s="3">
        <f>IFERROR(VLOOKUP(Tabela5710[[#This Row],[Produto]],cálculos!$M$7:$P$30,3,FALSE),0)</f>
        <v>0</v>
      </c>
      <c r="H16" s="9">
        <f>Tabela5710[[#This Row],[Quantidade]]*Tabela5710[[#This Row],[Preço Unitário]]</f>
        <v>0</v>
      </c>
      <c r="I16" s="6"/>
      <c r="K16" s="9">
        <f>IFERROR(VLOOKUP(Tabela5710[[#This Row],[Entrega]],cálculos!$B$7:$C$11,2,FALSE),0)</f>
        <v>0</v>
      </c>
      <c r="L16" s="9">
        <f>Tabela5710[[#This Row],[Subtotal]]*(1-Tabela5710[[#This Row],[Desconto]])+Tabela5710[[#This Row],[Valor de Entrega]]</f>
        <v>0</v>
      </c>
      <c r="M16" s="9" t="str">
        <f>IF(Tabela5710[[#This Row],[Id da Venda]]=B17,"",SUMIF(Tabela5710[Id da Venda],Tabela5710[[#This Row],[Id da Venda]],Tabela5710[Total]))</f>
        <v/>
      </c>
    </row>
    <row r="17" spans="2:13" x14ac:dyDescent="0.3">
      <c r="E17" t="str">
        <f>IFERROR(VLOOKUP(Tabela5710[[#This Row],[Produto]],cálculos!$M$7:$P$30,4,FALSE),"")</f>
        <v/>
      </c>
      <c r="G17" s="3">
        <f>IFERROR(VLOOKUP(Tabela5710[[#This Row],[Produto]],cálculos!$M$7:$P$30,3,FALSE),0)</f>
        <v>0</v>
      </c>
      <c r="H17" s="9">
        <f>Tabela5710[[#This Row],[Quantidade]]*Tabela5710[[#This Row],[Preço Unitário]]</f>
        <v>0</v>
      </c>
      <c r="I17" s="6"/>
      <c r="K17" s="9">
        <f>IFERROR(VLOOKUP(Tabela5710[[#This Row],[Entrega]],cálculos!$B$7:$C$11,2,FALSE),0)</f>
        <v>0</v>
      </c>
      <c r="L17" s="9">
        <f>Tabela5710[[#This Row],[Subtotal]]*(1-Tabela5710[[#This Row],[Desconto]])+Tabela5710[[#This Row],[Valor de Entrega]]</f>
        <v>0</v>
      </c>
      <c r="M17" s="9" t="str">
        <f>IF(Tabela5710[[#This Row],[Id da Venda]]=B18,"",SUMIF(Tabela5710[Id da Venda],Tabela5710[[#This Row],[Id da Venda]],Tabela5710[Total]))</f>
        <v/>
      </c>
    </row>
    <row r="18" spans="2:13" x14ac:dyDescent="0.3">
      <c r="E18" t="str">
        <f>IFERROR(VLOOKUP(Tabela5710[[#This Row],[Produto]],cálculos!$M$7:$P$30,4,FALSE),"")</f>
        <v/>
      </c>
      <c r="G18" s="3">
        <f>IFERROR(VLOOKUP(Tabela5710[[#This Row],[Produto]],cálculos!$M$7:$P$30,3,FALSE),0)</f>
        <v>0</v>
      </c>
      <c r="H18" s="3">
        <f>Tabela5710[[#This Row],[Quantidade]]*Tabela5710[[#This Row],[Preço Unitário]]</f>
        <v>0</v>
      </c>
      <c r="K18" s="9">
        <f>IFERROR(VLOOKUP(Tabela5710[[#This Row],[Entrega]],cálculos!$B$7:$C$11,2,FALSE),0)</f>
        <v>0</v>
      </c>
      <c r="L18" s="9">
        <f>Tabela5710[[#This Row],[Subtotal]]*(1-Tabela5710[[#This Row],[Desconto]])+Tabela5710[[#This Row],[Valor de Entrega]]</f>
        <v>0</v>
      </c>
      <c r="M18" s="9" t="str">
        <f>IF(Tabela5710[[#This Row],[Id da Venda]]=B19,"",SUMIF(Tabela5710[Id da Venda],Tabela5710[[#This Row],[Id da Venda]],Tabela5710[Total]))</f>
        <v/>
      </c>
    </row>
    <row r="21" spans="2:13" ht="21" x14ac:dyDescent="0.4">
      <c r="B21" s="26" t="s">
        <v>116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7">
        <f>SUM(Tabela5710[Total])</f>
        <v>0</v>
      </c>
    </row>
    <row r="22" spans="2:13" ht="21" x14ac:dyDescent="0.4">
      <c r="B22" s="28" t="s">
        <v>117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0">
        <f>SUM(Tabela5710[Valor de Entrega])</f>
        <v>0</v>
      </c>
    </row>
    <row r="23" spans="2:13" ht="21" x14ac:dyDescent="0.4">
      <c r="B23" s="28" t="s">
        <v>133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55">
        <f>SUM(IF(FREQUENCY(Tabela5710[Id da Venda],Tabela5710[Id da Venda])&gt;0,1,0))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11DA60-4B1D-499E-B59B-2B9C70588A59}">
          <x14:formula1>
            <xm:f>cálculos!$M$7:$M$30</xm:f>
          </x14:formula1>
          <xm:sqref>D5:D17</xm:sqref>
        </x14:dataValidation>
        <x14:dataValidation type="list" allowBlank="1" showInputMessage="1" showErrorMessage="1" xr:uid="{4BF46A46-F787-49CF-8EBD-AE29AB270817}">
          <x14:formula1>
            <xm:f>cálculos!$B$7:$B$11</xm:f>
          </x14:formula1>
          <xm:sqref>J5:J18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50B0-20AC-4EC4-9ED3-2BA5CCB91F57}">
  <dimension ref="B2:M23"/>
  <sheetViews>
    <sheetView showGridLines="0" workbookViewId="0">
      <selection activeCell="F8" sqref="F8"/>
    </sheetView>
  </sheetViews>
  <sheetFormatPr defaultRowHeight="14.4" x14ac:dyDescent="0.3"/>
  <cols>
    <col min="2" max="2" width="26.109375" bestFit="1" customWidth="1"/>
    <col min="3" max="3" width="10.5546875" bestFit="1" customWidth="1"/>
    <col min="4" max="4" width="10.109375" bestFit="1" customWidth="1"/>
    <col min="5" max="5" width="9.6640625" bestFit="1" customWidth="1"/>
    <col min="6" max="6" width="13.109375" bestFit="1" customWidth="1"/>
    <col min="7" max="7" width="15.33203125" bestFit="1" customWidth="1"/>
    <col min="8" max="8" width="10.33203125" bestFit="1" customWidth="1"/>
    <col min="9" max="9" width="11.109375" bestFit="1" customWidth="1"/>
    <col min="10" max="10" width="9.6640625" bestFit="1" customWidth="1"/>
    <col min="11" max="11" width="17.21875" bestFit="1" customWidth="1"/>
    <col min="12" max="12" width="9.33203125" bestFit="1" customWidth="1"/>
    <col min="13" max="13" width="19.6640625" bestFit="1" customWidth="1"/>
  </cols>
  <sheetData>
    <row r="2" spans="2:13" s="23" customFormat="1" ht="28.05" customHeight="1" x14ac:dyDescent="0.45">
      <c r="B2" s="24" t="s">
        <v>121</v>
      </c>
      <c r="E2" s="25"/>
    </row>
    <row r="3" spans="2:13" ht="48" customHeight="1" x14ac:dyDescent="0.3"/>
    <row r="4" spans="2:13" x14ac:dyDescent="0.3">
      <c r="B4" t="s">
        <v>103</v>
      </c>
      <c r="C4" t="s">
        <v>41</v>
      </c>
      <c r="D4" t="s">
        <v>95</v>
      </c>
      <c r="E4" t="s">
        <v>56</v>
      </c>
      <c r="F4" t="s">
        <v>57</v>
      </c>
      <c r="G4" t="s">
        <v>58</v>
      </c>
      <c r="H4" t="s">
        <v>104</v>
      </c>
      <c r="I4" t="s">
        <v>59</v>
      </c>
      <c r="J4" t="s">
        <v>105</v>
      </c>
      <c r="K4" t="s">
        <v>106</v>
      </c>
      <c r="L4" t="s">
        <v>107</v>
      </c>
      <c r="M4" t="s">
        <v>108</v>
      </c>
    </row>
    <row r="5" spans="2:13" x14ac:dyDescent="0.3">
      <c r="C5" s="7"/>
      <c r="G5" s="3">
        <f>IFERROR(VLOOKUP(Tabela5711[[#This Row],[Produto]],cálculos!$M$7:$P$30,3,FALSE),0)</f>
        <v>0</v>
      </c>
      <c r="H5" s="9">
        <f>Tabela5711[[#This Row],[Quantidade]]*Tabela5711[[#This Row],[Preço Unitário]]</f>
        <v>0</v>
      </c>
      <c r="I5" s="6"/>
      <c r="K5" s="9">
        <f>IFERROR(VLOOKUP(Tabela5711[[#This Row],[Entrega]],cálculos!$B$7:$C$11,2,FALSE),0)</f>
        <v>0</v>
      </c>
      <c r="L5" s="9">
        <f>Tabela5711[[#This Row],[Subtotal]]*(1-Tabela5711[[#This Row],[Desconto]])+Tabela5711[[#This Row],[Valor de Entrega]]</f>
        <v>0</v>
      </c>
      <c r="M5" s="9" t="str">
        <f>IF(Tabela5711[[#This Row],[Id da Venda]]=B6,"",SUMIF(Tabela5711[Id da Venda],Tabela5711[[#This Row],[Id da Venda]],Tabela5711[Total]))</f>
        <v/>
      </c>
    </row>
    <row r="6" spans="2:13" x14ac:dyDescent="0.3">
      <c r="C6" s="7"/>
      <c r="G6" s="3">
        <f>IFERROR(VLOOKUP(Tabela5711[[#This Row],[Produto]],cálculos!$M$7:$P$30,3,FALSE),0)</f>
        <v>0</v>
      </c>
      <c r="H6" s="9">
        <f>Tabela5711[[#This Row],[Quantidade]]*Tabela5711[[#This Row],[Preço Unitário]]</f>
        <v>0</v>
      </c>
      <c r="I6" s="6"/>
      <c r="K6" s="9">
        <f>IFERROR(VLOOKUP(Tabela5711[[#This Row],[Entrega]],cálculos!$B$7:$C$11,2,FALSE),0)</f>
        <v>0</v>
      </c>
      <c r="L6" s="9">
        <f>Tabela5711[[#This Row],[Subtotal]]*(1-Tabela5711[[#This Row],[Desconto]])+Tabela5711[[#This Row],[Valor de Entrega]]</f>
        <v>0</v>
      </c>
      <c r="M6" s="9" t="str">
        <f>IF(Tabela5711[[#This Row],[Id da Venda]]=B7,"",SUMIF(Tabela5711[Id da Venda],Tabela5711[[#This Row],[Id da Venda]],Tabela5711[Total]))</f>
        <v/>
      </c>
    </row>
    <row r="7" spans="2:13" x14ac:dyDescent="0.3">
      <c r="G7" s="3">
        <f>IFERROR(VLOOKUP(Tabela5711[[#This Row],[Produto]],cálculos!$M$7:$P$30,3,FALSE),0)</f>
        <v>0</v>
      </c>
      <c r="H7" s="9">
        <f>Tabela5711[[#This Row],[Quantidade]]*Tabela5711[[#This Row],[Preço Unitário]]</f>
        <v>0</v>
      </c>
      <c r="I7" s="6"/>
      <c r="K7" s="9">
        <f>IFERROR(VLOOKUP(Tabela5711[[#This Row],[Entrega]],cálculos!$B$7:$C$11,2,FALSE),0)</f>
        <v>0</v>
      </c>
      <c r="L7" s="9">
        <f>Tabela5711[[#This Row],[Subtotal]]*(1-Tabela5711[[#This Row],[Desconto]])+Tabela5711[[#This Row],[Valor de Entrega]]</f>
        <v>0</v>
      </c>
      <c r="M7" s="9" t="str">
        <f>IF(Tabela5711[[#This Row],[Id da Venda]]=B8,"",SUMIF(Tabela5711[Id da Venda],Tabela5711[[#This Row],[Id da Venda]],Tabela5711[Total]))</f>
        <v/>
      </c>
    </row>
    <row r="8" spans="2:13" x14ac:dyDescent="0.3">
      <c r="E8" t="str">
        <f>IFERROR(VLOOKUP(Tabela5711[[#This Row],[Produto]],cálculos!$M$7:$P$30,4,FALSE),"")</f>
        <v/>
      </c>
      <c r="G8" s="3">
        <f>IFERROR(VLOOKUP(Tabela5711[[#This Row],[Produto]],cálculos!$M$7:$P$30,3,FALSE),0)</f>
        <v>0</v>
      </c>
      <c r="H8" s="9">
        <f>Tabela5711[[#This Row],[Quantidade]]*Tabela5711[[#This Row],[Preço Unitário]]</f>
        <v>0</v>
      </c>
      <c r="I8" s="6"/>
      <c r="K8" s="9">
        <f>IFERROR(VLOOKUP(Tabela5711[[#This Row],[Entrega]],cálculos!$B$7:$C$11,2,FALSE),0)</f>
        <v>0</v>
      </c>
      <c r="L8" s="9">
        <f>Tabela5711[[#This Row],[Subtotal]]*(1-Tabela5711[[#This Row],[Desconto]])+Tabela5711[[#This Row],[Valor de Entrega]]</f>
        <v>0</v>
      </c>
      <c r="M8" s="9" t="str">
        <f>IF(Tabela5711[[#This Row],[Id da Venda]]=B9,"",SUMIF(Tabela5711[Id da Venda],Tabela5711[[#This Row],[Id da Venda]],Tabela5711[Total]))</f>
        <v/>
      </c>
    </row>
    <row r="9" spans="2:13" x14ac:dyDescent="0.3">
      <c r="E9" t="str">
        <f>IFERROR(VLOOKUP(Tabela5711[[#This Row],[Produto]],cálculos!$M$7:$P$30,4,FALSE),"")</f>
        <v/>
      </c>
      <c r="G9" s="3">
        <f>IFERROR(VLOOKUP(Tabela5711[[#This Row],[Produto]],cálculos!$M$7:$P$30,3,FALSE),0)</f>
        <v>0</v>
      </c>
      <c r="H9" s="9">
        <f>Tabela5711[[#This Row],[Quantidade]]*Tabela5711[[#This Row],[Preço Unitário]]</f>
        <v>0</v>
      </c>
      <c r="I9" s="6"/>
      <c r="K9" s="9">
        <f>IFERROR(VLOOKUP(Tabela5711[[#This Row],[Entrega]],cálculos!$B$7:$C$11,2,FALSE),0)</f>
        <v>0</v>
      </c>
      <c r="L9" s="9">
        <f>Tabela5711[[#This Row],[Subtotal]]*(1-Tabela5711[[#This Row],[Desconto]])+Tabela5711[[#This Row],[Valor de Entrega]]</f>
        <v>0</v>
      </c>
      <c r="M9" s="9" t="str">
        <f>IF(Tabela5711[[#This Row],[Id da Venda]]=B10,"",SUMIF(Tabela5711[Id da Venda],Tabela5711[[#This Row],[Id da Venda]],Tabela5711[Total]))</f>
        <v/>
      </c>
    </row>
    <row r="10" spans="2:13" x14ac:dyDescent="0.3">
      <c r="E10" t="str">
        <f>IFERROR(VLOOKUP(Tabela5711[[#This Row],[Produto]],cálculos!$M$7:$P$30,4,FALSE),"")</f>
        <v/>
      </c>
      <c r="G10" s="3">
        <f>IFERROR(VLOOKUP(Tabela5711[[#This Row],[Produto]],cálculos!$M$7:$P$30,3,FALSE),0)</f>
        <v>0</v>
      </c>
      <c r="H10" s="9">
        <f>Tabela5711[[#This Row],[Quantidade]]*Tabela5711[[#This Row],[Preço Unitário]]</f>
        <v>0</v>
      </c>
      <c r="I10" s="6"/>
      <c r="K10" s="9">
        <f>IFERROR(VLOOKUP(Tabela5711[[#This Row],[Entrega]],cálculos!$B$7:$C$11,2,FALSE),0)</f>
        <v>0</v>
      </c>
      <c r="L10" s="9">
        <f>Tabela5711[[#This Row],[Subtotal]]*(1-Tabela5711[[#This Row],[Desconto]])+Tabela5711[[#This Row],[Valor de Entrega]]</f>
        <v>0</v>
      </c>
      <c r="M10" s="9" t="str">
        <f>IF(Tabela5711[[#This Row],[Id da Venda]]=B11,"",SUMIF(Tabela5711[Id da Venda],Tabela5711[[#This Row],[Id da Venda]],Tabela5711[Total]))</f>
        <v/>
      </c>
    </row>
    <row r="11" spans="2:13" x14ac:dyDescent="0.3">
      <c r="E11" t="str">
        <f>IFERROR(VLOOKUP(Tabela5711[[#This Row],[Produto]],cálculos!$M$7:$P$30,4,FALSE),"")</f>
        <v/>
      </c>
      <c r="G11" s="3">
        <f>IFERROR(VLOOKUP(Tabela5711[[#This Row],[Produto]],cálculos!$M$7:$P$30,3,FALSE),0)</f>
        <v>0</v>
      </c>
      <c r="H11" s="9">
        <f>Tabela5711[[#This Row],[Quantidade]]*Tabela5711[[#This Row],[Preço Unitário]]</f>
        <v>0</v>
      </c>
      <c r="I11" s="6"/>
      <c r="K11" s="9">
        <f>IFERROR(VLOOKUP(Tabela5711[[#This Row],[Entrega]],cálculos!$B$7:$C$11,2,FALSE),0)</f>
        <v>0</v>
      </c>
      <c r="L11" s="9">
        <f>Tabela5711[[#This Row],[Subtotal]]*(1-Tabela5711[[#This Row],[Desconto]])+Tabela5711[[#This Row],[Valor de Entrega]]</f>
        <v>0</v>
      </c>
      <c r="M11" s="9" t="str">
        <f>IF(Tabela5711[[#This Row],[Id da Venda]]=B12,"",SUMIF(Tabela5711[Id da Venda],Tabela5711[[#This Row],[Id da Venda]],Tabela5711[Total]))</f>
        <v/>
      </c>
    </row>
    <row r="12" spans="2:13" x14ac:dyDescent="0.3">
      <c r="E12" t="str">
        <f>IFERROR(VLOOKUP(Tabela5711[[#This Row],[Produto]],cálculos!$M$7:$P$30,4,FALSE),"")</f>
        <v/>
      </c>
      <c r="G12" s="3">
        <f>IFERROR(VLOOKUP(Tabela5711[[#This Row],[Produto]],cálculos!$M$7:$P$30,3,FALSE),0)</f>
        <v>0</v>
      </c>
      <c r="H12" s="9">
        <f>Tabela5711[[#This Row],[Quantidade]]*Tabela5711[[#This Row],[Preço Unitário]]</f>
        <v>0</v>
      </c>
      <c r="I12" s="6"/>
      <c r="K12" s="9">
        <f>IFERROR(VLOOKUP(Tabela5711[[#This Row],[Entrega]],cálculos!$B$7:$C$11,2,FALSE),0)</f>
        <v>0</v>
      </c>
      <c r="L12" s="9">
        <f>Tabela5711[[#This Row],[Subtotal]]*(1-Tabela5711[[#This Row],[Desconto]])+Tabela5711[[#This Row],[Valor de Entrega]]</f>
        <v>0</v>
      </c>
      <c r="M12" s="9" t="str">
        <f>IF(Tabela5711[[#This Row],[Id da Venda]]=B13,"",SUMIF(Tabela5711[Id da Venda],Tabela5711[[#This Row],[Id da Venda]],Tabela5711[Total]))</f>
        <v/>
      </c>
    </row>
    <row r="13" spans="2:13" x14ac:dyDescent="0.3">
      <c r="E13" t="str">
        <f>IFERROR(VLOOKUP(Tabela5711[[#This Row],[Produto]],cálculos!$M$7:$P$30,4,FALSE),"")</f>
        <v/>
      </c>
      <c r="G13" s="3">
        <f>IFERROR(VLOOKUP(Tabela5711[[#This Row],[Produto]],cálculos!$M$7:$P$30,3,FALSE),0)</f>
        <v>0</v>
      </c>
      <c r="H13" s="9">
        <f>Tabela5711[[#This Row],[Quantidade]]*Tabela5711[[#This Row],[Preço Unitário]]</f>
        <v>0</v>
      </c>
      <c r="I13" s="6"/>
      <c r="K13" s="9">
        <f>IFERROR(VLOOKUP(Tabela5711[[#This Row],[Entrega]],cálculos!$B$7:$C$11,2,FALSE),0)</f>
        <v>0</v>
      </c>
      <c r="L13" s="9">
        <f>Tabela5711[[#This Row],[Subtotal]]*(1-Tabela5711[[#This Row],[Desconto]])+Tabela5711[[#This Row],[Valor de Entrega]]</f>
        <v>0</v>
      </c>
      <c r="M13" s="9" t="str">
        <f>IF(Tabela5711[[#This Row],[Id da Venda]]=B14,"",SUMIF(Tabela5711[Id da Venda],Tabela5711[[#This Row],[Id da Venda]],Tabela5711[Total]))</f>
        <v/>
      </c>
    </row>
    <row r="14" spans="2:13" x14ac:dyDescent="0.3">
      <c r="E14" t="str">
        <f>IFERROR(VLOOKUP(Tabela5711[[#This Row],[Produto]],cálculos!$M$7:$P$30,4,FALSE),"")</f>
        <v/>
      </c>
      <c r="G14" s="3">
        <f>IFERROR(VLOOKUP(Tabela5711[[#This Row],[Produto]],cálculos!$M$7:$P$30,3,FALSE),0)</f>
        <v>0</v>
      </c>
      <c r="H14" s="9">
        <f>Tabela5711[[#This Row],[Quantidade]]*Tabela5711[[#This Row],[Preço Unitário]]</f>
        <v>0</v>
      </c>
      <c r="I14" s="6"/>
      <c r="K14" s="9">
        <f>IFERROR(VLOOKUP(Tabela5711[[#This Row],[Entrega]],cálculos!$B$7:$C$11,2,FALSE),0)</f>
        <v>0</v>
      </c>
      <c r="L14" s="9">
        <f>Tabela5711[[#This Row],[Subtotal]]*(1-Tabela5711[[#This Row],[Desconto]])+Tabela5711[[#This Row],[Valor de Entrega]]</f>
        <v>0</v>
      </c>
      <c r="M14" s="9" t="str">
        <f>IF(Tabela5711[[#This Row],[Id da Venda]]=B15,"",SUMIF(Tabela5711[Id da Venda],Tabela5711[[#This Row],[Id da Venda]],Tabela5711[Total]))</f>
        <v/>
      </c>
    </row>
    <row r="15" spans="2:13" x14ac:dyDescent="0.3">
      <c r="E15" t="str">
        <f>IFERROR(VLOOKUP(Tabela5711[[#This Row],[Produto]],cálculos!$M$7:$P$30,4,FALSE),"")</f>
        <v/>
      </c>
      <c r="G15" s="3">
        <f>IFERROR(VLOOKUP(Tabela5711[[#This Row],[Produto]],cálculos!$M$7:$P$30,3,FALSE),0)</f>
        <v>0</v>
      </c>
      <c r="H15" s="9">
        <f>Tabela5711[[#This Row],[Quantidade]]*Tabela5711[[#This Row],[Preço Unitário]]</f>
        <v>0</v>
      </c>
      <c r="I15" s="6"/>
      <c r="K15" s="9">
        <f>IFERROR(VLOOKUP(Tabela5711[[#This Row],[Entrega]],cálculos!$B$7:$C$11,2,FALSE),0)</f>
        <v>0</v>
      </c>
      <c r="L15" s="9">
        <f>Tabela5711[[#This Row],[Subtotal]]*(1-Tabela5711[[#This Row],[Desconto]])+Tabela5711[[#This Row],[Valor de Entrega]]</f>
        <v>0</v>
      </c>
      <c r="M15" s="9" t="str">
        <f>IF(Tabela5711[[#This Row],[Id da Venda]]=B16,"",SUMIF(Tabela5711[Id da Venda],Tabela5711[[#This Row],[Id da Venda]],Tabela5711[Total]))</f>
        <v/>
      </c>
    </row>
    <row r="16" spans="2:13" x14ac:dyDescent="0.3">
      <c r="E16" t="str">
        <f>IFERROR(VLOOKUP(Tabela5711[[#This Row],[Produto]],cálculos!$M$7:$P$30,4,FALSE),"")</f>
        <v/>
      </c>
      <c r="G16" s="3">
        <f>IFERROR(VLOOKUP(Tabela5711[[#This Row],[Produto]],cálculos!$M$7:$P$30,3,FALSE),0)</f>
        <v>0</v>
      </c>
      <c r="H16" s="9">
        <f>Tabela5711[[#This Row],[Quantidade]]*Tabela5711[[#This Row],[Preço Unitário]]</f>
        <v>0</v>
      </c>
      <c r="I16" s="6"/>
      <c r="K16" s="9">
        <f>IFERROR(VLOOKUP(Tabela5711[[#This Row],[Entrega]],cálculos!$B$7:$C$11,2,FALSE),0)</f>
        <v>0</v>
      </c>
      <c r="L16" s="9">
        <f>Tabela5711[[#This Row],[Subtotal]]*(1-Tabela5711[[#This Row],[Desconto]])+Tabela5711[[#This Row],[Valor de Entrega]]</f>
        <v>0</v>
      </c>
      <c r="M16" s="9" t="str">
        <f>IF(Tabela5711[[#This Row],[Id da Venda]]=B17,"",SUMIF(Tabela5711[Id da Venda],Tabela5711[[#This Row],[Id da Venda]],Tabela5711[Total]))</f>
        <v/>
      </c>
    </row>
    <row r="17" spans="2:13" x14ac:dyDescent="0.3">
      <c r="E17" t="str">
        <f>IFERROR(VLOOKUP(Tabela5711[[#This Row],[Produto]],cálculos!$M$7:$P$30,4,FALSE),"")</f>
        <v/>
      </c>
      <c r="G17" s="3">
        <f>IFERROR(VLOOKUP(Tabela5711[[#This Row],[Produto]],cálculos!$M$7:$P$30,3,FALSE),0)</f>
        <v>0</v>
      </c>
      <c r="H17" s="9">
        <f>Tabela5711[[#This Row],[Quantidade]]*Tabela5711[[#This Row],[Preço Unitário]]</f>
        <v>0</v>
      </c>
      <c r="I17" s="6"/>
      <c r="K17" s="9">
        <f>IFERROR(VLOOKUP(Tabela5711[[#This Row],[Entrega]],cálculos!$B$7:$C$11,2,FALSE),0)</f>
        <v>0</v>
      </c>
      <c r="L17" s="9">
        <f>Tabela5711[[#This Row],[Subtotal]]*(1-Tabela5711[[#This Row],[Desconto]])+Tabela5711[[#This Row],[Valor de Entrega]]</f>
        <v>0</v>
      </c>
      <c r="M17" s="9" t="str">
        <f>IF(Tabela5711[[#This Row],[Id da Venda]]=B18,"",SUMIF(Tabela5711[Id da Venda],Tabela5711[[#This Row],[Id da Venda]],Tabela5711[Total]))</f>
        <v/>
      </c>
    </row>
    <row r="18" spans="2:13" x14ac:dyDescent="0.3">
      <c r="E18" t="str">
        <f>IFERROR(VLOOKUP(Tabela5711[[#This Row],[Produto]],cálculos!$M$7:$P$30,4,FALSE),"")</f>
        <v/>
      </c>
      <c r="G18" s="3">
        <f>IFERROR(VLOOKUP(Tabela5711[[#This Row],[Produto]],cálculos!$M$7:$P$30,3,FALSE),0)</f>
        <v>0</v>
      </c>
      <c r="H18" s="3">
        <f>Tabela5711[[#This Row],[Quantidade]]*Tabela5711[[#This Row],[Preço Unitário]]</f>
        <v>0</v>
      </c>
      <c r="K18" s="9">
        <f>IFERROR(VLOOKUP(Tabela5711[[#This Row],[Entrega]],cálculos!$B$7:$C$11,2,FALSE),0)</f>
        <v>0</v>
      </c>
      <c r="L18" s="9">
        <f>Tabela5711[[#This Row],[Subtotal]]*(1-Tabela5711[[#This Row],[Desconto]])+Tabela5711[[#This Row],[Valor de Entrega]]</f>
        <v>0</v>
      </c>
      <c r="M18" s="9" t="str">
        <f>IF(Tabela5711[[#This Row],[Id da Venda]]=B19,"",SUMIF(Tabela5711[Id da Venda],Tabela5711[[#This Row],[Id da Venda]],Tabela5711[Total]))</f>
        <v/>
      </c>
    </row>
    <row r="21" spans="2:13" ht="21" x14ac:dyDescent="0.4">
      <c r="B21" s="26" t="s">
        <v>116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7">
        <f>SUM(Tabela5711[Total])</f>
        <v>0</v>
      </c>
    </row>
    <row r="22" spans="2:13" ht="21" x14ac:dyDescent="0.4">
      <c r="B22" s="28" t="s">
        <v>117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0">
        <f>SUM(Tabela5711[Valor de Entrega])</f>
        <v>0</v>
      </c>
    </row>
    <row r="23" spans="2:13" ht="21" x14ac:dyDescent="0.4">
      <c r="B23" s="28" t="s">
        <v>133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55">
        <f>SUM(IF(FREQUENCY(Tabela5711[Id da Venda],Tabela5711[Id da Venda])&gt;0,1,0))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C97F7C-4311-41E7-B0E9-39BD5EDCB5F0}">
          <x14:formula1>
            <xm:f>cálculos!$M$7:$M$30</xm:f>
          </x14:formula1>
          <xm:sqref>D5:D17</xm:sqref>
        </x14:dataValidation>
        <x14:dataValidation type="list" allowBlank="1" showInputMessage="1" showErrorMessage="1" xr:uid="{E927F21E-56F0-4D90-B91B-22A3BBF1341B}">
          <x14:formula1>
            <xm:f>cálculos!$B$7:$B$11</xm:f>
          </x14:formula1>
          <xm:sqref>J5:J18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6:P30"/>
  <sheetViews>
    <sheetView topLeftCell="A3" workbookViewId="0">
      <selection activeCell="F11" sqref="F11"/>
    </sheetView>
  </sheetViews>
  <sheetFormatPr defaultRowHeight="14.4" x14ac:dyDescent="0.3"/>
  <cols>
    <col min="2" max="2" width="17" bestFit="1" customWidth="1"/>
    <col min="3" max="3" width="15.33203125" bestFit="1" customWidth="1"/>
    <col min="13" max="13" width="14.77734375" bestFit="1" customWidth="1"/>
    <col min="14" max="14" width="25.21875" bestFit="1" customWidth="1"/>
    <col min="15" max="15" width="24" bestFit="1" customWidth="1"/>
    <col min="16" max="16" width="9.6640625" bestFit="1" customWidth="1"/>
  </cols>
  <sheetData>
    <row r="6" spans="2:16" x14ac:dyDescent="0.3">
      <c r="B6" s="8" t="s">
        <v>109</v>
      </c>
      <c r="C6" s="8" t="s">
        <v>110</v>
      </c>
      <c r="M6" s="8" t="s">
        <v>61</v>
      </c>
      <c r="N6" s="8" t="s">
        <v>62</v>
      </c>
      <c r="O6" s="8" t="s">
        <v>63</v>
      </c>
      <c r="P6" s="8" t="s">
        <v>56</v>
      </c>
    </row>
    <row r="7" spans="2:16" x14ac:dyDescent="0.3">
      <c r="B7" t="s">
        <v>111</v>
      </c>
      <c r="C7" s="9">
        <v>5</v>
      </c>
      <c r="M7" t="s">
        <v>19</v>
      </c>
      <c r="N7" s="9">
        <v>2.8405</v>
      </c>
      <c r="O7" s="9">
        <v>2.99</v>
      </c>
      <c r="P7" t="s">
        <v>55</v>
      </c>
    </row>
    <row r="8" spans="2:16" x14ac:dyDescent="0.3">
      <c r="B8" t="s">
        <v>112</v>
      </c>
      <c r="C8" s="9">
        <v>0</v>
      </c>
      <c r="M8" t="s">
        <v>28</v>
      </c>
      <c r="N8" s="9">
        <v>1.0580000000000001</v>
      </c>
      <c r="O8" s="9">
        <v>1.1499999999999999</v>
      </c>
      <c r="P8" t="s">
        <v>64</v>
      </c>
    </row>
    <row r="9" spans="2:16" x14ac:dyDescent="0.3">
      <c r="B9" t="s">
        <v>113</v>
      </c>
      <c r="C9" s="9">
        <v>6.5</v>
      </c>
      <c r="M9" t="s">
        <v>16</v>
      </c>
      <c r="N9" s="9">
        <v>2.3406000000000002</v>
      </c>
      <c r="O9" s="9">
        <v>2.4900000000000002</v>
      </c>
      <c r="P9" t="s">
        <v>65</v>
      </c>
    </row>
    <row r="10" spans="2:16" x14ac:dyDescent="0.3">
      <c r="B10" t="s">
        <v>114</v>
      </c>
      <c r="C10" s="9">
        <v>8</v>
      </c>
      <c r="M10" t="s">
        <v>33</v>
      </c>
      <c r="N10" s="9">
        <v>1.8506999999999998</v>
      </c>
      <c r="O10" s="9">
        <v>1.99</v>
      </c>
      <c r="P10" t="s">
        <v>64</v>
      </c>
    </row>
    <row r="11" spans="2:16" x14ac:dyDescent="0.3">
      <c r="B11" t="s">
        <v>115</v>
      </c>
      <c r="C11" s="9">
        <v>6.5</v>
      </c>
      <c r="M11" t="s">
        <v>36</v>
      </c>
      <c r="N11" s="9">
        <v>1.0924999999999998</v>
      </c>
      <c r="O11" s="9">
        <v>1.1499999999999999</v>
      </c>
      <c r="P11" t="s">
        <v>64</v>
      </c>
    </row>
    <row r="12" spans="2:16" x14ac:dyDescent="0.3">
      <c r="M12" t="s">
        <v>32</v>
      </c>
      <c r="N12" s="9">
        <v>0.74260000000000004</v>
      </c>
      <c r="O12" s="9">
        <v>0.79</v>
      </c>
      <c r="P12" t="s">
        <v>64</v>
      </c>
    </row>
    <row r="13" spans="2:16" x14ac:dyDescent="0.3">
      <c r="M13" t="s">
        <v>20</v>
      </c>
      <c r="N13" s="9">
        <v>14.469000000000001</v>
      </c>
      <c r="O13" s="9">
        <v>15.9</v>
      </c>
      <c r="P13" t="s">
        <v>65</v>
      </c>
    </row>
    <row r="14" spans="2:16" x14ac:dyDescent="0.3">
      <c r="M14" t="s">
        <v>26</v>
      </c>
      <c r="N14" s="9">
        <v>3.6309000000000005</v>
      </c>
      <c r="O14" s="9">
        <v>3.99</v>
      </c>
      <c r="P14" t="s">
        <v>65</v>
      </c>
    </row>
    <row r="15" spans="2:16" x14ac:dyDescent="0.3">
      <c r="M15" t="s">
        <v>29</v>
      </c>
      <c r="N15" s="9">
        <v>2.1023999999999998</v>
      </c>
      <c r="O15" s="9">
        <v>2.19</v>
      </c>
      <c r="P15" t="s">
        <v>68</v>
      </c>
    </row>
    <row r="16" spans="2:16" x14ac:dyDescent="0.3">
      <c r="M16" t="s">
        <v>34</v>
      </c>
      <c r="N16" s="9">
        <v>4.5409000000000006</v>
      </c>
      <c r="O16" s="9">
        <v>4.99</v>
      </c>
      <c r="P16" t="s">
        <v>69</v>
      </c>
    </row>
    <row r="17" spans="13:16" x14ac:dyDescent="0.3">
      <c r="M17" t="s">
        <v>35</v>
      </c>
      <c r="N17" s="9">
        <v>6.3449999999999998</v>
      </c>
      <c r="O17" s="9">
        <v>6.75</v>
      </c>
      <c r="P17" t="s">
        <v>70</v>
      </c>
    </row>
    <row r="18" spans="13:16" x14ac:dyDescent="0.3">
      <c r="M18" t="s">
        <v>31</v>
      </c>
      <c r="N18" s="9">
        <v>2.3660000000000001</v>
      </c>
      <c r="O18" s="9">
        <v>2.6</v>
      </c>
      <c r="P18" t="s">
        <v>55</v>
      </c>
    </row>
    <row r="19" spans="13:16" x14ac:dyDescent="0.3">
      <c r="M19" t="s">
        <v>17</v>
      </c>
      <c r="N19" s="9">
        <v>4.0659999999999998</v>
      </c>
      <c r="O19" s="9">
        <v>4.28</v>
      </c>
      <c r="P19" t="s">
        <v>65</v>
      </c>
    </row>
    <row r="20" spans="13:16" x14ac:dyDescent="0.3">
      <c r="M20" t="s">
        <v>21</v>
      </c>
      <c r="N20" s="9">
        <v>6.4216000000000006</v>
      </c>
      <c r="O20" s="9">
        <v>6.98</v>
      </c>
      <c r="P20" t="s">
        <v>65</v>
      </c>
    </row>
    <row r="21" spans="13:16" x14ac:dyDescent="0.3">
      <c r="M21" t="s">
        <v>66</v>
      </c>
      <c r="N21" s="9">
        <v>1.3708</v>
      </c>
      <c r="O21" s="9">
        <v>1.49</v>
      </c>
      <c r="P21" t="s">
        <v>67</v>
      </c>
    </row>
    <row r="22" spans="13:16" x14ac:dyDescent="0.3">
      <c r="M22" t="s">
        <v>71</v>
      </c>
      <c r="N22" s="9">
        <v>2.6299000000000001</v>
      </c>
      <c r="O22" s="9">
        <v>2.89</v>
      </c>
      <c r="P22" t="s">
        <v>55</v>
      </c>
    </row>
    <row r="23" spans="13:16" x14ac:dyDescent="0.3">
      <c r="M23" t="s">
        <v>22</v>
      </c>
      <c r="N23" s="9">
        <v>22.226999999999997</v>
      </c>
      <c r="O23" s="9">
        <v>23.9</v>
      </c>
      <c r="P23" t="s">
        <v>65</v>
      </c>
    </row>
    <row r="24" spans="13:16" x14ac:dyDescent="0.3">
      <c r="M24" t="s">
        <v>23</v>
      </c>
      <c r="N24" s="9">
        <v>23.827999999999999</v>
      </c>
      <c r="O24" s="9">
        <v>25.9</v>
      </c>
      <c r="P24" t="s">
        <v>65</v>
      </c>
    </row>
    <row r="25" spans="13:16" x14ac:dyDescent="0.3">
      <c r="M25" t="s">
        <v>72</v>
      </c>
      <c r="N25" s="9">
        <v>2.1749000000000001</v>
      </c>
      <c r="O25" s="9">
        <v>2.39</v>
      </c>
      <c r="P25" t="s">
        <v>67</v>
      </c>
    </row>
    <row r="26" spans="13:16" x14ac:dyDescent="0.3">
      <c r="M26" t="s">
        <v>25</v>
      </c>
      <c r="N26" s="9">
        <v>3.2084999999999999</v>
      </c>
      <c r="O26" s="9">
        <v>3.45</v>
      </c>
      <c r="P26" t="s">
        <v>67</v>
      </c>
    </row>
    <row r="27" spans="13:16" x14ac:dyDescent="0.3">
      <c r="M27" t="s">
        <v>18</v>
      </c>
      <c r="N27" s="9">
        <v>5.3544000000000009</v>
      </c>
      <c r="O27" s="9">
        <v>5.82</v>
      </c>
      <c r="P27" t="s">
        <v>65</v>
      </c>
    </row>
    <row r="28" spans="13:16" x14ac:dyDescent="0.3">
      <c r="M28" t="s">
        <v>27</v>
      </c>
      <c r="N28" s="9">
        <v>9.1009999999999991</v>
      </c>
      <c r="O28" s="9">
        <v>9.58</v>
      </c>
      <c r="P28" t="s">
        <v>65</v>
      </c>
    </row>
    <row r="29" spans="13:16" x14ac:dyDescent="0.3">
      <c r="M29" t="s">
        <v>24</v>
      </c>
      <c r="N29" s="9">
        <v>26.012999999999998</v>
      </c>
      <c r="O29" s="9">
        <v>29.9</v>
      </c>
      <c r="P29" t="s">
        <v>73</v>
      </c>
    </row>
    <row r="30" spans="13:16" x14ac:dyDescent="0.3">
      <c r="M30" t="s">
        <v>30</v>
      </c>
      <c r="N30" s="9">
        <v>46.664999999999999</v>
      </c>
      <c r="O30" s="9">
        <v>54.9</v>
      </c>
      <c r="P30" t="s">
        <v>73</v>
      </c>
    </row>
  </sheetData>
  <autoFilter ref="M6:P6" xr:uid="{ECCBCB4F-BB79-43B6-A004-52505D7F85F7}">
    <sortState xmlns:xlrd2="http://schemas.microsoft.com/office/spreadsheetml/2017/richdata2" ref="M7:P30">
      <sortCondition ref="M6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33"/>
  <sheetViews>
    <sheetView showGridLines="0" topLeftCell="A21" workbookViewId="0">
      <selection activeCell="H17" sqref="H17"/>
    </sheetView>
  </sheetViews>
  <sheetFormatPr defaultRowHeight="14.4" x14ac:dyDescent="0.3"/>
  <cols>
    <col min="2" max="2" width="46.5546875" bestFit="1" customWidth="1"/>
    <col min="3" max="3" width="24.21875" bestFit="1" customWidth="1"/>
    <col min="4" max="4" width="13.88671875" customWidth="1"/>
    <col min="5" max="5" width="25.21875" customWidth="1"/>
    <col min="6" max="6" width="20.6640625" customWidth="1"/>
    <col min="7" max="7" width="19.5546875" bestFit="1" customWidth="1"/>
  </cols>
  <sheetData>
    <row r="2" spans="1:19" s="2" customFormat="1" ht="28.05" customHeight="1" x14ac:dyDescent="0.45">
      <c r="A2" s="1"/>
      <c r="B2" s="22" t="s">
        <v>37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48" customHeight="1" x14ac:dyDescent="0.3"/>
    <row r="4" spans="1:19" x14ac:dyDescent="0.3">
      <c r="B4" t="s">
        <v>38</v>
      </c>
      <c r="C4" t="s">
        <v>39</v>
      </c>
      <c r="D4" t="s">
        <v>41</v>
      </c>
      <c r="E4" t="s">
        <v>42</v>
      </c>
      <c r="F4" t="s">
        <v>44</v>
      </c>
      <c r="G4" t="s">
        <v>43</v>
      </c>
    </row>
    <row r="5" spans="1:19" x14ac:dyDescent="0.3">
      <c r="B5" t="s">
        <v>3</v>
      </c>
      <c r="F5" s="3"/>
      <c r="G5" s="3">
        <v>1000</v>
      </c>
    </row>
    <row r="6" spans="1:19" x14ac:dyDescent="0.3">
      <c r="B6" t="s">
        <v>40</v>
      </c>
      <c r="F6" s="3"/>
      <c r="G6" s="3">
        <f>SUM(F7:F11)</f>
        <v>17500</v>
      </c>
    </row>
    <row r="7" spans="1:19" x14ac:dyDescent="0.3">
      <c r="C7" t="s">
        <v>7</v>
      </c>
      <c r="F7" s="3">
        <v>10000</v>
      </c>
      <c r="G7" s="3"/>
    </row>
    <row r="8" spans="1:19" x14ac:dyDescent="0.3">
      <c r="C8" t="s">
        <v>8</v>
      </c>
      <c r="F8" s="3">
        <v>500</v>
      </c>
      <c r="G8" s="3"/>
    </row>
    <row r="9" spans="1:19" x14ac:dyDescent="0.3">
      <c r="C9" t="s">
        <v>1</v>
      </c>
      <c r="F9" s="3">
        <v>3000</v>
      </c>
      <c r="G9" s="3"/>
    </row>
    <row r="10" spans="1:19" x14ac:dyDescent="0.3">
      <c r="C10" t="s">
        <v>9</v>
      </c>
      <c r="F10" s="3">
        <v>2500</v>
      </c>
      <c r="G10" s="3"/>
    </row>
    <row r="11" spans="1:19" x14ac:dyDescent="0.3">
      <c r="C11" t="s">
        <v>5</v>
      </c>
      <c r="E11" t="s">
        <v>50</v>
      </c>
      <c r="F11" s="3">
        <v>1500</v>
      </c>
      <c r="G11" s="3"/>
    </row>
    <row r="12" spans="1:19" x14ac:dyDescent="0.3">
      <c r="B12" t="s">
        <v>0</v>
      </c>
      <c r="F12" s="3"/>
      <c r="G12" s="3">
        <v>900</v>
      </c>
    </row>
    <row r="13" spans="1:19" x14ac:dyDescent="0.3">
      <c r="B13" t="s">
        <v>1</v>
      </c>
      <c r="F13" s="3"/>
      <c r="G13" s="3">
        <v>6000</v>
      </c>
    </row>
    <row r="14" spans="1:19" x14ac:dyDescent="0.3">
      <c r="B14" t="s">
        <v>49</v>
      </c>
      <c r="G14" s="3">
        <f>SUM(F15:F19)</f>
        <v>5300</v>
      </c>
    </row>
    <row r="15" spans="1:19" x14ac:dyDescent="0.3">
      <c r="C15" t="s">
        <v>45</v>
      </c>
      <c r="F15" s="3">
        <v>800</v>
      </c>
      <c r="G15" s="3"/>
    </row>
    <row r="16" spans="1:19" x14ac:dyDescent="0.3">
      <c r="C16" t="s">
        <v>46</v>
      </c>
      <c r="F16" s="3">
        <v>3200</v>
      </c>
      <c r="G16" s="3"/>
    </row>
    <row r="17" spans="2:7" x14ac:dyDescent="0.3">
      <c r="C17" t="s">
        <v>47</v>
      </c>
      <c r="F17" s="3">
        <v>500</v>
      </c>
      <c r="G17" s="3"/>
    </row>
    <row r="18" spans="2:7" x14ac:dyDescent="0.3">
      <c r="C18" t="s">
        <v>48</v>
      </c>
      <c r="F18" s="3">
        <v>800</v>
      </c>
      <c r="G18" s="3"/>
    </row>
    <row r="19" spans="2:7" x14ac:dyDescent="0.3">
      <c r="C19" t="s">
        <v>5</v>
      </c>
      <c r="F19" s="3">
        <v>0</v>
      </c>
      <c r="G19" s="3"/>
    </row>
    <row r="20" spans="2:7" x14ac:dyDescent="0.3">
      <c r="B20" t="s">
        <v>2</v>
      </c>
      <c r="F20" s="3"/>
      <c r="G20" s="3">
        <v>300</v>
      </c>
    </row>
    <row r="21" spans="2:7" x14ac:dyDescent="0.3">
      <c r="B21" t="s">
        <v>11</v>
      </c>
      <c r="F21" s="3"/>
      <c r="G21" s="3">
        <f>SUM(F22:F27)</f>
        <v>11950</v>
      </c>
    </row>
    <row r="22" spans="2:7" x14ac:dyDescent="0.3">
      <c r="C22" t="s">
        <v>12</v>
      </c>
      <c r="F22" s="3">
        <v>1650</v>
      </c>
      <c r="G22" s="3"/>
    </row>
    <row r="23" spans="2:7" x14ac:dyDescent="0.3">
      <c r="C23" t="s">
        <v>13</v>
      </c>
      <c r="F23" s="3">
        <v>3000</v>
      </c>
      <c r="G23" s="3"/>
    </row>
    <row r="24" spans="2:7" x14ac:dyDescent="0.3">
      <c r="C24" t="s">
        <v>14</v>
      </c>
      <c r="F24" s="3">
        <v>3000</v>
      </c>
      <c r="G24" s="3"/>
    </row>
    <row r="25" spans="2:7" x14ac:dyDescent="0.3">
      <c r="C25" t="s">
        <v>15</v>
      </c>
      <c r="F25" s="3">
        <v>2700</v>
      </c>
      <c r="G25" s="3"/>
    </row>
    <row r="26" spans="2:7" x14ac:dyDescent="0.3">
      <c r="C26" t="s">
        <v>10</v>
      </c>
      <c r="F26" s="3">
        <v>1500</v>
      </c>
      <c r="G26" s="3"/>
    </row>
    <row r="27" spans="2:7" x14ac:dyDescent="0.3">
      <c r="C27" t="s">
        <v>5</v>
      </c>
      <c r="F27" s="3">
        <v>100</v>
      </c>
      <c r="G27" s="3"/>
    </row>
    <row r="28" spans="2:7" x14ac:dyDescent="0.3">
      <c r="B28" t="s">
        <v>4</v>
      </c>
      <c r="F28" s="3"/>
      <c r="G28" s="3">
        <v>1500</v>
      </c>
    </row>
    <row r="29" spans="2:7" x14ac:dyDescent="0.3">
      <c r="B29" t="s">
        <v>5</v>
      </c>
      <c r="G29" s="3">
        <v>957</v>
      </c>
    </row>
    <row r="31" spans="2:7" ht="21" x14ac:dyDescent="0.4">
      <c r="B31" s="14" t="s">
        <v>51</v>
      </c>
      <c r="C31" s="14"/>
      <c r="D31" s="14"/>
      <c r="E31" s="14"/>
      <c r="F31" s="14"/>
      <c r="G31" s="15">
        <f>SUM(Tabela1[Valor Final])</f>
        <v>45407</v>
      </c>
    </row>
    <row r="32" spans="2:7" ht="21" x14ac:dyDescent="0.4">
      <c r="B32" s="11" t="s">
        <v>84</v>
      </c>
      <c r="C32" s="12"/>
      <c r="D32" s="12"/>
      <c r="E32" s="12"/>
      <c r="F32" s="12"/>
      <c r="G32" s="13">
        <f>'Compras Mercadorias'!I28</f>
        <v>14057.59987</v>
      </c>
    </row>
    <row r="33" spans="2:7" ht="21" x14ac:dyDescent="0.4">
      <c r="B33" s="16" t="s">
        <v>85</v>
      </c>
      <c r="C33" s="17"/>
      <c r="D33" s="17"/>
      <c r="E33" s="17"/>
      <c r="F33" s="17"/>
      <c r="G33" s="18">
        <f>SUM(G31,G32)</f>
        <v>59464.599869999998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776A12-0323-49C0-AC38-680196F327F2}">
          <x14:formula1>
            <xm:f>cálculos!$M$7:$M$35</xm:f>
          </x14:formula1>
          <xm:sqref>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Y28"/>
  <sheetViews>
    <sheetView showGridLines="0" topLeftCell="A6" workbookViewId="0">
      <selection activeCell="B34" sqref="B34"/>
    </sheetView>
  </sheetViews>
  <sheetFormatPr defaultRowHeight="14.4" x14ac:dyDescent="0.3"/>
  <cols>
    <col min="2" max="2" width="26.5546875" customWidth="1"/>
    <col min="3" max="3" width="28.33203125" customWidth="1"/>
    <col min="4" max="4" width="22.6640625" customWidth="1"/>
    <col min="5" max="5" width="20.5546875" customWidth="1"/>
    <col min="6" max="6" width="22.33203125" customWidth="1"/>
    <col min="7" max="7" width="22.5546875" customWidth="1"/>
    <col min="8" max="8" width="20.6640625" customWidth="1"/>
    <col min="9" max="9" width="26.21875" customWidth="1"/>
  </cols>
  <sheetData>
    <row r="2" spans="1:25" s="2" customFormat="1" ht="28.05" customHeight="1" x14ac:dyDescent="0.45">
      <c r="A2" s="1"/>
      <c r="B2" s="4" t="s">
        <v>52</v>
      </c>
      <c r="C2" s="1"/>
      <c r="D2" s="1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48" customHeight="1" x14ac:dyDescent="0.3"/>
    <row r="4" spans="1:25" x14ac:dyDescent="0.3">
      <c r="B4" t="s">
        <v>41</v>
      </c>
      <c r="C4" t="s">
        <v>53</v>
      </c>
      <c r="D4" t="s">
        <v>54</v>
      </c>
      <c r="E4" t="s">
        <v>56</v>
      </c>
      <c r="F4" t="s">
        <v>57</v>
      </c>
      <c r="G4" t="s">
        <v>58</v>
      </c>
      <c r="H4" t="s">
        <v>59</v>
      </c>
      <c r="I4" t="s">
        <v>60</v>
      </c>
    </row>
    <row r="5" spans="1:25" x14ac:dyDescent="0.3">
      <c r="B5" s="7">
        <v>42190</v>
      </c>
      <c r="C5" t="s">
        <v>74</v>
      </c>
      <c r="D5" t="s">
        <v>31</v>
      </c>
      <c r="E5" t="str">
        <f>IFERROR(VLOOKUP(Tabela2[[#This Row],[Mercadoria]],cálculos!$M$7:$P$35,4,FALSE),"")</f>
        <v>Unidade</v>
      </c>
      <c r="F5">
        <v>50</v>
      </c>
      <c r="G5" s="3">
        <f>IFERROR(VLOOKUP(Tabela2[[#This Row],[Mercadoria]],cálculos!$M$7:$P$35,2,FALSE),"")</f>
        <v>2.3660000000000001</v>
      </c>
      <c r="H5" s="6"/>
      <c r="I5" s="3">
        <f>Tabela2[[#This Row],[Quantidade]]*Tabela2[[#This Row],[Preço Unitário]]*(1-Tabela2[[#This Row],[Desconto]])</f>
        <v>118.30000000000001</v>
      </c>
    </row>
    <row r="6" spans="1:25" x14ac:dyDescent="0.3">
      <c r="B6" s="7">
        <v>42190</v>
      </c>
      <c r="C6" t="s">
        <v>75</v>
      </c>
      <c r="D6" t="s">
        <v>17</v>
      </c>
      <c r="E6" t="str">
        <f>IFERROR(VLOOKUP(Tabela2[[#This Row],[Mercadoria]],cálculos!$M$7:$P$35,4,FALSE),"")</f>
        <v>Kg</v>
      </c>
      <c r="F6">
        <v>120</v>
      </c>
      <c r="G6" s="3">
        <f>IFERROR(VLOOKUP(Tabela2[[#This Row],[Mercadoria]],cálculos!$M$7:$P$35,2,FALSE),"")</f>
        <v>4.0659999999999998</v>
      </c>
      <c r="H6" s="6"/>
      <c r="I6" s="3">
        <f>Tabela2[[#This Row],[Quantidade]]*Tabela2[[#This Row],[Preço Unitário]]*(1-Tabela2[[#This Row],[Desconto]])</f>
        <v>487.91999999999996</v>
      </c>
    </row>
    <row r="7" spans="1:25" x14ac:dyDescent="0.3">
      <c r="B7" s="7">
        <v>42189</v>
      </c>
      <c r="C7" t="s">
        <v>75</v>
      </c>
      <c r="D7" t="s">
        <v>17</v>
      </c>
      <c r="E7" t="str">
        <f>IFERROR(VLOOKUP(Tabela2[[#This Row],[Mercadoria]],cálculos!$M$7:$P$35,4,FALSE),"")</f>
        <v>Kg</v>
      </c>
      <c r="F7">
        <v>150</v>
      </c>
      <c r="G7" s="3">
        <f>IFERROR(VLOOKUP(Tabela2[[#This Row],[Mercadoria]],cálculos!$M$7:$P$35,2,FALSE),"")</f>
        <v>4.0659999999999998</v>
      </c>
      <c r="H7" s="6"/>
      <c r="I7" s="3">
        <f>Tabela2[[#This Row],[Quantidade]]*Tabela2[[#This Row],[Preço Unitário]]*(1-Tabela2[[#This Row],[Desconto]])</f>
        <v>609.9</v>
      </c>
    </row>
    <row r="8" spans="1:25" x14ac:dyDescent="0.3">
      <c r="B8" s="7">
        <v>42189</v>
      </c>
      <c r="C8" t="s">
        <v>75</v>
      </c>
      <c r="D8" t="s">
        <v>16</v>
      </c>
      <c r="E8" t="str">
        <f>IFERROR(VLOOKUP(Tabela2[[#This Row],[Mercadoria]],cálculos!$M$7:$P$35,4,FALSE),"")</f>
        <v>Kg</v>
      </c>
      <c r="F8">
        <v>150</v>
      </c>
      <c r="G8" s="3">
        <f>IFERROR(VLOOKUP(Tabela2[[#This Row],[Mercadoria]],cálculos!$M$7:$P$35,2,FALSE),"")</f>
        <v>2.3406000000000002</v>
      </c>
      <c r="H8" s="6">
        <v>0.03</v>
      </c>
      <c r="I8" s="3">
        <f>Tabela2[[#This Row],[Quantidade]]*Tabela2[[#This Row],[Preço Unitário]]*(1-Tabela2[[#This Row],[Desconto]])</f>
        <v>340.5573</v>
      </c>
    </row>
    <row r="9" spans="1:25" x14ac:dyDescent="0.3">
      <c r="B9" s="7">
        <v>42189</v>
      </c>
      <c r="C9" t="s">
        <v>76</v>
      </c>
      <c r="D9" t="s">
        <v>29</v>
      </c>
      <c r="E9" t="str">
        <f>IFERROR(VLOOKUP(Tabela2[[#This Row],[Mercadoria]],cálculos!$M$7:$P$35,4,FALSE),"")</f>
        <v>Lata</v>
      </c>
      <c r="F9">
        <v>100</v>
      </c>
      <c r="G9" s="3">
        <f>IFERROR(VLOOKUP(Tabela2[[#This Row],[Mercadoria]],cálculos!$M$7:$P$35,2,FALSE),"")</f>
        <v>2.1023999999999998</v>
      </c>
      <c r="H9" s="6"/>
      <c r="I9" s="3">
        <f>Tabela2[[#This Row],[Quantidade]]*Tabela2[[#This Row],[Preço Unitário]]*(1-Tabela2[[#This Row],[Desconto]])</f>
        <v>210.23999999999998</v>
      </c>
    </row>
    <row r="10" spans="1:25" x14ac:dyDescent="0.3">
      <c r="B10" s="7">
        <v>42189</v>
      </c>
      <c r="C10" t="s">
        <v>76</v>
      </c>
      <c r="D10" t="s">
        <v>25</v>
      </c>
      <c r="E10" t="str">
        <f>IFERROR(VLOOKUP(Tabela2[[#This Row],[Mercadoria]],cálculos!$M$7:$P$35,4,FALSE),"")</f>
        <v>Litro</v>
      </c>
      <c r="F10">
        <v>200</v>
      </c>
      <c r="G10" s="3">
        <f>IFERROR(VLOOKUP(Tabela2[[#This Row],[Mercadoria]],cálculos!$M$7:$P$35,2,FALSE),"")</f>
        <v>3.2084999999999999</v>
      </c>
      <c r="H10" s="6"/>
      <c r="I10" s="3">
        <f>Tabela2[[#This Row],[Quantidade]]*Tabela2[[#This Row],[Preço Unitário]]*(1-Tabela2[[#This Row],[Desconto]])</f>
        <v>641.69999999999993</v>
      </c>
    </row>
    <row r="11" spans="1:25" x14ac:dyDescent="0.3">
      <c r="B11" s="7">
        <v>42188</v>
      </c>
      <c r="C11" t="s">
        <v>77</v>
      </c>
      <c r="D11" t="s">
        <v>35</v>
      </c>
      <c r="E11" t="str">
        <f>IFERROR(VLOOKUP(Tabela2[[#This Row],[Mercadoria]],cálculos!$M$7:$P$35,4,FALSE),"")</f>
        <v>Maço</v>
      </c>
      <c r="F11">
        <v>100</v>
      </c>
      <c r="G11" s="3">
        <f>IFERROR(VLOOKUP(Tabela2[[#This Row],[Mercadoria]],cálculos!$M$7:$P$35,2,FALSE),"")</f>
        <v>6.3449999999999998</v>
      </c>
      <c r="H11" s="6"/>
      <c r="I11" s="3">
        <f>Tabela2[[#This Row],[Quantidade]]*Tabela2[[#This Row],[Preço Unitário]]*(1-Tabela2[[#This Row],[Desconto]])</f>
        <v>634.5</v>
      </c>
    </row>
    <row r="12" spans="1:25" x14ac:dyDescent="0.3">
      <c r="B12" s="7">
        <v>42188</v>
      </c>
      <c r="C12" t="s">
        <v>78</v>
      </c>
      <c r="D12" t="s">
        <v>34</v>
      </c>
      <c r="E12" t="str">
        <f>IFERROR(VLOOKUP(Tabela2[[#This Row],[Mercadoria]],cálculos!$M$7:$P$35,4,FALSE),"")</f>
        <v>Barra</v>
      </c>
      <c r="F12">
        <v>100</v>
      </c>
      <c r="G12" s="3">
        <f>IFERROR(VLOOKUP(Tabela2[[#This Row],[Mercadoria]],cálculos!$M$7:$P$35,2,FALSE),"")</f>
        <v>4.5409000000000006</v>
      </c>
      <c r="H12" s="6"/>
      <c r="I12" s="3">
        <f>Tabela2[[#This Row],[Quantidade]]*Tabela2[[#This Row],[Preço Unitário]]*(1-Tabela2[[#This Row],[Desconto]])</f>
        <v>454.09000000000003</v>
      </c>
    </row>
    <row r="13" spans="1:25" x14ac:dyDescent="0.3">
      <c r="B13" s="7">
        <v>42188</v>
      </c>
      <c r="C13" t="s">
        <v>75</v>
      </c>
      <c r="D13" t="s">
        <v>17</v>
      </c>
      <c r="E13" t="str">
        <f>IFERROR(VLOOKUP(Tabela2[[#This Row],[Mercadoria]],cálculos!$M$7:$P$35,4,FALSE),"")</f>
        <v>Kg</v>
      </c>
      <c r="F13">
        <v>300</v>
      </c>
      <c r="G13" s="3">
        <f>IFERROR(VLOOKUP(Tabela2[[#This Row],[Mercadoria]],cálculos!$M$7:$P$35,2,FALSE),"")</f>
        <v>4.0659999999999998</v>
      </c>
      <c r="H13" s="6">
        <v>0.02</v>
      </c>
      <c r="I13" s="3">
        <f>Tabela2[[#This Row],[Quantidade]]*Tabela2[[#This Row],[Preço Unitário]]*(1-Tabela2[[#This Row],[Desconto]])</f>
        <v>1195.404</v>
      </c>
    </row>
    <row r="14" spans="1:25" x14ac:dyDescent="0.3">
      <c r="B14" s="7">
        <v>42188</v>
      </c>
      <c r="C14" t="s">
        <v>75</v>
      </c>
      <c r="D14" t="s">
        <v>28</v>
      </c>
      <c r="E14" t="str">
        <f>IFERROR(VLOOKUP(Tabela2[[#This Row],[Mercadoria]],cálculos!$M$7:$P$35,4,FALSE),"")</f>
        <v>Pacote</v>
      </c>
      <c r="F14">
        <v>50</v>
      </c>
      <c r="G14" s="3">
        <f>IFERROR(VLOOKUP(Tabela2[[#This Row],[Mercadoria]],cálculos!$M$7:$P$35,2,FALSE),"")</f>
        <v>1.0580000000000001</v>
      </c>
      <c r="H14" s="6"/>
      <c r="I14" s="3">
        <f>Tabela2[[#This Row],[Quantidade]]*Tabela2[[#This Row],[Preço Unitário]]*(1-Tabela2[[#This Row],[Desconto]])</f>
        <v>52.900000000000006</v>
      </c>
    </row>
    <row r="15" spans="1:25" x14ac:dyDescent="0.3">
      <c r="B15" s="7">
        <v>42188</v>
      </c>
      <c r="C15" t="s">
        <v>79</v>
      </c>
      <c r="D15" t="s">
        <v>71</v>
      </c>
      <c r="E15" t="str">
        <f>IFERROR(VLOOKUP(Tabela2[[#This Row],[Mercadoria]],cálculos!$M$7:$P$35,4,FALSE),"")</f>
        <v>Unidade</v>
      </c>
      <c r="F15">
        <v>300</v>
      </c>
      <c r="G15" s="3">
        <f>IFERROR(VLOOKUP(Tabela2[[#This Row],[Mercadoria]],cálculos!$M$7:$P$35,2,FALSE),"")</f>
        <v>2.6299000000000001</v>
      </c>
      <c r="H15" s="6"/>
      <c r="I15" s="3">
        <f>Tabela2[[#This Row],[Quantidade]]*Tabela2[[#This Row],[Preço Unitário]]*(1-Tabela2[[#This Row],[Desconto]])</f>
        <v>788.97</v>
      </c>
    </row>
    <row r="16" spans="1:25" x14ac:dyDescent="0.3">
      <c r="B16" s="7">
        <v>42188</v>
      </c>
      <c r="C16" t="s">
        <v>78</v>
      </c>
      <c r="D16" t="s">
        <v>33</v>
      </c>
      <c r="E16" t="str">
        <f>IFERROR(VLOOKUP(Tabela2[[#This Row],[Mercadoria]],cálculos!$M$7:$P$35,4,FALSE),"")</f>
        <v>Pacote</v>
      </c>
      <c r="F16">
        <v>100</v>
      </c>
      <c r="G16" s="3">
        <f>IFERROR(VLOOKUP(Tabela2[[#This Row],[Mercadoria]],cálculos!$M$7:$P$35,2,FALSE),"")</f>
        <v>1.8506999999999998</v>
      </c>
      <c r="H16" s="6"/>
      <c r="I16" s="3">
        <f>Tabela2[[#This Row],[Quantidade]]*Tabela2[[#This Row],[Preço Unitário]]*(1-Tabela2[[#This Row],[Desconto]])</f>
        <v>185.07</v>
      </c>
    </row>
    <row r="17" spans="2:9" x14ac:dyDescent="0.3">
      <c r="B17" s="7">
        <v>42188</v>
      </c>
      <c r="C17" t="s">
        <v>76</v>
      </c>
      <c r="D17" t="s">
        <v>29</v>
      </c>
      <c r="E17" t="str">
        <f>IFERROR(VLOOKUP(Tabela2[[#This Row],[Mercadoria]],cálculos!$M$7:$P$35,4,FALSE),"")</f>
        <v>Lata</v>
      </c>
      <c r="F17">
        <v>100</v>
      </c>
      <c r="G17" s="3">
        <f>IFERROR(VLOOKUP(Tabela2[[#This Row],[Mercadoria]],cálculos!$M$7:$P$35,2,FALSE),"")</f>
        <v>2.1023999999999998</v>
      </c>
      <c r="H17" s="6">
        <v>0.06</v>
      </c>
      <c r="I17" s="3">
        <f>Tabela2[[#This Row],[Quantidade]]*Tabela2[[#This Row],[Preço Unitário]]*(1-Tabela2[[#This Row],[Desconto]])</f>
        <v>197.62559999999996</v>
      </c>
    </row>
    <row r="18" spans="2:9" x14ac:dyDescent="0.3">
      <c r="B18" s="7">
        <v>42188</v>
      </c>
      <c r="C18" t="s">
        <v>80</v>
      </c>
      <c r="D18" t="s">
        <v>21</v>
      </c>
      <c r="E18" t="str">
        <f>IFERROR(VLOOKUP(Tabela2[[#This Row],[Mercadoria]],cálculos!$M$7:$P$35,4,FALSE),"")</f>
        <v>Kg</v>
      </c>
      <c r="F18">
        <v>110</v>
      </c>
      <c r="G18" s="3">
        <f>IFERROR(VLOOKUP(Tabela2[[#This Row],[Mercadoria]],cálculos!$M$7:$P$35,2,FALSE),"")</f>
        <v>6.4216000000000006</v>
      </c>
      <c r="H18" s="6">
        <v>0.03</v>
      </c>
      <c r="I18" s="3">
        <f>Tabela2[[#This Row],[Quantidade]]*Tabela2[[#This Row],[Preço Unitário]]*(1-Tabela2[[#This Row],[Desconto]])</f>
        <v>685.18472000000008</v>
      </c>
    </row>
    <row r="19" spans="2:9" x14ac:dyDescent="0.3">
      <c r="B19" s="7">
        <v>42188</v>
      </c>
      <c r="C19" t="s">
        <v>81</v>
      </c>
      <c r="D19" t="s">
        <v>22</v>
      </c>
      <c r="E19" t="str">
        <f>IFERROR(VLOOKUP(Tabela2[[#This Row],[Mercadoria]],cálculos!$M$7:$P$35,4,FALSE),"")</f>
        <v>Kg</v>
      </c>
      <c r="F19">
        <v>50</v>
      </c>
      <c r="G19" s="3">
        <f>IFERROR(VLOOKUP(Tabela2[[#This Row],[Mercadoria]],cálculos!$M$7:$P$35,2,FALSE),"")</f>
        <v>22.226999999999997</v>
      </c>
      <c r="H19" s="6"/>
      <c r="I19" s="3">
        <f>Tabela2[[#This Row],[Quantidade]]*Tabela2[[#This Row],[Preço Unitário]]*(1-Tabela2[[#This Row],[Desconto]])</f>
        <v>1111.3499999999999</v>
      </c>
    </row>
    <row r="20" spans="2:9" x14ac:dyDescent="0.3">
      <c r="B20" s="7">
        <v>42187</v>
      </c>
      <c r="C20" t="s">
        <v>75</v>
      </c>
      <c r="D20" t="s">
        <v>16</v>
      </c>
      <c r="E20" t="str">
        <f>IFERROR(VLOOKUP(Tabela2[[#This Row],[Mercadoria]],cálculos!$M$7:$P$35,4,FALSE),"")</f>
        <v>Kg</v>
      </c>
      <c r="F20">
        <v>300</v>
      </c>
      <c r="G20" s="3">
        <f>IFERROR(VLOOKUP(Tabela2[[#This Row],[Mercadoria]],cálculos!$M$7:$P$35,2,FALSE),"")</f>
        <v>2.3406000000000002</v>
      </c>
      <c r="H20" s="6"/>
      <c r="I20" s="3">
        <f>Tabela2[[#This Row],[Quantidade]]*Tabela2[[#This Row],[Preço Unitário]]*(1-Tabela2[[#This Row],[Desconto]])</f>
        <v>702.18000000000006</v>
      </c>
    </row>
    <row r="21" spans="2:9" x14ac:dyDescent="0.3">
      <c r="B21" s="7">
        <v>42187</v>
      </c>
      <c r="C21" t="s">
        <v>74</v>
      </c>
      <c r="D21" t="s">
        <v>19</v>
      </c>
      <c r="E21" t="str">
        <f>IFERROR(VLOOKUP(Tabela2[[#This Row],[Mercadoria]],cálculos!$M$7:$P$35,4,FALSE),"")</f>
        <v>Unidade</v>
      </c>
      <c r="F21">
        <v>150</v>
      </c>
      <c r="G21" s="3">
        <f>IFERROR(VLOOKUP(Tabela2[[#This Row],[Mercadoria]],cálculos!$M$7:$P$35,2,FALSE),"")</f>
        <v>2.8405</v>
      </c>
      <c r="H21" s="6"/>
      <c r="I21" s="3">
        <f>Tabela2[[#This Row],[Quantidade]]*Tabela2[[#This Row],[Preço Unitário]]*(1-Tabela2[[#This Row],[Desconto]])</f>
        <v>426.07499999999999</v>
      </c>
    </row>
    <row r="22" spans="2:9" x14ac:dyDescent="0.3">
      <c r="B22" s="7">
        <v>42187</v>
      </c>
      <c r="C22" t="s">
        <v>82</v>
      </c>
      <c r="D22" t="s">
        <v>26</v>
      </c>
      <c r="E22" t="str">
        <f>IFERROR(VLOOKUP(Tabela2[[#This Row],[Mercadoria]],cálculos!$M$7:$P$35,4,FALSE),"")</f>
        <v>Kg</v>
      </c>
      <c r="F22">
        <v>150</v>
      </c>
      <c r="G22" s="3">
        <f>IFERROR(VLOOKUP(Tabela2[[#This Row],[Mercadoria]],cálculos!$M$7:$P$35,2,FALSE),"")</f>
        <v>3.6309000000000005</v>
      </c>
      <c r="H22" s="6">
        <v>0.05</v>
      </c>
      <c r="I22" s="3">
        <f>Tabela2[[#This Row],[Quantidade]]*Tabela2[[#This Row],[Preço Unitário]]*(1-Tabela2[[#This Row],[Desconto]])</f>
        <v>517.40325000000007</v>
      </c>
    </row>
    <row r="23" spans="2:9" x14ac:dyDescent="0.3">
      <c r="B23" s="7">
        <v>42187</v>
      </c>
      <c r="C23" t="s">
        <v>83</v>
      </c>
      <c r="D23" t="s">
        <v>20</v>
      </c>
      <c r="E23" t="str">
        <f>IFERROR(VLOOKUP(Tabela2[[#This Row],[Mercadoria]],cálculos!$M$7:$P$35,4,FALSE),"")</f>
        <v>Kg</v>
      </c>
      <c r="F23">
        <v>150</v>
      </c>
      <c r="G23" s="3">
        <f>IFERROR(VLOOKUP(Tabela2[[#This Row],[Mercadoria]],cálculos!$M$7:$P$35,2,FALSE),"")</f>
        <v>14.469000000000001</v>
      </c>
      <c r="H23" s="6"/>
      <c r="I23" s="3">
        <f>Tabela2[[#This Row],[Quantidade]]*Tabela2[[#This Row],[Preço Unitário]]*(1-Tabela2[[#This Row],[Desconto]])</f>
        <v>2170.3500000000004</v>
      </c>
    </row>
    <row r="24" spans="2:9" x14ac:dyDescent="0.3">
      <c r="B24" s="7">
        <v>42187</v>
      </c>
      <c r="C24" t="s">
        <v>76</v>
      </c>
      <c r="D24" t="s">
        <v>29</v>
      </c>
      <c r="E24" t="str">
        <f>IFERROR(VLOOKUP(Tabela2[[#This Row],[Mercadoria]],cálculos!$M$7:$P$35,4,FALSE),"")</f>
        <v>Lata</v>
      </c>
      <c r="F24">
        <v>100</v>
      </c>
      <c r="G24" s="3">
        <f>IFERROR(VLOOKUP(Tabela2[[#This Row],[Mercadoria]],cálculos!$M$7:$P$35,2,FALSE),"")</f>
        <v>2.1023999999999998</v>
      </c>
      <c r="H24" s="6"/>
      <c r="I24" s="3">
        <f>Tabela2[[#This Row],[Quantidade]]*Tabela2[[#This Row],[Preço Unitário]]*(1-Tabela2[[#This Row],[Desconto]])</f>
        <v>210.23999999999998</v>
      </c>
    </row>
    <row r="25" spans="2:9" x14ac:dyDescent="0.3">
      <c r="B25" s="7">
        <v>42187</v>
      </c>
      <c r="C25" t="s">
        <v>76</v>
      </c>
      <c r="D25" t="s">
        <v>24</v>
      </c>
      <c r="E25" t="str">
        <f>IFERROR(VLOOKUP(Tabela2[[#This Row],[Mercadoria]],cálculos!$M$7:$P$35,4,FALSE),"")</f>
        <v>Garrafa</v>
      </c>
      <c r="F25">
        <v>80</v>
      </c>
      <c r="G25" s="3">
        <f>IFERROR(VLOOKUP(Tabela2[[#This Row],[Mercadoria]],cálculos!$M$7:$P$35,2,FALSE),"")</f>
        <v>26.012999999999998</v>
      </c>
      <c r="H25" s="6"/>
      <c r="I25" s="3">
        <f>Tabela2[[#This Row],[Quantidade]]*Tabela2[[#This Row],[Preço Unitário]]*(1-Tabela2[[#This Row],[Desconto]])</f>
        <v>2081.04</v>
      </c>
    </row>
    <row r="26" spans="2:9" x14ac:dyDescent="0.3">
      <c r="B26" s="7">
        <v>42187</v>
      </c>
      <c r="C26" t="s">
        <v>74</v>
      </c>
      <c r="D26" t="s">
        <v>31</v>
      </c>
      <c r="E26" t="str">
        <f>IFERROR(VLOOKUP(Tabela2[[#This Row],[Mercadoria]],cálculos!$M$7:$P$35,4,FALSE),"")</f>
        <v>Unidade</v>
      </c>
      <c r="F26">
        <v>100</v>
      </c>
      <c r="G26" s="3">
        <f>IFERROR(VLOOKUP(Tabela2[[#This Row],[Mercadoria]],cálculos!$M$7:$P$35,2,FALSE),"")</f>
        <v>2.3660000000000001</v>
      </c>
      <c r="H26" s="6"/>
      <c r="I26" s="3">
        <f>Tabela2[[#This Row],[Quantidade]]*Tabela2[[#This Row],[Preço Unitário]]*(1-Tabela2[[#This Row],[Desconto]])</f>
        <v>236.60000000000002</v>
      </c>
    </row>
    <row r="27" spans="2:9" x14ac:dyDescent="0.3">
      <c r="B27" s="7"/>
      <c r="F27" s="3"/>
      <c r="G27" s="6"/>
      <c r="H27" s="3"/>
    </row>
    <row r="28" spans="2:9" ht="21" x14ac:dyDescent="0.4">
      <c r="B28" s="11" t="s">
        <v>84</v>
      </c>
      <c r="C28" s="12"/>
      <c r="D28" s="12"/>
      <c r="E28" s="12"/>
      <c r="F28" s="12"/>
      <c r="G28" s="12"/>
      <c r="H28" s="12"/>
      <c r="I28" s="13">
        <f>SUM(Tabela2[Valor Pago])</f>
        <v>14057.59987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264881-43E6-4560-99B8-55E8E7C4DD75}">
          <x14:formula1>
            <xm:f>cálculos!$M$7:$M$35</xm:f>
          </x14:formula1>
          <xm:sqref>D28</xm:sqref>
        </x14:dataValidation>
        <x14:dataValidation type="list" allowBlank="1" showInputMessage="1" showErrorMessage="1" xr:uid="{10D0A801-07C4-47E4-B813-BBA0F2096D07}">
          <x14:formula1>
            <xm:f>cálculos!$M$7:$M$30</xm:f>
          </x14:formula1>
          <xm:sqref>D5:D27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12"/>
  <sheetViews>
    <sheetView showGridLines="0" workbookViewId="0">
      <selection activeCell="B13" sqref="B13"/>
    </sheetView>
  </sheetViews>
  <sheetFormatPr defaultRowHeight="14.4" x14ac:dyDescent="0.3"/>
  <cols>
    <col min="2" max="2" width="51.5546875" customWidth="1"/>
    <col min="3" max="3" width="22.44140625" customWidth="1"/>
    <col min="4" max="4" width="75.33203125" customWidth="1"/>
    <col min="5" max="5" width="21.109375" bestFit="1" customWidth="1"/>
  </cols>
  <sheetData>
    <row r="2" spans="1:25" s="2" customFormat="1" ht="28.05" customHeight="1" x14ac:dyDescent="0.45">
      <c r="A2" s="1"/>
      <c r="B2" s="4" t="s">
        <v>86</v>
      </c>
      <c r="C2" s="1"/>
      <c r="D2" s="1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48" customHeight="1" x14ac:dyDescent="0.3"/>
    <row r="5" spans="1:25" x14ac:dyDescent="0.3">
      <c r="B5" t="s">
        <v>89</v>
      </c>
      <c r="C5" t="s">
        <v>41</v>
      </c>
      <c r="D5" t="s">
        <v>87</v>
      </c>
      <c r="E5" t="s">
        <v>88</v>
      </c>
    </row>
    <row r="6" spans="1:25" ht="46.8" customHeight="1" x14ac:dyDescent="0.3">
      <c r="B6" t="s">
        <v>90</v>
      </c>
      <c r="C6" s="7">
        <v>42129</v>
      </c>
      <c r="D6" s="10" t="s">
        <v>93</v>
      </c>
      <c r="E6" s="3">
        <v>400000</v>
      </c>
    </row>
    <row r="7" spans="1:25" ht="40.799999999999997" customHeight="1" x14ac:dyDescent="0.3">
      <c r="B7" t="s">
        <v>10</v>
      </c>
      <c r="C7" s="7"/>
      <c r="D7" s="10"/>
      <c r="E7" s="3">
        <v>0</v>
      </c>
    </row>
    <row r="8" spans="1:25" ht="38.4" customHeight="1" x14ac:dyDescent="0.3">
      <c r="B8" t="s">
        <v>91</v>
      </c>
      <c r="C8" s="7"/>
      <c r="D8" s="10"/>
      <c r="E8" s="3">
        <v>0</v>
      </c>
    </row>
    <row r="9" spans="1:25" ht="37.200000000000003" customHeight="1" x14ac:dyDescent="0.3">
      <c r="B9" t="s">
        <v>92</v>
      </c>
      <c r="C9" s="7"/>
      <c r="D9" s="10"/>
      <c r="E9" s="3">
        <v>0</v>
      </c>
    </row>
    <row r="10" spans="1:25" ht="51" customHeight="1" x14ac:dyDescent="0.3">
      <c r="B10" t="s">
        <v>5</v>
      </c>
      <c r="C10" s="7"/>
      <c r="D10" s="10"/>
      <c r="E10" s="3">
        <v>0</v>
      </c>
    </row>
    <row r="12" spans="1:25" ht="21" x14ac:dyDescent="0.4">
      <c r="B12" s="11" t="s">
        <v>146</v>
      </c>
      <c r="C12" s="12"/>
      <c r="D12" s="12"/>
      <c r="E12" s="13">
        <f>SUM(Tabela3[Valor])</f>
        <v>400000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E2ABB7-FBE6-4C0B-B0A0-6F75641A5FC7}">
          <x14:formula1>
            <xm:f>cálculos!$M$7:$M$35</xm:f>
          </x14:formula1>
          <xm:sqref>D12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9"/>
  <sheetViews>
    <sheetView workbookViewId="0">
      <selection activeCell="A2" sqref="A2:XFD2"/>
    </sheetView>
  </sheetViews>
  <sheetFormatPr defaultRowHeight="14.4" x14ac:dyDescent="0.3"/>
  <cols>
    <col min="2" max="2" width="21.33203125" customWidth="1"/>
    <col min="3" max="3" width="22.5546875" bestFit="1" customWidth="1"/>
    <col min="4" max="4" width="18.5546875" bestFit="1" customWidth="1"/>
    <col min="5" max="5" width="22.5546875" bestFit="1" customWidth="1"/>
    <col min="6" max="6" width="20.77734375" bestFit="1" customWidth="1"/>
    <col min="7" max="7" width="18.109375" bestFit="1" customWidth="1"/>
    <col min="8" max="8" width="20.5546875" customWidth="1"/>
  </cols>
  <sheetData>
    <row r="2" spans="2:8" s="19" customFormat="1" ht="28.05" customHeight="1" x14ac:dyDescent="0.45">
      <c r="B2" s="20" t="s">
        <v>94</v>
      </c>
      <c r="E2" s="21"/>
    </row>
    <row r="3" spans="2:8" ht="48" customHeight="1" x14ac:dyDescent="0.3"/>
    <row r="5" spans="2:8" x14ac:dyDescent="0.3">
      <c r="B5" t="s">
        <v>95</v>
      </c>
      <c r="C5" t="s">
        <v>96</v>
      </c>
      <c r="D5" t="s">
        <v>97</v>
      </c>
      <c r="E5" t="s">
        <v>98</v>
      </c>
      <c r="F5" t="s">
        <v>99</v>
      </c>
      <c r="G5" t="s">
        <v>100</v>
      </c>
      <c r="H5" t="s">
        <v>101</v>
      </c>
    </row>
    <row r="6" spans="2:8" x14ac:dyDescent="0.3">
      <c r="B6" t="s">
        <v>19</v>
      </c>
      <c r="C6" s="7">
        <f>IFERROR(INDEX(Tabela2[],MATCH(B6,Tabela2[Mercadoria],0),1),"")</f>
        <v>42187</v>
      </c>
      <c r="D6">
        <v>15</v>
      </c>
      <c r="E6">
        <f>SUMIF(Tabela2[Mercadoria],Tabela4[[#This Row],[Produto]],Tabela2[Quantidade])</f>
        <v>150</v>
      </c>
      <c r="G6">
        <f>Tabela4[[#This Row],[Quantidade Inicial]]+Tabela4[[#This Row],[Quantidade Comprada]]-Tabela4[[#This Row],[Quantidade Vendida]]</f>
        <v>165</v>
      </c>
      <c r="H6" t="str">
        <f>IF(Tabela4[[#This Row],[Quantidade Atual]]&lt;50,IF(Tabela4[[#This Row],[Quantidade Atual]]&lt;21,"Comprar","Atenção"),"OK")</f>
        <v>OK</v>
      </c>
    </row>
    <row r="7" spans="2:8" x14ac:dyDescent="0.3">
      <c r="B7" t="s">
        <v>28</v>
      </c>
      <c r="C7" s="7">
        <f>IFERROR(INDEX(Tabela2[],MATCH(B7,Tabela2[Mercadoria],0),1),"")</f>
        <v>42188</v>
      </c>
      <c r="D7">
        <v>10</v>
      </c>
      <c r="E7">
        <f>SUMIF(Tabela2[Mercadoria],Tabela4[[#This Row],[Produto]],Tabela2[Quantidade])</f>
        <v>50</v>
      </c>
      <c r="G7">
        <f>Tabela4[[#This Row],[Quantidade Inicial]]+Tabela4[[#This Row],[Quantidade Comprada]]-Tabela4[[#This Row],[Quantidade Vendida]]</f>
        <v>60</v>
      </c>
      <c r="H7" t="str">
        <f>IF(Tabela4[[#This Row],[Quantidade Atual]]&lt;50,IF(Tabela4[[#This Row],[Quantidade Atual]]&lt;21,"Comprar","Atenção"),"OK")</f>
        <v>OK</v>
      </c>
    </row>
    <row r="8" spans="2:8" x14ac:dyDescent="0.3">
      <c r="B8" t="s">
        <v>16</v>
      </c>
      <c r="C8" s="7">
        <f>IFERROR(INDEX(Tabela2[],MATCH(B8,Tabela2[Mercadoria],0),1),"")</f>
        <v>42189</v>
      </c>
      <c r="D8">
        <v>0</v>
      </c>
      <c r="E8">
        <f>SUMIF(Tabela2[Mercadoria],Tabela4[[#This Row],[Produto]],Tabela2[Quantidade])</f>
        <v>450</v>
      </c>
      <c r="G8">
        <f>Tabela4[[#This Row],[Quantidade Inicial]]+Tabela4[[#This Row],[Quantidade Comprada]]-Tabela4[[#This Row],[Quantidade Vendida]]</f>
        <v>450</v>
      </c>
      <c r="H8" t="str">
        <f>IF(Tabela4[[#This Row],[Quantidade Atual]]&lt;50,IF(Tabela4[[#This Row],[Quantidade Atual]]&lt;21,"Comprar","Atenção"),"OK")</f>
        <v>OK</v>
      </c>
    </row>
    <row r="9" spans="2:8" x14ac:dyDescent="0.3">
      <c r="B9" t="s">
        <v>33</v>
      </c>
      <c r="C9" s="7">
        <f>IFERROR(INDEX(Tabela2[],MATCH(B9,Tabela2[Mercadoria],0),1),"")</f>
        <v>42188</v>
      </c>
      <c r="D9">
        <v>0</v>
      </c>
      <c r="E9">
        <f>SUMIF(Tabela2[Mercadoria],Tabela4[[#This Row],[Produto]],Tabela2[Quantidade])</f>
        <v>100</v>
      </c>
      <c r="G9">
        <f>Tabela4[[#This Row],[Quantidade Inicial]]+Tabela4[[#This Row],[Quantidade Comprada]]-Tabela4[[#This Row],[Quantidade Vendida]]</f>
        <v>100</v>
      </c>
      <c r="H9" t="str">
        <f>IF(Tabela4[[#This Row],[Quantidade Atual]]&lt;50,IF(Tabela4[[#This Row],[Quantidade Atual]]&lt;21,"Comprar","Atenção"),"OK")</f>
        <v>OK</v>
      </c>
    </row>
    <row r="10" spans="2:8" x14ac:dyDescent="0.3">
      <c r="B10" t="s">
        <v>36</v>
      </c>
      <c r="C10" s="7" t="str">
        <f>IFERROR(INDEX(Tabela2[],MATCH(B10,Tabela2[Mercadoria],0),1),"")</f>
        <v/>
      </c>
      <c r="D10">
        <v>150</v>
      </c>
      <c r="E10">
        <f>SUMIF(Tabela2[Mercadoria],Tabela4[[#This Row],[Produto]],Tabela2[Quantidade])</f>
        <v>0</v>
      </c>
      <c r="G10">
        <f>Tabela4[[#This Row],[Quantidade Inicial]]+Tabela4[[#This Row],[Quantidade Comprada]]-Tabela4[[#This Row],[Quantidade Vendida]]</f>
        <v>150</v>
      </c>
      <c r="H10" t="str">
        <f>IF(Tabela4[[#This Row],[Quantidade Atual]]&lt;50,IF(Tabela4[[#This Row],[Quantidade Atual]]&lt;21,"Comprar","Atenção"),"OK")</f>
        <v>OK</v>
      </c>
    </row>
    <row r="11" spans="2:8" x14ac:dyDescent="0.3">
      <c r="B11" t="s">
        <v>32</v>
      </c>
      <c r="C11" s="7" t="str">
        <f>IFERROR(INDEX(Tabela2[],MATCH(B11,Tabela2[Mercadoria],0),1),"")</f>
        <v/>
      </c>
      <c r="D11">
        <v>15</v>
      </c>
      <c r="E11">
        <f>SUMIF(Tabela2[Mercadoria],Tabela4[[#This Row],[Produto]],Tabela2[Quantidade])</f>
        <v>0</v>
      </c>
      <c r="G11">
        <f>Tabela4[[#This Row],[Quantidade Inicial]]+Tabela4[[#This Row],[Quantidade Comprada]]-Tabela4[[#This Row],[Quantidade Vendida]]</f>
        <v>15</v>
      </c>
      <c r="H11" t="str">
        <f>IF(Tabela4[[#This Row],[Quantidade Atual]]&lt;50,IF(Tabela4[[#This Row],[Quantidade Atual]]&lt;21,"Comprar","Atenção"),"OK")</f>
        <v>Comprar</v>
      </c>
    </row>
    <row r="12" spans="2:8" x14ac:dyDescent="0.3">
      <c r="B12" t="s">
        <v>20</v>
      </c>
      <c r="C12" s="7">
        <f>IFERROR(INDEX(Tabela2[],MATCH(B12,Tabela2[Mercadoria],0),1),"")</f>
        <v>42187</v>
      </c>
      <c r="D12">
        <v>25</v>
      </c>
      <c r="E12">
        <f>SUMIF(Tabela2[Mercadoria],Tabela4[[#This Row],[Produto]],Tabela2[Quantidade])</f>
        <v>150</v>
      </c>
      <c r="G12">
        <f>Tabela4[[#This Row],[Quantidade Inicial]]+Tabela4[[#This Row],[Quantidade Comprada]]-Tabela4[[#This Row],[Quantidade Vendida]]</f>
        <v>175</v>
      </c>
      <c r="H12" t="str">
        <f>IF(Tabela4[[#This Row],[Quantidade Atual]]&lt;50,IF(Tabela4[[#This Row],[Quantidade Atual]]&lt;21,"Comprar","Atenção"),"OK")</f>
        <v>OK</v>
      </c>
    </row>
    <row r="13" spans="2:8" x14ac:dyDescent="0.3">
      <c r="B13" t="s">
        <v>26</v>
      </c>
      <c r="C13" s="7">
        <f>IFERROR(INDEX(Tabela2[],MATCH(B13,Tabela2[Mercadoria],0),1),"")</f>
        <v>42187</v>
      </c>
      <c r="D13">
        <v>0</v>
      </c>
      <c r="E13">
        <f>SUMIF(Tabela2[Mercadoria],Tabela4[[#This Row],[Produto]],Tabela2[Quantidade])</f>
        <v>150</v>
      </c>
      <c r="G13">
        <f>Tabela4[[#This Row],[Quantidade Inicial]]+Tabela4[[#This Row],[Quantidade Comprada]]-Tabela4[[#This Row],[Quantidade Vendida]]</f>
        <v>150</v>
      </c>
      <c r="H13" t="str">
        <f>IF(Tabela4[[#This Row],[Quantidade Atual]]&lt;50,IF(Tabela4[[#This Row],[Quantidade Atual]]&lt;21,"Comprar","Atenção"),"OK")</f>
        <v>OK</v>
      </c>
    </row>
    <row r="14" spans="2:8" x14ac:dyDescent="0.3">
      <c r="B14" t="s">
        <v>29</v>
      </c>
      <c r="C14" s="7">
        <f>IFERROR(INDEX(Tabela2[],MATCH(B14,Tabela2[Mercadoria],0),1),"")</f>
        <v>42189</v>
      </c>
      <c r="D14">
        <v>0</v>
      </c>
      <c r="E14">
        <f>SUMIF(Tabela2[Mercadoria],Tabela4[[#This Row],[Produto]],Tabela2[Quantidade])</f>
        <v>300</v>
      </c>
      <c r="G14">
        <f>Tabela4[[#This Row],[Quantidade Inicial]]+Tabela4[[#This Row],[Quantidade Comprada]]-Tabela4[[#This Row],[Quantidade Vendida]]</f>
        <v>300</v>
      </c>
      <c r="H14" t="str">
        <f>IF(Tabela4[[#This Row],[Quantidade Atual]]&lt;50,IF(Tabela4[[#This Row],[Quantidade Atual]]&lt;21,"Comprar","Atenção"),"OK")</f>
        <v>OK</v>
      </c>
    </row>
    <row r="15" spans="2:8" x14ac:dyDescent="0.3">
      <c r="B15" t="s">
        <v>34</v>
      </c>
      <c r="C15" s="7">
        <f>IFERROR(INDEX(Tabela2[],MATCH(B15,Tabela2[Mercadoria],0),1),"")</f>
        <v>42188</v>
      </c>
      <c r="D15">
        <v>30</v>
      </c>
      <c r="E15">
        <f>SUMIF(Tabela2[Mercadoria],Tabela4[[#This Row],[Produto]],Tabela2[Quantidade])</f>
        <v>100</v>
      </c>
      <c r="G15">
        <f>Tabela4[[#This Row],[Quantidade Inicial]]+Tabela4[[#This Row],[Quantidade Comprada]]-Tabela4[[#This Row],[Quantidade Vendida]]</f>
        <v>130</v>
      </c>
      <c r="H15" t="str">
        <f>IF(Tabela4[[#This Row],[Quantidade Atual]]&lt;50,IF(Tabela4[[#This Row],[Quantidade Atual]]&lt;21,"Comprar","Atenção"),"OK")</f>
        <v>OK</v>
      </c>
    </row>
    <row r="16" spans="2:8" x14ac:dyDescent="0.3">
      <c r="B16" t="s">
        <v>35</v>
      </c>
      <c r="C16" s="7">
        <f>IFERROR(INDEX(Tabela2[],MATCH(B16,Tabela2[Mercadoria],0),1),"")</f>
        <v>42188</v>
      </c>
      <c r="D16">
        <v>0</v>
      </c>
      <c r="E16">
        <f>SUMIF(Tabela2[Mercadoria],Tabela4[[#This Row],[Produto]],Tabela2[Quantidade])</f>
        <v>100</v>
      </c>
      <c r="G16">
        <f>Tabela4[[#This Row],[Quantidade Inicial]]+Tabela4[[#This Row],[Quantidade Comprada]]-Tabela4[[#This Row],[Quantidade Vendida]]</f>
        <v>100</v>
      </c>
      <c r="H16" t="str">
        <f>IF(Tabela4[[#This Row],[Quantidade Atual]]&lt;50,IF(Tabela4[[#This Row],[Quantidade Atual]]&lt;21,"Comprar","Atenção"),"OK")</f>
        <v>OK</v>
      </c>
    </row>
    <row r="17" spans="2:8" x14ac:dyDescent="0.3">
      <c r="B17" t="s">
        <v>31</v>
      </c>
      <c r="C17" s="7">
        <f>IFERROR(INDEX(Tabela2[],MATCH(B17,Tabela2[Mercadoria],0),1),"")</f>
        <v>42190</v>
      </c>
      <c r="D17">
        <v>0</v>
      </c>
      <c r="E17">
        <f>SUMIF(Tabela2[Mercadoria],Tabela4[[#This Row],[Produto]],Tabela2[Quantidade])</f>
        <v>150</v>
      </c>
      <c r="G17">
        <f>Tabela4[[#This Row],[Quantidade Inicial]]+Tabela4[[#This Row],[Quantidade Comprada]]-Tabela4[[#This Row],[Quantidade Vendida]]</f>
        <v>150</v>
      </c>
      <c r="H17" t="str">
        <f>IF(Tabela4[[#This Row],[Quantidade Atual]]&lt;50,IF(Tabela4[[#This Row],[Quantidade Atual]]&lt;21,"Comprar","Atenção"),"OK")</f>
        <v>OK</v>
      </c>
    </row>
    <row r="18" spans="2:8" x14ac:dyDescent="0.3">
      <c r="B18" t="s">
        <v>17</v>
      </c>
      <c r="C18" s="7">
        <f>IFERROR(INDEX(Tabela2[],MATCH(B18,Tabela2[Mercadoria],0),1),"")</f>
        <v>42190</v>
      </c>
      <c r="D18">
        <v>0</v>
      </c>
      <c r="E18">
        <f>SUMIF(Tabela2[Mercadoria],Tabela4[[#This Row],[Produto]],Tabela2[Quantidade])</f>
        <v>570</v>
      </c>
      <c r="G18">
        <f>Tabela4[[#This Row],[Quantidade Inicial]]+Tabela4[[#This Row],[Quantidade Comprada]]-Tabela4[[#This Row],[Quantidade Vendida]]</f>
        <v>570</v>
      </c>
      <c r="H18" t="str">
        <f>IF(Tabela4[[#This Row],[Quantidade Atual]]&lt;50,IF(Tabela4[[#This Row],[Quantidade Atual]]&lt;21,"Comprar","Atenção"),"OK")</f>
        <v>OK</v>
      </c>
    </row>
    <row r="19" spans="2:8" x14ac:dyDescent="0.3">
      <c r="B19" t="s">
        <v>21</v>
      </c>
      <c r="C19" s="7">
        <f>IFERROR(INDEX(Tabela2[],MATCH(B19,Tabela2[Mercadoria],0),1),"")</f>
        <v>42188</v>
      </c>
      <c r="D19">
        <v>0</v>
      </c>
      <c r="E19">
        <f>SUMIF(Tabela2[Mercadoria],Tabela4[[#This Row],[Produto]],Tabela2[Quantidade])</f>
        <v>110</v>
      </c>
      <c r="G19">
        <f>Tabela4[[#This Row],[Quantidade Inicial]]+Tabela4[[#This Row],[Quantidade Comprada]]-Tabela4[[#This Row],[Quantidade Vendida]]</f>
        <v>110</v>
      </c>
      <c r="H19" t="str">
        <f>IF(Tabela4[[#This Row],[Quantidade Atual]]&lt;50,IF(Tabela4[[#This Row],[Quantidade Atual]]&lt;21,"Comprar","Atenção"),"OK")</f>
        <v>OK</v>
      </c>
    </row>
    <row r="20" spans="2:8" x14ac:dyDescent="0.3">
      <c r="B20" t="s">
        <v>66</v>
      </c>
      <c r="C20" s="7" t="str">
        <f>IFERROR(INDEX(Tabela2[],MATCH(B20,Tabela2[Mercadoria],0),1),"")</f>
        <v/>
      </c>
      <c r="D20">
        <v>39</v>
      </c>
      <c r="E20">
        <f>SUMIF(Tabela2[Mercadoria],Tabela4[[#This Row],[Produto]],Tabela2[Quantidade])</f>
        <v>0</v>
      </c>
      <c r="G20">
        <f>Tabela4[[#This Row],[Quantidade Inicial]]+Tabela4[[#This Row],[Quantidade Comprada]]-Tabela4[[#This Row],[Quantidade Vendida]]</f>
        <v>39</v>
      </c>
      <c r="H20" t="str">
        <f>IF(Tabela4[[#This Row],[Quantidade Atual]]&lt;50,IF(Tabela4[[#This Row],[Quantidade Atual]]&lt;21,"Comprar","Atenção"),"OK")</f>
        <v>Atenção</v>
      </c>
    </row>
    <row r="21" spans="2:8" x14ac:dyDescent="0.3">
      <c r="B21" t="s">
        <v>71</v>
      </c>
      <c r="C21" s="7">
        <f>IFERROR(INDEX(Tabela2[],MATCH(B21,Tabela2[Mercadoria],0),1),"")</f>
        <v>42188</v>
      </c>
      <c r="D21">
        <v>0</v>
      </c>
      <c r="E21">
        <f>SUMIF(Tabela2[Mercadoria],Tabela4[[#This Row],[Produto]],Tabela2[Quantidade])</f>
        <v>300</v>
      </c>
      <c r="G21">
        <f>Tabela4[[#This Row],[Quantidade Inicial]]+Tabela4[[#This Row],[Quantidade Comprada]]-Tabela4[[#This Row],[Quantidade Vendida]]</f>
        <v>300</v>
      </c>
      <c r="H21" t="str">
        <f>IF(Tabela4[[#This Row],[Quantidade Atual]]&lt;50,IF(Tabela4[[#This Row],[Quantidade Atual]]&lt;21,"Comprar","Atenção"),"OK")</f>
        <v>OK</v>
      </c>
    </row>
    <row r="22" spans="2:8" x14ac:dyDescent="0.3">
      <c r="B22" t="s">
        <v>22</v>
      </c>
      <c r="C22" s="7">
        <f>IFERROR(INDEX(Tabela2[],MATCH(B22,Tabela2[Mercadoria],0),1),"")</f>
        <v>42188</v>
      </c>
      <c r="D22">
        <v>0</v>
      </c>
      <c r="E22">
        <f>SUMIF(Tabela2[Mercadoria],Tabela4[[#This Row],[Produto]],Tabela2[Quantidade])</f>
        <v>50</v>
      </c>
      <c r="G22">
        <f>Tabela4[[#This Row],[Quantidade Inicial]]+Tabela4[[#This Row],[Quantidade Comprada]]-Tabela4[[#This Row],[Quantidade Vendida]]</f>
        <v>50</v>
      </c>
      <c r="H22" t="str">
        <f>IF(Tabela4[[#This Row],[Quantidade Atual]]&lt;50,IF(Tabela4[[#This Row],[Quantidade Atual]]&lt;21,"Comprar","Atenção"),"OK")</f>
        <v>OK</v>
      </c>
    </row>
    <row r="23" spans="2:8" x14ac:dyDescent="0.3">
      <c r="B23" t="s">
        <v>23</v>
      </c>
      <c r="C23" s="7" t="str">
        <f>IFERROR(INDEX(Tabela2[],MATCH(B23,Tabela2[Mercadoria],0),1),"")</f>
        <v/>
      </c>
      <c r="D23">
        <v>10</v>
      </c>
      <c r="E23">
        <f>SUMIF(Tabela2[Mercadoria],Tabela4[[#This Row],[Produto]],Tabela2[Quantidade])</f>
        <v>0</v>
      </c>
      <c r="G23">
        <f>Tabela4[[#This Row],[Quantidade Inicial]]+Tabela4[[#This Row],[Quantidade Comprada]]-Tabela4[[#This Row],[Quantidade Vendida]]</f>
        <v>10</v>
      </c>
      <c r="H23" t="str">
        <f>IF(Tabela4[[#This Row],[Quantidade Atual]]&lt;50,IF(Tabela4[[#This Row],[Quantidade Atual]]&lt;21,"Comprar","Atenção"),"OK")</f>
        <v>Comprar</v>
      </c>
    </row>
    <row r="24" spans="2:8" x14ac:dyDescent="0.3">
      <c r="B24" t="s">
        <v>72</v>
      </c>
      <c r="C24" s="7" t="str">
        <f>IFERROR(INDEX(Tabela2[],MATCH(B24,Tabela2[Mercadoria],0),1),"")</f>
        <v/>
      </c>
      <c r="D24">
        <v>100</v>
      </c>
      <c r="E24">
        <f>SUMIF(Tabela2[Mercadoria],Tabela4[[#This Row],[Produto]],Tabela2[Quantidade])</f>
        <v>0</v>
      </c>
      <c r="G24">
        <f>Tabela4[[#This Row],[Quantidade Inicial]]+Tabela4[[#This Row],[Quantidade Comprada]]-Tabela4[[#This Row],[Quantidade Vendida]]</f>
        <v>100</v>
      </c>
      <c r="H24" t="str">
        <f>IF(Tabela4[[#This Row],[Quantidade Atual]]&lt;50,IF(Tabela4[[#This Row],[Quantidade Atual]]&lt;21,"Comprar","Atenção"),"OK")</f>
        <v>OK</v>
      </c>
    </row>
    <row r="25" spans="2:8" x14ac:dyDescent="0.3">
      <c r="B25" t="s">
        <v>25</v>
      </c>
      <c r="C25" s="7">
        <f>IFERROR(INDEX(Tabela2[],MATCH(B25,Tabela2[Mercadoria],0),1),"")</f>
        <v>42189</v>
      </c>
      <c r="D25">
        <v>0</v>
      </c>
      <c r="E25">
        <f>SUMIF(Tabela2[Mercadoria],Tabela4[[#This Row],[Produto]],Tabela2[Quantidade])</f>
        <v>200</v>
      </c>
      <c r="G25">
        <f>Tabela4[[#This Row],[Quantidade Inicial]]+Tabela4[[#This Row],[Quantidade Comprada]]-Tabela4[[#This Row],[Quantidade Vendida]]</f>
        <v>200</v>
      </c>
      <c r="H25" t="str">
        <f>IF(Tabela4[[#This Row],[Quantidade Atual]]&lt;50,IF(Tabela4[[#This Row],[Quantidade Atual]]&lt;21,"Comprar","Atenção"),"OK")</f>
        <v>OK</v>
      </c>
    </row>
    <row r="26" spans="2:8" x14ac:dyDescent="0.3">
      <c r="B26" t="s">
        <v>18</v>
      </c>
      <c r="C26" s="7" t="str">
        <f>IFERROR(INDEX(Tabela2[],MATCH(B26,Tabela2[Mercadoria],0),1),"")</f>
        <v/>
      </c>
      <c r="D26">
        <v>30</v>
      </c>
      <c r="E26">
        <f>SUMIF(Tabela2[Mercadoria],Tabela4[[#This Row],[Produto]],Tabela2[Quantidade])</f>
        <v>0</v>
      </c>
      <c r="G26">
        <f>Tabela4[[#This Row],[Quantidade Inicial]]+Tabela4[[#This Row],[Quantidade Comprada]]-Tabela4[[#This Row],[Quantidade Vendida]]</f>
        <v>30</v>
      </c>
      <c r="H26" t="str">
        <f>IF(Tabela4[[#This Row],[Quantidade Atual]]&lt;50,IF(Tabela4[[#This Row],[Quantidade Atual]]&lt;21,"Comprar","Atenção"),"OK")</f>
        <v>Atenção</v>
      </c>
    </row>
    <row r="27" spans="2:8" x14ac:dyDescent="0.3">
      <c r="B27" t="s">
        <v>27</v>
      </c>
      <c r="C27" s="7" t="str">
        <f>IFERROR(INDEX(Tabela2[],MATCH(B27,Tabela2[Mercadoria],0),1),"")</f>
        <v/>
      </c>
      <c r="D27">
        <v>50</v>
      </c>
      <c r="E27">
        <f>SUMIF(Tabela2[Mercadoria],Tabela4[[#This Row],[Produto]],Tabela2[Quantidade])</f>
        <v>0</v>
      </c>
      <c r="G27">
        <f>Tabela4[[#This Row],[Quantidade Inicial]]+Tabela4[[#This Row],[Quantidade Comprada]]-Tabela4[[#This Row],[Quantidade Vendida]]</f>
        <v>50</v>
      </c>
      <c r="H27" t="str">
        <f>IF(Tabela4[[#This Row],[Quantidade Atual]]&lt;50,IF(Tabela4[[#This Row],[Quantidade Atual]]&lt;21,"Comprar","Atenção"),"OK")</f>
        <v>OK</v>
      </c>
    </row>
    <row r="28" spans="2:8" x14ac:dyDescent="0.3">
      <c r="B28" t="s">
        <v>24</v>
      </c>
      <c r="C28" s="7">
        <f>IFERROR(INDEX(Tabela2[],MATCH(B28,Tabela2[Mercadoria],0),1),"")</f>
        <v>42187</v>
      </c>
      <c r="D28">
        <v>0</v>
      </c>
      <c r="E28">
        <f>SUMIF(Tabela2[Mercadoria],Tabela4[[#This Row],[Produto]],Tabela2[Quantidade])</f>
        <v>80</v>
      </c>
      <c r="G28">
        <f>Tabela4[[#This Row],[Quantidade Inicial]]+Tabela4[[#This Row],[Quantidade Comprada]]-Tabela4[[#This Row],[Quantidade Vendida]]</f>
        <v>80</v>
      </c>
      <c r="H28" t="str">
        <f>IF(Tabela4[[#This Row],[Quantidade Atual]]&lt;50,IF(Tabela4[[#This Row],[Quantidade Atual]]&lt;21,"Comprar","Atenção"),"OK")</f>
        <v>OK</v>
      </c>
    </row>
    <row r="29" spans="2:8" x14ac:dyDescent="0.3">
      <c r="B29" t="s">
        <v>30</v>
      </c>
      <c r="C29" s="7" t="str">
        <f>IFERROR(INDEX(Tabela2[],MATCH(B29,Tabela2[Mercadoria],0),1),"")</f>
        <v/>
      </c>
      <c r="D29">
        <v>20</v>
      </c>
      <c r="E29">
        <f>SUMIF(Tabela2[Mercadoria],Tabela4[[#This Row],[Produto]],Tabela2[Quantidade])</f>
        <v>0</v>
      </c>
      <c r="G29">
        <f>Tabela4[[#This Row],[Quantidade Inicial]]+Tabela4[[#This Row],[Quantidade Comprada]]-Tabela4[[#This Row],[Quantidade Vendida]]</f>
        <v>20</v>
      </c>
      <c r="H29" t="str">
        <f>IF(Tabela4[[#This Row],[Quantidade Atual]]&lt;50,IF(Tabela4[[#This Row],[Quantidade Atual]]&lt;21,"Comprar","Atenção"),"OK")</f>
        <v>Comprar</v>
      </c>
    </row>
  </sheetData>
  <conditionalFormatting sqref="H6:H29">
    <cfRule type="containsText" dxfId="1" priority="1" operator="containsText" text="Atenção">
      <formula>NOT(ISERROR(SEARCH("Atenção",H6)))</formula>
    </cfRule>
    <cfRule type="containsText" dxfId="0" priority="2" operator="containsText" text="Comprar">
      <formula>NOT(ISERROR(SEARCH("Comprar",H6)))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26"/>
  <sheetViews>
    <sheetView showGridLines="0" tabSelected="1" workbookViewId="0">
      <selection activeCell="B5" sqref="B5"/>
    </sheetView>
  </sheetViews>
  <sheetFormatPr defaultRowHeight="14.4" x14ac:dyDescent="0.3"/>
  <cols>
    <col min="2" max="2" width="24.109375" bestFit="1" customWidth="1"/>
    <col min="3" max="3" width="36.44140625" customWidth="1"/>
    <col min="4" max="4" width="44.109375" customWidth="1"/>
    <col min="5" max="5" width="52.88671875" customWidth="1"/>
  </cols>
  <sheetData>
    <row r="1" spans="2:5" ht="14.4" customHeight="1" x14ac:dyDescent="0.3"/>
    <row r="2" spans="2:5" s="23" customFormat="1" ht="28.05" customHeight="1" x14ac:dyDescent="0.45">
      <c r="B2" s="24" t="s">
        <v>135</v>
      </c>
      <c r="D2" s="25"/>
    </row>
    <row r="3" spans="2:5" ht="48" customHeight="1" x14ac:dyDescent="0.3"/>
    <row r="4" spans="2:5" ht="19.8" customHeight="1" x14ac:dyDescent="0.3">
      <c r="C4" s="56" t="s">
        <v>136</v>
      </c>
      <c r="D4" s="56"/>
      <c r="E4" s="57">
        <f>SUM(E5:E6)</f>
        <v>718.81200000000024</v>
      </c>
    </row>
    <row r="5" spans="2:5" ht="15.6" x14ac:dyDescent="0.3">
      <c r="C5" s="58"/>
      <c r="D5" s="59" t="s">
        <v>144</v>
      </c>
      <c r="E5" s="60">
        <f>Vendas!D18-Resultados!E6</f>
        <v>670.31200000000024</v>
      </c>
    </row>
    <row r="6" spans="2:5" ht="15.6" x14ac:dyDescent="0.3">
      <c r="C6" s="58"/>
      <c r="D6" s="58" t="s">
        <v>143</v>
      </c>
      <c r="E6" s="61">
        <f>Vendas!D30</f>
        <v>48.5</v>
      </c>
    </row>
    <row r="7" spans="2:5" ht="15.6" x14ac:dyDescent="0.3">
      <c r="C7" s="58"/>
      <c r="D7" s="58"/>
      <c r="E7" s="61"/>
    </row>
    <row r="8" spans="2:5" ht="15.6" x14ac:dyDescent="0.3">
      <c r="C8" s="58" t="s">
        <v>138</v>
      </c>
      <c r="D8" s="58"/>
      <c r="E8" s="61">
        <f>0.15*E4</f>
        <v>107.82180000000004</v>
      </c>
    </row>
    <row r="9" spans="2:5" ht="16.2" thickBot="1" x14ac:dyDescent="0.35">
      <c r="C9" s="62" t="s">
        <v>6</v>
      </c>
      <c r="D9" s="62"/>
      <c r="E9" s="63">
        <f>E4-E8</f>
        <v>610.99020000000019</v>
      </c>
    </row>
    <row r="10" spans="2:5" ht="16.2" thickTop="1" x14ac:dyDescent="0.3">
      <c r="C10" s="64"/>
      <c r="D10" s="64"/>
      <c r="E10" s="64"/>
    </row>
    <row r="11" spans="2:5" ht="15.6" x14ac:dyDescent="0.3">
      <c r="C11" s="56" t="s">
        <v>85</v>
      </c>
      <c r="D11" s="56"/>
      <c r="E11" s="57">
        <f>SUM(E12:E13)</f>
        <v>59464.599869999998</v>
      </c>
    </row>
    <row r="12" spans="2:5" ht="15.6" x14ac:dyDescent="0.3">
      <c r="C12" s="58"/>
      <c r="D12" s="59" t="s">
        <v>145</v>
      </c>
      <c r="E12" s="60">
        <f>'Compras Mercadorias'!I28</f>
        <v>14057.59987</v>
      </c>
    </row>
    <row r="13" spans="2:5" ht="15.6" x14ac:dyDescent="0.3">
      <c r="C13" s="58"/>
      <c r="D13" s="58" t="s">
        <v>49</v>
      </c>
      <c r="E13" s="61">
        <f>Despesas!G31</f>
        <v>45407</v>
      </c>
    </row>
    <row r="14" spans="2:5" ht="16.2" thickBot="1" x14ac:dyDescent="0.35">
      <c r="C14" s="62"/>
      <c r="D14" s="62"/>
      <c r="E14" s="63"/>
    </row>
    <row r="15" spans="2:5" ht="16.8" thickTop="1" thickBot="1" x14ac:dyDescent="0.35">
      <c r="C15" s="65" t="s">
        <v>139</v>
      </c>
      <c r="D15" s="65"/>
      <c r="E15" s="66">
        <f>E4-E11</f>
        <v>-58745.78787</v>
      </c>
    </row>
    <row r="16" spans="2:5" ht="16.2" thickTop="1" x14ac:dyDescent="0.3">
      <c r="C16" s="58"/>
      <c r="D16" s="58"/>
      <c r="E16" s="61"/>
    </row>
    <row r="17" spans="3:5" ht="15.6" x14ac:dyDescent="0.3">
      <c r="C17" s="58" t="s">
        <v>86</v>
      </c>
      <c r="D17" s="58"/>
      <c r="E17" s="61">
        <f>Investimentos!E12</f>
        <v>400000</v>
      </c>
    </row>
    <row r="18" spans="3:5" ht="15.6" x14ac:dyDescent="0.3">
      <c r="C18" s="58"/>
      <c r="D18" s="58"/>
      <c r="E18" s="61"/>
    </row>
    <row r="19" spans="3:5" ht="15.6" x14ac:dyDescent="0.3">
      <c r="C19" s="58" t="s">
        <v>140</v>
      </c>
      <c r="D19" s="58"/>
      <c r="E19" s="61">
        <v>300</v>
      </c>
    </row>
    <row r="20" spans="3:5" ht="15.6" x14ac:dyDescent="0.3">
      <c r="C20" s="58"/>
      <c r="D20" s="58"/>
      <c r="E20" s="61"/>
    </row>
    <row r="21" spans="3:5" ht="16.2" thickBot="1" x14ac:dyDescent="0.35">
      <c r="C21" s="65" t="s">
        <v>141</v>
      </c>
      <c r="D21" s="65"/>
      <c r="E21" s="66">
        <f>E15-E17-E19</f>
        <v>-459045.78787</v>
      </c>
    </row>
    <row r="22" spans="3:5" ht="16.2" thickTop="1" x14ac:dyDescent="0.3">
      <c r="C22" s="58"/>
      <c r="D22" s="58"/>
      <c r="E22" s="61"/>
    </row>
    <row r="23" spans="3:5" ht="15.6" x14ac:dyDescent="0.3">
      <c r="C23" s="58" t="s">
        <v>137</v>
      </c>
      <c r="D23" s="58"/>
      <c r="E23" s="61">
        <f>IF(E21&gt;1000,0.3*E21,0)</f>
        <v>0</v>
      </c>
    </row>
    <row r="24" spans="3:5" ht="15.6" x14ac:dyDescent="0.3">
      <c r="C24" s="58"/>
      <c r="D24" s="58"/>
      <c r="E24" s="61"/>
    </row>
    <row r="25" spans="3:5" ht="16.2" thickBot="1" x14ac:dyDescent="0.35">
      <c r="C25" s="65" t="s">
        <v>142</v>
      </c>
      <c r="D25" s="65"/>
      <c r="E25" s="66">
        <f>E21-E23</f>
        <v>-459045.78787</v>
      </c>
    </row>
    <row r="26" spans="3:5" ht="15" thickTop="1" x14ac:dyDescent="0.3"/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62"/>
  <sheetViews>
    <sheetView showGridLines="0" workbookViewId="0">
      <selection activeCell="D4" sqref="D4"/>
    </sheetView>
  </sheetViews>
  <sheetFormatPr defaultRowHeight="14.4" x14ac:dyDescent="0.3"/>
  <cols>
    <col min="2" max="2" width="16.88671875" customWidth="1"/>
    <col min="3" max="3" width="28.88671875" bestFit="1" customWidth="1"/>
    <col min="4" max="4" width="21.5546875" customWidth="1"/>
    <col min="5" max="5" width="4.88671875" customWidth="1"/>
    <col min="6" max="6" width="13" customWidth="1"/>
    <col min="7" max="7" width="14.109375" customWidth="1"/>
    <col min="8" max="8" width="12.77734375" customWidth="1"/>
    <col min="9" max="9" width="14.6640625" customWidth="1"/>
    <col min="10" max="10" width="15.33203125" customWidth="1"/>
    <col min="11" max="11" width="15.21875" customWidth="1"/>
    <col min="12" max="12" width="14.77734375" customWidth="1"/>
    <col min="13" max="13" width="22.33203125" customWidth="1"/>
  </cols>
  <sheetData>
    <row r="2" spans="2:13" s="23" customFormat="1" ht="28.05" customHeight="1" x14ac:dyDescent="0.45">
      <c r="B2" s="24" t="s">
        <v>134</v>
      </c>
      <c r="C2" s="25"/>
    </row>
    <row r="3" spans="2:13" ht="48" customHeight="1" x14ac:dyDescent="0.3"/>
    <row r="4" spans="2:13" ht="21.6" thickBot="1" x14ac:dyDescent="0.45">
      <c r="M4" s="53" t="s">
        <v>129</v>
      </c>
    </row>
    <row r="5" spans="2:13" ht="15" thickTop="1" x14ac:dyDescent="0.3"/>
    <row r="6" spans="2:13" ht="16.8" customHeight="1" x14ac:dyDescent="0.4">
      <c r="B6" s="34"/>
      <c r="C6" s="35"/>
      <c r="D6" s="35"/>
      <c r="E6" s="35"/>
      <c r="F6" s="35"/>
      <c r="G6" s="35"/>
      <c r="H6" s="35"/>
      <c r="I6" s="43"/>
      <c r="J6" s="35"/>
      <c r="K6" s="35"/>
      <c r="L6" s="35"/>
      <c r="M6" s="42"/>
    </row>
    <row r="7" spans="2:13" x14ac:dyDescent="0.3">
      <c r="B7" s="36"/>
      <c r="E7" s="37"/>
      <c r="F7" s="37"/>
      <c r="G7" s="37"/>
      <c r="H7" s="37"/>
      <c r="I7" s="37"/>
      <c r="J7" s="37"/>
      <c r="K7" s="37"/>
      <c r="L7" s="37"/>
      <c r="M7" s="38"/>
    </row>
    <row r="8" spans="2:13" x14ac:dyDescent="0.3">
      <c r="B8" s="36"/>
      <c r="E8" s="37"/>
      <c r="F8" s="37"/>
      <c r="G8" s="37"/>
      <c r="H8" s="37"/>
      <c r="I8" s="37"/>
      <c r="J8" s="37"/>
      <c r="K8" s="37"/>
      <c r="L8" s="37"/>
      <c r="M8" s="38"/>
    </row>
    <row r="9" spans="2:13" x14ac:dyDescent="0.3">
      <c r="B9" s="36"/>
      <c r="E9" s="37"/>
      <c r="F9" s="37"/>
      <c r="G9" s="37"/>
      <c r="H9" s="37"/>
      <c r="I9" s="37"/>
      <c r="J9" s="37"/>
      <c r="K9" s="37"/>
      <c r="L9" s="37"/>
      <c r="M9" s="38"/>
    </row>
    <row r="10" spans="2:13" ht="18" x14ac:dyDescent="0.35">
      <c r="B10" s="36"/>
      <c r="C10" s="45" t="s">
        <v>124</v>
      </c>
      <c r="D10" s="46">
        <f>'Semana 1'!M32</f>
        <v>655.91200000000026</v>
      </c>
      <c r="E10" s="37"/>
      <c r="F10" s="37"/>
      <c r="G10" s="37"/>
      <c r="H10" s="37"/>
      <c r="I10" s="37"/>
      <c r="J10" s="37"/>
      <c r="K10" s="37"/>
      <c r="L10" s="37"/>
      <c r="M10" s="38"/>
    </row>
    <row r="11" spans="2:13" ht="18" x14ac:dyDescent="0.35">
      <c r="B11" s="36"/>
      <c r="C11" s="47" t="s">
        <v>125</v>
      </c>
      <c r="D11" s="48">
        <f>'Semana 2'!M21</f>
        <v>62.9</v>
      </c>
      <c r="E11" s="37"/>
      <c r="F11" s="37"/>
      <c r="G11" s="37"/>
      <c r="H11" s="37"/>
      <c r="I11" s="37"/>
      <c r="J11" s="37"/>
      <c r="K11" s="37"/>
      <c r="L11" s="37"/>
      <c r="M11" s="38"/>
    </row>
    <row r="12" spans="2:13" ht="18" x14ac:dyDescent="0.35">
      <c r="B12" s="36"/>
      <c r="C12" s="47" t="s">
        <v>126</v>
      </c>
      <c r="D12" s="48">
        <f>'Semana 3'!M21</f>
        <v>0</v>
      </c>
      <c r="E12" s="37"/>
      <c r="F12" s="37"/>
      <c r="G12" s="37"/>
      <c r="H12" s="37"/>
      <c r="I12" s="37"/>
      <c r="J12" s="37"/>
      <c r="K12" s="37"/>
      <c r="L12" s="37"/>
      <c r="M12" s="38"/>
    </row>
    <row r="13" spans="2:13" ht="18" x14ac:dyDescent="0.35">
      <c r="B13" s="36"/>
      <c r="C13" s="47" t="s">
        <v>127</v>
      </c>
      <c r="D13" s="48">
        <f>'Semana 4'!M21</f>
        <v>0</v>
      </c>
      <c r="E13" s="37"/>
      <c r="F13" s="37"/>
      <c r="G13" s="37"/>
      <c r="H13" s="37"/>
      <c r="I13" s="37"/>
      <c r="J13" s="37"/>
      <c r="K13" s="37"/>
      <c r="L13" s="37"/>
      <c r="M13" s="38"/>
    </row>
    <row r="14" spans="2:13" ht="18" x14ac:dyDescent="0.35">
      <c r="B14" s="36"/>
      <c r="C14" s="49" t="s">
        <v>128</v>
      </c>
      <c r="D14" s="50">
        <f>'Semana 5'!M21</f>
        <v>0</v>
      </c>
      <c r="E14" s="37"/>
      <c r="F14" s="37"/>
      <c r="G14" s="37"/>
      <c r="H14" s="37"/>
      <c r="I14" s="37"/>
      <c r="J14" s="37"/>
      <c r="K14" s="37"/>
      <c r="L14" s="37"/>
      <c r="M14" s="38"/>
    </row>
    <row r="15" spans="2:13" x14ac:dyDescent="0.3">
      <c r="B15" s="36"/>
      <c r="C15" s="44"/>
      <c r="D15" s="44"/>
      <c r="E15" s="37"/>
      <c r="F15" s="37"/>
      <c r="G15" s="37"/>
      <c r="H15" s="37"/>
      <c r="I15" s="37"/>
      <c r="J15" s="37"/>
      <c r="K15" s="37"/>
      <c r="L15" s="37"/>
      <c r="M15" s="38"/>
    </row>
    <row r="16" spans="2:13" x14ac:dyDescent="0.3">
      <c r="B16" s="36"/>
      <c r="C16" s="44"/>
      <c r="D16" s="44"/>
      <c r="E16" s="37"/>
      <c r="F16" s="37"/>
      <c r="G16" s="37"/>
      <c r="H16" s="37"/>
      <c r="I16" s="37"/>
      <c r="J16" s="37"/>
      <c r="K16" s="37"/>
      <c r="L16" s="37"/>
      <c r="M16" s="38"/>
    </row>
    <row r="17" spans="2:13" x14ac:dyDescent="0.3">
      <c r="B17" s="36"/>
      <c r="C17" s="44"/>
      <c r="D17" s="44"/>
      <c r="E17" s="37"/>
      <c r="F17" s="37"/>
      <c r="G17" s="37"/>
      <c r="H17" s="37"/>
      <c r="I17" s="37"/>
      <c r="J17" s="37"/>
      <c r="K17" s="37"/>
      <c r="L17" s="37"/>
      <c r="M17" s="38"/>
    </row>
    <row r="18" spans="2:13" ht="18" x14ac:dyDescent="0.35">
      <c r="B18" s="36"/>
      <c r="C18" s="51" t="str">
        <f>"Total de Vendas de " &amp; M4</f>
        <v>Total de Vendas de Julho</v>
      </c>
      <c r="D18" s="52">
        <f>SUM(D10:D14)</f>
        <v>718.81200000000024</v>
      </c>
      <c r="E18" s="37"/>
      <c r="F18" s="37"/>
      <c r="G18" s="37"/>
      <c r="H18" s="37"/>
      <c r="I18" s="37"/>
      <c r="J18" s="37"/>
      <c r="K18" s="37"/>
      <c r="L18" s="37"/>
      <c r="M18" s="38"/>
    </row>
    <row r="19" spans="2:13" x14ac:dyDescent="0.3"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2:13" x14ac:dyDescent="0.3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2:13" x14ac:dyDescent="0.3">
      <c r="B21" s="36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2:13" x14ac:dyDescent="0.3">
      <c r="B22" s="39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1"/>
    </row>
    <row r="26" spans="2:13" x14ac:dyDescent="0.3"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42"/>
    </row>
    <row r="27" spans="2:13" x14ac:dyDescent="0.3">
      <c r="B27" s="36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2:13" ht="18" x14ac:dyDescent="0.35">
      <c r="B28" s="36"/>
      <c r="C28" s="45" t="s">
        <v>130</v>
      </c>
      <c r="D28" s="54">
        <f>SUM(COUNTIF(Tabela5[Valor de Entrega],"&gt;0"),COUNTIF(Tabela57[Valor de Entrega],"&gt;0"),COUNTIF(Tabela579[Valor de Entrega],"&gt;0"),COUNTIF(Tabela5710[Valor de Entrega],"&gt;0"),COUNTIF(Tabela5711[Valor de Entrega],"&gt;0"))/SUM('Semana 1'!M34,'Semana 2'!M23,'Semana 3'!M23,'Semana 4'!M23,'Semana 5'!M23)</f>
        <v>0.5</v>
      </c>
      <c r="E28" s="37"/>
      <c r="F28" s="37"/>
      <c r="G28" s="37"/>
      <c r="H28" s="37"/>
      <c r="I28" s="37"/>
      <c r="J28" s="37"/>
      <c r="K28" s="37"/>
      <c r="L28" s="37"/>
      <c r="M28" s="38"/>
    </row>
    <row r="29" spans="2:13" ht="18" x14ac:dyDescent="0.35">
      <c r="B29" s="36"/>
      <c r="C29" s="47" t="s">
        <v>131</v>
      </c>
      <c r="D29" s="48">
        <f>SUMIF(Tabela5[Valor de Entrega],"&gt;0",Tabela5[Total para o Cliente])+SUMIF(Tabela57[Valor de Entrega],"&gt;0",Tabela57[Total para o Cliente])+SUMIF(Tabela579[Valor de Entrega],"&gt;0",Tabela579[Total para o Cliente])+SUMIF(Tabela5710[Valor de Entrega],"&gt;0",Tabela5710[Total para o Cliente])+SUMIF(Tabela5711[Valor de Entrega],"&gt;0",Tabela5711[Total para o Cliente])</f>
        <v>394.61200000000002</v>
      </c>
      <c r="E29" s="37"/>
      <c r="F29" s="37"/>
      <c r="G29" s="37"/>
      <c r="H29" s="37"/>
      <c r="I29" s="37"/>
      <c r="J29" s="37"/>
      <c r="K29" s="37"/>
      <c r="L29" s="37"/>
      <c r="M29" s="38"/>
    </row>
    <row r="30" spans="2:13" ht="18" x14ac:dyDescent="0.35">
      <c r="B30" s="36"/>
      <c r="C30" s="49" t="s">
        <v>132</v>
      </c>
      <c r="D30" s="50">
        <f>SUM('Semana 1'!M33,'Semana 2'!M22,'Semana 3'!M22,'Semana 4'!M22,'Semana 5'!M22)</f>
        <v>48.5</v>
      </c>
      <c r="E30" s="37"/>
      <c r="F30" s="37"/>
      <c r="G30" s="37"/>
      <c r="H30" s="37"/>
      <c r="I30" s="37"/>
      <c r="J30" s="37"/>
      <c r="K30" s="37"/>
      <c r="L30" s="37"/>
      <c r="M30" s="38"/>
    </row>
    <row r="31" spans="2:13" x14ac:dyDescent="0.3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2:13" x14ac:dyDescent="0.3">
      <c r="B32" s="36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2:13" x14ac:dyDescent="0.3">
      <c r="B33" s="36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8"/>
    </row>
    <row r="34" spans="2:13" x14ac:dyDescent="0.3">
      <c r="B34" s="36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8"/>
    </row>
    <row r="35" spans="2:13" x14ac:dyDescent="0.3">
      <c r="B35" s="36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8"/>
    </row>
    <row r="36" spans="2:13" x14ac:dyDescent="0.3">
      <c r="B36" s="36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8"/>
    </row>
    <row r="37" spans="2:13" ht="18" x14ac:dyDescent="0.35">
      <c r="B37" s="36"/>
      <c r="C37" s="51" t="s">
        <v>122</v>
      </c>
      <c r="D37" s="52">
        <f>SUM('Semana 1'!M32,'Semana 2'!M21,'Semana 3'!M21,'Semana 4'!M21,'Semana 5'!M21)/SUM('Semana 1'!M34,'Semana 2'!M23,'Semana 3'!M23,'Semana 4'!M23,'Semana 5'!M23)</f>
        <v>51.343714285714306</v>
      </c>
      <c r="E37" s="37"/>
      <c r="F37" s="37"/>
      <c r="G37" s="37"/>
      <c r="H37" s="37"/>
      <c r="I37" s="37"/>
      <c r="J37" s="37"/>
      <c r="K37" s="37"/>
      <c r="L37" s="37"/>
      <c r="M37" s="38"/>
    </row>
    <row r="38" spans="2:13" x14ac:dyDescent="0.3">
      <c r="B38" s="36"/>
      <c r="D38" s="37"/>
      <c r="E38" s="37"/>
      <c r="F38" s="37"/>
      <c r="G38" s="37"/>
      <c r="H38" s="37"/>
      <c r="I38" s="37"/>
      <c r="J38" s="37"/>
      <c r="K38" s="37"/>
      <c r="L38" s="37"/>
      <c r="M38" s="38"/>
    </row>
    <row r="39" spans="2:13" x14ac:dyDescent="0.3">
      <c r="B39" s="36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8"/>
    </row>
    <row r="40" spans="2:13" x14ac:dyDescent="0.3">
      <c r="B40" s="36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8"/>
    </row>
    <row r="41" spans="2:13" x14ac:dyDescent="0.3">
      <c r="B41" s="39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1"/>
    </row>
    <row r="44" spans="2:13" x14ac:dyDescent="0.3"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42"/>
    </row>
    <row r="45" spans="2:13" x14ac:dyDescent="0.3">
      <c r="B45" s="36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8"/>
    </row>
    <row r="46" spans="2:13" ht="18" x14ac:dyDescent="0.35">
      <c r="B46" s="36"/>
      <c r="C46" s="51" t="s">
        <v>123</v>
      </c>
      <c r="D46" s="37"/>
      <c r="E46" s="37"/>
      <c r="F46" s="37"/>
      <c r="G46" s="37"/>
      <c r="H46" s="37"/>
      <c r="I46" s="37"/>
      <c r="J46" s="37"/>
      <c r="K46" s="37"/>
      <c r="L46" s="37"/>
      <c r="M46" s="38"/>
    </row>
    <row r="47" spans="2:13" x14ac:dyDescent="0.3">
      <c r="B47" s="36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8"/>
    </row>
    <row r="48" spans="2:13" ht="18" x14ac:dyDescent="0.35">
      <c r="B48" s="36"/>
      <c r="D48" s="45" t="s">
        <v>133</v>
      </c>
      <c r="E48" s="37"/>
      <c r="F48" s="37"/>
      <c r="G48" s="37"/>
      <c r="H48" s="37"/>
      <c r="I48" s="37"/>
      <c r="J48" s="37"/>
      <c r="K48" s="37"/>
      <c r="L48" s="37"/>
      <c r="M48" s="38"/>
    </row>
    <row r="49" spans="2:13" ht="18" x14ac:dyDescent="0.35">
      <c r="B49" s="36"/>
      <c r="C49" s="45" t="s">
        <v>112</v>
      </c>
      <c r="D49" s="45">
        <f>COUNTIFS(Tabela5[Entrega],Vendas!C49,Tabela5[Total para o Cliente],"&gt;0")+COUNTIFS(Tabela57[Entrega],Vendas!C49,Tabela57[Total para o Cliente],"&gt;0")+COUNTIFS(Tabela579[Entrega],Vendas!C49,Tabela579[Total para o Cliente],"&gt;0")+COUNTIFS(Tabela5710[Entrega],Vendas!C49,Tabela5710[Total para o Cliente],"&gt;0")+COUNTIFS(Tabela5711[Entrega],Vendas!C49,Tabela5711[Total para o Cliente],"&gt;0")</f>
        <v>7</v>
      </c>
      <c r="E49" s="37"/>
      <c r="F49" s="37"/>
      <c r="G49" s="37"/>
      <c r="H49" s="37"/>
      <c r="I49" s="37"/>
      <c r="J49" s="37"/>
      <c r="K49" s="37"/>
      <c r="L49" s="37"/>
      <c r="M49" s="38"/>
    </row>
    <row r="50" spans="2:13" ht="18" x14ac:dyDescent="0.35">
      <c r="B50" s="36"/>
      <c r="C50" s="47" t="s">
        <v>111</v>
      </c>
      <c r="D50" s="47">
        <f>COUNTIFS(Tabela5[Entrega],Vendas!C50,Tabela5[Total para o Cliente],"&gt;0")+COUNTIFS(Tabela57[Entrega],Vendas!C50,Tabela57[Total para o Cliente],"&gt;0")+COUNTIFS(Tabela579[Entrega],Vendas!C50,Tabela579[Total para o Cliente],"&gt;0")+COUNTIFS(Tabela5710[Entrega],Vendas!C50,Tabela5710[Total para o Cliente],"&gt;0")+COUNTIFS(Tabela5711[Entrega],Vendas!C50,Tabela5711[Total para o Cliente],"&gt;0")</f>
        <v>0</v>
      </c>
      <c r="E50" s="37"/>
      <c r="F50" s="37"/>
      <c r="G50" s="37"/>
      <c r="H50" s="37"/>
      <c r="I50" s="37"/>
      <c r="J50" s="37"/>
      <c r="K50" s="37"/>
      <c r="L50" s="37"/>
      <c r="M50" s="38"/>
    </row>
    <row r="51" spans="2:13" ht="18" x14ac:dyDescent="0.35">
      <c r="B51" s="36"/>
      <c r="C51" s="47" t="s">
        <v>113</v>
      </c>
      <c r="D51" s="47">
        <f>COUNTIFS(Tabela5[Entrega],Vendas!C51,Tabela5[Total para o Cliente],"&gt;0")+COUNTIFS(Tabela57[Entrega],Vendas!C51,Tabela57[Total para o Cliente],"&gt;0")+COUNTIFS(Tabela579[Entrega],Vendas!C51,Tabela579[Total para o Cliente],"&gt;0")+COUNTIFS(Tabela5710[Entrega],Vendas!C51,Tabela5710[Total para o Cliente],"&gt;0")+COUNTIFS(Tabela5711[Entrega],Vendas!C51,Tabela5711[Total para o Cliente],"&gt;0")</f>
        <v>2</v>
      </c>
      <c r="E51" s="37"/>
      <c r="F51" s="37"/>
      <c r="G51" s="37"/>
      <c r="H51" s="37"/>
      <c r="I51" s="37"/>
      <c r="J51" s="37"/>
      <c r="K51" s="37"/>
      <c r="L51" s="37"/>
      <c r="M51" s="38"/>
    </row>
    <row r="52" spans="2:13" ht="18" x14ac:dyDescent="0.35">
      <c r="B52" s="36"/>
      <c r="C52" s="47" t="s">
        <v>114</v>
      </c>
      <c r="D52" s="47">
        <f>COUNTIFS(Tabela5[Entrega],Vendas!C52,Tabela5[Total para o Cliente],"&gt;0")+COUNTIFS(Tabela57[Entrega],Vendas!C52,Tabela57[Total para o Cliente],"&gt;0")+COUNTIFS(Tabela579[Entrega],Vendas!C52,Tabela579[Total para o Cliente],"&gt;0")+COUNTIFS(Tabela5710[Entrega],Vendas!C52,Tabela5710[Total para o Cliente],"&gt;0")+COUNTIFS(Tabela5711[Entrega],Vendas!C52,Tabela5711[Total para o Cliente],"&gt;0")</f>
        <v>2</v>
      </c>
      <c r="E52" s="37"/>
      <c r="F52" s="37"/>
      <c r="G52" s="37"/>
      <c r="H52" s="37"/>
      <c r="I52" s="37"/>
      <c r="J52" s="37"/>
      <c r="K52" s="37"/>
      <c r="L52" s="37"/>
      <c r="M52" s="38"/>
    </row>
    <row r="53" spans="2:13" ht="18" x14ac:dyDescent="0.35">
      <c r="B53" s="36"/>
      <c r="C53" s="49" t="s">
        <v>115</v>
      </c>
      <c r="D53" s="49">
        <f>COUNTIFS(Tabela5[Entrega],Vendas!C53,Tabela5[Total para o Cliente],"&gt;0")+COUNTIFS(Tabela57[Entrega],Vendas!C53,Tabela57[Total para o Cliente],"&gt;0")+COUNTIFS(Tabela579[Entrega],Vendas!C53,Tabela579[Total para o Cliente],"&gt;0")+COUNTIFS(Tabela5710[Entrega],Vendas!C53,Tabela5710[Total para o Cliente],"&gt;0")+COUNTIFS(Tabela5711[Entrega],Vendas!C53,Tabela5711[Total para o Cliente],"&gt;0")</f>
        <v>3</v>
      </c>
      <c r="E53" s="37"/>
      <c r="F53" s="37"/>
      <c r="G53" s="37"/>
      <c r="H53" s="37"/>
      <c r="I53" s="37"/>
      <c r="J53" s="37"/>
      <c r="K53" s="37"/>
      <c r="L53" s="37"/>
      <c r="M53" s="38"/>
    </row>
    <row r="54" spans="2:13" x14ac:dyDescent="0.3">
      <c r="B54" s="36"/>
      <c r="D54" s="37"/>
      <c r="E54" s="37"/>
      <c r="F54" s="37"/>
      <c r="G54" s="37"/>
      <c r="H54" s="37"/>
      <c r="I54" s="37"/>
      <c r="J54" s="37"/>
      <c r="K54" s="37"/>
      <c r="L54" s="37"/>
      <c r="M54" s="38"/>
    </row>
    <row r="55" spans="2:13" x14ac:dyDescent="0.3">
      <c r="B55" s="36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8"/>
    </row>
    <row r="56" spans="2:13" x14ac:dyDescent="0.3">
      <c r="B56" s="36"/>
      <c r="D56" s="37"/>
      <c r="E56" s="37"/>
      <c r="F56" s="37"/>
      <c r="G56" s="37"/>
      <c r="H56" s="37"/>
      <c r="I56" s="37"/>
      <c r="J56" s="37"/>
      <c r="K56" s="37"/>
      <c r="L56" s="37"/>
      <c r="M56" s="38"/>
    </row>
    <row r="57" spans="2:13" x14ac:dyDescent="0.3">
      <c r="B57" s="36"/>
      <c r="C57" s="37"/>
      <c r="E57" s="37"/>
      <c r="F57" s="37"/>
      <c r="G57" s="37"/>
      <c r="H57" s="37"/>
      <c r="I57" s="37"/>
      <c r="J57" s="37"/>
      <c r="K57" s="37"/>
      <c r="L57" s="37"/>
      <c r="M57" s="38"/>
    </row>
    <row r="58" spans="2:13" x14ac:dyDescent="0.3">
      <c r="B58" s="36"/>
      <c r="C58" s="37"/>
      <c r="E58" s="37"/>
      <c r="F58" s="37"/>
      <c r="G58" s="37"/>
      <c r="H58" s="37"/>
      <c r="I58" s="37"/>
      <c r="J58" s="37"/>
      <c r="K58" s="37"/>
      <c r="L58" s="37"/>
      <c r="M58" s="38"/>
    </row>
    <row r="59" spans="2:13" x14ac:dyDescent="0.3">
      <c r="B59" s="36"/>
      <c r="C59" s="37"/>
      <c r="E59" s="37"/>
      <c r="F59" s="37"/>
      <c r="G59" s="37"/>
      <c r="H59" s="37"/>
      <c r="I59" s="37"/>
      <c r="J59" s="37"/>
      <c r="K59" s="37"/>
      <c r="L59" s="37"/>
      <c r="M59" s="38"/>
    </row>
    <row r="60" spans="2:13" x14ac:dyDescent="0.3">
      <c r="B60" s="36"/>
      <c r="C60" s="37"/>
      <c r="E60" s="37"/>
      <c r="F60" s="37"/>
      <c r="G60" s="37"/>
      <c r="H60" s="37"/>
      <c r="I60" s="37"/>
      <c r="J60" s="37"/>
      <c r="K60" s="37"/>
      <c r="L60" s="37"/>
      <c r="M60" s="38"/>
    </row>
    <row r="61" spans="2:13" x14ac:dyDescent="0.3">
      <c r="B61" s="36"/>
      <c r="C61" s="37"/>
      <c r="E61" s="37"/>
      <c r="F61" s="37"/>
      <c r="G61" s="37"/>
      <c r="H61" s="37"/>
      <c r="I61" s="37"/>
      <c r="J61" s="37"/>
      <c r="K61" s="37"/>
      <c r="L61" s="37"/>
      <c r="M61" s="38"/>
    </row>
    <row r="62" spans="2:13" x14ac:dyDescent="0.3">
      <c r="B62" s="39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1"/>
    </row>
  </sheetData>
  <phoneticPr fontId="11" type="noConversion"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9DC-7B01-4617-A53F-EAA1F10253E3}">
  <dimension ref="B2:O34"/>
  <sheetViews>
    <sheetView showGridLines="0" workbookViewId="0">
      <selection activeCell="M34" sqref="M34"/>
    </sheetView>
  </sheetViews>
  <sheetFormatPr defaultRowHeight="14.4" x14ac:dyDescent="0.3"/>
  <cols>
    <col min="2" max="2" width="17.109375" customWidth="1"/>
    <col min="3" max="3" width="10.5546875" bestFit="1" customWidth="1"/>
    <col min="4" max="4" width="14.77734375" bestFit="1" customWidth="1"/>
    <col min="5" max="5" width="9.6640625" bestFit="1" customWidth="1"/>
    <col min="6" max="6" width="13.109375" bestFit="1" customWidth="1"/>
    <col min="7" max="7" width="15.33203125" bestFit="1" customWidth="1"/>
    <col min="8" max="8" width="10.33203125" bestFit="1" customWidth="1"/>
    <col min="9" max="9" width="11.109375" bestFit="1" customWidth="1"/>
    <col min="10" max="10" width="10.21875" bestFit="1" customWidth="1"/>
    <col min="11" max="11" width="17.21875" bestFit="1" customWidth="1"/>
    <col min="12" max="12" width="10.33203125" bestFit="1" customWidth="1"/>
    <col min="13" max="13" width="19.6640625" bestFit="1" customWidth="1"/>
    <col min="15" max="15" width="10.33203125" bestFit="1" customWidth="1"/>
  </cols>
  <sheetData>
    <row r="2" spans="2:15" s="23" customFormat="1" ht="28.05" customHeight="1" x14ac:dyDescent="0.45">
      <c r="B2" s="24" t="s">
        <v>102</v>
      </c>
      <c r="E2" s="25"/>
    </row>
    <row r="3" spans="2:15" ht="48" customHeight="1" x14ac:dyDescent="0.3"/>
    <row r="4" spans="2:15" x14ac:dyDescent="0.3">
      <c r="B4" t="s">
        <v>103</v>
      </c>
      <c r="C4" t="s">
        <v>41</v>
      </c>
      <c r="D4" t="s">
        <v>95</v>
      </c>
      <c r="E4" t="s">
        <v>56</v>
      </c>
      <c r="F4" t="s">
        <v>57</v>
      </c>
      <c r="G4" t="s">
        <v>58</v>
      </c>
      <c r="H4" t="s">
        <v>104</v>
      </c>
      <c r="I4" t="s">
        <v>59</v>
      </c>
      <c r="J4" t="s">
        <v>105</v>
      </c>
      <c r="K4" t="s">
        <v>106</v>
      </c>
      <c r="L4" t="s">
        <v>107</v>
      </c>
      <c r="M4" t="s">
        <v>108</v>
      </c>
    </row>
    <row r="5" spans="2:15" x14ac:dyDescent="0.3">
      <c r="B5">
        <v>13</v>
      </c>
      <c r="C5" s="33">
        <v>42190</v>
      </c>
      <c r="D5" t="s">
        <v>28</v>
      </c>
      <c r="E5" t="str">
        <f>IFERROR(VLOOKUP(Tabela5[[#This Row],[Produto]],cálculos!$M$7:$P$30,4,FALSE),"")</f>
        <v>Pacote</v>
      </c>
      <c r="F5">
        <v>10</v>
      </c>
      <c r="G5" s="3">
        <f>IFERROR(VLOOKUP(Tabela5[[#This Row],[Produto]],cálculos!$M$7:$P$30,3,FALSE),0)</f>
        <v>1.1499999999999999</v>
      </c>
      <c r="H5" s="9">
        <f>Tabela5[[#This Row],[Preço Unitário]]*Tabela5[[#This Row],[Quantidade]]</f>
        <v>11.5</v>
      </c>
      <c r="I5" s="6"/>
      <c r="J5" t="s">
        <v>115</v>
      </c>
      <c r="K5" s="9">
        <f>IF(Tabela5[[#This Row],[Id da Venda]]=B6,0,VLOOKUP(Tabela5[[#This Row],[Entrega]],cálculos!$B$7:$C$11,2,FALSE))</f>
        <v>0</v>
      </c>
      <c r="L5" s="9">
        <f>Tabela5[[#This Row],[Subtotal]]*(1-Tabela5[[#This Row],[Desconto]])+Tabela5[[#This Row],[Valor de Entrega]]</f>
        <v>11.5</v>
      </c>
      <c r="M5" s="9" t="str">
        <f>IF(Tabela5[[#This Row],[Id da Venda]]=B6,"",SUMIF(Tabela5[Id da Venda],Tabela5[[#This Row],[Id da Venda]],Tabela5[Total]))</f>
        <v/>
      </c>
    </row>
    <row r="6" spans="2:15" x14ac:dyDescent="0.3">
      <c r="B6">
        <v>13</v>
      </c>
      <c r="C6" s="33">
        <v>42190</v>
      </c>
      <c r="D6" t="s">
        <v>32</v>
      </c>
      <c r="E6" t="str">
        <f>IFERROR(VLOOKUP(Tabela5[[#This Row],[Produto]],cálculos!$M$7:$P$30,4,FALSE),"")</f>
        <v>Pacote</v>
      </c>
      <c r="F6">
        <v>1</v>
      </c>
      <c r="G6" s="3">
        <f>IFERROR(VLOOKUP(Tabela5[[#This Row],[Produto]],cálculos!$M$7:$P$30,3,FALSE),0)</f>
        <v>0.79</v>
      </c>
      <c r="H6" s="9">
        <f>Tabela5[[#This Row],[Preço Unitário]]*Tabela5[[#This Row],[Quantidade]]</f>
        <v>0.79</v>
      </c>
      <c r="I6" s="6"/>
      <c r="J6" t="s">
        <v>115</v>
      </c>
      <c r="K6" s="9">
        <f>IF(Tabela5[[#This Row],[Id da Venda]]=B7,0,VLOOKUP(Tabela5[[#This Row],[Entrega]],cálculos!$B$7:$C$11,2,FALSE))</f>
        <v>0</v>
      </c>
      <c r="L6" s="9">
        <f>Tabela5[[#This Row],[Subtotal]]*(1-Tabela5[[#This Row],[Desconto]])+Tabela5[[#This Row],[Valor de Entrega]]</f>
        <v>0.79</v>
      </c>
      <c r="M6" s="9" t="str">
        <f>IF(Tabela5[[#This Row],[Id da Venda]]=B7,"",SUMIF(Tabela5[Id da Venda],Tabela5[[#This Row],[Id da Venda]],Tabela5[Total]))</f>
        <v/>
      </c>
    </row>
    <row r="7" spans="2:15" x14ac:dyDescent="0.3">
      <c r="B7">
        <v>13</v>
      </c>
      <c r="C7" s="33">
        <v>42190</v>
      </c>
      <c r="D7" t="s">
        <v>20</v>
      </c>
      <c r="E7" t="str">
        <f>IFERROR(VLOOKUP(Tabela5[[#This Row],[Produto]],cálculos!$M$7:$P$30,4,FALSE),"")</f>
        <v>Kg</v>
      </c>
      <c r="F7">
        <v>10</v>
      </c>
      <c r="G7" s="3">
        <f>IFERROR(VLOOKUP(Tabela5[[#This Row],[Produto]],cálculos!$M$7:$P$30,3,FALSE),0)</f>
        <v>15.9</v>
      </c>
      <c r="H7" s="9">
        <f>Tabela5[[#This Row],[Preço Unitário]]*Tabela5[[#This Row],[Quantidade]]</f>
        <v>159</v>
      </c>
      <c r="I7" s="6">
        <v>0.05</v>
      </c>
      <c r="J7" t="s">
        <v>115</v>
      </c>
      <c r="K7" s="9">
        <f>IF(Tabela5[[#This Row],[Id da Venda]]=B8,0,VLOOKUP(Tabela5[[#This Row],[Entrega]],cálculos!$B$7:$C$11,2,FALSE))</f>
        <v>0</v>
      </c>
      <c r="L7" s="9">
        <f>Tabela5[[#This Row],[Subtotal]]*(1-Tabela5[[#This Row],[Desconto]])+Tabela5[[#This Row],[Valor de Entrega]]</f>
        <v>151.04999999999998</v>
      </c>
      <c r="M7" s="9" t="str">
        <f>IF(Tabela5[[#This Row],[Id da Venda]]=B8,"",SUMIF(Tabela5[Id da Venda],Tabela5[[#This Row],[Id da Venda]],Tabela5[Total]))</f>
        <v/>
      </c>
    </row>
    <row r="8" spans="2:15" x14ac:dyDescent="0.3">
      <c r="B8">
        <v>13</v>
      </c>
      <c r="C8" s="33">
        <v>42190</v>
      </c>
      <c r="D8" t="s">
        <v>29</v>
      </c>
      <c r="E8" t="str">
        <f>IFERROR(VLOOKUP(Tabela5[[#This Row],[Produto]],cálculos!$M$7:$P$30,4,FALSE),"")</f>
        <v>Lata</v>
      </c>
      <c r="F8">
        <v>24</v>
      </c>
      <c r="G8" s="3">
        <f>IFERROR(VLOOKUP(Tabela5[[#This Row],[Produto]],cálculos!$M$7:$P$30,3,FALSE),0)</f>
        <v>2.19</v>
      </c>
      <c r="H8" s="9">
        <f>Tabela5[[#This Row],[Preço Unitário]]*Tabela5[[#This Row],[Quantidade]]</f>
        <v>52.56</v>
      </c>
      <c r="I8" s="6">
        <v>0.05</v>
      </c>
      <c r="J8" t="s">
        <v>115</v>
      </c>
      <c r="K8" s="9">
        <f>IF(Tabela5[[#This Row],[Id da Venda]]=B9,0,VLOOKUP(Tabela5[[#This Row],[Entrega]],cálculos!$B$7:$C$11,2,FALSE))</f>
        <v>6.5</v>
      </c>
      <c r="L8" s="9">
        <f>Tabela5[[#This Row],[Subtotal]]*(1-Tabela5[[#This Row],[Desconto]])+Tabela5[[#This Row],[Valor de Entrega]]</f>
        <v>56.432000000000002</v>
      </c>
      <c r="M8" s="9">
        <f>IF(Tabela5[[#This Row],[Id da Venda]]=B9,"",SUMIF(Tabela5[Id da Venda],Tabela5[[#This Row],[Id da Venda]],Tabela5[Total]))</f>
        <v>219.77199999999999</v>
      </c>
    </row>
    <row r="9" spans="2:15" x14ac:dyDescent="0.3">
      <c r="B9">
        <v>12</v>
      </c>
      <c r="C9" s="33">
        <v>42189</v>
      </c>
      <c r="D9" t="s">
        <v>29</v>
      </c>
      <c r="E9" t="str">
        <f>IFERROR(VLOOKUP(Tabela5[[#This Row],[Produto]],cálculos!$M$7:$P$30,4,FALSE),"")</f>
        <v>Lata</v>
      </c>
      <c r="F9">
        <v>1</v>
      </c>
      <c r="G9" s="3">
        <f>IFERROR(VLOOKUP(Tabela5[[#This Row],[Produto]],cálculos!$M$7:$P$30,3,FALSE),0)</f>
        <v>2.19</v>
      </c>
      <c r="H9" s="9">
        <f>Tabela5[[#This Row],[Preço Unitário]]*Tabela5[[#This Row],[Quantidade]]</f>
        <v>2.19</v>
      </c>
      <c r="I9" s="6"/>
      <c r="J9" t="s">
        <v>112</v>
      </c>
      <c r="K9" s="9">
        <f>IF(Tabela5[[#This Row],[Id da Venda]]=B10,0,VLOOKUP(Tabela5[[#This Row],[Entrega]],cálculos!$B$7:$C$11,2,FALSE))</f>
        <v>0</v>
      </c>
      <c r="L9" s="9">
        <f>Tabela5[[#This Row],[Subtotal]]*(1-Tabela5[[#This Row],[Desconto]])+Tabela5[[#This Row],[Valor de Entrega]]</f>
        <v>2.19</v>
      </c>
      <c r="M9" s="9">
        <f>IF(Tabela5[[#This Row],[Id da Venda]]=B10,"",SUMIF(Tabela5[Id da Venda],Tabela5[[#This Row],[Id da Venda]],Tabela5[Total]))</f>
        <v>2.19</v>
      </c>
      <c r="O9" s="3"/>
    </row>
    <row r="10" spans="2:15" x14ac:dyDescent="0.3">
      <c r="B10">
        <v>11</v>
      </c>
      <c r="C10" s="33">
        <v>42189</v>
      </c>
      <c r="D10" t="s">
        <v>29</v>
      </c>
      <c r="E10" t="str">
        <f>IFERROR(VLOOKUP(Tabela5[[#This Row],[Produto]],cálculos!$M$7:$P$30,4,FALSE),"")</f>
        <v>Lata</v>
      </c>
      <c r="F10">
        <v>10</v>
      </c>
      <c r="G10" s="3">
        <f>IFERROR(VLOOKUP(Tabela5[[#This Row],[Produto]],cálculos!$M$7:$P$30,3,FALSE),0)</f>
        <v>2.19</v>
      </c>
      <c r="H10" s="9">
        <f>Tabela5[[#This Row],[Preço Unitário]]*Tabela5[[#This Row],[Quantidade]]</f>
        <v>21.9</v>
      </c>
      <c r="I10" s="6"/>
      <c r="J10" t="s">
        <v>112</v>
      </c>
      <c r="K10" s="9">
        <f>IF(Tabela5[[#This Row],[Id da Venda]]=B11,0,VLOOKUP(Tabela5[[#This Row],[Entrega]],cálculos!$B$7:$C$11,2,FALSE))</f>
        <v>0</v>
      </c>
      <c r="L10" s="9">
        <f>Tabela5[[#This Row],[Subtotal]]*(1-Tabela5[[#This Row],[Desconto]])+Tabela5[[#This Row],[Valor de Entrega]]</f>
        <v>21.9</v>
      </c>
      <c r="M10" s="9">
        <f>IF(Tabela5[[#This Row],[Id da Venda]]=B11,"",SUMIF(Tabela5[Id da Venda],Tabela5[[#This Row],[Id da Venda]],Tabela5[Total]))</f>
        <v>21.9</v>
      </c>
    </row>
    <row r="11" spans="2:15" x14ac:dyDescent="0.3">
      <c r="B11">
        <v>10</v>
      </c>
      <c r="C11" s="33">
        <v>42189</v>
      </c>
      <c r="D11" t="s">
        <v>17</v>
      </c>
      <c r="E11" t="str">
        <f>IFERROR(VLOOKUP(Tabela5[[#This Row],[Produto]],cálculos!$M$7:$P$30,4,FALSE),"")</f>
        <v>Kg</v>
      </c>
      <c r="F11">
        <v>6</v>
      </c>
      <c r="G11" s="3">
        <f>IFERROR(VLOOKUP(Tabela5[[#This Row],[Produto]],cálculos!$M$7:$P$30,3,FALSE),0)</f>
        <v>4.28</v>
      </c>
      <c r="H11" s="9">
        <f>Tabela5[[#This Row],[Preço Unitário]]*Tabela5[[#This Row],[Quantidade]]</f>
        <v>25.68</v>
      </c>
      <c r="I11" s="6"/>
      <c r="J11" t="s">
        <v>112</v>
      </c>
      <c r="K11" s="9">
        <f>IF(Tabela5[[#This Row],[Id da Venda]]=B12,0,VLOOKUP(Tabela5[[#This Row],[Entrega]],cálculos!$B$7:$C$11,2,FALSE))</f>
        <v>0</v>
      </c>
      <c r="L11" s="9">
        <f>Tabela5[[#This Row],[Subtotal]]*(1-Tabela5[[#This Row],[Desconto]])+Tabela5[[#This Row],[Valor de Entrega]]</f>
        <v>25.68</v>
      </c>
      <c r="M11" s="9" t="str">
        <f>IF(Tabela5[[#This Row],[Id da Venda]]=B12,"",SUMIF(Tabela5[Id da Venda],Tabela5[[#This Row],[Id da Venda]],Tabela5[Total]))</f>
        <v/>
      </c>
    </row>
    <row r="12" spans="2:15" x14ac:dyDescent="0.3">
      <c r="B12">
        <v>10</v>
      </c>
      <c r="C12" s="33">
        <v>42189</v>
      </c>
      <c r="D12" t="s">
        <v>72</v>
      </c>
      <c r="E12" t="str">
        <f>IFERROR(VLOOKUP(Tabela5[[#This Row],[Produto]],cálculos!$M$7:$P$30,4,FALSE),"")</f>
        <v>Litro</v>
      </c>
      <c r="F12">
        <v>4</v>
      </c>
      <c r="G12" s="3">
        <f>IFERROR(VLOOKUP(Tabela5[[#This Row],[Produto]],cálculos!$M$7:$P$30,3,FALSE),0)</f>
        <v>2.39</v>
      </c>
      <c r="H12" s="9">
        <f>Tabela5[[#This Row],[Preço Unitário]]*Tabela5[[#This Row],[Quantidade]]</f>
        <v>9.56</v>
      </c>
      <c r="I12" s="6"/>
      <c r="J12" t="s">
        <v>112</v>
      </c>
      <c r="K12" s="9">
        <f>IF(Tabela5[[#This Row],[Id da Venda]]=B13,0,VLOOKUP(Tabela5[[#This Row],[Entrega]],cálculos!$B$7:$C$11,2,FALSE))</f>
        <v>0</v>
      </c>
      <c r="L12" s="9">
        <f>Tabela5[[#This Row],[Subtotal]]*(1-Tabela5[[#This Row],[Desconto]])+Tabela5[[#This Row],[Valor de Entrega]]</f>
        <v>9.56</v>
      </c>
      <c r="M12" s="9">
        <f>IF(Tabela5[[#This Row],[Id da Venda]]=B13,"",SUMIF(Tabela5[Id da Venda],Tabela5[[#This Row],[Id da Venda]],Tabela5[Total]))</f>
        <v>35.24</v>
      </c>
      <c r="O12" s="3"/>
    </row>
    <row r="13" spans="2:15" x14ac:dyDescent="0.3">
      <c r="B13">
        <v>9</v>
      </c>
      <c r="C13" s="33">
        <v>42188</v>
      </c>
      <c r="D13" t="s">
        <v>71</v>
      </c>
      <c r="E13" t="str">
        <f>IFERROR(VLOOKUP(Tabela5[[#This Row],[Produto]],cálculos!$M$7:$P$30,4,FALSE),"")</f>
        <v>Unidade</v>
      </c>
      <c r="F13">
        <v>5</v>
      </c>
      <c r="G13" s="3">
        <f>IFERROR(VLOOKUP(Tabela5[[#This Row],[Produto]],cálculos!$M$7:$P$30,3,FALSE),0)</f>
        <v>2.89</v>
      </c>
      <c r="H13" s="9">
        <f>Tabela5[[#This Row],[Preço Unitário]]*Tabela5[[#This Row],[Quantidade]]</f>
        <v>14.450000000000001</v>
      </c>
      <c r="I13" s="6"/>
      <c r="J13" t="s">
        <v>112</v>
      </c>
      <c r="K13" s="9">
        <f>IF(Tabela5[[#This Row],[Id da Venda]]=B14,0,VLOOKUP(Tabela5[[#This Row],[Entrega]],cálculos!$B$7:$C$11,2,FALSE))</f>
        <v>0</v>
      </c>
      <c r="L13" s="9">
        <f>Tabela5[[#This Row],[Subtotal]]*(1-Tabela5[[#This Row],[Desconto]])+Tabela5[[#This Row],[Valor de Entrega]]</f>
        <v>14.450000000000001</v>
      </c>
      <c r="M13" s="9" t="str">
        <f>IF(Tabela5[[#This Row],[Id da Venda]]=B14,"",SUMIF(Tabela5[Id da Venda],Tabela5[[#This Row],[Id da Venda]],Tabela5[Total]))</f>
        <v/>
      </c>
    </row>
    <row r="14" spans="2:15" x14ac:dyDescent="0.3">
      <c r="B14">
        <v>9</v>
      </c>
      <c r="C14" s="33">
        <v>42188</v>
      </c>
      <c r="D14" t="s">
        <v>27</v>
      </c>
      <c r="E14" t="str">
        <f>IFERROR(VLOOKUP(Tabela5[[#This Row],[Produto]],cálculos!$M$7:$P$30,4,FALSE),"")</f>
        <v>Kg</v>
      </c>
      <c r="F14">
        <v>2</v>
      </c>
      <c r="G14" s="3">
        <f>IFERROR(VLOOKUP(Tabela5[[#This Row],[Produto]],cálculos!$M$7:$P$30,3,FALSE),0)</f>
        <v>9.58</v>
      </c>
      <c r="H14" s="9">
        <f>Tabela5[[#This Row],[Preço Unitário]]*Tabela5[[#This Row],[Quantidade]]</f>
        <v>19.16</v>
      </c>
      <c r="I14" s="6"/>
      <c r="J14" t="s">
        <v>112</v>
      </c>
      <c r="K14" s="9">
        <f>IF(Tabela5[[#This Row],[Id da Venda]]=B15,0,VLOOKUP(Tabela5[[#This Row],[Entrega]],cálculos!$B$7:$C$11,2,FALSE))</f>
        <v>0</v>
      </c>
      <c r="L14" s="9">
        <f>Tabela5[[#This Row],[Subtotal]]*(1-Tabela5[[#This Row],[Desconto]])+Tabela5[[#This Row],[Valor de Entrega]]</f>
        <v>19.16</v>
      </c>
      <c r="M14" s="9" t="str">
        <f>IF(Tabela5[[#This Row],[Id da Venda]]=B15,"",SUMIF(Tabela5[Id da Venda],Tabela5[[#This Row],[Id da Venda]],Tabela5[Total]))</f>
        <v/>
      </c>
      <c r="O14" s="3"/>
    </row>
    <row r="15" spans="2:15" x14ac:dyDescent="0.3">
      <c r="B15">
        <v>9</v>
      </c>
      <c r="C15" s="33">
        <v>42188</v>
      </c>
      <c r="D15" t="s">
        <v>23</v>
      </c>
      <c r="E15" t="str">
        <f>IFERROR(VLOOKUP(Tabela5[[#This Row],[Produto]],cálculos!$M$7:$P$30,4,FALSE),"")</f>
        <v>Kg</v>
      </c>
      <c r="F15">
        <v>1.5</v>
      </c>
      <c r="G15" s="3">
        <f>IFERROR(VLOOKUP(Tabela5[[#This Row],[Produto]],cálculos!$M$7:$P$30,3,FALSE),0)</f>
        <v>25.9</v>
      </c>
      <c r="H15" s="9">
        <f>Tabela5[[#This Row],[Preço Unitário]]*Tabela5[[#This Row],[Quantidade]]</f>
        <v>38.849999999999994</v>
      </c>
      <c r="I15" s="6"/>
      <c r="J15" t="s">
        <v>112</v>
      </c>
      <c r="K15" s="9">
        <f>IF(Tabela5[[#This Row],[Id da Venda]]=B16,0,VLOOKUP(Tabela5[[#This Row],[Entrega]],cálculos!$B$7:$C$11,2,FALSE))</f>
        <v>0</v>
      </c>
      <c r="L15" s="9">
        <f>Tabela5[[#This Row],[Subtotal]]*(1-Tabela5[[#This Row],[Desconto]])+Tabela5[[#This Row],[Valor de Entrega]]</f>
        <v>38.849999999999994</v>
      </c>
      <c r="M15" s="9" t="str">
        <f>IF(Tabela5[[#This Row],[Id da Venda]]=B16,"",SUMIF(Tabela5[Id da Venda],Tabela5[[#This Row],[Id da Venda]],Tabela5[Total]))</f>
        <v/>
      </c>
    </row>
    <row r="16" spans="2:15" x14ac:dyDescent="0.3">
      <c r="B16">
        <v>9</v>
      </c>
      <c r="C16" s="33">
        <v>42188</v>
      </c>
      <c r="D16" t="s">
        <v>17</v>
      </c>
      <c r="E16" t="str">
        <f>IFERROR(VLOOKUP(Tabela5[[#This Row],[Produto]],cálculos!$M$7:$P$30,4,FALSE),"")</f>
        <v>Kg</v>
      </c>
      <c r="F16">
        <v>4</v>
      </c>
      <c r="G16" s="3">
        <f>IFERROR(VLOOKUP(Tabela5[[#This Row],[Produto]],cálculos!$M$7:$P$30,3,FALSE),0)</f>
        <v>4.28</v>
      </c>
      <c r="H16" s="9">
        <f>Tabela5[[#This Row],[Preço Unitário]]*Tabela5[[#This Row],[Quantidade]]</f>
        <v>17.12</v>
      </c>
      <c r="I16" s="6"/>
      <c r="J16" t="s">
        <v>112</v>
      </c>
      <c r="K16" s="9">
        <f>IF(Tabela5[[#This Row],[Id da Venda]]=B17,0,VLOOKUP(Tabela5[[#This Row],[Entrega]],cálculos!$B$7:$C$11,2,FALSE))</f>
        <v>0</v>
      </c>
      <c r="L16" s="9">
        <f>Tabela5[[#This Row],[Subtotal]]*(1-Tabela5[[#This Row],[Desconto]])+Tabela5[[#This Row],[Valor de Entrega]]</f>
        <v>17.12</v>
      </c>
      <c r="M16" s="9">
        <f>IF(Tabela5[[#This Row],[Id da Venda]]=B17,"",SUMIF(Tabela5[Id da Venda],Tabela5[[#This Row],[Id da Venda]],Tabela5[Total]))</f>
        <v>89.58</v>
      </c>
    </row>
    <row r="17" spans="2:13" x14ac:dyDescent="0.3">
      <c r="B17">
        <v>8</v>
      </c>
      <c r="C17" s="33">
        <v>42188</v>
      </c>
      <c r="D17" t="s">
        <v>29</v>
      </c>
      <c r="E17" t="str">
        <f>IFERROR(VLOOKUP(Tabela5[[#This Row],[Produto]],cálculos!$M$7:$P$30,4,FALSE),"")</f>
        <v>Lata</v>
      </c>
      <c r="F17">
        <v>20</v>
      </c>
      <c r="G17" s="3">
        <f>IFERROR(VLOOKUP(Tabela5[[#This Row],[Produto]],cálculos!$M$7:$P$30,3,FALSE),0)</f>
        <v>2.19</v>
      </c>
      <c r="H17" s="9">
        <f>Tabela5[[#This Row],[Preço Unitário]]*Tabela5[[#This Row],[Quantidade]]</f>
        <v>43.8</v>
      </c>
      <c r="I17" s="6">
        <v>0.05</v>
      </c>
      <c r="J17" t="s">
        <v>115</v>
      </c>
      <c r="K17" s="9">
        <f>IF(Tabela5[[#This Row],[Id da Venda]]=B18,0,VLOOKUP(Tabela5[[#This Row],[Entrega]],cálculos!$B$7:$C$11,2,FALSE))</f>
        <v>6.5</v>
      </c>
      <c r="L17" s="9">
        <f>Tabela5[[#This Row],[Subtotal]]*(1-Tabela5[[#This Row],[Desconto]])+Tabela5[[#This Row],[Valor de Entrega]]</f>
        <v>48.109999999999992</v>
      </c>
      <c r="M17" s="9">
        <f>IF(Tabela5[[#This Row],[Id da Venda]]=B18,"",SUMIF(Tabela5[Id da Venda],Tabela5[[#This Row],[Id da Venda]],Tabela5[Total]))</f>
        <v>48.109999999999992</v>
      </c>
    </row>
    <row r="18" spans="2:13" x14ac:dyDescent="0.3">
      <c r="B18">
        <v>7</v>
      </c>
      <c r="C18" s="33">
        <v>42188</v>
      </c>
      <c r="D18" t="s">
        <v>29</v>
      </c>
      <c r="E18" t="str">
        <f>IFERROR(VLOOKUP(Tabela5[[#This Row],[Produto]],cálculos!$M$7:$P$30,4,FALSE),"")</f>
        <v>Lata</v>
      </c>
      <c r="F18">
        <v>20</v>
      </c>
      <c r="G18" s="3">
        <f>IFERROR(VLOOKUP(Tabela5[[#This Row],[Produto]],cálculos!$M$7:$P$30,3,FALSE),0)</f>
        <v>2.19</v>
      </c>
      <c r="H18" s="3">
        <f>Tabela5[[#This Row],[Preço Unitário]]*Tabela5[[#This Row],[Quantidade]]</f>
        <v>43.8</v>
      </c>
      <c r="I18">
        <v>0.05</v>
      </c>
      <c r="J18" t="s">
        <v>112</v>
      </c>
      <c r="K18" s="9">
        <f>IF(Tabela5[[#This Row],[Id da Venda]]=B19,0,VLOOKUP(Tabela5[[#This Row],[Entrega]],cálculos!$B$7:$C$11,2,FALSE))</f>
        <v>0</v>
      </c>
      <c r="L18" s="9">
        <f>Tabela5[[#This Row],[Subtotal]]*(1-Tabela5[[#This Row],[Desconto]])+Tabela5[[#This Row],[Valor de Entrega]]</f>
        <v>41.609999999999992</v>
      </c>
      <c r="M18" s="9">
        <f>IF(Tabela5[[#This Row],[Id da Venda]]=B19,"",SUMIF(Tabela5[Id da Venda],Tabela5[[#This Row],[Id da Venda]],Tabela5[Total]))</f>
        <v>41.609999999999992</v>
      </c>
    </row>
    <row r="19" spans="2:13" x14ac:dyDescent="0.3">
      <c r="B19">
        <v>6</v>
      </c>
      <c r="C19" s="33">
        <v>42188</v>
      </c>
      <c r="D19" t="s">
        <v>32</v>
      </c>
      <c r="E19" s="31" t="str">
        <f>IFERROR(VLOOKUP(Tabela5[[#This Row],[Produto]],cálculos!$M$7:$P$30,4,FALSE),"")</f>
        <v>Pacote</v>
      </c>
      <c r="F19">
        <v>2</v>
      </c>
      <c r="G19" s="3">
        <f>IFERROR(VLOOKUP(Tabela5[[#This Row],[Produto]],cálculos!$M$7:$P$30,3,FALSE),0)</f>
        <v>0.79</v>
      </c>
      <c r="H19" s="3">
        <f>Tabela5[[#This Row],[Preço Unitário]]*Tabela5[[#This Row],[Quantidade]]</f>
        <v>1.58</v>
      </c>
      <c r="J19" t="s">
        <v>112</v>
      </c>
      <c r="K19" s="32">
        <f>IF(Tabela5[[#This Row],[Id da Venda]]=B20,0,VLOOKUP(Tabela5[[#This Row],[Entrega]],cálculos!$B$7:$C$11,2,FALSE))</f>
        <v>0</v>
      </c>
      <c r="L19" s="32">
        <f>Tabela5[[#This Row],[Subtotal]]*(1-Tabela5[[#This Row],[Desconto]])+Tabela5[[#This Row],[Valor de Entrega]]</f>
        <v>1.58</v>
      </c>
      <c r="M19" s="9" t="str">
        <f>IF(Tabela5[[#This Row],[Id da Venda]]=B20,"",SUMIF(Tabela5[Id da Venda],Tabela5[[#This Row],[Id da Venda]],Tabela5[Total]))</f>
        <v/>
      </c>
    </row>
    <row r="20" spans="2:13" x14ac:dyDescent="0.3">
      <c r="B20">
        <v>6</v>
      </c>
      <c r="C20" s="33">
        <v>42188</v>
      </c>
      <c r="D20" t="s">
        <v>20</v>
      </c>
      <c r="E20" s="31" t="str">
        <f>IFERROR(VLOOKUP(Tabela5[[#This Row],[Produto]],cálculos!$M$7:$P$30,4,FALSE),"")</f>
        <v>Kg</v>
      </c>
      <c r="F20">
        <v>6</v>
      </c>
      <c r="G20" s="3">
        <f>IFERROR(VLOOKUP(Tabela5[[#This Row],[Produto]],cálculos!$M$7:$P$30,3,FALSE),0)</f>
        <v>15.9</v>
      </c>
      <c r="H20" s="3">
        <f>Tabela5[[#This Row],[Preço Unitário]]*Tabela5[[#This Row],[Quantidade]]</f>
        <v>95.4</v>
      </c>
      <c r="J20" t="s">
        <v>112</v>
      </c>
      <c r="K20" s="32">
        <f>IF(Tabela5[[#This Row],[Id da Venda]]=B21,0,VLOOKUP(Tabela5[[#This Row],[Entrega]],cálculos!$B$7:$C$11,2,FALSE))</f>
        <v>0</v>
      </c>
      <c r="L20" s="32">
        <f>Tabela5[[#This Row],[Subtotal]]*(1-Tabela5[[#This Row],[Desconto]])+Tabela5[[#This Row],[Valor de Entrega]]</f>
        <v>95.4</v>
      </c>
      <c r="M20" s="9" t="str">
        <f>IF(Tabela5[[#This Row],[Id da Venda]]=B21,"",SUMIF(Tabela5[Id da Venda],Tabela5[[#This Row],[Id da Venda]],Tabela5[Total]))</f>
        <v/>
      </c>
    </row>
    <row r="21" spans="2:13" x14ac:dyDescent="0.3">
      <c r="B21">
        <v>6</v>
      </c>
      <c r="C21" s="33">
        <v>42188</v>
      </c>
      <c r="D21" t="s">
        <v>29</v>
      </c>
      <c r="E21" s="31" t="str">
        <f>IFERROR(VLOOKUP(Tabela5[[#This Row],[Produto]],cálculos!$M$7:$P$30,4,FALSE),"")</f>
        <v>Lata</v>
      </c>
      <c r="F21">
        <v>12</v>
      </c>
      <c r="G21" s="3">
        <f>IFERROR(VLOOKUP(Tabela5[[#This Row],[Produto]],cálculos!$M$7:$P$30,3,FALSE),0)</f>
        <v>2.19</v>
      </c>
      <c r="H21" s="3">
        <f>Tabela5[[#This Row],[Preço Unitário]]*Tabela5[[#This Row],[Quantidade]]</f>
        <v>26.28</v>
      </c>
      <c r="J21" t="s">
        <v>112</v>
      </c>
      <c r="K21" s="32">
        <f>IF(Tabela5[[#This Row],[Id da Venda]]=B22,0,VLOOKUP(Tabela5[[#This Row],[Entrega]],cálculos!$B$7:$C$11,2,FALSE))</f>
        <v>0</v>
      </c>
      <c r="L21" s="32">
        <f>Tabela5[[#This Row],[Subtotal]]*(1-Tabela5[[#This Row],[Desconto]])+Tabela5[[#This Row],[Valor de Entrega]]</f>
        <v>26.28</v>
      </c>
      <c r="M21" s="9">
        <f>IF(Tabela5[[#This Row],[Id da Venda]]=B22,"",SUMIF(Tabela5[Id da Venda],Tabela5[[#This Row],[Id da Venda]],Tabela5[Total]))</f>
        <v>123.26</v>
      </c>
    </row>
    <row r="22" spans="2:13" x14ac:dyDescent="0.3">
      <c r="B22">
        <v>5</v>
      </c>
      <c r="C22" s="33">
        <v>42187</v>
      </c>
      <c r="D22" t="s">
        <v>19</v>
      </c>
      <c r="E22" s="31" t="str">
        <f>IFERROR(VLOOKUP(Tabela5[[#This Row],[Produto]],cálculos!$M$7:$P$30,4,FALSE),"")</f>
        <v>Unidade</v>
      </c>
      <c r="F22">
        <v>3</v>
      </c>
      <c r="G22" s="3">
        <f>IFERROR(VLOOKUP(Tabela5[[#This Row],[Produto]],cálculos!$M$7:$P$30,3,FALSE),0)</f>
        <v>2.99</v>
      </c>
      <c r="H22" s="3">
        <f>Tabela5[[#This Row],[Preço Unitário]]*Tabela5[[#This Row],[Quantidade]]</f>
        <v>8.9700000000000006</v>
      </c>
      <c r="J22" t="s">
        <v>115</v>
      </c>
      <c r="K22" s="32">
        <f>IF(Tabela5[[#This Row],[Id da Venda]]=B23,0,VLOOKUP(Tabela5[[#This Row],[Entrega]],cálculos!$B$7:$C$11,2,FALSE))</f>
        <v>6.5</v>
      </c>
      <c r="L22" s="32">
        <f>Tabela5[[#This Row],[Subtotal]]*(1-Tabela5[[#This Row],[Desconto]])+Tabela5[[#This Row],[Valor de Entrega]]</f>
        <v>15.47</v>
      </c>
      <c r="M22" s="9">
        <f>IF(Tabela5[[#This Row],[Id da Venda]]=B23,"",SUMIF(Tabela5[Id da Venda],Tabela5[[#This Row],[Id da Venda]],Tabela5[Total]))</f>
        <v>15.47</v>
      </c>
    </row>
    <row r="23" spans="2:13" x14ac:dyDescent="0.3">
      <c r="B23">
        <v>4</v>
      </c>
      <c r="C23" s="33">
        <v>42187</v>
      </c>
      <c r="D23" t="s">
        <v>33</v>
      </c>
      <c r="E23" s="31" t="str">
        <f>IFERROR(VLOOKUP(Tabela5[[#This Row],[Produto]],cálculos!$M$7:$P$30,4,FALSE),"")</f>
        <v>Pacote</v>
      </c>
      <c r="F23">
        <v>2</v>
      </c>
      <c r="G23" s="3">
        <f>IFERROR(VLOOKUP(Tabela5[[#This Row],[Produto]],cálculos!$M$7:$P$30,3,FALSE),0)</f>
        <v>1.99</v>
      </c>
      <c r="H23" s="3">
        <f>Tabela5[[#This Row],[Preço Unitário]]*Tabela5[[#This Row],[Quantidade]]</f>
        <v>3.98</v>
      </c>
      <c r="J23" t="s">
        <v>113</v>
      </c>
      <c r="K23" s="32">
        <f>IF(Tabela5[[#This Row],[Id da Venda]]=B24,0,VLOOKUP(Tabela5[[#This Row],[Entrega]],cálculos!$B$7:$C$11,2,FALSE))</f>
        <v>0</v>
      </c>
      <c r="L23" s="32">
        <f>Tabela5[[#This Row],[Subtotal]]*(1-Tabela5[[#This Row],[Desconto]])+Tabela5[[#This Row],[Valor de Entrega]]</f>
        <v>3.98</v>
      </c>
      <c r="M23" s="9" t="str">
        <f>IF(Tabela5[[#This Row],[Id da Venda]]=B24,"",SUMIF(Tabela5[Id da Venda],Tabela5[[#This Row],[Id da Venda]],Tabela5[Total]))</f>
        <v/>
      </c>
    </row>
    <row r="24" spans="2:13" x14ac:dyDescent="0.3">
      <c r="B24">
        <v>4</v>
      </c>
      <c r="C24" s="33">
        <v>42187</v>
      </c>
      <c r="D24" t="s">
        <v>16</v>
      </c>
      <c r="E24" s="31" t="str">
        <f>IFERROR(VLOOKUP(Tabela5[[#This Row],[Produto]],cálculos!$M$7:$P$30,4,FALSE),"")</f>
        <v>Kg</v>
      </c>
      <c r="F24">
        <v>5</v>
      </c>
      <c r="G24" s="3">
        <f>IFERROR(VLOOKUP(Tabela5[[#This Row],[Produto]],cálculos!$M$7:$P$30,3,FALSE),0)</f>
        <v>2.4900000000000002</v>
      </c>
      <c r="H24" s="3">
        <f>Tabela5[[#This Row],[Preço Unitário]]*Tabela5[[#This Row],[Quantidade]]</f>
        <v>12.450000000000001</v>
      </c>
      <c r="J24" t="s">
        <v>113</v>
      </c>
      <c r="K24" s="32">
        <f>IF(Tabela5[[#This Row],[Id da Venda]]=B25,0,VLOOKUP(Tabela5[[#This Row],[Entrega]],cálculos!$B$7:$C$11,2,FALSE))</f>
        <v>6.5</v>
      </c>
      <c r="L24" s="32">
        <f>Tabela5[[#This Row],[Subtotal]]*(1-Tabela5[[#This Row],[Desconto]])+Tabela5[[#This Row],[Valor de Entrega]]</f>
        <v>18.950000000000003</v>
      </c>
      <c r="M24" s="9">
        <f>IF(Tabela5[[#This Row],[Id da Venda]]=B25,"",SUMIF(Tabela5[Id da Venda],Tabela5[[#This Row],[Id da Venda]],Tabela5[Total]))</f>
        <v>22.930000000000003</v>
      </c>
    </row>
    <row r="25" spans="2:13" x14ac:dyDescent="0.3">
      <c r="B25">
        <v>3</v>
      </c>
      <c r="C25" s="33">
        <v>42187</v>
      </c>
      <c r="D25" t="s">
        <v>66</v>
      </c>
      <c r="E25" s="31" t="str">
        <f>IFERROR(VLOOKUP(Tabela5[[#This Row],[Produto]],cálculos!$M$7:$P$30,4,FALSE),"")</f>
        <v>Litro</v>
      </c>
      <c r="F25">
        <v>6</v>
      </c>
      <c r="G25" s="3">
        <f>IFERROR(VLOOKUP(Tabela5[[#This Row],[Produto]],cálculos!$M$7:$P$30,3,FALSE),0)</f>
        <v>1.49</v>
      </c>
      <c r="H25" s="3">
        <f>Tabela5[[#This Row],[Preço Unitário]]*Tabela5[[#This Row],[Quantidade]]</f>
        <v>8.94</v>
      </c>
      <c r="J25" t="s">
        <v>114</v>
      </c>
      <c r="K25" s="32">
        <f>IF(Tabela5[[#This Row],[Id da Venda]]=B26,0,VLOOKUP(Tabela5[[#This Row],[Entrega]],cálculos!$B$7:$C$11,2,FALSE))</f>
        <v>8</v>
      </c>
      <c r="L25" s="32">
        <f>Tabela5[[#This Row],[Subtotal]]*(1-Tabela5[[#This Row],[Desconto]])+Tabela5[[#This Row],[Valor de Entrega]]</f>
        <v>16.939999999999998</v>
      </c>
      <c r="M25" s="9">
        <f>IF(Tabela5[[#This Row],[Id da Venda]]=B26,"",SUMIF(Tabela5[Id da Venda],Tabela5[[#This Row],[Id da Venda]],Tabela5[Total]))</f>
        <v>16.939999999999998</v>
      </c>
    </row>
    <row r="26" spans="2:13" x14ac:dyDescent="0.3">
      <c r="B26">
        <v>2</v>
      </c>
      <c r="C26" s="33">
        <v>42187</v>
      </c>
      <c r="D26" t="s">
        <v>33</v>
      </c>
      <c r="E26" s="31" t="str">
        <f>IFERROR(VLOOKUP(Tabela5[[#This Row],[Produto]],cálculos!$M$7:$P$30,4,FALSE),"")</f>
        <v>Pacote</v>
      </c>
      <c r="F26">
        <v>1</v>
      </c>
      <c r="G26" s="3">
        <f>IFERROR(VLOOKUP(Tabela5[[#This Row],[Produto]],cálculos!$M$7:$P$30,3,FALSE),0)</f>
        <v>1.99</v>
      </c>
      <c r="H26" s="3">
        <f>Tabela5[[#This Row],[Preço Unitário]]*Tabela5[[#This Row],[Quantidade]]</f>
        <v>1.99</v>
      </c>
      <c r="J26" t="s">
        <v>113</v>
      </c>
      <c r="K26" s="32">
        <f>IF(Tabela5[[#This Row],[Id da Venda]]=B27,0,VLOOKUP(Tabela5[[#This Row],[Entrega]],cálculos!$B$7:$C$11,2,FALSE))</f>
        <v>6.5</v>
      </c>
      <c r="L26" s="32">
        <f>Tabela5[[#This Row],[Subtotal]]*(1-Tabela5[[#This Row],[Desconto]])+Tabela5[[#This Row],[Valor de Entrega]]</f>
        <v>8.49</v>
      </c>
      <c r="M26" s="9">
        <f>IF(Tabela5[[#This Row],[Id da Venda]]=B27,"",SUMIF(Tabela5[Id da Venda],Tabela5[[#This Row],[Id da Venda]],Tabela5[Total]))</f>
        <v>8.49</v>
      </c>
    </row>
    <row r="27" spans="2:13" x14ac:dyDescent="0.3">
      <c r="B27">
        <v>1</v>
      </c>
      <c r="C27" s="33">
        <v>42187</v>
      </c>
      <c r="D27" t="s">
        <v>16</v>
      </c>
      <c r="E27" s="31" t="str">
        <f>IFERROR(VLOOKUP(Tabela5[[#This Row],[Produto]],cálculos!$M$7:$P$30,4,FALSE),"")</f>
        <v>Kg</v>
      </c>
      <c r="F27">
        <v>2</v>
      </c>
      <c r="G27" s="3">
        <f>IFERROR(VLOOKUP(Tabela5[[#This Row],[Produto]],cálculos!$M$7:$P$30,3,FALSE),0)</f>
        <v>2.4900000000000002</v>
      </c>
      <c r="H27" s="3">
        <f>Tabela5[[#This Row],[Preço Unitário]]*Tabela5[[#This Row],[Quantidade]]</f>
        <v>4.9800000000000004</v>
      </c>
      <c r="J27" t="s">
        <v>112</v>
      </c>
      <c r="K27" s="32">
        <f>IF(Tabela5[[#This Row],[Id da Venda]]=B28,0,VLOOKUP(Tabela5[[#This Row],[Entrega]],cálculos!$B$7:$C$11,2,FALSE))</f>
        <v>0</v>
      </c>
      <c r="L27" s="32">
        <f>Tabela5[[#This Row],[Subtotal]]*(1-Tabela5[[#This Row],[Desconto]])+Tabela5[[#This Row],[Valor de Entrega]]</f>
        <v>4.9800000000000004</v>
      </c>
      <c r="M27" s="9" t="str">
        <f>IF(Tabela5[[#This Row],[Id da Venda]]=B28,"",SUMIF(Tabela5[Id da Venda],Tabela5[[#This Row],[Id da Venda]],Tabela5[Total]))</f>
        <v/>
      </c>
    </row>
    <row r="28" spans="2:13" x14ac:dyDescent="0.3">
      <c r="B28">
        <v>1</v>
      </c>
      <c r="C28" s="33">
        <v>42187</v>
      </c>
      <c r="D28" t="s">
        <v>28</v>
      </c>
      <c r="E28" s="31" t="str">
        <f>IFERROR(VLOOKUP(Tabela5[[#This Row],[Produto]],cálculos!$M$7:$P$30,4,FALSE),"")</f>
        <v>Pacote</v>
      </c>
      <c r="F28">
        <v>3</v>
      </c>
      <c r="G28" s="3">
        <f>IFERROR(VLOOKUP(Tabela5[[#This Row],[Produto]],cálculos!$M$7:$P$30,3,FALSE),0)</f>
        <v>1.1499999999999999</v>
      </c>
      <c r="H28" s="3">
        <f>Tabela5[[#This Row],[Preço Unitário]]*Tabela5[[#This Row],[Quantidade]]</f>
        <v>3.4499999999999997</v>
      </c>
      <c r="J28" t="s">
        <v>112</v>
      </c>
      <c r="K28" s="32">
        <f>IF(Tabela5[[#This Row],[Id da Venda]]=B29,0,VLOOKUP(Tabela5[[#This Row],[Entrega]],cálculos!$B$7:$C$11,2,FALSE))</f>
        <v>0</v>
      </c>
      <c r="L28" s="32">
        <f>Tabela5[[#This Row],[Subtotal]]*(1-Tabela5[[#This Row],[Desconto]])+Tabela5[[#This Row],[Valor de Entrega]]</f>
        <v>3.4499999999999997</v>
      </c>
      <c r="M28" s="9" t="str">
        <f>IF(Tabela5[[#This Row],[Id da Venda]]=B29,"",SUMIF(Tabela5[Id da Venda],Tabela5[[#This Row],[Id da Venda]],Tabela5[Total]))</f>
        <v/>
      </c>
    </row>
    <row r="29" spans="2:13" x14ac:dyDescent="0.3">
      <c r="B29">
        <v>1</v>
      </c>
      <c r="C29" s="33">
        <v>42187</v>
      </c>
      <c r="D29" t="s">
        <v>33</v>
      </c>
      <c r="E29" s="31" t="str">
        <f>IFERROR(VLOOKUP(Tabela5[[#This Row],[Produto]],cálculos!$M$7:$P$30,4,FALSE),"")</f>
        <v>Pacote</v>
      </c>
      <c r="F29">
        <v>1</v>
      </c>
      <c r="G29" s="3">
        <f>IFERROR(VLOOKUP(Tabela5[[#This Row],[Produto]],cálculos!$M$7:$P$30,3,FALSE),0)</f>
        <v>1.99</v>
      </c>
      <c r="H29" s="3">
        <f>Tabela5[[#This Row],[Preço Unitário]]*Tabela5[[#This Row],[Quantidade]]</f>
        <v>1.99</v>
      </c>
      <c r="J29" t="s">
        <v>112</v>
      </c>
      <c r="K29" s="32">
        <f>IF(Tabela5[[#This Row],[Id da Venda]]=B30,0,VLOOKUP(Tabela5[[#This Row],[Entrega]],cálculos!$B$7:$C$11,2,FALSE))</f>
        <v>0</v>
      </c>
      <c r="L29" s="32">
        <f>Tabela5[[#This Row],[Subtotal]]*(1-Tabela5[[#This Row],[Desconto]])+Tabela5[[#This Row],[Valor de Entrega]]</f>
        <v>1.99</v>
      </c>
      <c r="M29" s="9">
        <f>IF(Tabela5[[#This Row],[Id da Venda]]=B30,"",SUMIF(Tabela5[Id da Venda],Tabela5[[#This Row],[Id da Venda]],Tabela5[Total]))</f>
        <v>10.42</v>
      </c>
    </row>
    <row r="32" spans="2:13" ht="21" x14ac:dyDescent="0.4">
      <c r="B32" s="26" t="s">
        <v>116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>
        <f>SUM(Tabela5[Total])</f>
        <v>655.91200000000026</v>
      </c>
    </row>
    <row r="33" spans="2:13" ht="21" x14ac:dyDescent="0.4">
      <c r="B33" s="28" t="s">
        <v>117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0">
        <f>SUM(Tabela5[Valor de Entrega])</f>
        <v>40.5</v>
      </c>
    </row>
    <row r="34" spans="2:13" ht="21" x14ac:dyDescent="0.4">
      <c r="B34" s="28" t="s">
        <v>133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55">
        <f>SUM(IF(FREQUENCY(Tabela5[Id da Venda],Tabela5[Id da Venda])&gt;0,1,0))</f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866EC0D-1BC0-49D9-96A4-9A8CF6948B80}">
          <x14:formula1>
            <xm:f>cálculos!$B$7:$B$11</xm:f>
          </x14:formula1>
          <xm:sqref>J5:J29</xm:sqref>
        </x14:dataValidation>
        <x14:dataValidation type="list" allowBlank="1" showInputMessage="1" showErrorMessage="1" xr:uid="{AE81A9EC-71BF-4F15-86A0-132E43A08279}">
          <x14:formula1>
            <xm:f>cálculos!$M$7:$M$30</xm:f>
          </x14:formula1>
          <xm:sqref>D5:D29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D89DD-8E74-475E-938D-4416B6403A0F}">
  <dimension ref="B2:M23"/>
  <sheetViews>
    <sheetView showGridLines="0" workbookViewId="0">
      <selection activeCell="J12" sqref="J12"/>
    </sheetView>
  </sheetViews>
  <sheetFormatPr defaultRowHeight="14.4" x14ac:dyDescent="0.3"/>
  <cols>
    <col min="2" max="2" width="26.109375" bestFit="1" customWidth="1"/>
    <col min="3" max="3" width="10.5546875" bestFit="1" customWidth="1"/>
    <col min="4" max="4" width="10.109375" bestFit="1" customWidth="1"/>
    <col min="5" max="5" width="9.6640625" bestFit="1" customWidth="1"/>
    <col min="6" max="6" width="13.109375" bestFit="1" customWidth="1"/>
    <col min="7" max="7" width="15.33203125" bestFit="1" customWidth="1"/>
    <col min="8" max="8" width="10.33203125" bestFit="1" customWidth="1"/>
    <col min="9" max="9" width="11.109375" bestFit="1" customWidth="1"/>
    <col min="10" max="10" width="9.6640625" bestFit="1" customWidth="1"/>
    <col min="11" max="11" width="17.21875" bestFit="1" customWidth="1"/>
    <col min="12" max="12" width="9.33203125" bestFit="1" customWidth="1"/>
    <col min="13" max="13" width="19.6640625" bestFit="1" customWidth="1"/>
  </cols>
  <sheetData>
    <row r="2" spans="2:13" s="23" customFormat="1" ht="28.05" customHeight="1" x14ac:dyDescent="0.45">
      <c r="B2" s="24" t="s">
        <v>118</v>
      </c>
      <c r="E2" s="25"/>
    </row>
    <row r="3" spans="2:13" ht="48" customHeight="1" x14ac:dyDescent="0.3"/>
    <row r="4" spans="2:13" x14ac:dyDescent="0.3">
      <c r="B4" t="s">
        <v>103</v>
      </c>
      <c r="C4" t="s">
        <v>41</v>
      </c>
      <c r="D4" t="s">
        <v>95</v>
      </c>
      <c r="E4" t="s">
        <v>56</v>
      </c>
      <c r="F4" t="s">
        <v>57</v>
      </c>
      <c r="G4" t="s">
        <v>58</v>
      </c>
      <c r="H4" t="s">
        <v>104</v>
      </c>
      <c r="I4" t="s">
        <v>59</v>
      </c>
      <c r="J4" t="s">
        <v>105</v>
      </c>
      <c r="K4" t="s">
        <v>106</v>
      </c>
      <c r="L4" t="s">
        <v>107</v>
      </c>
      <c r="M4" t="s">
        <v>108</v>
      </c>
    </row>
    <row r="5" spans="2:13" x14ac:dyDescent="0.3">
      <c r="B5">
        <v>100</v>
      </c>
      <c r="C5" s="7">
        <v>42139</v>
      </c>
      <c r="D5" t="s">
        <v>30</v>
      </c>
      <c r="E5" t="str">
        <f>IFERROR(VLOOKUP(Tabela57[[#This Row],[Produto]],cálculos!$M$7:$P$30,4,FALSE),"")</f>
        <v>Garrafa</v>
      </c>
      <c r="F5">
        <v>1</v>
      </c>
      <c r="G5" s="3">
        <f>IFERROR(VLOOKUP(Tabela57[[#This Row],[Produto]],cálculos!$M$7:$P$30,3,FALSE),0)</f>
        <v>54.9</v>
      </c>
      <c r="H5" s="9">
        <f>Tabela57[[#This Row],[Quantidade]]*Tabela57[[#This Row],[Preço Unitário]]</f>
        <v>54.9</v>
      </c>
      <c r="I5" s="6"/>
      <c r="J5" t="s">
        <v>114</v>
      </c>
      <c r="K5" s="9">
        <f>IFERROR(VLOOKUP(Tabela57[[#This Row],[Entrega]],cálculos!$B$7:$C$11,2,FALSE),0)</f>
        <v>8</v>
      </c>
      <c r="L5" s="9">
        <f>Tabela57[[#This Row],[Subtotal]]*(1-Tabela57[[#This Row],[Desconto]])+Tabela57[[#This Row],[Valor de Entrega]]</f>
        <v>62.9</v>
      </c>
      <c r="M5" s="9">
        <f>IF(Tabela57[[#This Row],[Id da Venda]]=B6,"",SUMIF(Tabela57[Id da Venda],Tabela57[[#This Row],[Id da Venda]],Tabela57[Total]))</f>
        <v>62.9</v>
      </c>
    </row>
    <row r="6" spans="2:13" x14ac:dyDescent="0.3">
      <c r="C6" s="7"/>
      <c r="E6" t="str">
        <f>IFERROR(VLOOKUP(Tabela57[[#This Row],[Produto]],cálculos!$M$7:$P$30,4,FALSE),"")</f>
        <v/>
      </c>
      <c r="G6" s="3">
        <f>IFERROR(VLOOKUP(Tabela57[[#This Row],[Produto]],cálculos!$M$7:$P$30,3,FALSE),0)</f>
        <v>0</v>
      </c>
      <c r="H6" s="9">
        <f>Tabela57[[#This Row],[Quantidade]]*Tabela57[[#This Row],[Preço Unitário]]</f>
        <v>0</v>
      </c>
      <c r="I6" s="6"/>
      <c r="K6" s="9">
        <f>IFERROR(VLOOKUP(Tabela57[[#This Row],[Entrega]],cálculos!$B$7:$C$11,2,FALSE),0)</f>
        <v>0</v>
      </c>
      <c r="L6" s="9">
        <f>Tabela57[[#This Row],[Subtotal]]*(1-Tabela57[[#This Row],[Desconto]])+Tabela57[[#This Row],[Valor de Entrega]]</f>
        <v>0</v>
      </c>
      <c r="M6" s="9" t="str">
        <f>IF(Tabela57[[#This Row],[Id da Venda]]=B7,"",SUMIF(Tabela57[Id da Venda],Tabela57[[#This Row],[Id da Venda]],Tabela57[Total]))</f>
        <v/>
      </c>
    </row>
    <row r="7" spans="2:13" x14ac:dyDescent="0.3">
      <c r="E7" t="str">
        <f>IFERROR(VLOOKUP(Tabela57[[#This Row],[Produto]],cálculos!$M$7:$P$30,4,FALSE),"")</f>
        <v/>
      </c>
      <c r="G7" s="3">
        <f>IFERROR(VLOOKUP(Tabela57[[#This Row],[Produto]],cálculos!$M$7:$P$30,3,FALSE),0)</f>
        <v>0</v>
      </c>
      <c r="H7" s="9">
        <f>Tabela57[[#This Row],[Quantidade]]*Tabela57[[#This Row],[Preço Unitário]]</f>
        <v>0</v>
      </c>
      <c r="I7" s="6"/>
      <c r="K7" s="9">
        <f>IFERROR(VLOOKUP(Tabela57[[#This Row],[Entrega]],cálculos!$B$7:$C$11,2,FALSE),0)</f>
        <v>0</v>
      </c>
      <c r="L7" s="9">
        <f>Tabela57[[#This Row],[Subtotal]]*(1-Tabela57[[#This Row],[Desconto]])+Tabela57[[#This Row],[Valor de Entrega]]</f>
        <v>0</v>
      </c>
      <c r="M7" s="9" t="str">
        <f>IF(Tabela57[[#This Row],[Id da Venda]]=B8,"",SUMIF(Tabela57[Id da Venda],Tabela57[[#This Row],[Id da Venda]],Tabela57[Total]))</f>
        <v/>
      </c>
    </row>
    <row r="8" spans="2:13" x14ac:dyDescent="0.3">
      <c r="E8" t="str">
        <f>IFERROR(VLOOKUP(Tabela57[[#This Row],[Produto]],cálculos!$M$7:$P$30,4,FALSE),"")</f>
        <v/>
      </c>
      <c r="G8" s="3">
        <f>IFERROR(VLOOKUP(Tabela57[[#This Row],[Produto]],cálculos!$M$7:$P$30,3,FALSE),0)</f>
        <v>0</v>
      </c>
      <c r="H8" s="9">
        <f>Tabela57[[#This Row],[Quantidade]]*Tabela57[[#This Row],[Preço Unitário]]</f>
        <v>0</v>
      </c>
      <c r="I8" s="6"/>
      <c r="K8" s="9">
        <f>IFERROR(VLOOKUP(Tabela57[[#This Row],[Entrega]],cálculos!$B$7:$C$11,2,FALSE),0)</f>
        <v>0</v>
      </c>
      <c r="L8" s="9">
        <f>Tabela57[[#This Row],[Subtotal]]*(1-Tabela57[[#This Row],[Desconto]])+Tabela57[[#This Row],[Valor de Entrega]]</f>
        <v>0</v>
      </c>
      <c r="M8" s="9" t="str">
        <f>IF(Tabela57[[#This Row],[Id da Venda]]=B9,"",SUMIF(Tabela57[Id da Venda],Tabela57[[#This Row],[Id da Venda]],Tabela57[Total]))</f>
        <v/>
      </c>
    </row>
    <row r="9" spans="2:13" x14ac:dyDescent="0.3">
      <c r="E9" t="str">
        <f>IFERROR(VLOOKUP(Tabela57[[#This Row],[Produto]],cálculos!$M$7:$P$30,4,FALSE),"")</f>
        <v/>
      </c>
      <c r="G9" s="3">
        <f>IFERROR(VLOOKUP(Tabela57[[#This Row],[Produto]],cálculos!$M$7:$P$30,3,FALSE),0)</f>
        <v>0</v>
      </c>
      <c r="H9" s="9">
        <f>Tabela57[[#This Row],[Quantidade]]*Tabela57[[#This Row],[Preço Unitário]]</f>
        <v>0</v>
      </c>
      <c r="I9" s="6"/>
      <c r="K9" s="9">
        <f>IFERROR(VLOOKUP(Tabela57[[#This Row],[Entrega]],cálculos!$B$7:$C$11,2,FALSE),0)</f>
        <v>0</v>
      </c>
      <c r="L9" s="9">
        <f>Tabela57[[#This Row],[Subtotal]]*(1-Tabela57[[#This Row],[Desconto]])+Tabela57[[#This Row],[Valor de Entrega]]</f>
        <v>0</v>
      </c>
      <c r="M9" s="9" t="str">
        <f>IF(Tabela57[[#This Row],[Id da Venda]]=B10,"",SUMIF(Tabela57[Id da Venda],Tabela57[[#This Row],[Id da Venda]],Tabela57[Total]))</f>
        <v/>
      </c>
    </row>
    <row r="10" spans="2:13" x14ac:dyDescent="0.3">
      <c r="E10" t="str">
        <f>IFERROR(VLOOKUP(Tabela57[[#This Row],[Produto]],cálculos!$M$7:$P$30,4,FALSE),"")</f>
        <v/>
      </c>
      <c r="G10" s="3">
        <f>IFERROR(VLOOKUP(Tabela57[[#This Row],[Produto]],cálculos!$M$7:$P$30,3,FALSE),0)</f>
        <v>0</v>
      </c>
      <c r="H10" s="9">
        <f>Tabela57[[#This Row],[Quantidade]]*Tabela57[[#This Row],[Preço Unitário]]</f>
        <v>0</v>
      </c>
      <c r="I10" s="6"/>
      <c r="K10" s="9">
        <f>IFERROR(VLOOKUP(Tabela57[[#This Row],[Entrega]],cálculos!$B$7:$C$11,2,FALSE),0)</f>
        <v>0</v>
      </c>
      <c r="L10" s="9">
        <f>Tabela57[[#This Row],[Subtotal]]*(1-Tabela57[[#This Row],[Desconto]])+Tabela57[[#This Row],[Valor de Entrega]]</f>
        <v>0</v>
      </c>
      <c r="M10" s="9" t="str">
        <f>IF(Tabela57[[#This Row],[Id da Venda]]=B11,"",SUMIF(Tabela57[Id da Venda],Tabela57[[#This Row],[Id da Venda]],Tabela57[Total]))</f>
        <v/>
      </c>
    </row>
    <row r="11" spans="2:13" x14ac:dyDescent="0.3">
      <c r="E11" t="str">
        <f>IFERROR(VLOOKUP(Tabela57[[#This Row],[Produto]],cálculos!$M$7:$P$30,4,FALSE),"")</f>
        <v/>
      </c>
      <c r="G11" s="3">
        <f>IFERROR(VLOOKUP(Tabela57[[#This Row],[Produto]],cálculos!$M$7:$P$30,3,FALSE),0)</f>
        <v>0</v>
      </c>
      <c r="H11" s="9">
        <f>Tabela57[[#This Row],[Quantidade]]*Tabela57[[#This Row],[Preço Unitário]]</f>
        <v>0</v>
      </c>
      <c r="I11" s="6"/>
      <c r="K11" s="9">
        <f>IFERROR(VLOOKUP(Tabela57[[#This Row],[Entrega]],cálculos!$B$7:$C$11,2,FALSE),0)</f>
        <v>0</v>
      </c>
      <c r="L11" s="9">
        <f>Tabela57[[#This Row],[Subtotal]]*(1-Tabela57[[#This Row],[Desconto]])+Tabela57[[#This Row],[Valor de Entrega]]</f>
        <v>0</v>
      </c>
      <c r="M11" s="9" t="str">
        <f>IF(Tabela57[[#This Row],[Id da Venda]]=B12,"",SUMIF(Tabela57[Id da Venda],Tabela57[[#This Row],[Id da Venda]],Tabela57[Total]))</f>
        <v/>
      </c>
    </row>
    <row r="12" spans="2:13" x14ac:dyDescent="0.3">
      <c r="E12" t="str">
        <f>IFERROR(VLOOKUP(Tabela57[[#This Row],[Produto]],cálculos!$M$7:$P$30,4,FALSE),"")</f>
        <v/>
      </c>
      <c r="G12" s="3">
        <f>IFERROR(VLOOKUP(Tabela57[[#This Row],[Produto]],cálculos!$M$7:$P$30,3,FALSE),0)</f>
        <v>0</v>
      </c>
      <c r="H12" s="9">
        <f>Tabela57[[#This Row],[Quantidade]]*Tabela57[[#This Row],[Preço Unitário]]</f>
        <v>0</v>
      </c>
      <c r="I12" s="6"/>
      <c r="K12" s="9">
        <f>IFERROR(VLOOKUP(Tabela57[[#This Row],[Entrega]],cálculos!$B$7:$C$11,2,FALSE),0)</f>
        <v>0</v>
      </c>
      <c r="L12" s="9">
        <f>Tabela57[[#This Row],[Subtotal]]*(1-Tabela57[[#This Row],[Desconto]])+Tabela57[[#This Row],[Valor de Entrega]]</f>
        <v>0</v>
      </c>
      <c r="M12" s="9" t="str">
        <f>IF(Tabela57[[#This Row],[Id da Venda]]=B13,"",SUMIF(Tabela57[Id da Venda],Tabela57[[#This Row],[Id da Venda]],Tabela57[Total]))</f>
        <v/>
      </c>
    </row>
    <row r="13" spans="2:13" x14ac:dyDescent="0.3">
      <c r="E13" t="str">
        <f>IFERROR(VLOOKUP(Tabela57[[#This Row],[Produto]],cálculos!$M$7:$P$30,4,FALSE),"")</f>
        <v/>
      </c>
      <c r="G13" s="3">
        <f>IFERROR(VLOOKUP(Tabela57[[#This Row],[Produto]],cálculos!$M$7:$P$30,3,FALSE),0)</f>
        <v>0</v>
      </c>
      <c r="H13" s="9">
        <f>Tabela57[[#This Row],[Quantidade]]*Tabela57[[#This Row],[Preço Unitário]]</f>
        <v>0</v>
      </c>
      <c r="I13" s="6"/>
      <c r="K13" s="9">
        <f>IFERROR(VLOOKUP(Tabela57[[#This Row],[Entrega]],cálculos!$B$7:$C$11,2,FALSE),0)</f>
        <v>0</v>
      </c>
      <c r="L13" s="9">
        <f>Tabela57[[#This Row],[Subtotal]]*(1-Tabela57[[#This Row],[Desconto]])+Tabela57[[#This Row],[Valor de Entrega]]</f>
        <v>0</v>
      </c>
      <c r="M13" s="9" t="str">
        <f>IF(Tabela57[[#This Row],[Id da Venda]]=B14,"",SUMIF(Tabela57[Id da Venda],Tabela57[[#This Row],[Id da Venda]],Tabela57[Total]))</f>
        <v/>
      </c>
    </row>
    <row r="14" spans="2:13" x14ac:dyDescent="0.3">
      <c r="E14" t="str">
        <f>IFERROR(VLOOKUP(Tabela57[[#This Row],[Produto]],cálculos!$M$7:$P$30,4,FALSE),"")</f>
        <v/>
      </c>
      <c r="G14" s="3">
        <f>IFERROR(VLOOKUP(Tabela57[[#This Row],[Produto]],cálculos!$M$7:$P$30,3,FALSE),0)</f>
        <v>0</v>
      </c>
      <c r="H14" s="9">
        <f>Tabela57[[#This Row],[Quantidade]]*Tabela57[[#This Row],[Preço Unitário]]</f>
        <v>0</v>
      </c>
      <c r="I14" s="6"/>
      <c r="K14" s="9">
        <f>IFERROR(VLOOKUP(Tabela57[[#This Row],[Entrega]],cálculos!$B$7:$C$11,2,FALSE),0)</f>
        <v>0</v>
      </c>
      <c r="L14" s="9">
        <f>Tabela57[[#This Row],[Subtotal]]*(1-Tabela57[[#This Row],[Desconto]])+Tabela57[[#This Row],[Valor de Entrega]]</f>
        <v>0</v>
      </c>
      <c r="M14" s="9" t="str">
        <f>IF(Tabela57[[#This Row],[Id da Venda]]=B15,"",SUMIF(Tabela57[Id da Venda],Tabela57[[#This Row],[Id da Venda]],Tabela57[Total]))</f>
        <v/>
      </c>
    </row>
    <row r="15" spans="2:13" x14ac:dyDescent="0.3">
      <c r="E15" t="str">
        <f>IFERROR(VLOOKUP(Tabela57[[#This Row],[Produto]],cálculos!$M$7:$P$30,4,FALSE),"")</f>
        <v/>
      </c>
      <c r="G15" s="3">
        <f>IFERROR(VLOOKUP(Tabela57[[#This Row],[Produto]],cálculos!$M$7:$P$30,3,FALSE),0)</f>
        <v>0</v>
      </c>
      <c r="H15" s="9">
        <f>Tabela57[[#This Row],[Quantidade]]*Tabela57[[#This Row],[Preço Unitário]]</f>
        <v>0</v>
      </c>
      <c r="I15" s="6"/>
      <c r="K15" s="9">
        <f>IFERROR(VLOOKUP(Tabela57[[#This Row],[Entrega]],cálculos!$B$7:$C$11,2,FALSE),0)</f>
        <v>0</v>
      </c>
      <c r="L15" s="9">
        <f>Tabela57[[#This Row],[Subtotal]]*(1-Tabela57[[#This Row],[Desconto]])+Tabela57[[#This Row],[Valor de Entrega]]</f>
        <v>0</v>
      </c>
      <c r="M15" s="9" t="str">
        <f>IF(Tabela57[[#This Row],[Id da Venda]]=B16,"",SUMIF(Tabela57[Id da Venda],Tabela57[[#This Row],[Id da Venda]],Tabela57[Total]))</f>
        <v/>
      </c>
    </row>
    <row r="16" spans="2:13" x14ac:dyDescent="0.3">
      <c r="E16" t="str">
        <f>IFERROR(VLOOKUP(Tabela57[[#This Row],[Produto]],cálculos!$M$7:$P$30,4,FALSE),"")</f>
        <v/>
      </c>
      <c r="G16" s="3">
        <f>IFERROR(VLOOKUP(Tabela57[[#This Row],[Produto]],cálculos!$M$7:$P$30,3,FALSE),0)</f>
        <v>0</v>
      </c>
      <c r="H16" s="9">
        <f>Tabela57[[#This Row],[Quantidade]]*Tabela57[[#This Row],[Preço Unitário]]</f>
        <v>0</v>
      </c>
      <c r="I16" s="6"/>
      <c r="K16" s="9">
        <f>IFERROR(VLOOKUP(Tabela57[[#This Row],[Entrega]],cálculos!$B$7:$C$11,2,FALSE),0)</f>
        <v>0</v>
      </c>
      <c r="L16" s="9">
        <f>Tabela57[[#This Row],[Subtotal]]*(1-Tabela57[[#This Row],[Desconto]])+Tabela57[[#This Row],[Valor de Entrega]]</f>
        <v>0</v>
      </c>
      <c r="M16" s="9" t="str">
        <f>IF(Tabela57[[#This Row],[Id da Venda]]=B17,"",SUMIF(Tabela57[Id da Venda],Tabela57[[#This Row],[Id da Venda]],Tabela57[Total]))</f>
        <v/>
      </c>
    </row>
    <row r="17" spans="2:13" x14ac:dyDescent="0.3">
      <c r="E17" t="str">
        <f>IFERROR(VLOOKUP(Tabela57[[#This Row],[Produto]],cálculos!$M$7:$P$30,4,FALSE),"")</f>
        <v/>
      </c>
      <c r="G17" s="3">
        <f>IFERROR(VLOOKUP(Tabela57[[#This Row],[Produto]],cálculos!$M$7:$P$30,3,FALSE),0)</f>
        <v>0</v>
      </c>
      <c r="H17" s="9">
        <f>Tabela57[[#This Row],[Quantidade]]*Tabela57[[#This Row],[Preço Unitário]]</f>
        <v>0</v>
      </c>
      <c r="I17" s="6"/>
      <c r="K17" s="9">
        <f>IFERROR(VLOOKUP(Tabela57[[#This Row],[Entrega]],cálculos!$B$7:$C$11,2,FALSE),0)</f>
        <v>0</v>
      </c>
      <c r="L17" s="9">
        <f>Tabela57[[#This Row],[Subtotal]]*(1-Tabela57[[#This Row],[Desconto]])+Tabela57[[#This Row],[Valor de Entrega]]</f>
        <v>0</v>
      </c>
      <c r="M17" s="9" t="str">
        <f>IF(Tabela57[[#This Row],[Id da Venda]]=B18,"",SUMIF(Tabela57[Id da Venda],Tabela57[[#This Row],[Id da Venda]],Tabela57[Total]))</f>
        <v/>
      </c>
    </row>
    <row r="18" spans="2:13" x14ac:dyDescent="0.3">
      <c r="E18" t="str">
        <f>IFERROR(VLOOKUP(Tabela57[[#This Row],[Produto]],cálculos!$M$7:$P$30,4,FALSE),"")</f>
        <v/>
      </c>
      <c r="G18" s="3">
        <f>IFERROR(VLOOKUP(Tabela57[[#This Row],[Produto]],cálculos!$M$7:$P$30,3,FALSE),0)</f>
        <v>0</v>
      </c>
      <c r="H18" s="3">
        <f>Tabela57[[#This Row],[Quantidade]]*Tabela57[[#This Row],[Preço Unitário]]</f>
        <v>0</v>
      </c>
      <c r="K18" s="9">
        <f>IFERROR(VLOOKUP(Tabela57[[#This Row],[Entrega]],cálculos!$B$7:$C$11,2,FALSE),0)</f>
        <v>0</v>
      </c>
      <c r="L18" s="9">
        <f>Tabela57[[#This Row],[Subtotal]]*(1-Tabela57[[#This Row],[Desconto]])+Tabela57[[#This Row],[Valor de Entrega]]</f>
        <v>0</v>
      </c>
      <c r="M18" s="9" t="str">
        <f>IF(Tabela57[[#This Row],[Id da Venda]]=B19,"",SUMIF(Tabela57[Id da Venda],Tabela57[[#This Row],[Id da Venda]],Tabela57[Total]))</f>
        <v/>
      </c>
    </row>
    <row r="21" spans="2:13" ht="21" x14ac:dyDescent="0.4">
      <c r="B21" s="26" t="s">
        <v>116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7">
        <f>SUM(Tabela57[Total])</f>
        <v>62.9</v>
      </c>
    </row>
    <row r="22" spans="2:13" ht="21" x14ac:dyDescent="0.4">
      <c r="B22" s="28" t="s">
        <v>117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0">
        <f>SUM(Tabela57[Valor de Entrega])</f>
        <v>8</v>
      </c>
    </row>
    <row r="23" spans="2:13" ht="21" x14ac:dyDescent="0.4">
      <c r="B23" s="28" t="s">
        <v>133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55">
        <f>SUM(IF(FREQUENCY(Tabela57[Id da Venda],Tabela57[Id da Venda])&gt;0,1,0))</f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8EC845B-31B4-4140-A17B-E261E7C04178}">
          <x14:formula1>
            <xm:f>cálculos!$B$7:$B$11</xm:f>
          </x14:formula1>
          <xm:sqref>J5:J18</xm:sqref>
        </x14:dataValidation>
        <x14:dataValidation type="list" allowBlank="1" showInputMessage="1" showErrorMessage="1" xr:uid="{B1219302-A5D5-4B02-BEEC-CA85C513DCB6}">
          <x14:formula1>
            <xm:f>cálculos!$M$7:$M$30</xm:f>
          </x14:formula1>
          <xm:sqref>D5:D17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</vt:i4>
      </vt:variant>
    </vt:vector>
  </HeadingPairs>
  <TitlesOfParts>
    <vt:vector size="14" baseType="lpstr">
      <vt:lpstr>Menu</vt:lpstr>
      <vt:lpstr>Despesas</vt:lpstr>
      <vt:lpstr>Compras Mercadorias</vt:lpstr>
      <vt:lpstr>Investimentos</vt:lpstr>
      <vt:lpstr>Controle de Estoque</vt:lpstr>
      <vt:lpstr>Resultados</vt:lpstr>
      <vt:lpstr>Vendas</vt:lpstr>
      <vt:lpstr>Semana 1</vt:lpstr>
      <vt:lpstr>Semana 2</vt:lpstr>
      <vt:lpstr>Semana 3</vt:lpstr>
      <vt:lpstr>Semana 4</vt:lpstr>
      <vt:lpstr>Semana 5</vt:lpstr>
      <vt:lpstr>cálculos</vt:lpstr>
      <vt:lpstr>Resultados!Area_de_impressao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karen</cp:lastModifiedBy>
  <cp:lastPrinted>2020-04-03T21:09:09Z</cp:lastPrinted>
  <dcterms:created xsi:type="dcterms:W3CDTF">2015-06-24T19:21:22Z</dcterms:created>
  <dcterms:modified xsi:type="dcterms:W3CDTF">2020-04-03T21:10:17Z</dcterms:modified>
</cp:coreProperties>
</file>