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18" codeName="{00000000-0000-0000-0000-000000000000}"/>
  <workbookPr filterPrivacy="1" codeName="ThisWorkbook" defaultThemeVersion="166925"/>
  <xr:revisionPtr revIDLastSave="0" documentId="8_{3BA56A19-0D79-4CD8-8903-7892038ACB05}" xr6:coauthVersionLast="47" xr6:coauthVersionMax="47" xr10:uidLastSave="{00000000-0000-0000-0000-000000000000}"/>
  <bookViews>
    <workbookView xWindow="-120" yWindow="-120" windowWidth="29040" windowHeight="15840" firstSheet="6" activeTab="6" xr2:uid="{6C8E4103-F273-49BA-85F5-EB7140E633AD}"/>
  </bookViews>
  <sheets>
    <sheet name="Shark Graphing" sheetId="8" state="hidden" r:id="rId1"/>
    <sheet name="Animal Graphing" sheetId="10" state="hidden" r:id="rId2"/>
    <sheet name="Shadow Graphing" sheetId="13" state="hidden" r:id="rId3"/>
    <sheet name="Background Graphing" sheetId="9" state="hidden" r:id="rId4"/>
    <sheet name="Setup" sheetId="1" state="hidden" r:id="rId5"/>
    <sheet name="Cage Graphing" sheetId="14" state="hidden" r:id="rId6"/>
    <sheet name="Instructions" sheetId="20" r:id="rId7"/>
    <sheet name="TT" sheetId="21" state="hidden" r:id="rId8"/>
    <sheet name="Joystick Controller Test" sheetId="19" r:id="rId9"/>
    <sheet name="Virtual Marine Environment" sheetId="2" r:id="rId10"/>
    <sheet name="Data In" sheetId="3" r:id="rId11"/>
    <sheet name="Data Out" sheetId="4" r:id="rId12"/>
    <sheet name="Settings" sheetId="5" r:id="rId13"/>
    <sheet name="Gauge Work" sheetId="15" state="hidden" r:id="rId14"/>
  </sheets>
  <definedNames>
    <definedName name="_xlnm._FilterDatabase" localSheetId="4" hidden="1">Setup!$Z$1:$AB$8</definedName>
    <definedName name="ActiveTime">Setup!$B$32</definedName>
    <definedName name="BackgroundAcceleration">'Background Graphing'!$C$5</definedName>
    <definedName name="BackgroundCycle">'Background Graphing'!$C$4</definedName>
    <definedName name="BackgroundVelocity">'Background Graphing'!$C$6</definedName>
    <definedName name="BackgroundY">'Background Graphing'!$C$2</definedName>
    <definedName name="BackgroundZ">'Background Graphing'!$C$3</definedName>
    <definedName name="Chart_XRotationVals">Setup!$F$23:$H$23</definedName>
    <definedName name="Chart_YRotationVals">Setup!$F$24:$H$24</definedName>
    <definedName name="Cos_Xrot">Setup!$F$22</definedName>
    <definedName name="Cos_Yrot">Setup!$G$22</definedName>
    <definedName name="Cos_Zrot">Setup!$H$22</definedName>
    <definedName name="CreatureHit">Setup!$B$26</definedName>
    <definedName name="DataChannelCountDefault">Settings!$B$8</definedName>
    <definedName name="DataChannelCountSetting">Settings!$C$8</definedName>
    <definedName name="DataDelayDefault">Settings!$B$4</definedName>
    <definedName name="DataDelaySetting">Settings!$C$4</definedName>
    <definedName name="DataInValues">'Data In'!$A$5:$K$5</definedName>
    <definedName name="DataOrientationDefault">Settings!$B$10</definedName>
    <definedName name="DataOrientationSetting">Settings!$C$10</definedName>
    <definedName name="DataRowCountDefault">Settings!$B$6</definedName>
    <definedName name="DataRowCountSetting">Settings!$C$6</definedName>
    <definedName name="EndTime">'Data Out'!$D$5</definedName>
    <definedName name="GameRunning">Setup!$B$28</definedName>
    <definedName name="HitDialogue">Setup!$B$29</definedName>
    <definedName name="HitTime">Setup!$B$27</definedName>
    <definedName name="InputPitch">Setup!$B$10</definedName>
    <definedName name="InputRoll">Setup!$B$9</definedName>
    <definedName name="InputYaw">Setup!$B$11</definedName>
    <definedName name="InvertX">Setup!$B$22</definedName>
    <definedName name="InvertY">Setup!$B$23</definedName>
    <definedName name="InvertZ">Setup!$B$24</definedName>
    <definedName name="LanguageSelect">TT!$T$3</definedName>
    <definedName name="NetTime">Setup!$B$4</definedName>
    <definedName name="Pitch">Setup!$B$13</definedName>
    <definedName name="Roll">Setup!$B$12</definedName>
    <definedName name="SharkTurnAngle">'Shark Graphing'!$Q$8</definedName>
    <definedName name="SheetName_1">Instructions!$A$2</definedName>
    <definedName name="SheetName_2">'Joystick Controller Test'!$A$2</definedName>
    <definedName name="SheetName_3">'Virtual Marine Environment'!$A$2</definedName>
    <definedName name="SheetsTable">Setup!$Z$1:$AB$4</definedName>
    <definedName name="Sin_Xrot">Setup!$F$21</definedName>
    <definedName name="Sin_Yrot">Setup!$G$21</definedName>
    <definedName name="Sin_Zrot">Setup!$H$21</definedName>
    <definedName name="StartingTime">Setup!$B$3</definedName>
    <definedName name="Xframe_min">Setup!$F$25</definedName>
    <definedName name="Xframe_range">Setup!$F$26</definedName>
    <definedName name="Xpos_last">Setup!$B$15</definedName>
    <definedName name="Xposition">Setup!$B$18</definedName>
    <definedName name="Xrot">Setup!$F$20</definedName>
    <definedName name="XScaleRatio">Setup!$F$27</definedName>
    <definedName name="Yaw">Setup!$B$14</definedName>
    <definedName name="Yframe_min">Setup!$G$25</definedName>
    <definedName name="Yframe_range">Setup!$G$26</definedName>
    <definedName name="Ypos_last">Setup!$B$16</definedName>
    <definedName name="Yposition">Setup!$B$19</definedName>
    <definedName name="Yrot">Setup!$G$20</definedName>
    <definedName name="YScaleRatio">Setup!$G$27</definedName>
    <definedName name="Zframe_min">Setup!$H$25</definedName>
    <definedName name="Zframe_range">Setup!$H$26</definedName>
    <definedName name="ZoomRange_1">Instructions!$A$1:$L$29</definedName>
    <definedName name="ZoomRange_2">'Joystick Controller Test'!$A$1:$N$23</definedName>
    <definedName name="ZoomRange_3">'Virtual Marine Environment'!$A$1:$Y$30</definedName>
    <definedName name="Zpos_last">Setup!$B$17</definedName>
    <definedName name="Zposition">Setup!$B$20</definedName>
    <definedName name="Zrot">Setup!$H$20</definedName>
    <definedName name="ZScaleRatio">Setup!$H$27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" l="1" a="1"/>
  <c r="B32" i="1" s="1"/>
  <c r="B4" i="1" l="1"/>
  <c r="H33" i="9" l="1"/>
  <c r="K33" i="9" s="1"/>
  <c r="J33" i="9"/>
  <c r="H30" i="9"/>
  <c r="K30" i="9" s="1"/>
  <c r="J30" i="9"/>
  <c r="H27" i="9"/>
  <c r="K27" i="9" s="1"/>
  <c r="J27" i="9"/>
  <c r="H11" i="9"/>
  <c r="K11" i="9" s="1"/>
  <c r="J11" i="9"/>
  <c r="C46" i="9"/>
  <c r="D33" i="9"/>
  <c r="E33" i="9" s="1"/>
  <c r="F33" i="9" s="1"/>
  <c r="I33" i="9" s="1"/>
  <c r="J15" i="9"/>
  <c r="J17" i="9"/>
  <c r="H15" i="9"/>
  <c r="K15" i="9" s="1"/>
  <c r="H16" i="9"/>
  <c r="K16" i="9" s="1"/>
  <c r="H17" i="9"/>
  <c r="K17" i="9" s="1"/>
  <c r="J16" i="9"/>
  <c r="H9" i="9"/>
  <c r="H10" i="9"/>
  <c r="H12" i="9"/>
  <c r="H13" i="9"/>
  <c r="K13" i="9" s="1"/>
  <c r="H14" i="9"/>
  <c r="H18" i="9"/>
  <c r="H19" i="9"/>
  <c r="K19" i="9" s="1"/>
  <c r="H20" i="9"/>
  <c r="K20" i="9" s="1"/>
  <c r="H21" i="9"/>
  <c r="K21" i="9" s="1"/>
  <c r="H22" i="9"/>
  <c r="H23" i="9"/>
  <c r="K23" i="9" s="1"/>
  <c r="H24" i="9"/>
  <c r="K24" i="9" s="1"/>
  <c r="H25" i="9"/>
  <c r="H26" i="9"/>
  <c r="H28" i="9"/>
  <c r="K28" i="9" s="1"/>
  <c r="H29" i="9"/>
  <c r="K29" i="9" s="1"/>
  <c r="H31" i="9"/>
  <c r="K31" i="9" s="1"/>
  <c r="H32" i="9"/>
  <c r="H34" i="9"/>
  <c r="K34" i="9" s="1"/>
  <c r="H35" i="9"/>
  <c r="K35" i="9" s="1"/>
  <c r="H36" i="9"/>
  <c r="H37" i="9"/>
  <c r="H38" i="9"/>
  <c r="H39" i="9"/>
  <c r="K39" i="9" s="1"/>
  <c r="K32" i="9"/>
  <c r="K26" i="9"/>
  <c r="K14" i="9"/>
  <c r="K18" i="9"/>
  <c r="K22" i="9"/>
  <c r="K25" i="9"/>
  <c r="K36" i="9"/>
  <c r="K37" i="9"/>
  <c r="K38" i="9"/>
  <c r="D30" i="9" l="1"/>
  <c r="E30" i="9" s="1"/>
  <c r="F30" i="9" s="1"/>
  <c r="I30" i="9" s="1"/>
  <c r="D27" i="9"/>
  <c r="E27" i="9" s="1"/>
  <c r="F27" i="9" s="1"/>
  <c r="I27" i="9" s="1"/>
  <c r="D11" i="9"/>
  <c r="E11" i="9" s="1"/>
  <c r="F11" i="9" s="1"/>
  <c r="I11" i="9" s="1"/>
  <c r="B98" i="21" l="1"/>
  <c r="D98" i="21"/>
  <c r="A2" i="20"/>
  <c r="Z2" i="1" s="1"/>
  <c r="AA3" i="1" l="1"/>
  <c r="AA2" i="1"/>
  <c r="S3" i="21" l="1"/>
  <c r="T3" i="21" s="1"/>
  <c r="O98" i="21" s="1"/>
  <c r="O3" i="21" l="1"/>
  <c r="B2" i="20" s="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B2" i="19" s="1"/>
  <c r="O19" i="21"/>
  <c r="G18" i="19" s="1"/>
  <c r="O20" i="21"/>
  <c r="G19" i="19" s="1"/>
  <c r="O21" i="21"/>
  <c r="G20" i="19" s="1"/>
  <c r="O22" i="21"/>
  <c r="O23" i="21"/>
  <c r="O24" i="21"/>
  <c r="O25" i="21"/>
  <c r="O26" i="21"/>
  <c r="O27" i="21"/>
  <c r="O28" i="21"/>
  <c r="O29" i="21"/>
  <c r="O30" i="21"/>
  <c r="O31" i="21"/>
  <c r="B2" i="2" s="1"/>
  <c r="O32" i="21"/>
  <c r="D2" i="2" s="1"/>
  <c r="O33" i="21"/>
  <c r="W2" i="2" s="1"/>
  <c r="O34" i="21"/>
  <c r="W15" i="2" s="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X17" i="2" s="1"/>
  <c r="O52" i="21"/>
  <c r="M20" i="1" s="1"/>
  <c r="O53" i="21"/>
  <c r="M21" i="1" s="1"/>
  <c r="O54" i="21"/>
  <c r="M22" i="1" s="1"/>
  <c r="O55" i="21"/>
  <c r="M23" i="1" s="1"/>
  <c r="O56" i="21"/>
  <c r="M24" i="1" s="1"/>
  <c r="O57" i="21"/>
  <c r="M25" i="1" s="1"/>
  <c r="O58" i="21"/>
  <c r="M26" i="1" s="1"/>
  <c r="O59" i="21"/>
  <c r="M27" i="1" s="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A4" i="4" l="1"/>
  <c r="M23" i="19"/>
  <c r="C7" i="20"/>
  <c r="C4" i="4"/>
  <c r="D4" i="4"/>
  <c r="B4" i="4"/>
  <c r="D30" i="2"/>
  <c r="B23" i="19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A2" i="2" l="1"/>
  <c r="AB3" i="1" s="1"/>
  <c r="A2" i="19"/>
  <c r="AB2" i="1" s="1"/>
  <c r="Z4" i="1" l="1"/>
  <c r="AB4" i="1"/>
  <c r="Z3" i="1"/>
  <c r="AA4" i="1"/>
  <c r="B15" i="1" l="1"/>
  <c r="AD19" i="10" l="1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U14" i="8" l="1"/>
  <c r="T14" i="8"/>
  <c r="S14" i="8"/>
  <c r="W2" i="1" l="1"/>
  <c r="W3" i="1"/>
  <c r="W4" i="1"/>
  <c r="W5" i="1"/>
  <c r="W6" i="1"/>
  <c r="W7" i="1"/>
  <c r="W8" i="1"/>
  <c r="W9" i="1"/>
  <c r="W10" i="1"/>
  <c r="W11" i="1"/>
  <c r="W12" i="1"/>
  <c r="B17" i="1"/>
  <c r="C21" i="13"/>
  <c r="C22" i="13"/>
  <c r="C23" i="13"/>
  <c r="C24" i="13"/>
  <c r="C25" i="13"/>
  <c r="G21" i="13"/>
  <c r="G22" i="13"/>
  <c r="G23" i="13"/>
  <c r="G24" i="13"/>
  <c r="G25" i="13"/>
  <c r="B27" i="10"/>
  <c r="B28" i="10"/>
  <c r="B29" i="10"/>
  <c r="B30" i="10"/>
  <c r="B31" i="10"/>
  <c r="B32" i="10"/>
  <c r="B33" i="10"/>
  <c r="B34" i="10"/>
  <c r="C27" i="10"/>
  <c r="C28" i="10"/>
  <c r="C29" i="10"/>
  <c r="C30" i="10"/>
  <c r="C31" i="10"/>
  <c r="C32" i="10"/>
  <c r="C33" i="10"/>
  <c r="C34" i="10"/>
  <c r="F27" i="10"/>
  <c r="F28" i="10"/>
  <c r="F29" i="10"/>
  <c r="F30" i="10"/>
  <c r="F31" i="10"/>
  <c r="F32" i="10"/>
  <c r="F33" i="10"/>
  <c r="F34" i="10"/>
  <c r="G27" i="10"/>
  <c r="G28" i="10"/>
  <c r="G29" i="10"/>
  <c r="G30" i="10"/>
  <c r="G31" i="10"/>
  <c r="G32" i="10"/>
  <c r="G33" i="10"/>
  <c r="G34" i="10"/>
  <c r="H27" i="10"/>
  <c r="H28" i="10"/>
  <c r="H29" i="10"/>
  <c r="H30" i="10"/>
  <c r="H31" i="10"/>
  <c r="H32" i="10"/>
  <c r="H33" i="10"/>
  <c r="H34" i="10"/>
  <c r="I27" i="10"/>
  <c r="I28" i="10"/>
  <c r="I29" i="10"/>
  <c r="I30" i="10"/>
  <c r="I31" i="10"/>
  <c r="I32" i="10"/>
  <c r="I33" i="10"/>
  <c r="I34" i="10"/>
  <c r="J27" i="10"/>
  <c r="P27" i="10" s="1"/>
  <c r="J28" i="10"/>
  <c r="P28" i="10" s="1"/>
  <c r="J29" i="10"/>
  <c r="P29" i="10" s="1"/>
  <c r="J30" i="10"/>
  <c r="P30" i="10" s="1"/>
  <c r="J31" i="10"/>
  <c r="P31" i="10" s="1"/>
  <c r="J32" i="10"/>
  <c r="P32" i="10" s="1"/>
  <c r="J33" i="10"/>
  <c r="P33" i="10" s="1"/>
  <c r="J34" i="10"/>
  <c r="P34" i="10" s="1"/>
  <c r="D16" i="9" l="1"/>
  <c r="E16" i="9" s="1"/>
  <c r="F16" i="9" s="1"/>
  <c r="I16" i="9" s="1"/>
  <c r="D26" i="9"/>
  <c r="E26" i="9" s="1"/>
  <c r="F26" i="9" s="1"/>
  <c r="I26" i="9" s="1"/>
  <c r="D32" i="9"/>
  <c r="E32" i="9" s="1"/>
  <c r="F32" i="9" s="1"/>
  <c r="I32" i="9" s="1"/>
  <c r="D35" i="9"/>
  <c r="E35" i="9" s="1"/>
  <c r="F35" i="9" s="1"/>
  <c r="I35" i="9" s="1"/>
  <c r="D17" i="9"/>
  <c r="E17" i="9" s="1"/>
  <c r="F17" i="9" s="1"/>
  <c r="I17" i="9" s="1"/>
  <c r="D15" i="9"/>
  <c r="E15" i="9" s="1"/>
  <c r="F15" i="9" s="1"/>
  <c r="I15" i="9" s="1"/>
  <c r="D29" i="9"/>
  <c r="E29" i="9" s="1"/>
  <c r="F29" i="9" s="1"/>
  <c r="I29" i="9" s="1"/>
  <c r="B5" i="1"/>
  <c r="D14" i="9"/>
  <c r="E14" i="9" s="1"/>
  <c r="F14" i="9" s="1"/>
  <c r="I14" i="9" s="1"/>
  <c r="D18" i="9"/>
  <c r="E18" i="9" s="1"/>
  <c r="F18" i="9" s="1"/>
  <c r="I18" i="9" s="1"/>
  <c r="D22" i="9"/>
  <c r="E22" i="9" s="1"/>
  <c r="F22" i="9" s="1"/>
  <c r="I22" i="9" s="1"/>
  <c r="D28" i="9"/>
  <c r="E28" i="9" s="1"/>
  <c r="F28" i="9" s="1"/>
  <c r="I28" i="9" s="1"/>
  <c r="D37" i="9"/>
  <c r="E37" i="9" s="1"/>
  <c r="F37" i="9" s="1"/>
  <c r="I37" i="9" s="1"/>
  <c r="D20" i="9"/>
  <c r="E20" i="9" s="1"/>
  <c r="F20" i="9" s="1"/>
  <c r="I20" i="9" s="1"/>
  <c r="D34" i="9"/>
  <c r="E34" i="9" s="1"/>
  <c r="F34" i="9" s="1"/>
  <c r="I34" i="9" s="1"/>
  <c r="D21" i="9"/>
  <c r="E21" i="9" s="1"/>
  <c r="F21" i="9" s="1"/>
  <c r="I21" i="9" s="1"/>
  <c r="D36" i="9"/>
  <c r="E36" i="9" s="1"/>
  <c r="F36" i="9" s="1"/>
  <c r="I36" i="9" s="1"/>
  <c r="D19" i="9"/>
  <c r="E19" i="9" s="1"/>
  <c r="F19" i="9" s="1"/>
  <c r="I19" i="9" s="1"/>
  <c r="D23" i="9"/>
  <c r="E23" i="9" s="1"/>
  <c r="F23" i="9" s="1"/>
  <c r="I23" i="9" s="1"/>
  <c r="D31" i="9"/>
  <c r="E31" i="9" s="1"/>
  <c r="F31" i="9" s="1"/>
  <c r="I31" i="9" s="1"/>
  <c r="D38" i="9"/>
  <c r="E38" i="9" s="1"/>
  <c r="F38" i="9" s="1"/>
  <c r="I38" i="9" s="1"/>
  <c r="D13" i="9"/>
  <c r="E13" i="9" s="1"/>
  <c r="F13" i="9" s="1"/>
  <c r="I13" i="9" s="1"/>
  <c r="D24" i="9"/>
  <c r="E24" i="9" s="1"/>
  <c r="F24" i="9" s="1"/>
  <c r="I24" i="9" s="1"/>
  <c r="D39" i="9"/>
  <c r="E39" i="9" s="1"/>
  <c r="F39" i="9" s="1"/>
  <c r="I39" i="9" s="1"/>
  <c r="D25" i="9"/>
  <c r="E25" i="9" s="1"/>
  <c r="F25" i="9" s="1"/>
  <c r="I25" i="9" s="1"/>
  <c r="K27" i="10"/>
  <c r="K34" i="10"/>
  <c r="K30" i="10"/>
  <c r="K31" i="10"/>
  <c r="K33" i="10"/>
  <c r="K29" i="10"/>
  <c r="K32" i="10"/>
  <c r="K28" i="10"/>
  <c r="Q3" i="8"/>
  <c r="R3" i="8"/>
  <c r="Q4" i="8"/>
  <c r="R4" i="8"/>
  <c r="Q5" i="8"/>
  <c r="R5" i="8"/>
  <c r="L31" i="10" l="1"/>
  <c r="L29" i="10"/>
  <c r="L34" i="10"/>
  <c r="L30" i="10"/>
  <c r="H27" i="1"/>
  <c r="G27" i="1"/>
  <c r="F27" i="1"/>
  <c r="H22" i="1"/>
  <c r="G22" i="1"/>
  <c r="F22" i="1"/>
  <c r="B16" i="1"/>
  <c r="H21" i="1"/>
  <c r="G21" i="1"/>
  <c r="H23" i="1" s="1"/>
  <c r="F21" i="1"/>
  <c r="B18" i="1"/>
  <c r="B11" i="1"/>
  <c r="H20" i="19" s="1"/>
  <c r="B10" i="1"/>
  <c r="H19" i="19" s="1"/>
  <c r="B9" i="1"/>
  <c r="H18" i="19" s="1"/>
  <c r="J10" i="9"/>
  <c r="C3" i="9"/>
  <c r="K12" i="9" s="1"/>
  <c r="C2" i="9"/>
  <c r="J35" i="9" s="1"/>
  <c r="G20" i="13"/>
  <c r="C20" i="13"/>
  <c r="G19" i="13"/>
  <c r="C19" i="13"/>
  <c r="G18" i="13"/>
  <c r="C18" i="13"/>
  <c r="C17" i="13"/>
  <c r="C16" i="13"/>
  <c r="G15" i="13"/>
  <c r="C15" i="13"/>
  <c r="G14" i="13"/>
  <c r="C14" i="13"/>
  <c r="C13" i="13"/>
  <c r="C12" i="13"/>
  <c r="G11" i="13"/>
  <c r="C11" i="13"/>
  <c r="G10" i="13"/>
  <c r="C10" i="13"/>
  <c r="G9" i="13"/>
  <c r="C9" i="13"/>
  <c r="G8" i="13"/>
  <c r="C8" i="13"/>
  <c r="G7" i="13"/>
  <c r="C7" i="13"/>
  <c r="G6" i="13"/>
  <c r="C6" i="13"/>
  <c r="G5" i="13"/>
  <c r="C5" i="13"/>
  <c r="G4" i="13"/>
  <c r="C4" i="13"/>
  <c r="G3" i="13"/>
  <c r="C3" i="13"/>
  <c r="J26" i="10"/>
  <c r="P26" i="10" s="1"/>
  <c r="I26" i="10"/>
  <c r="H26" i="10"/>
  <c r="G26" i="10"/>
  <c r="F26" i="10"/>
  <c r="K26" i="10" s="1"/>
  <c r="C26" i="10"/>
  <c r="B26" i="10"/>
  <c r="J25" i="10"/>
  <c r="P25" i="10" s="1"/>
  <c r="I25" i="10"/>
  <c r="H25" i="10"/>
  <c r="G25" i="10"/>
  <c r="F25" i="10"/>
  <c r="C25" i="10"/>
  <c r="B25" i="10"/>
  <c r="J24" i="10"/>
  <c r="P24" i="10" s="1"/>
  <c r="I24" i="10"/>
  <c r="H24" i="10"/>
  <c r="G24" i="10"/>
  <c r="F24" i="10"/>
  <c r="C24" i="10"/>
  <c r="B24" i="10"/>
  <c r="J23" i="10"/>
  <c r="P23" i="10" s="1"/>
  <c r="I23" i="10"/>
  <c r="H23" i="10"/>
  <c r="G23" i="10"/>
  <c r="F23" i="10"/>
  <c r="C23" i="10"/>
  <c r="B23" i="10"/>
  <c r="J22" i="10"/>
  <c r="P22" i="10" s="1"/>
  <c r="I22" i="10"/>
  <c r="H22" i="10"/>
  <c r="G22" i="10"/>
  <c r="F22" i="10"/>
  <c r="K22" i="10" s="1"/>
  <c r="C22" i="10"/>
  <c r="B22" i="10"/>
  <c r="J21" i="10"/>
  <c r="P21" i="10" s="1"/>
  <c r="I21" i="10"/>
  <c r="H21" i="10"/>
  <c r="G21" i="10"/>
  <c r="F21" i="10"/>
  <c r="C21" i="10"/>
  <c r="B21" i="10"/>
  <c r="J20" i="10"/>
  <c r="P20" i="10" s="1"/>
  <c r="I20" i="10"/>
  <c r="H20" i="10"/>
  <c r="G20" i="10"/>
  <c r="F20" i="10"/>
  <c r="C20" i="10"/>
  <c r="B20" i="10"/>
  <c r="J19" i="10"/>
  <c r="P19" i="10" s="1"/>
  <c r="I19" i="10"/>
  <c r="H19" i="10"/>
  <c r="G19" i="10"/>
  <c r="F19" i="10"/>
  <c r="C19" i="10"/>
  <c r="B19" i="10"/>
  <c r="J18" i="10"/>
  <c r="P18" i="10" s="1"/>
  <c r="I18" i="10"/>
  <c r="H18" i="10"/>
  <c r="G18" i="10"/>
  <c r="F18" i="10"/>
  <c r="K18" i="10" s="1"/>
  <c r="C18" i="10"/>
  <c r="B18" i="10"/>
  <c r="J17" i="10"/>
  <c r="P17" i="10" s="1"/>
  <c r="I17" i="10"/>
  <c r="H17" i="10"/>
  <c r="G17" i="10"/>
  <c r="F17" i="10"/>
  <c r="C17" i="10"/>
  <c r="B17" i="10"/>
  <c r="J16" i="10"/>
  <c r="P16" i="10" s="1"/>
  <c r="I16" i="10"/>
  <c r="H16" i="10"/>
  <c r="G16" i="10"/>
  <c r="F16" i="10"/>
  <c r="C16" i="10"/>
  <c r="B16" i="10"/>
  <c r="J15" i="10"/>
  <c r="P15" i="10" s="1"/>
  <c r="I15" i="10"/>
  <c r="H15" i="10"/>
  <c r="G15" i="10"/>
  <c r="F15" i="10"/>
  <c r="C15" i="10"/>
  <c r="B15" i="10"/>
  <c r="J14" i="10"/>
  <c r="P14" i="10" s="1"/>
  <c r="I14" i="10"/>
  <c r="H14" i="10"/>
  <c r="G14" i="10"/>
  <c r="F14" i="10"/>
  <c r="K14" i="10" s="1"/>
  <c r="C14" i="10"/>
  <c r="B14" i="10"/>
  <c r="J13" i="10"/>
  <c r="P13" i="10" s="1"/>
  <c r="I13" i="10"/>
  <c r="H13" i="10"/>
  <c r="G13" i="10"/>
  <c r="F13" i="10"/>
  <c r="C13" i="10"/>
  <c r="B13" i="10"/>
  <c r="J12" i="10"/>
  <c r="P12" i="10" s="1"/>
  <c r="I12" i="10"/>
  <c r="H12" i="10"/>
  <c r="G12" i="10"/>
  <c r="F12" i="10"/>
  <c r="C12" i="10"/>
  <c r="B12" i="10"/>
  <c r="J11" i="10"/>
  <c r="P11" i="10" s="1"/>
  <c r="I11" i="10"/>
  <c r="H11" i="10"/>
  <c r="G11" i="10"/>
  <c r="F11" i="10"/>
  <c r="C11" i="10"/>
  <c r="B11" i="10"/>
  <c r="J10" i="10"/>
  <c r="P10" i="10" s="1"/>
  <c r="I10" i="10"/>
  <c r="H10" i="10"/>
  <c r="G10" i="10"/>
  <c r="F10" i="10"/>
  <c r="K10" i="10" s="1"/>
  <c r="C10" i="10"/>
  <c r="B10" i="10"/>
  <c r="J9" i="10"/>
  <c r="P9" i="10" s="1"/>
  <c r="I9" i="10"/>
  <c r="H9" i="10"/>
  <c r="G9" i="10"/>
  <c r="F9" i="10"/>
  <c r="C9" i="10"/>
  <c r="B9" i="10"/>
  <c r="J8" i="10"/>
  <c r="P8" i="10" s="1"/>
  <c r="I8" i="10"/>
  <c r="H8" i="10"/>
  <c r="G8" i="10"/>
  <c r="F8" i="10"/>
  <c r="C8" i="10"/>
  <c r="B8" i="10"/>
  <c r="J7" i="10"/>
  <c r="P7" i="10" s="1"/>
  <c r="I7" i="10"/>
  <c r="H7" i="10"/>
  <c r="G7" i="10"/>
  <c r="F7" i="10"/>
  <c r="C7" i="10"/>
  <c r="B7" i="10"/>
  <c r="J6" i="10"/>
  <c r="P6" i="10" s="1"/>
  <c r="I6" i="10"/>
  <c r="H6" i="10"/>
  <c r="G6" i="10"/>
  <c r="F6" i="10"/>
  <c r="K6" i="10" s="1"/>
  <c r="C6" i="10"/>
  <c r="B6" i="10"/>
  <c r="J5" i="10"/>
  <c r="P5" i="10" s="1"/>
  <c r="I5" i="10"/>
  <c r="H5" i="10"/>
  <c r="G5" i="10"/>
  <c r="F5" i="10"/>
  <c r="C5" i="10"/>
  <c r="B5" i="10"/>
  <c r="J4" i="10"/>
  <c r="P4" i="10" s="1"/>
  <c r="I4" i="10"/>
  <c r="H4" i="10"/>
  <c r="G4" i="10"/>
  <c r="F4" i="10"/>
  <c r="C4" i="10"/>
  <c r="B4" i="10"/>
  <c r="J3" i="10"/>
  <c r="P3" i="10" s="1"/>
  <c r="I3" i="10"/>
  <c r="H3" i="10"/>
  <c r="G3" i="10"/>
  <c r="F3" i="10"/>
  <c r="C3" i="10"/>
  <c r="B3" i="10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J29" i="9" l="1"/>
  <c r="J32" i="9"/>
  <c r="J18" i="9"/>
  <c r="J22" i="9"/>
  <c r="J28" i="9"/>
  <c r="J37" i="9"/>
  <c r="J25" i="9"/>
  <c r="J19" i="9"/>
  <c r="J23" i="9"/>
  <c r="J31" i="9"/>
  <c r="J38" i="9"/>
  <c r="J21" i="9"/>
  <c r="J13" i="9"/>
  <c r="J20" i="9"/>
  <c r="J24" i="9"/>
  <c r="J34" i="9"/>
  <c r="J39" i="9"/>
  <c r="J26" i="9"/>
  <c r="J14" i="9"/>
  <c r="J36" i="9"/>
  <c r="J12" i="9"/>
  <c r="J9" i="9"/>
  <c r="K3" i="10"/>
  <c r="L3" i="10" s="1"/>
  <c r="K7" i="10"/>
  <c r="L7" i="10" s="1"/>
  <c r="K11" i="10"/>
  <c r="L11" i="10" s="1"/>
  <c r="K15" i="10"/>
  <c r="L15" i="10" s="1"/>
  <c r="K19" i="10"/>
  <c r="L19" i="10" s="1"/>
  <c r="K23" i="10"/>
  <c r="L23" i="10" s="1"/>
  <c r="K5" i="10"/>
  <c r="L5" i="10" s="1"/>
  <c r="K9" i="10"/>
  <c r="L9" i="10" s="1"/>
  <c r="K13" i="10"/>
  <c r="L13" i="10" s="1"/>
  <c r="K17" i="10"/>
  <c r="L17" i="10" s="1"/>
  <c r="K21" i="10"/>
  <c r="L21" i="10" s="1"/>
  <c r="K25" i="10"/>
  <c r="L25" i="10" s="1"/>
  <c r="K4" i="10"/>
  <c r="L4" i="10" s="1"/>
  <c r="K8" i="10"/>
  <c r="L8" i="10" s="1"/>
  <c r="K12" i="10"/>
  <c r="L12" i="10" s="1"/>
  <c r="K16" i="10"/>
  <c r="L16" i="10" s="1"/>
  <c r="K20" i="10"/>
  <c r="L20" i="10" s="1"/>
  <c r="K24" i="10"/>
  <c r="L24" i="10" s="1"/>
  <c r="D16" i="15"/>
  <c r="E9" i="15"/>
  <c r="E7" i="15"/>
  <c r="E10" i="15"/>
  <c r="E8" i="15"/>
  <c r="L3" i="8"/>
  <c r="L16" i="8"/>
  <c r="L4" i="8"/>
  <c r="L8" i="8"/>
  <c r="L24" i="8"/>
  <c r="L5" i="8"/>
  <c r="L9" i="8"/>
  <c r="L13" i="8"/>
  <c r="L17" i="8"/>
  <c r="L21" i="8"/>
  <c r="L25" i="8"/>
  <c r="L29" i="8"/>
  <c r="L6" i="8"/>
  <c r="L10" i="8"/>
  <c r="L14" i="8"/>
  <c r="L18" i="8"/>
  <c r="L22" i="8"/>
  <c r="L26" i="8"/>
  <c r="L7" i="8"/>
  <c r="L11" i="8"/>
  <c r="L15" i="8"/>
  <c r="L19" i="8"/>
  <c r="L23" i="8"/>
  <c r="L27" i="8"/>
  <c r="L12" i="8"/>
  <c r="L20" i="8"/>
  <c r="L28" i="8"/>
  <c r="B12" i="1"/>
  <c r="Q34" i="10"/>
  <c r="M34" i="10"/>
  <c r="N34" i="10" s="1"/>
  <c r="L32" i="10"/>
  <c r="L33" i="10"/>
  <c r="L27" i="10"/>
  <c r="L28" i="10"/>
  <c r="M31" i="10"/>
  <c r="N31" i="10" s="1"/>
  <c r="Q31" i="10"/>
  <c r="M30" i="10"/>
  <c r="N30" i="10" s="1"/>
  <c r="Q30" i="10"/>
  <c r="Q29" i="10"/>
  <c r="M29" i="10"/>
  <c r="N29" i="10" s="1"/>
  <c r="G29" i="8"/>
  <c r="G1" i="8"/>
  <c r="G23" i="1"/>
  <c r="H24" i="1"/>
  <c r="F24" i="1"/>
  <c r="G24" i="1"/>
  <c r="F23" i="1"/>
  <c r="K9" i="9"/>
  <c r="K10" i="9"/>
  <c r="G27" i="8"/>
  <c r="G3" i="8"/>
  <c r="G11" i="8"/>
  <c r="G14" i="8"/>
  <c r="E5" i="15"/>
  <c r="E2" i="15"/>
  <c r="E3" i="15"/>
  <c r="D14" i="15"/>
  <c r="E4" i="15"/>
  <c r="D15" i="15"/>
  <c r="E6" i="15"/>
  <c r="B14" i="1"/>
  <c r="C15" i="15" s="1"/>
  <c r="G24" i="8"/>
  <c r="G5" i="8"/>
  <c r="G7" i="8"/>
  <c r="G10" i="8"/>
  <c r="G20" i="8"/>
  <c r="G23" i="8"/>
  <c r="G26" i="8"/>
  <c r="G6" i="8"/>
  <c r="G16" i="8"/>
  <c r="G19" i="8"/>
  <c r="G22" i="8"/>
  <c r="G12" i="8"/>
  <c r="G15" i="8"/>
  <c r="G18" i="8"/>
  <c r="G28" i="8"/>
  <c r="G4" i="8"/>
  <c r="G8" i="8"/>
  <c r="G9" i="8"/>
  <c r="G13" i="8"/>
  <c r="G17" i="8"/>
  <c r="G21" i="8"/>
  <c r="G25" i="8"/>
  <c r="L14" i="10"/>
  <c r="L26" i="10"/>
  <c r="D9" i="9"/>
  <c r="E9" i="9" s="1"/>
  <c r="F9" i="9" s="1"/>
  <c r="I9" i="9" s="1"/>
  <c r="L18" i="10"/>
  <c r="D12" i="9"/>
  <c r="E12" i="9" s="1"/>
  <c r="F12" i="9" s="1"/>
  <c r="I12" i="9" s="1"/>
  <c r="L10" i="10"/>
  <c r="L22" i="10"/>
  <c r="D10" i="9"/>
  <c r="E10" i="9" s="1"/>
  <c r="F10" i="9" s="1"/>
  <c r="I10" i="9" s="1"/>
  <c r="L6" i="10"/>
  <c r="B13" i="1"/>
  <c r="B20" i="1" s="1"/>
  <c r="C5" i="4" s="1"/>
  <c r="M33" i="9" l="1"/>
  <c r="M11" i="9"/>
  <c r="M27" i="9"/>
  <c r="M30" i="9"/>
  <c r="M15" i="9"/>
  <c r="M16" i="9"/>
  <c r="M17" i="9"/>
  <c r="L29" i="9"/>
  <c r="V14" i="8"/>
  <c r="L33" i="9"/>
  <c r="L11" i="9"/>
  <c r="L27" i="9"/>
  <c r="L30" i="9"/>
  <c r="L15" i="9"/>
  <c r="L16" i="9"/>
  <c r="L17" i="9"/>
  <c r="M35" i="9"/>
  <c r="L35" i="9"/>
  <c r="M29" i="9"/>
  <c r="L32" i="9"/>
  <c r="M32" i="9"/>
  <c r="M36" i="9"/>
  <c r="L36" i="9"/>
  <c r="L34" i="9"/>
  <c r="M34" i="9"/>
  <c r="L21" i="9"/>
  <c r="M21" i="9"/>
  <c r="M19" i="9"/>
  <c r="L19" i="9"/>
  <c r="L22" i="9"/>
  <c r="M22" i="9"/>
  <c r="M14" i="9"/>
  <c r="L14" i="9"/>
  <c r="M24" i="9"/>
  <c r="L24" i="9"/>
  <c r="L38" i="9"/>
  <c r="M38" i="9"/>
  <c r="L25" i="9"/>
  <c r="M25" i="9"/>
  <c r="M18" i="9"/>
  <c r="L18" i="9"/>
  <c r="L26" i="9"/>
  <c r="M26" i="9"/>
  <c r="L20" i="9"/>
  <c r="M20" i="9"/>
  <c r="M31" i="9"/>
  <c r="L31" i="9"/>
  <c r="M37" i="9"/>
  <c r="L37" i="9"/>
  <c r="M39" i="9"/>
  <c r="L39" i="9"/>
  <c r="M13" i="9"/>
  <c r="L13" i="9"/>
  <c r="L23" i="9"/>
  <c r="M23" i="9"/>
  <c r="M28" i="9"/>
  <c r="L28" i="9"/>
  <c r="F3" i="14"/>
  <c r="W14" i="8"/>
  <c r="F5" i="14"/>
  <c r="F12" i="14"/>
  <c r="D8" i="15"/>
  <c r="D7" i="15"/>
  <c r="D9" i="15"/>
  <c r="D10" i="15"/>
  <c r="O30" i="10"/>
  <c r="S30" i="10" s="1"/>
  <c r="F21" i="13" s="1"/>
  <c r="O34" i="10"/>
  <c r="S34" i="10" s="1"/>
  <c r="F25" i="13" s="1"/>
  <c r="O29" i="10"/>
  <c r="S29" i="10" s="1"/>
  <c r="O31" i="10"/>
  <c r="S31" i="10" s="1"/>
  <c r="F22" i="13" s="1"/>
  <c r="F7" i="14"/>
  <c r="Q10" i="10"/>
  <c r="O10" i="10" s="1"/>
  <c r="S10" i="10" s="1"/>
  <c r="Q6" i="10"/>
  <c r="O6" i="10" s="1"/>
  <c r="S6" i="10" s="1"/>
  <c r="M3" i="10"/>
  <c r="N3" i="10" s="1"/>
  <c r="X3" i="10" s="1"/>
  <c r="M14" i="10"/>
  <c r="N14" i="10" s="1"/>
  <c r="X14" i="10" s="1"/>
  <c r="M16" i="10"/>
  <c r="N16" i="10" s="1"/>
  <c r="X16" i="10" s="1"/>
  <c r="M13" i="10"/>
  <c r="N13" i="10" s="1"/>
  <c r="X13" i="10" s="1"/>
  <c r="T31" i="10"/>
  <c r="W31" i="10"/>
  <c r="Q27" i="10"/>
  <c r="O27" i="10" s="1"/>
  <c r="M27" i="10"/>
  <c r="N27" i="10" s="1"/>
  <c r="M32" i="10"/>
  <c r="N32" i="10" s="1"/>
  <c r="Q32" i="10"/>
  <c r="O32" i="10" s="1"/>
  <c r="Q28" i="10"/>
  <c r="M28" i="10"/>
  <c r="N28" i="10" s="1"/>
  <c r="W34" i="10"/>
  <c r="T34" i="10"/>
  <c r="R29" i="10"/>
  <c r="X29" i="10"/>
  <c r="R30" i="10"/>
  <c r="E21" i="13" s="1"/>
  <c r="X30" i="10"/>
  <c r="Q33" i="10"/>
  <c r="O33" i="10" s="1"/>
  <c r="M33" i="10"/>
  <c r="N33" i="10" s="1"/>
  <c r="X34" i="10"/>
  <c r="R34" i="10"/>
  <c r="E25" i="13" s="1"/>
  <c r="W29" i="10"/>
  <c r="T29" i="10"/>
  <c r="T30" i="10"/>
  <c r="W30" i="10"/>
  <c r="R31" i="10"/>
  <c r="E22" i="13" s="1"/>
  <c r="X31" i="10"/>
  <c r="F10" i="14"/>
  <c r="L12" i="9"/>
  <c r="F8" i="14"/>
  <c r="L10" i="9"/>
  <c r="F13" i="14"/>
  <c r="L9" i="9"/>
  <c r="F11" i="14"/>
  <c r="F6" i="14"/>
  <c r="F9" i="14"/>
  <c r="G4" i="14"/>
  <c r="F4" i="14"/>
  <c r="G3" i="14"/>
  <c r="G9" i="14"/>
  <c r="I6" i="8"/>
  <c r="I10" i="8"/>
  <c r="I14" i="8"/>
  <c r="I18" i="8"/>
  <c r="I22" i="8"/>
  <c r="I26" i="8"/>
  <c r="I3" i="8"/>
  <c r="I7" i="8"/>
  <c r="I11" i="8"/>
  <c r="I15" i="8"/>
  <c r="I19" i="8"/>
  <c r="I23" i="8"/>
  <c r="I27" i="8"/>
  <c r="I1" i="8"/>
  <c r="I4" i="8"/>
  <c r="I8" i="8"/>
  <c r="I12" i="8"/>
  <c r="I16" i="8"/>
  <c r="I20" i="8"/>
  <c r="I24" i="8"/>
  <c r="I28" i="8"/>
  <c r="I5" i="8"/>
  <c r="I9" i="8"/>
  <c r="I13" i="8"/>
  <c r="I17" i="8"/>
  <c r="I21" i="8"/>
  <c r="I25" i="8"/>
  <c r="I29" i="8"/>
  <c r="G12" i="14"/>
  <c r="G7" i="14"/>
  <c r="G6" i="14"/>
  <c r="G11" i="14"/>
  <c r="G8" i="14"/>
  <c r="G5" i="14"/>
  <c r="G13" i="14"/>
  <c r="M10" i="9"/>
  <c r="M12" i="9"/>
  <c r="G10" i="14"/>
  <c r="M9" i="9"/>
  <c r="Q13" i="10"/>
  <c r="O13" i="10" s="1"/>
  <c r="T13" i="10"/>
  <c r="E3" i="13"/>
  <c r="E4" i="13"/>
  <c r="Q3" i="10"/>
  <c r="O3" i="10" s="1"/>
  <c r="E5" i="13"/>
  <c r="B19" i="1"/>
  <c r="B5" i="4" s="1"/>
  <c r="C14" i="15"/>
  <c r="C16" i="15"/>
  <c r="Q5" i="10"/>
  <c r="O5" i="10" s="1"/>
  <c r="T5" i="10"/>
  <c r="Q16" i="10"/>
  <c r="O16" i="10" s="1"/>
  <c r="M11" i="10"/>
  <c r="N11" i="10" s="1"/>
  <c r="AD11" i="10" s="1"/>
  <c r="Q11" i="10"/>
  <c r="O11" i="10" s="1"/>
  <c r="Q17" i="10"/>
  <c r="O17" i="10" s="1"/>
  <c r="M6" i="10"/>
  <c r="N6" i="10" s="1"/>
  <c r="AD6" i="10" s="1"/>
  <c r="Q14" i="10"/>
  <c r="O14" i="10" s="1"/>
  <c r="T14" i="10"/>
  <c r="D3" i="15"/>
  <c r="Q18" i="10"/>
  <c r="O18" i="10" s="1"/>
  <c r="T9" i="10"/>
  <c r="Q9" i="10"/>
  <c r="O9" i="10" s="1"/>
  <c r="T16" i="10"/>
  <c r="M9" i="10"/>
  <c r="N9" i="10" s="1"/>
  <c r="AD9" i="10" s="1"/>
  <c r="W15" i="10"/>
  <c r="T12" i="10"/>
  <c r="T17" i="10"/>
  <c r="M17" i="10"/>
  <c r="N17" i="10" s="1"/>
  <c r="AD17" i="10" s="1"/>
  <c r="W11" i="10"/>
  <c r="T10" i="10"/>
  <c r="M18" i="10"/>
  <c r="N18" i="10" s="1"/>
  <c r="AD18" i="10" s="1"/>
  <c r="M5" i="10"/>
  <c r="N5" i="10" s="1"/>
  <c r="AD5" i="10" s="1"/>
  <c r="M12" i="10"/>
  <c r="N12" i="10" s="1"/>
  <c r="AD12" i="10" s="1"/>
  <c r="Q12" i="10"/>
  <c r="O12" i="10" s="1"/>
  <c r="W6" i="10"/>
  <c r="T7" i="10"/>
  <c r="M15" i="10"/>
  <c r="N15" i="10" s="1"/>
  <c r="AD15" i="10" s="1"/>
  <c r="M10" i="10"/>
  <c r="N10" i="10" s="1"/>
  <c r="AD10" i="10" s="1"/>
  <c r="T3" i="10"/>
  <c r="M7" i="10"/>
  <c r="N7" i="10" s="1"/>
  <c r="AD7" i="10" s="1"/>
  <c r="Q15" i="10"/>
  <c r="O15" i="10" s="1"/>
  <c r="Q7" i="10"/>
  <c r="O7" i="10" s="1"/>
  <c r="W24" i="10"/>
  <c r="Q24" i="10"/>
  <c r="O24" i="10" s="1"/>
  <c r="M24" i="10"/>
  <c r="N24" i="10" s="1"/>
  <c r="W21" i="10"/>
  <c r="Q21" i="10"/>
  <c r="O21" i="10" s="1"/>
  <c r="M21" i="10"/>
  <c r="N21" i="10" s="1"/>
  <c r="Q8" i="10"/>
  <c r="O8" i="10" s="1"/>
  <c r="M8" i="10"/>
  <c r="N8" i="10" s="1"/>
  <c r="AD8" i="10" s="1"/>
  <c r="W8" i="10"/>
  <c r="W20" i="10"/>
  <c r="M20" i="10"/>
  <c r="N20" i="10" s="1"/>
  <c r="Q20" i="10"/>
  <c r="O20" i="10" s="1"/>
  <c r="D2" i="15"/>
  <c r="D4" i="15"/>
  <c r="D6" i="15"/>
  <c r="F28" i="8"/>
  <c r="J28" i="8" s="1"/>
  <c r="F5" i="8"/>
  <c r="J5" i="8" s="1"/>
  <c r="T3" i="8"/>
  <c r="F4" i="8"/>
  <c r="J4" i="8" s="1"/>
  <c r="F8" i="8"/>
  <c r="J8" i="8" s="1"/>
  <c r="F7" i="8"/>
  <c r="F29" i="8"/>
  <c r="J29" i="8" s="1"/>
  <c r="F27" i="8"/>
  <c r="J27" i="8" s="1"/>
  <c r="T4" i="8"/>
  <c r="F26" i="8"/>
  <c r="F25" i="8"/>
  <c r="F24" i="8"/>
  <c r="J24" i="8" s="1"/>
  <c r="F23" i="8"/>
  <c r="J23" i="8" s="1"/>
  <c r="F22" i="8"/>
  <c r="J22" i="8" s="1"/>
  <c r="F21" i="8"/>
  <c r="J21" i="8" s="1"/>
  <c r="F20" i="8"/>
  <c r="F19" i="8"/>
  <c r="F18" i="8"/>
  <c r="J18" i="8" s="1"/>
  <c r="F17" i="8"/>
  <c r="F16" i="8"/>
  <c r="F15" i="8"/>
  <c r="F14" i="8"/>
  <c r="F13" i="8"/>
  <c r="F12" i="8"/>
  <c r="F11" i="8"/>
  <c r="J11" i="8" s="1"/>
  <c r="F10" i="8"/>
  <c r="J10" i="8" s="1"/>
  <c r="F9" i="8"/>
  <c r="J9" i="8" s="1"/>
  <c r="T5" i="8"/>
  <c r="F3" i="8"/>
  <c r="J3" i="8" s="1"/>
  <c r="F6" i="8"/>
  <c r="J6" i="8" s="1"/>
  <c r="D5" i="15"/>
  <c r="Q4" i="10"/>
  <c r="O4" i="10" s="1"/>
  <c r="M4" i="10"/>
  <c r="N4" i="10" s="1"/>
  <c r="AD4" i="10" s="1"/>
  <c r="W4" i="10"/>
  <c r="W26" i="10"/>
  <c r="Q26" i="10"/>
  <c r="O26" i="10" s="1"/>
  <c r="M26" i="10"/>
  <c r="N26" i="10" s="1"/>
  <c r="B25" i="1"/>
  <c r="V5" i="8"/>
  <c r="V4" i="8"/>
  <c r="V3" i="8"/>
  <c r="W22" i="10"/>
  <c r="M22" i="10"/>
  <c r="N22" i="10" s="1"/>
  <c r="Q22" i="10"/>
  <c r="O22" i="10" s="1"/>
  <c r="Q25" i="10"/>
  <c r="O25" i="10" s="1"/>
  <c r="M25" i="10"/>
  <c r="N25" i="10" s="1"/>
  <c r="W23" i="10"/>
  <c r="Q23" i="10"/>
  <c r="O23" i="10" s="1"/>
  <c r="M23" i="10"/>
  <c r="N23" i="10" s="1"/>
  <c r="Q19" i="10"/>
  <c r="O19" i="10" s="1"/>
  <c r="M19" i="10"/>
  <c r="N19" i="10" s="1"/>
  <c r="O27" i="2" l="1"/>
  <c r="O28" i="2" s="1"/>
  <c r="Q27" i="2"/>
  <c r="Q28" i="2" s="1"/>
  <c r="E27" i="2"/>
  <c r="E28" i="2" s="1"/>
  <c r="K27" i="2"/>
  <c r="K28" i="2" s="1"/>
  <c r="M27" i="2"/>
  <c r="M28" i="2" s="1"/>
  <c r="AD14" i="10"/>
  <c r="AD3" i="10"/>
  <c r="S27" i="2" s="1"/>
  <c r="S28" i="2" s="1"/>
  <c r="AD16" i="10"/>
  <c r="G27" i="2" s="1"/>
  <c r="G28" i="2" s="1"/>
  <c r="AD13" i="10"/>
  <c r="AC3" i="10"/>
  <c r="AC34" i="10"/>
  <c r="AC31" i="10"/>
  <c r="AC29" i="10"/>
  <c r="AC13" i="10"/>
  <c r="AC16" i="10"/>
  <c r="AC30" i="10"/>
  <c r="AC14" i="10"/>
  <c r="O28" i="10"/>
  <c r="S28" i="10" s="1"/>
  <c r="I25" i="13"/>
  <c r="S18" i="10"/>
  <c r="S3" i="10"/>
  <c r="S12" i="10"/>
  <c r="I22" i="13"/>
  <c r="S5" i="10"/>
  <c r="S11" i="10"/>
  <c r="S7" i="10"/>
  <c r="S15" i="10"/>
  <c r="S17" i="10"/>
  <c r="R3" i="10"/>
  <c r="AA31" i="10"/>
  <c r="AA3" i="10"/>
  <c r="AA30" i="10"/>
  <c r="AA13" i="10"/>
  <c r="S14" i="10"/>
  <c r="AA14" i="10"/>
  <c r="AA34" i="10"/>
  <c r="AA29" i="10"/>
  <c r="AA16" i="10"/>
  <c r="R10" i="10"/>
  <c r="V10" i="10" s="1"/>
  <c r="R5" i="10"/>
  <c r="R9" i="10"/>
  <c r="R13" i="10"/>
  <c r="R16" i="10"/>
  <c r="R15" i="10"/>
  <c r="R18" i="10"/>
  <c r="R17" i="10"/>
  <c r="R6" i="10"/>
  <c r="R11" i="10"/>
  <c r="R12" i="10"/>
  <c r="R7" i="10"/>
  <c r="R14" i="10"/>
  <c r="S16" i="10"/>
  <c r="S13" i="10"/>
  <c r="H21" i="13"/>
  <c r="I21" i="13"/>
  <c r="H25" i="13"/>
  <c r="H22" i="13"/>
  <c r="V31" i="10"/>
  <c r="U30" i="10"/>
  <c r="V30" i="10"/>
  <c r="V29" i="10"/>
  <c r="X28" i="10"/>
  <c r="AC28" i="10" s="1"/>
  <c r="R28" i="10"/>
  <c r="S32" i="10"/>
  <c r="F23" i="13" s="1"/>
  <c r="R27" i="10"/>
  <c r="X27" i="10"/>
  <c r="AC27" i="10" s="1"/>
  <c r="W33" i="10"/>
  <c r="T33" i="10"/>
  <c r="U34" i="10"/>
  <c r="W28" i="10"/>
  <c r="T28" i="10"/>
  <c r="X32" i="10"/>
  <c r="AC32" i="10" s="1"/>
  <c r="R32" i="10"/>
  <c r="E23" i="13" s="1"/>
  <c r="S27" i="10"/>
  <c r="U29" i="10"/>
  <c r="X33" i="10"/>
  <c r="AC33" i="10" s="1"/>
  <c r="R33" i="10"/>
  <c r="E24" i="13" s="1"/>
  <c r="V34" i="10"/>
  <c r="S33" i="10"/>
  <c r="F24" i="13" s="1"/>
  <c r="W32" i="10"/>
  <c r="T32" i="10"/>
  <c r="T27" i="10"/>
  <c r="W27" i="10"/>
  <c r="U31" i="10"/>
  <c r="H23" i="8"/>
  <c r="H1" i="8"/>
  <c r="W13" i="10"/>
  <c r="H5" i="8"/>
  <c r="H11" i="8"/>
  <c r="F3" i="13"/>
  <c r="I3" i="13" s="1"/>
  <c r="H15" i="8"/>
  <c r="K15" i="8" s="1"/>
  <c r="H4" i="8"/>
  <c r="H19" i="8"/>
  <c r="J19" i="8" s="1"/>
  <c r="H8" i="8"/>
  <c r="X11" i="10"/>
  <c r="AC11" i="10" s="1"/>
  <c r="T18" i="10"/>
  <c r="W18" i="10"/>
  <c r="H26" i="8"/>
  <c r="J26" i="8" s="1"/>
  <c r="W5" i="10"/>
  <c r="W16" i="10"/>
  <c r="H28" i="8"/>
  <c r="F4" i="13"/>
  <c r="H4" i="13" s="1"/>
  <c r="U5" i="8"/>
  <c r="H3" i="8"/>
  <c r="H12" i="8"/>
  <c r="K12" i="8" s="1"/>
  <c r="H16" i="8"/>
  <c r="J16" i="8" s="1"/>
  <c r="H20" i="8"/>
  <c r="J20" i="8" s="1"/>
  <c r="H24" i="8"/>
  <c r="H29" i="8"/>
  <c r="F5" i="13"/>
  <c r="H5" i="13" s="1"/>
  <c r="H6" i="8"/>
  <c r="H9" i="8"/>
  <c r="H13" i="8"/>
  <c r="J13" i="8" s="1"/>
  <c r="H17" i="8"/>
  <c r="K17" i="8" s="1"/>
  <c r="H21" i="8"/>
  <c r="H25" i="8"/>
  <c r="J25" i="8" s="1"/>
  <c r="U4" i="8"/>
  <c r="H27" i="8"/>
  <c r="U3" i="8"/>
  <c r="H7" i="8"/>
  <c r="J7" i="8" s="1"/>
  <c r="H10" i="8"/>
  <c r="H14" i="8"/>
  <c r="J14" i="8" s="1"/>
  <c r="H18" i="8"/>
  <c r="H22" i="8"/>
  <c r="T6" i="10"/>
  <c r="X6" i="10"/>
  <c r="AC6" i="10" s="1"/>
  <c r="W14" i="10"/>
  <c r="W9" i="10"/>
  <c r="W7" i="10"/>
  <c r="S9" i="10"/>
  <c r="X9" i="10"/>
  <c r="AC9" i="10" s="1"/>
  <c r="X17" i="10"/>
  <c r="AC17" i="10" s="1"/>
  <c r="X12" i="10"/>
  <c r="AC12" i="10" s="1"/>
  <c r="X18" i="10"/>
  <c r="AC18" i="10" s="1"/>
  <c r="T11" i="10"/>
  <c r="X7" i="10"/>
  <c r="AC7" i="10" s="1"/>
  <c r="W3" i="10"/>
  <c r="W17" i="10"/>
  <c r="W12" i="10"/>
  <c r="X15" i="10"/>
  <c r="AC15" i="10" s="1"/>
  <c r="T15" i="10"/>
  <c r="X5" i="10"/>
  <c r="AC5" i="10" s="1"/>
  <c r="X10" i="10"/>
  <c r="AC10" i="10" s="1"/>
  <c r="W10" i="10"/>
  <c r="R25" i="10"/>
  <c r="X25" i="10"/>
  <c r="AC25" i="10" s="1"/>
  <c r="S23" i="10"/>
  <c r="F10" i="13" s="1"/>
  <c r="R19" i="10"/>
  <c r="E6" i="13" s="1"/>
  <c r="X19" i="10"/>
  <c r="R23" i="10"/>
  <c r="E10" i="13" s="1"/>
  <c r="X23" i="10"/>
  <c r="AC23" i="10" s="1"/>
  <c r="T25" i="10"/>
  <c r="S22" i="10"/>
  <c r="R26" i="10"/>
  <c r="X26" i="10"/>
  <c r="AC26" i="10" s="1"/>
  <c r="K6" i="8"/>
  <c r="K10" i="8"/>
  <c r="K14" i="8"/>
  <c r="K18" i="8"/>
  <c r="K22" i="8"/>
  <c r="K5" i="8"/>
  <c r="R20" i="10"/>
  <c r="E7" i="13" s="1"/>
  <c r="X20" i="10"/>
  <c r="AC20" i="10" s="1"/>
  <c r="T21" i="10"/>
  <c r="T22" i="10"/>
  <c r="W25" i="10"/>
  <c r="T4" i="10"/>
  <c r="K3" i="8"/>
  <c r="K11" i="8"/>
  <c r="K23" i="8"/>
  <c r="K28" i="8"/>
  <c r="S20" i="10"/>
  <c r="T8" i="10"/>
  <c r="R21" i="10"/>
  <c r="E8" i="13" s="1"/>
  <c r="X21" i="10"/>
  <c r="AC21" i="10" s="1"/>
  <c r="S24" i="10"/>
  <c r="S26" i="10"/>
  <c r="F20" i="13" s="1"/>
  <c r="S4" i="10"/>
  <c r="K20" i="8"/>
  <c r="K24" i="8"/>
  <c r="K27" i="8"/>
  <c r="K4" i="8"/>
  <c r="T20" i="10"/>
  <c r="S8" i="10"/>
  <c r="T24" i="10"/>
  <c r="S19" i="10"/>
  <c r="F6" i="13" s="1"/>
  <c r="T19" i="10"/>
  <c r="T23" i="10"/>
  <c r="S25" i="10"/>
  <c r="R22" i="10"/>
  <c r="E9" i="13" s="1"/>
  <c r="X22" i="10"/>
  <c r="AC22" i="10" s="1"/>
  <c r="W19" i="10"/>
  <c r="T26" i="10"/>
  <c r="R4" i="10"/>
  <c r="X4" i="10"/>
  <c r="AC4" i="10" s="1"/>
  <c r="K9" i="8"/>
  <c r="K21" i="8"/>
  <c r="K29" i="8"/>
  <c r="R8" i="10"/>
  <c r="X8" i="10"/>
  <c r="AC8" i="10" s="1"/>
  <c r="S21" i="10"/>
  <c r="R24" i="10"/>
  <c r="X24" i="10"/>
  <c r="AC24" i="10" s="1"/>
  <c r="J12" i="8" l="1"/>
  <c r="AC19" i="10"/>
  <c r="I27" i="2"/>
  <c r="I28" i="2" s="1"/>
  <c r="K26" i="8"/>
  <c r="J17" i="8"/>
  <c r="J15" i="8"/>
  <c r="U16" i="10"/>
  <c r="U17" i="10"/>
  <c r="V5" i="10"/>
  <c r="F19" i="13"/>
  <c r="U14" i="10"/>
  <c r="U12" i="10"/>
  <c r="U13" i="10"/>
  <c r="AB31" i="10"/>
  <c r="Z31" i="10" s="1"/>
  <c r="Y31" i="10" s="1"/>
  <c r="V12" i="10"/>
  <c r="V3" i="10"/>
  <c r="V7" i="10"/>
  <c r="V14" i="10"/>
  <c r="U3" i="10"/>
  <c r="V17" i="10"/>
  <c r="U7" i="10"/>
  <c r="U6" i="10"/>
  <c r="AB3" i="10"/>
  <c r="Z3" i="10" s="1"/>
  <c r="Y3" i="10" s="1"/>
  <c r="AB34" i="10"/>
  <c r="Z34" i="10" s="1"/>
  <c r="Y34" i="10" s="1"/>
  <c r="AB14" i="10"/>
  <c r="Z14" i="10" s="1"/>
  <c r="Y14" i="10" s="1"/>
  <c r="AB16" i="10"/>
  <c r="Z16" i="10" s="1"/>
  <c r="Y16" i="10" s="1"/>
  <c r="AB30" i="10"/>
  <c r="Z30" i="10" s="1"/>
  <c r="Y30" i="10" s="1"/>
  <c r="AB29" i="10"/>
  <c r="Z29" i="10" s="1"/>
  <c r="Y29" i="10" s="1"/>
  <c r="AB13" i="10"/>
  <c r="Z13" i="10" s="1"/>
  <c r="Y13" i="10" s="1"/>
  <c r="F18" i="13"/>
  <c r="AB10" i="10"/>
  <c r="V15" i="10"/>
  <c r="V9" i="10"/>
  <c r="U5" i="10"/>
  <c r="V18" i="10"/>
  <c r="AA5" i="10"/>
  <c r="AB5" i="10"/>
  <c r="AA15" i="10"/>
  <c r="AB15" i="10"/>
  <c r="AA33" i="10"/>
  <c r="AB33" i="10"/>
  <c r="AA32" i="10"/>
  <c r="AB32" i="10"/>
  <c r="AA8" i="10"/>
  <c r="AB8" i="10"/>
  <c r="AA26" i="10"/>
  <c r="AB26" i="10"/>
  <c r="AA18" i="10"/>
  <c r="AB18" i="10"/>
  <c r="AA9" i="10"/>
  <c r="AB9" i="10"/>
  <c r="AA6" i="10"/>
  <c r="AA11" i="10"/>
  <c r="AB11" i="10"/>
  <c r="AB6" i="10"/>
  <c r="AA4" i="10"/>
  <c r="AB4" i="10"/>
  <c r="AA23" i="10"/>
  <c r="AB23" i="10"/>
  <c r="AA24" i="10"/>
  <c r="AB24" i="10"/>
  <c r="AA21" i="10"/>
  <c r="AB21" i="10"/>
  <c r="AA20" i="10"/>
  <c r="AB20" i="10"/>
  <c r="AA25" i="10"/>
  <c r="AB25" i="10"/>
  <c r="AA7" i="10"/>
  <c r="AB7" i="10"/>
  <c r="AA12" i="10"/>
  <c r="AB12" i="10"/>
  <c r="AA22" i="10"/>
  <c r="AB22" i="10"/>
  <c r="AA19" i="10"/>
  <c r="AB19" i="10"/>
  <c r="AA10" i="10"/>
  <c r="AA17" i="10"/>
  <c r="AB17" i="10"/>
  <c r="AA27" i="10"/>
  <c r="AB27" i="10"/>
  <c r="AA28" i="10"/>
  <c r="AB28" i="10"/>
  <c r="V16" i="10"/>
  <c r="U10" i="10"/>
  <c r="V11" i="10"/>
  <c r="V13" i="10"/>
  <c r="I10" i="13"/>
  <c r="I6" i="13"/>
  <c r="H24" i="13"/>
  <c r="F14" i="13"/>
  <c r="F8" i="13"/>
  <c r="I8" i="13" s="1"/>
  <c r="F7" i="13"/>
  <c r="I7" i="13" s="1"/>
  <c r="F9" i="13"/>
  <c r="I9" i="13" s="1"/>
  <c r="F11" i="13"/>
  <c r="F15" i="13"/>
  <c r="I24" i="13"/>
  <c r="I23" i="13"/>
  <c r="H23" i="13"/>
  <c r="H10" i="13"/>
  <c r="H6" i="13"/>
  <c r="V33" i="10"/>
  <c r="U28" i="10"/>
  <c r="V32" i="10"/>
  <c r="U32" i="10"/>
  <c r="U33" i="10"/>
  <c r="U27" i="10"/>
  <c r="V28" i="10"/>
  <c r="V27" i="10"/>
  <c r="K8" i="8"/>
  <c r="K7" i="8"/>
  <c r="K13" i="8"/>
  <c r="K19" i="8"/>
  <c r="H3" i="13"/>
  <c r="K1" i="8"/>
  <c r="J1" i="8"/>
  <c r="U15" i="10"/>
  <c r="U19" i="10"/>
  <c r="U18" i="10"/>
  <c r="K25" i="8"/>
  <c r="I5" i="13"/>
  <c r="U22" i="10"/>
  <c r="V6" i="10"/>
  <c r="K16" i="8"/>
  <c r="I4" i="13"/>
  <c r="U11" i="10"/>
  <c r="U9" i="10"/>
  <c r="U4" i="10"/>
  <c r="V8" i="10"/>
  <c r="U8" i="10"/>
  <c r="V20" i="10"/>
  <c r="V24" i="10"/>
  <c r="U26" i="10"/>
  <c r="E15" i="13"/>
  <c r="V23" i="10"/>
  <c r="E19" i="13"/>
  <c r="V25" i="10"/>
  <c r="E14" i="13"/>
  <c r="V22" i="10"/>
  <c r="U24" i="10"/>
  <c r="U23" i="10"/>
  <c r="V4" i="10"/>
  <c r="U21" i="10"/>
  <c r="E18" i="13"/>
  <c r="U20" i="10"/>
  <c r="V21" i="10"/>
  <c r="U25" i="10"/>
  <c r="E20" i="13"/>
  <c r="V26" i="10"/>
  <c r="E11" i="13"/>
  <c r="V19" i="10"/>
  <c r="Z10" i="10" l="1"/>
  <c r="Y10" i="10" s="1"/>
  <c r="Z11" i="10"/>
  <c r="Y11" i="10" s="1"/>
  <c r="Z26" i="10"/>
  <c r="Y26" i="10" s="1"/>
  <c r="Z32" i="10"/>
  <c r="Y32" i="10" s="1"/>
  <c r="Z8" i="10"/>
  <c r="Y8" i="10" s="1"/>
  <c r="Z33" i="10"/>
  <c r="Y33" i="10" s="1"/>
  <c r="Z28" i="10"/>
  <c r="Y28" i="10" s="1"/>
  <c r="Z27" i="10"/>
  <c r="Y27" i="10" s="1"/>
  <c r="Z17" i="10"/>
  <c r="Y17" i="10" s="1"/>
  <c r="Z19" i="10"/>
  <c r="Y19" i="10" s="1"/>
  <c r="Z12" i="10"/>
  <c r="Y12" i="10" s="1"/>
  <c r="Z25" i="10"/>
  <c r="Y25" i="10" s="1"/>
  <c r="Z21" i="10"/>
  <c r="Y21" i="10" s="1"/>
  <c r="Z24" i="10"/>
  <c r="Y24" i="10" s="1"/>
  <c r="Z9" i="10"/>
  <c r="Y9" i="10" s="1"/>
  <c r="Z5" i="10"/>
  <c r="Y5" i="10" s="1"/>
  <c r="Z22" i="10"/>
  <c r="Y22" i="10" s="1"/>
  <c r="Z7" i="10"/>
  <c r="Y7" i="10" s="1"/>
  <c r="Z20" i="10"/>
  <c r="Y20" i="10" s="1"/>
  <c r="Z23" i="10"/>
  <c r="Y23" i="10" s="1"/>
  <c r="Z4" i="10"/>
  <c r="Y4" i="10" s="1"/>
  <c r="Z6" i="10"/>
  <c r="Y6" i="10" s="1"/>
  <c r="Z18" i="10"/>
  <c r="Y18" i="10" s="1"/>
  <c r="Z15" i="10"/>
  <c r="Y15" i="10" s="1"/>
  <c r="H8" i="13"/>
  <c r="H9" i="13"/>
  <c r="H7" i="13"/>
  <c r="I20" i="13"/>
  <c r="H20" i="13"/>
  <c r="I18" i="13"/>
  <c r="H18" i="13"/>
  <c r="I15" i="13"/>
  <c r="H15" i="13"/>
  <c r="I14" i="13"/>
  <c r="H14" i="13"/>
  <c r="I11" i="13"/>
  <c r="H11" i="13"/>
  <c r="I19" i="13"/>
  <c r="H19" i="13"/>
  <c r="B26" i="1" l="1"/>
  <c r="B29" i="1" s="1"/>
  <c r="X23" i="2" l="1"/>
  <c r="B27" i="1"/>
  <c r="D5" i="4" s="1"/>
  <c r="AT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<sst xmlns="http://schemas.openxmlformats.org/spreadsheetml/2006/main" count="787" uniqueCount="499">
  <si>
    <t>Rotation</t>
  </si>
  <si>
    <t>Roll</t>
  </si>
  <si>
    <t>Pitch</t>
  </si>
  <si>
    <t>Yaw</t>
  </si>
  <si>
    <t>Make NA</t>
  </si>
  <si>
    <t>Norm X</t>
  </si>
  <si>
    <t>Norm Y</t>
  </si>
  <si>
    <t>Norm Z</t>
  </si>
  <si>
    <t>X</t>
  </si>
  <si>
    <t>Y</t>
  </si>
  <si>
    <t>Shark Testing Y</t>
  </si>
  <si>
    <t>Picture Name</t>
  </si>
  <si>
    <t>Shark</t>
  </si>
  <si>
    <t>Dist from mid</t>
  </si>
  <si>
    <t>Radius</t>
  </si>
  <si>
    <t>#</t>
  </si>
  <si>
    <t>x</t>
  </si>
  <si>
    <t>y</t>
  </si>
  <si>
    <t>z</t>
  </si>
  <si>
    <t>SharkRPY_-1;-1;-1</t>
  </si>
  <si>
    <t>Head</t>
  </si>
  <si>
    <t>SharkRPY_-1;-1;0</t>
  </si>
  <si>
    <t>Mid</t>
  </si>
  <si>
    <t>SharkRPY_-1;-1;1</t>
  </si>
  <si>
    <t>Tail</t>
  </si>
  <si>
    <t>SharkRPY_-1;0;-1</t>
  </si>
  <si>
    <t>SharkRPY_-1;0;0</t>
  </si>
  <si>
    <t>SharkRPY_-1;0;1</t>
  </si>
  <si>
    <t>Shark turn angle</t>
  </si>
  <si>
    <t>SharkRPY_-1;1;-1</t>
  </si>
  <si>
    <t>SharkRPY_-1;1;0</t>
  </si>
  <si>
    <t>SharkRPY_-1;1;1</t>
  </si>
  <si>
    <t>SharkRPY_0;-1;-1</t>
  </si>
  <si>
    <t>SharkRPY_0;-1;0</t>
  </si>
  <si>
    <t>SharkRPY_0;-1;1</t>
  </si>
  <si>
    <t>SharkRPY_0;0;-1</t>
  </si>
  <si>
    <t>SharkRPY_0;0;0</t>
  </si>
  <si>
    <t>SharkRPY_0;0;1</t>
  </si>
  <si>
    <t>SharkRPY_0;1;-1</t>
  </si>
  <si>
    <t>SharkRPY_0;1;0</t>
  </si>
  <si>
    <t>SharkRPY_0;1;1</t>
  </si>
  <si>
    <t>SharkRPY_1;-1;-1</t>
  </si>
  <si>
    <t>SharkRPY_1;-1;0</t>
  </si>
  <si>
    <t>SharkRPY_1;-1;1</t>
  </si>
  <si>
    <t>SharkRPY_1;0;-1</t>
  </si>
  <si>
    <t>SharkRPY_1;0;0</t>
  </si>
  <si>
    <t>SharkRPY_1;0;1</t>
  </si>
  <si>
    <t>SharkRPY_1;1;-1</t>
  </si>
  <si>
    <t>SharkRPY_1;1;0</t>
  </si>
  <si>
    <t>SharkRPY_1;1;1</t>
  </si>
  <si>
    <t>Object</t>
  </si>
  <si>
    <t>ReferenceID</t>
  </si>
  <si>
    <t>Image Appearance</t>
  </si>
  <si>
    <t>Top/Bottom</t>
  </si>
  <si>
    <t>Version</t>
  </si>
  <si>
    <t>Velocity at 0</t>
  </si>
  <si>
    <t>Cycle position</t>
  </si>
  <si>
    <t>Starting position</t>
  </si>
  <si>
    <t>Starting Y lane</t>
  </si>
  <si>
    <t>Starting Z depth</t>
  </si>
  <si>
    <t>Calculated position</t>
  </si>
  <si>
    <t>Offset multiplier</t>
  </si>
  <si>
    <t>Position offset</t>
  </si>
  <si>
    <t>Z</t>
  </si>
  <si>
    <t>y lane randomizer</t>
  </si>
  <si>
    <t>Screen X</t>
  </si>
  <si>
    <t>Screen Y</t>
  </si>
  <si>
    <t>Hidden</t>
  </si>
  <si>
    <t>Closest sphere to Shark</t>
  </si>
  <si>
    <t>Hit</t>
  </si>
  <si>
    <t>Separation</t>
  </si>
  <si>
    <t>X dist</t>
  </si>
  <si>
    <t>Y dist</t>
  </si>
  <si>
    <t>Z dist</t>
  </si>
  <si>
    <t>Number seen</t>
  </si>
  <si>
    <t>J</t>
  </si>
  <si>
    <t>Below Shark</t>
  </si>
  <si>
    <t>I</t>
  </si>
  <si>
    <t>H</t>
  </si>
  <si>
    <t>F</t>
  </si>
  <si>
    <t>D</t>
  </si>
  <si>
    <t>C</t>
  </si>
  <si>
    <t>B</t>
  </si>
  <si>
    <t>A</t>
  </si>
  <si>
    <t>Above Shark</t>
  </si>
  <si>
    <t>IF(OR([@[Top/Bottom]]="Shadow",[@[Offset</t>
  </si>
  <si>
    <t>multiplier]]=0),[@[Starting</t>
  </si>
  <si>
    <t>depth]],</t>
  </si>
  <si>
    <t>Shadow;Yaw-1</t>
  </si>
  <si>
    <t>Shadow;Yaw0</t>
  </si>
  <si>
    <t>Shadow;Yaw1</t>
  </si>
  <si>
    <t>G</t>
  </si>
  <si>
    <t>E</t>
  </si>
  <si>
    <t>Cliff Y</t>
  </si>
  <si>
    <t>Floor Z</t>
  </si>
  <si>
    <t>Background cycle</t>
  </si>
  <si>
    <t>Background acceleration</t>
  </si>
  <si>
    <t>Background velocity</t>
  </si>
  <si>
    <t>Rock1_1</t>
  </si>
  <si>
    <t>Rock1_2</t>
  </si>
  <si>
    <t>Rock1_3</t>
  </si>
  <si>
    <t>Rock2_1</t>
  </si>
  <si>
    <t>Rock2_2</t>
  </si>
  <si>
    <t>Rock2_3</t>
  </si>
  <si>
    <t>Rock3_1</t>
  </si>
  <si>
    <t>Rock3_2</t>
  </si>
  <si>
    <t>Rock3_3</t>
  </si>
  <si>
    <t>Rock3_4</t>
  </si>
  <si>
    <t>Rock4_1</t>
  </si>
  <si>
    <t>Rock4_2</t>
  </si>
  <si>
    <t>Rock4_3</t>
  </si>
  <si>
    <t>Rock5_1</t>
  </si>
  <si>
    <t>Rock5_2</t>
  </si>
  <si>
    <t>Rock5_3</t>
  </si>
  <si>
    <t>Rock6_1</t>
  </si>
  <si>
    <t>Rock6_2</t>
  </si>
  <si>
    <t>Rock6_3</t>
  </si>
  <si>
    <t>Rock7_1</t>
  </si>
  <si>
    <t>Rock7_2</t>
  </si>
  <si>
    <t>Rock7_3</t>
  </si>
  <si>
    <t>Rock8_1</t>
  </si>
  <si>
    <t>Rock8_2</t>
  </si>
  <si>
    <t>Rock8_3</t>
  </si>
  <si>
    <t>Rock9_1</t>
  </si>
  <si>
    <t>Rock9_2</t>
  </si>
  <si>
    <t>Rock10_1</t>
  </si>
  <si>
    <t>Rock10_2</t>
  </si>
  <si>
    <t>Rock10_3</t>
  </si>
  <si>
    <t>Rock10_4</t>
  </si>
  <si>
    <t>Data</t>
  </si>
  <si>
    <t>Value</t>
  </si>
  <si>
    <t>Appearance</t>
  </si>
  <si>
    <t>Head to mid</t>
  </si>
  <si>
    <t>Tail to mid</t>
  </si>
  <si>
    <t>High Z</t>
  </si>
  <si>
    <t>Low Z</t>
  </si>
  <si>
    <t>Acceleration</t>
  </si>
  <si>
    <t>X1</t>
  </si>
  <si>
    <t>Y1</t>
  </si>
  <si>
    <t>Z1</t>
  </si>
  <si>
    <t>X2</t>
  </si>
  <si>
    <t>Y2</t>
  </si>
  <si>
    <t>Z2</t>
  </si>
  <si>
    <t>A/an</t>
  </si>
  <si>
    <t>Sheet</t>
  </si>
  <si>
    <t>Previous</t>
  </si>
  <si>
    <t>Next</t>
  </si>
  <si>
    <t>Reset distance</t>
  </si>
  <si>
    <t>Dolphin</t>
  </si>
  <si>
    <t>Starting Time</t>
  </si>
  <si>
    <t>Sting Ray</t>
  </si>
  <si>
    <t>Net time</t>
  </si>
  <si>
    <t>Orca</t>
  </si>
  <si>
    <t>Distance traveled</t>
  </si>
  <si>
    <t>Jellyfish</t>
  </si>
  <si>
    <t>Shark length</t>
  </si>
  <si>
    <t>Whale</t>
  </si>
  <si>
    <t>Shark width</t>
  </si>
  <si>
    <t>Turtle</t>
  </si>
  <si>
    <t>Shark depth</t>
  </si>
  <si>
    <t>Seahorse</t>
  </si>
  <si>
    <t>Hammerhead</t>
  </si>
  <si>
    <t>Octopus</t>
  </si>
  <si>
    <t>Crab</t>
  </si>
  <si>
    <r>
      <t>roll</t>
    </r>
    <r>
      <rPr>
        <vertAlign val="subscript"/>
        <sz val="11"/>
        <color theme="1"/>
        <rFont val="Calibri"/>
        <family val="2"/>
      </rPr>
      <t>Δ</t>
    </r>
  </si>
  <si>
    <r>
      <t>pitch</t>
    </r>
    <r>
      <rPr>
        <vertAlign val="subscript"/>
        <sz val="11"/>
        <color theme="1"/>
        <rFont val="Calibri"/>
        <family val="2"/>
      </rPr>
      <t>Δ</t>
    </r>
  </si>
  <si>
    <r>
      <t>yaw</t>
    </r>
    <r>
      <rPr>
        <vertAlign val="subscript"/>
        <sz val="11"/>
        <color theme="1"/>
        <rFont val="Calibri"/>
        <family val="2"/>
      </rPr>
      <t>Δ</t>
    </r>
  </si>
  <si>
    <r>
      <t>X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</si>
  <si>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o</t>
    </r>
  </si>
  <si>
    <r>
      <t>Z</t>
    </r>
    <r>
      <rPr>
        <vertAlign val="subscript"/>
        <sz val="11"/>
        <color theme="1"/>
        <rFont val="Calibri"/>
        <family val="2"/>
        <scheme val="minor"/>
      </rPr>
      <t>o</t>
    </r>
  </si>
  <si>
    <r>
      <t>X</t>
    </r>
    <r>
      <rPr>
        <vertAlign val="subscript"/>
        <sz val="11"/>
        <color theme="1"/>
        <rFont val="Calibri"/>
        <family val="2"/>
        <scheme val="minor"/>
      </rPr>
      <t>f</t>
    </r>
  </si>
  <si>
    <r>
      <t>Y</t>
    </r>
    <r>
      <rPr>
        <vertAlign val="subscript"/>
        <sz val="11"/>
        <color theme="1"/>
        <rFont val="Calibri"/>
        <family val="2"/>
        <scheme val="minor"/>
      </rPr>
      <t>f</t>
    </r>
  </si>
  <si>
    <t>Label</t>
  </si>
  <si>
    <t>X val</t>
  </si>
  <si>
    <t>Y val</t>
  </si>
  <si>
    <t>Z val</t>
  </si>
  <si>
    <r>
      <t>Z</t>
    </r>
    <r>
      <rPr>
        <vertAlign val="subscript"/>
        <sz val="11"/>
        <color theme="1"/>
        <rFont val="Calibri"/>
        <family val="2"/>
        <scheme val="minor"/>
      </rPr>
      <t>f</t>
    </r>
  </si>
  <si>
    <t>rotation</t>
  </si>
  <si>
    <r>
      <t xml:space="preserve">sin </t>
    </r>
    <r>
      <rPr>
        <sz val="11"/>
        <color theme="1"/>
        <rFont val="Calibri"/>
        <family val="2"/>
      </rPr>
      <t>θ</t>
    </r>
  </si>
  <si>
    <t>Invert Roll (X)</t>
  </si>
  <si>
    <t>cos θ</t>
  </si>
  <si>
    <t>Invert Pitch (Y)</t>
  </si>
  <si>
    <t>Rotation for Chart X</t>
  </si>
  <si>
    <t>Invert Yaw (Z)</t>
  </si>
  <si>
    <t>Rotation for Chart Y</t>
  </si>
  <si>
    <t>Shark depth for chart</t>
  </si>
  <si>
    <t>Minimum</t>
  </si>
  <si>
    <t>Creature hit</t>
  </si>
  <si>
    <t>Range</t>
  </si>
  <si>
    <t>Hit time</t>
  </si>
  <si>
    <t>Scaling ratio</t>
  </si>
  <si>
    <t>Game Running</t>
  </si>
  <si>
    <t>Hit Dialogue</t>
  </si>
  <si>
    <t>Dialogue loc X</t>
  </si>
  <si>
    <t>Dialogue loc Y</t>
  </si>
  <si>
    <t>ActiveTime</t>
  </si>
  <si>
    <t>Point</t>
  </si>
  <si>
    <t>Screen xs</t>
  </si>
  <si>
    <t>Screen ys</t>
  </si>
  <si>
    <t>v. 210714</t>
  </si>
  <si>
    <t>English</t>
  </si>
  <si>
    <t>Row</t>
  </si>
  <si>
    <t>Tab</t>
  </si>
  <si>
    <t>Location</t>
  </si>
  <si>
    <t>Language 1</t>
  </si>
  <si>
    <t>Language 2</t>
  </si>
  <si>
    <t>Language 3</t>
  </si>
  <si>
    <t>Language 4</t>
  </si>
  <si>
    <t>Language 5</t>
  </si>
  <si>
    <t>Language 6</t>
  </si>
  <si>
    <t>Language 7</t>
  </si>
  <si>
    <t>Language 8</t>
  </si>
  <si>
    <t>Language 9</t>
  </si>
  <si>
    <t>Language 10</t>
  </si>
  <si>
    <t>Display</t>
  </si>
  <si>
    <t>TT</t>
  </si>
  <si>
    <t>Select Language</t>
  </si>
  <si>
    <t>Selecione Idioma</t>
  </si>
  <si>
    <t>Selecciona el idioma</t>
  </si>
  <si>
    <t>Inglês</t>
  </si>
  <si>
    <t>Inglés</t>
  </si>
  <si>
    <t>Portuguese</t>
  </si>
  <si>
    <t>Português</t>
  </si>
  <si>
    <t>Portugués</t>
  </si>
  <si>
    <t>Spanish</t>
  </si>
  <si>
    <t>Espanhol</t>
  </si>
  <si>
    <t>Español</t>
  </si>
  <si>
    <t>German</t>
  </si>
  <si>
    <t>Alemão</t>
  </si>
  <si>
    <t>Alemán</t>
  </si>
  <si>
    <t>Italian</t>
  </si>
  <si>
    <t>Italiano</t>
  </si>
  <si>
    <t>Norwegian</t>
  </si>
  <si>
    <t>Norueguês</t>
  </si>
  <si>
    <t>Noruego</t>
  </si>
  <si>
    <t>French</t>
  </si>
  <si>
    <t>Francês</t>
  </si>
  <si>
    <t>Francés</t>
  </si>
  <si>
    <t>Instructions</t>
  </si>
  <si>
    <t>This workbook uses "Macros" (automated Excel commands) to assist in the data collection process</t>
  </si>
  <si>
    <t>Esta pasta de trabalho usa "Macros" (comandos automatizados do Excel) para auxiliar no processo de coleta de dados</t>
  </si>
  <si>
    <t>Este libro de trabajo usa "Macros" (comandos de Excel automatizados) para ayudar en el proceso de recopilación de datos</t>
  </si>
  <si>
    <t>To use these Macros and have buttons on the spreadsheets work, you must "Enable" the Macros</t>
  </si>
  <si>
    <t>Para usar essas macros e ter botões nas planilhas funcionando, você deve "Ativar" as macros</t>
  </si>
  <si>
    <t>Para utilizar estas macros y tener botones en las hojas de cálculo, debes “Habilitar” las macros.</t>
  </si>
  <si>
    <t>Click the "Enable Content" button that appears above when you first open this workbook</t>
  </si>
  <si>
    <t>Clique no botão "Ativar conteúdo" exibido acima quando você abrir a pasta de trabalho pela primeira vez</t>
  </si>
  <si>
    <t>Haz clic en el botón “Habilitar contenido” que aparece arriba al abrir este libro de trabajo por primera vez</t>
  </si>
  <si>
    <t>Once you have enabled macros, you can use the workbook.  If you do not see this message, macros are enabled</t>
  </si>
  <si>
    <t>Depois de habilitar as macros, você poderá usar a pasta de trabalho. Se você não vir essa mensagem, as macros serão ativadas</t>
  </si>
  <si>
    <t>Una vez que hayas habilitado los macros, puedes usar el libro de trabajo.  Si no ves este mensaje, las macros están habilitadas</t>
  </si>
  <si>
    <t>Joystick Controller Test</t>
  </si>
  <si>
    <t>Teste do controlador de joystick</t>
  </si>
  <si>
    <t>Prueba del Mando</t>
  </si>
  <si>
    <t>ROLL</t>
  </si>
  <si>
    <t>ROLAGEM</t>
  </si>
  <si>
    <t>CABECEO</t>
  </si>
  <si>
    <t>PITCH</t>
  </si>
  <si>
    <t>Arfagem</t>
  </si>
  <si>
    <t>BALANCEO</t>
  </si>
  <si>
    <t>YAW</t>
  </si>
  <si>
    <t>GUINADA</t>
  </si>
  <si>
    <t>GUIÑADA</t>
  </si>
  <si>
    <t>Roll 1 (left)</t>
  </si>
  <si>
    <t>Rolagem 1 (esquerda)</t>
  </si>
  <si>
    <t>Cabeceo 1 (izquierda)</t>
  </si>
  <si>
    <t>Roll 2 (right)</t>
  </si>
  <si>
    <t>Rolagem 2 (direita)</t>
  </si>
  <si>
    <t>Cabeceo 2 (derecha)</t>
  </si>
  <si>
    <t>Pitch 1 (back)</t>
  </si>
  <si>
    <t>Arfagem 1 (trás)</t>
  </si>
  <si>
    <t>Balanceo 1 (atrás)</t>
  </si>
  <si>
    <t>Pitch 2 (forward)</t>
  </si>
  <si>
    <t>Arfagem 2 (frente)</t>
  </si>
  <si>
    <t>Balanceo 2 (adelante)</t>
  </si>
  <si>
    <t>Yaw 1 (left)</t>
  </si>
  <si>
    <t>Guinada 1 (esquerda)</t>
  </si>
  <si>
    <t>Guiñada 1 (izquierda)</t>
  </si>
  <si>
    <t>Yaw 2 (right)</t>
  </si>
  <si>
    <t>Guinada 2 (direita)</t>
  </si>
  <si>
    <t>Guiñada 2 (derecha)</t>
  </si>
  <si>
    <t>Neutral</t>
  </si>
  <si>
    <t>Neutro</t>
  </si>
  <si>
    <t>Next </t>
  </si>
  <si>
    <t>Próximo </t>
  </si>
  <si>
    <t>Siguiente </t>
  </si>
  <si>
    <r>
      <rPr>
        <sz val="11"/>
        <color theme="1"/>
        <rFont val="Segoe UI Symbol"/>
        <family val="2"/>
      </rPr>
      <t></t>
    </r>
    <r>
      <rPr>
        <sz val="11"/>
        <color theme="1"/>
        <rFont val="Segoe UI"/>
        <family val="2"/>
      </rPr>
      <t xml:space="preserve"> Previous</t>
    </r>
  </si>
  <si>
    <t> Anterior</t>
  </si>
  <si>
    <t>Virtual Marine Environment</t>
  </si>
  <si>
    <t>Depth</t>
  </si>
  <si>
    <t>Profundidade</t>
  </si>
  <si>
    <t>Profundidad</t>
  </si>
  <si>
    <t>Ambiente Marinho Virtual</t>
  </si>
  <si>
    <t>Entorno marino virtual</t>
  </si>
  <si>
    <t>Navigation</t>
  </si>
  <si>
    <t>Navegação</t>
  </si>
  <si>
    <t>Navegación</t>
  </si>
  <si>
    <t>Marine Life</t>
  </si>
  <si>
    <t>Vida Marinha</t>
  </si>
  <si>
    <t>Vida Marina</t>
  </si>
  <si>
    <t>Golfinho</t>
  </si>
  <si>
    <t>Delfín</t>
  </si>
  <si>
    <t>Arraia</t>
  </si>
  <si>
    <t>Mantarraya</t>
  </si>
  <si>
    <t>Água – viva</t>
  </si>
  <si>
    <t>Medusa</t>
  </si>
  <si>
    <t>Tartaruga</t>
  </si>
  <si>
    <t>Tortuga</t>
  </si>
  <si>
    <t>Tubarão - Martelo</t>
  </si>
  <si>
    <t>Tiburón martillo</t>
  </si>
  <si>
    <t>Polvo</t>
  </si>
  <si>
    <t>Pulpos</t>
  </si>
  <si>
    <t>Caranguejo</t>
  </si>
  <si>
    <t>Cangrejo</t>
  </si>
  <si>
    <t>Dolphins</t>
  </si>
  <si>
    <t>Golfinhos</t>
  </si>
  <si>
    <t>Delfines</t>
  </si>
  <si>
    <t>Sting Rays</t>
  </si>
  <si>
    <t>Arraias</t>
  </si>
  <si>
    <t>Mantarrayas</t>
  </si>
  <si>
    <t>Orcas</t>
  </si>
  <si>
    <t>Turtles</t>
  </si>
  <si>
    <t>Tartaguras</t>
  </si>
  <si>
    <t>Tortugas</t>
  </si>
  <si>
    <t>Hammerheads</t>
  </si>
  <si>
    <t>Tubarões - Martelo</t>
  </si>
  <si>
    <t>Tiburones martillo</t>
  </si>
  <si>
    <t>Octopi</t>
  </si>
  <si>
    <t>Polvos</t>
  </si>
  <si>
    <t>Pulpo</t>
  </si>
  <si>
    <t>Crabs</t>
  </si>
  <si>
    <t>Caranguejos</t>
  </si>
  <si>
    <t>Cangrejos</t>
  </si>
  <si>
    <t>Here you can use your robotic shark to explore the ocean. Use your controller to guide its movement.</t>
  </si>
  <si>
    <t>Aqui você pode usar seu tubarão robótico para explorar o oceano. Use o seu controlador para guiar seu movimento.</t>
  </si>
  <si>
    <t>Aquí puedes usar tu tiburón robótico para explorar el océano. Usa el control para guiar su movimiento.</t>
  </si>
  <si>
    <t xml:space="preserve">It looks like you stopped to examine a dolphin after seeing </t>
  </si>
  <si>
    <t xml:space="preserve">Parece que você parou para examinar um golfinho depois de ver </t>
  </si>
  <si>
    <t>Parece que te detuviste a examinar un delfín después de observar</t>
  </si>
  <si>
    <t xml:space="preserve">It looks like you stopped to examine a sting ray after seeing </t>
  </si>
  <si>
    <t xml:space="preserve">Parece que você parou para examinar uma arraia depois de ver </t>
  </si>
  <si>
    <t>Parece que te detuviste a examinar una mantarraya después de observar</t>
  </si>
  <si>
    <t xml:space="preserve">It looks like you stopped to examine an orca after seeing </t>
  </si>
  <si>
    <t xml:space="preserve">Parece que você parou para examinar uma orca depois de ver </t>
  </si>
  <si>
    <t>Parece que te detuviste a examinar una orca después de observar</t>
  </si>
  <si>
    <t xml:space="preserve">It looks like you stopped to examine a jellyfish after seeing </t>
  </si>
  <si>
    <t xml:space="preserve">Parece que você parou para examinar uma água - viva depois de ver </t>
  </si>
  <si>
    <t>Parece que te detuviste a examinar una medusa después de observar</t>
  </si>
  <si>
    <t xml:space="preserve">It looks like you stopped to examine a turtle after seeing </t>
  </si>
  <si>
    <t xml:space="preserve">Parece que você parou para examinar uma tartaruga depois de ver </t>
  </si>
  <si>
    <t>Parece que te detuviste a examinar una tortuga después de observar</t>
  </si>
  <si>
    <t xml:space="preserve">It looks like you stopped to examine a hammerhead after seeing </t>
  </si>
  <si>
    <t xml:space="preserve">Parece que você parou para examinar um tubarão - martelo depois de ver </t>
  </si>
  <si>
    <t>Parece que te detuviste a examinar a un tiburón martillo después de observar</t>
  </si>
  <si>
    <t xml:space="preserve">It looks like you stopped to examine an octopus after seeing </t>
  </si>
  <si>
    <t xml:space="preserve">Parece que você parou para examinar um polvo depois de ver </t>
  </si>
  <si>
    <t>Parece que te detuviste a examinar un pulpo después de observar</t>
  </si>
  <si>
    <t xml:space="preserve">It looks like you stopped to examine a crab after seeing </t>
  </si>
  <si>
    <t xml:space="preserve">Parece que você parou para examinar um caranguejo depois de ver </t>
  </si>
  <si>
    <t>Parece que te detuviste a examinar un cangrejo después de observar</t>
  </si>
  <si>
    <t xml:space="preserve"> other marine creatures</t>
  </si>
  <si>
    <t>outras criaturas marinhas</t>
  </si>
  <si>
    <t xml:space="preserve"> otras criaturas marinas</t>
  </si>
  <si>
    <t>Tubarão</t>
  </si>
  <si>
    <t>Tiburón</t>
  </si>
  <si>
    <t>Start Exploring &gt;</t>
  </si>
  <si>
    <t>Iniciar exploração &gt;</t>
  </si>
  <si>
    <t>Comienza a explorar &gt;</t>
  </si>
  <si>
    <t>Setup</t>
  </si>
  <si>
    <t>Rotação</t>
  </si>
  <si>
    <t>Rotación</t>
  </si>
  <si>
    <t>sin θ</t>
  </si>
  <si>
    <t>seno θ</t>
  </si>
  <si>
    <t>X rotation for Chart</t>
  </si>
  <si>
    <t>Rotação X para gráfico</t>
  </si>
  <si>
    <t>Rotación X para el gráfico</t>
  </si>
  <si>
    <t>Y rotation for Chart</t>
  </si>
  <si>
    <t>Rotação Y para gráfico</t>
  </si>
  <si>
    <t>Rotación Y para el gráfico</t>
  </si>
  <si>
    <t>Mínimo</t>
  </si>
  <si>
    <t>Extensão</t>
  </si>
  <si>
    <t>Gama</t>
  </si>
  <si>
    <t>Taxa de escala</t>
  </si>
  <si>
    <t>Relación de escala</t>
  </si>
  <si>
    <t>Data In</t>
  </si>
  <si>
    <t>Data In (From Source)</t>
  </si>
  <si>
    <t>Entrada de Dados (Da Fonte)</t>
  </si>
  <si>
    <t>Datos entrantes (desde la fuente)</t>
  </si>
  <si>
    <t>Data coming from the current data source will appear below as it is received.</t>
  </si>
  <si>
    <t>Os dados provenientes da fonte de dados atual aparecerão abaixo conforme são recebidos.</t>
  </si>
  <si>
    <t>Los datos procedentes de la fuente de datos actual aparecerán a continuación a medida que se reciban.</t>
  </si>
  <si>
    <t>Current Data</t>
  </si>
  <si>
    <t>Dados atuais</t>
  </si>
  <si>
    <t>Datos actuales</t>
  </si>
  <si>
    <t>Time</t>
  </si>
  <si>
    <t>Tempo</t>
  </si>
  <si>
    <t>Tiempo</t>
  </si>
  <si>
    <t>X Rotation</t>
  </si>
  <si>
    <t>Rotação X</t>
  </si>
  <si>
    <t>Rotación X</t>
  </si>
  <si>
    <t>Y Rotation</t>
  </si>
  <si>
    <t>Rotação Y</t>
  </si>
  <si>
    <t>Rotación Y</t>
  </si>
  <si>
    <t>Z Rotation</t>
  </si>
  <si>
    <t>Rotação Z</t>
  </si>
  <si>
    <t>Rotación Z</t>
  </si>
  <si>
    <t>X Position</t>
  </si>
  <si>
    <t>X Posição</t>
  </si>
  <si>
    <t>X Posición</t>
  </si>
  <si>
    <t>Y Position</t>
  </si>
  <si>
    <t>Y Posição</t>
  </si>
  <si>
    <t>Y Posición</t>
  </si>
  <si>
    <t>Z Position</t>
  </si>
  <si>
    <t>Z Posição</t>
  </si>
  <si>
    <t>Z Posición</t>
  </si>
  <si>
    <t>End Time</t>
  </si>
  <si>
    <t>Fim do tempo</t>
  </si>
  <si>
    <t>Hora de finalización</t>
  </si>
  <si>
    <t>◀ Newest</t>
  </si>
  <si>
    <t>O mais novo</t>
  </si>
  <si>
    <t>◀ El más nuevo</t>
  </si>
  <si>
    <t>Data Out</t>
  </si>
  <si>
    <t>Data Out (To Device)</t>
  </si>
  <si>
    <t>Saída de dados (para o dispositivo)</t>
  </si>
  <si>
    <t>Datos de salida (al dispositivo)</t>
  </si>
  <si>
    <t>Data entered into the channels below will be sent to the currently connected device
as a comma-delimited string.</t>
  </si>
  <si>
    <t>Os dados inseridos nos canais abaixo serão enviados para o dispositivo conectado no momento como uma corda delimitada por vírgula</t>
  </si>
  <si>
    <t>Los datos ingresados en los siguientes canales se enviarán al dispositivo actualmente conectado</t>
  </si>
  <si>
    <t>Reset</t>
  </si>
  <si>
    <t>Redefinir</t>
  </si>
  <si>
    <t>Reiniciar</t>
  </si>
  <si>
    <t>Settings</t>
  </si>
  <si>
    <t>Workbook Settings</t>
  </si>
  <si>
    <t>Configurações de pasta de trabalho</t>
  </si>
  <si>
    <t>Configuración del libro</t>
  </si>
  <si>
    <t>Settings below will affect how data is read into the current workbook from data sources. Clear a field's contents to revert to its default setting.</t>
  </si>
  <si>
    <t>As configurações abaixo afetarão como os dados são lidos na pasta de trabalho atual a partir de fontes de dados. Limpe o conteúdo de um campo para reverter para sua configuração padrão.</t>
  </si>
  <si>
    <t>Los siguientes ajustes afectarán la forma en que se leen los datos en el libro actual a partir de las fuentes de datos. Borra los contenidos de un campo para volver a la configuración predeterminada.</t>
  </si>
  <si>
    <t>Data interval (ms):</t>
  </si>
  <si>
    <t>Intervalo de dados (ms):</t>
  </si>
  <si>
    <t>Intervalo de datos (ms):</t>
  </si>
  <si>
    <t>Data rows:</t>
  </si>
  <si>
    <t>Linhas de dados</t>
  </si>
  <si>
    <t>Filas de datos:</t>
  </si>
  <si>
    <t>Data channels:</t>
  </si>
  <si>
    <t>Canais de Dados</t>
  </si>
  <si>
    <t>Canales de datos:</t>
  </si>
  <si>
    <t>Data Orientation:</t>
  </si>
  <si>
    <t>Orientação de Dados</t>
  </si>
  <si>
    <t>Orientación de datos:</t>
  </si>
  <si>
    <t>WARNING: Changing settings may result in the loss of content and/or custom formatting in the Data In and Data Out worksheets. Always save before changing values.</t>
  </si>
  <si>
    <t>ADVERTENCIA: El cambio de configuraciones puede ocasionar la pérdida de contenido y/o formato personalizado en las hojas de trabajo de entrada y salida de datos. Siempre guarda antes de cambiar los valores.</t>
  </si>
  <si>
    <t>Animal Graphing</t>
  </si>
  <si>
    <t>Acima do tubarão</t>
  </si>
  <si>
    <t>Arriba de los Tiburones</t>
  </si>
  <si>
    <t>Abaixo do tubarão</t>
  </si>
  <si>
    <t>Debajo de los Tiburones</t>
  </si>
  <si>
    <t>Cabeça</t>
  </si>
  <si>
    <t>Cabeza</t>
  </si>
  <si>
    <t>Middle</t>
  </si>
  <si>
    <t>Meio</t>
  </si>
  <si>
    <t>Medio</t>
  </si>
  <si>
    <t>Cauda</t>
  </si>
  <si>
    <t>Cola</t>
  </si>
  <si>
    <t>Historical Data</t>
  </si>
  <si>
    <t>Histórico de Dados</t>
  </si>
  <si>
    <t>Información histórica</t>
  </si>
  <si>
    <t xml:space="preserve">    </t>
  </si>
  <si>
    <t>Data In (From USB Serial Device (COM5))</t>
  </si>
  <si>
    <t>TIME</t>
  </si>
  <si>
    <t/>
  </si>
  <si>
    <t>update</t>
  </si>
  <si>
    <t>Data entered into the channels below will be sent to the currently connected device as a comma-delimited string.</t>
  </si>
  <si>
    <t>CH5</t>
  </si>
  <si>
    <t>CH6</t>
  </si>
  <si>
    <t>CH7</t>
  </si>
  <si>
    <t>CH8</t>
  </si>
  <si>
    <t>CH9</t>
  </si>
  <si>
    <t>CH10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</si>
  <si>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</si>
  <si>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</si>
  <si>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</si>
  <si>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</si>
  <si>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</si>
  <si>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</si>
  <si>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Name</t>
  </si>
  <si>
    <t>Visible</t>
  </si>
  <si>
    <t>Test Visible</t>
  </si>
  <si>
    <t>Pitch down</t>
  </si>
  <si>
    <t>Roll left</t>
  </si>
  <si>
    <t>Flat</t>
  </si>
  <si>
    <t>Roll right</t>
  </si>
  <si>
    <t>Pitch up</t>
  </si>
  <si>
    <t>Roll left Pitch down</t>
  </si>
  <si>
    <t>Roll left Pitch up</t>
  </si>
  <si>
    <t>Roll right Pitch down</t>
  </si>
  <si>
    <t>Roll right Pitch up</t>
  </si>
  <si>
    <t>Yaw left</t>
  </si>
  <si>
    <t>Yaw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</si>
</sst>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h:mm:ss.00"/>
  </numFmts>
  <fonts count="44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FFFFFF"/>
      <name val="Segoe UI Light"/>
      <family val="2"/>
    </font>
    <font>
      <sz val="20"/>
      <color rgb="FF696969"/>
      <name val="Segoe UI Light"/>
      <family val="2"/>
    </font>
    <font>
      <sz val="11"/>
      <color rgb="FFBFBFBF"/>
      <name val="Segoe UI Light"/>
      <family val="2"/>
    </font>
    <font>
      <sz val="11"/>
      <color rgb="FFBFBFBF"/>
      <name val="Segoe UI Semibold"/>
      <family val="2"/>
    </font>
    <font>
      <sz val="11"/>
      <color rgb="FF000000"/>
      <name val="Segoe UI Light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Segoe UI"/>
      <family val="2"/>
    </font>
    <font>
      <sz val="11"/>
      <color rgb="FFBFBFB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Segoe UI"/>
      <family val="2"/>
    </font>
    <font>
      <sz val="16"/>
      <color theme="1"/>
      <name val="Segoe UI"/>
      <family val="2"/>
    </font>
    <font>
      <b/>
      <sz val="16"/>
      <color rgb="FF067B75"/>
      <name val="Segoe UI"/>
      <family val="2"/>
    </font>
    <font>
      <sz val="20"/>
      <color theme="0"/>
      <name val="Segoe UI"/>
      <family val="2"/>
    </font>
    <font>
      <b/>
      <sz val="11"/>
      <color rgb="FF004B50"/>
      <name val="Segoe UI"/>
      <family val="2"/>
    </font>
    <font>
      <sz val="14"/>
      <color theme="0"/>
      <name val="Segoe UI"/>
      <family val="2"/>
    </font>
    <font>
      <sz val="11"/>
      <color theme="1"/>
      <name val="Calibri"/>
      <family val="2"/>
      <scheme val="minor"/>
    </font>
    <font>
      <sz val="16"/>
      <name val="Segoe UI"/>
      <family val="2"/>
    </font>
    <font>
      <b/>
      <sz val="24"/>
      <color theme="1"/>
      <name val="Segoe UI"/>
      <family val="2"/>
    </font>
    <font>
      <b/>
      <sz val="16"/>
      <name val="Segoe UI"/>
      <family val="2"/>
    </font>
    <font>
      <sz val="11"/>
      <color theme="0"/>
      <name val="Segoe UI"/>
      <family val="2"/>
    </font>
    <font>
      <b/>
      <sz val="11"/>
      <color theme="1"/>
      <name val="Segoe UI"/>
      <family val="2"/>
    </font>
    <font>
      <sz val="16"/>
      <color theme="0"/>
      <name val="Segoe UI"/>
      <family val="2"/>
    </font>
    <font>
      <sz val="12"/>
      <color theme="1"/>
      <name val="Segoe UI"/>
      <family val="2"/>
    </font>
    <font>
      <sz val="11"/>
      <color theme="0"/>
      <name val="Segoe UI Light"/>
      <family val="2"/>
    </font>
    <font>
      <sz val="8"/>
      <name val="Calibri"/>
      <family val="2"/>
      <scheme val="minor"/>
    </font>
    <font>
      <sz val="11"/>
      <color theme="1"/>
      <name val="Segoe UI Symbol"/>
      <family val="2"/>
    </font>
    <font>
      <sz val="11"/>
      <color rgb="FF505050"/>
      <name val="Segoe UI"/>
      <family val="2"/>
    </font>
    <font>
      <sz val="11"/>
      <color rgb="FF696969"/>
      <name val="Segoe UI Light"/>
      <family val="2"/>
    </font>
    <font>
      <sz val="10"/>
      <color rgb="FF000000"/>
      <name val="Segoe UI Light"/>
      <family val="2"/>
    </font>
    <font>
      <sz val="10"/>
      <color rgb="FF505050"/>
      <name val="Segoe UI"/>
      <family val="2"/>
    </font>
    <font>
      <sz val="13"/>
      <color rgb="FF505050"/>
      <name val="Segoe UI"/>
      <family val="2"/>
    </font>
    <font>
      <sz val="10"/>
      <color rgb="FF000000"/>
      <name val="Segoe UI"/>
      <family val="2"/>
    </font>
    <font>
      <sz val="14"/>
      <color theme="0"/>
      <name val="Segoe UI Symbol"/>
      <family val="2"/>
    </font>
    <font>
      <sz val="22"/>
      <color theme="0"/>
      <name val="Segoe UI Symbol"/>
      <family val="2"/>
    </font>
    <font>
      <sz val="11"/>
      <color theme="1" tint="0.499984740745262"/>
      <name val="Segoe UI"/>
      <family val="2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B77"/>
        <bgColor indexed="64"/>
      </patternFill>
    </fill>
    <fill>
      <patternFill patternType="solid">
        <fgColor rgb="FF004B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6C33"/>
        <bgColor indexed="64"/>
      </patternFill>
    </fill>
  </fills>
  <borders count="10">
    <border>
      <left/>
      <right/>
      <top/>
      <bottom/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</borders>
  <cellStyleXfs count="3">
    <xf numFmtId="0" fontId="0" fillId="0" borderId="0"/>
    <xf numFmtId="164" fontId="23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77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3" fillId="2" borderId="0" xfId="0" quotePrefix="1" applyFont="1" applyFill="1"/>
    <xf numFmtId="2" fontId="0" fillId="0" borderId="0" xfId="0" applyNumberFormat="1"/>
    <xf numFmtId="47" fontId="0" fillId="0" borderId="0" xfId="0" applyNumberFormat="1"/>
    <xf numFmtId="0" fontId="13" fillId="0" borderId="0" xfId="0" applyFont="1"/>
    <xf numFmtId="47" fontId="3" fillId="2" borderId="0" xfId="0" quotePrefix="1" applyNumberFormat="1" applyFont="1" applyFill="1"/>
    <xf numFmtId="0" fontId="0" fillId="2" borderId="0" xfId="0" applyFill="1"/>
    <xf numFmtId="0" fontId="0" fillId="7" borderId="0" xfId="0" applyFill="1"/>
    <xf numFmtId="0" fontId="0" fillId="0" borderId="0" xfId="0" quotePrefix="1"/>
    <xf numFmtId="0" fontId="0" fillId="0" borderId="3" xfId="0" applyBorder="1"/>
    <xf numFmtId="0" fontId="15" fillId="0" borderId="0" xfId="0" applyFont="1"/>
    <xf numFmtId="0" fontId="16" fillId="0" borderId="0" xfId="0" applyFont="1"/>
    <xf numFmtId="0" fontId="0" fillId="8" borderId="0" xfId="0" applyFill="1"/>
    <xf numFmtId="0" fontId="19" fillId="8" borderId="0" xfId="0" applyFont="1" applyFill="1" applyAlignment="1">
      <alignment horizontal="center" vertical="center"/>
    </xf>
    <xf numFmtId="0" fontId="0" fillId="9" borderId="0" xfId="0" applyFill="1"/>
    <xf numFmtId="0" fontId="18" fillId="8" borderId="0" xfId="0" applyFont="1" applyFill="1" applyAlignment="1">
      <alignment horizontal="left" vertical="center"/>
    </xf>
    <xf numFmtId="0" fontId="21" fillId="12" borderId="0" xfId="0" applyFont="1" applyFill="1" applyAlignment="1">
      <alignment horizontal="left" vertical="center"/>
    </xf>
    <xf numFmtId="0" fontId="24" fillId="8" borderId="0" xfId="0" applyFont="1" applyFill="1" applyAlignment="1">
      <alignment horizontal="left" vertical="center" wrapText="1" indent="2"/>
    </xf>
    <xf numFmtId="47" fontId="18" fillId="8" borderId="0" xfId="0" applyNumberFormat="1" applyFont="1" applyFill="1" applyAlignment="1">
      <alignment horizontal="left" vertical="center"/>
    </xf>
    <xf numFmtId="47" fontId="18" fillId="8" borderId="0" xfId="0" applyNumberFormat="1" applyFont="1" applyFill="1"/>
    <xf numFmtId="0" fontId="27" fillId="0" borderId="0" xfId="0" applyFont="1"/>
    <xf numFmtId="0" fontId="13" fillId="13" borderId="0" xfId="0" applyFont="1" applyFill="1"/>
    <xf numFmtId="0" fontId="3" fillId="0" borderId="0" xfId="0" applyFont="1"/>
    <xf numFmtId="0" fontId="30" fillId="13" borderId="4" xfId="0" applyFont="1" applyFill="1" applyBorder="1" applyAlignment="1">
      <alignment horizontal="center" vertical="center"/>
    </xf>
    <xf numFmtId="0" fontId="31" fillId="0" borderId="0" xfId="0" applyFont="1"/>
    <xf numFmtId="0" fontId="6" fillId="2" borderId="0" xfId="0" applyFont="1" applyFill="1" applyAlignment="1">
      <alignment horizontal="center" wrapText="1"/>
    </xf>
    <xf numFmtId="0" fontId="6" fillId="2" borderId="0" xfId="0" applyFont="1" applyFill="1"/>
    <xf numFmtId="0" fontId="14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center" vertical="center"/>
    </xf>
    <xf numFmtId="22" fontId="0" fillId="0" borderId="0" xfId="0" applyNumberFormat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36" fillId="2" borderId="5" xfId="0" applyFont="1" applyFill="1" applyBorder="1" applyAlignment="1" applyProtection="1">
      <alignment horizontal="left" vertical="center" indent="1"/>
      <protection locked="0"/>
    </xf>
    <xf numFmtId="0" fontId="34" fillId="6" borderId="6" xfId="0" applyFont="1" applyFill="1" applyBorder="1" applyAlignment="1" applyProtection="1">
      <alignment horizontal="right" vertical="center" indent="1"/>
      <protection locked="0"/>
    </xf>
    <xf numFmtId="0" fontId="39" fillId="5" borderId="0" xfId="0" applyFont="1" applyFill="1" applyAlignment="1">
      <alignment horizontal="center" vertical="center"/>
    </xf>
    <xf numFmtId="0" fontId="34" fillId="15" borderId="7" xfId="0" applyFont="1" applyFill="1" applyBorder="1" applyAlignment="1" applyProtection="1">
      <alignment horizontal="right" vertical="center" indent="1"/>
      <protection locked="0"/>
    </xf>
    <xf numFmtId="165" fontId="34" fillId="15" borderId="7" xfId="0" applyNumberFormat="1" applyFont="1" applyFill="1" applyBorder="1" applyAlignment="1" applyProtection="1">
      <alignment horizontal="left" vertical="center" indent="1"/>
      <protection locked="0"/>
    </xf>
    <xf numFmtId="165" fontId="34" fillId="16" borderId="9" xfId="0" applyNumberFormat="1" applyFont="1" applyFill="1" applyBorder="1" applyAlignment="1" applyProtection="1">
      <alignment horizontal="left" vertical="center" indent="1"/>
      <protection locked="0"/>
    </xf>
    <xf numFmtId="0" fontId="34" fillId="16" borderId="9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0" fontId="1" fillId="8" borderId="0" xfId="0" applyFont="1" applyFill="1"/>
    <xf numFmtId="0" fontId="1" fillId="8" borderId="0" xfId="0" applyFont="1" applyFill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12" borderId="0" xfId="0" applyFont="1" applyFill="1"/>
    <xf numFmtId="0" fontId="1" fillId="12" borderId="0" xfId="0" applyFont="1" applyFill="1" applyAlignment="1">
      <alignment horizontal="left" vertical="center"/>
    </xf>
    <xf numFmtId="0" fontId="1" fillId="13" borderId="0" xfId="0" applyFont="1" applyFill="1"/>
    <xf numFmtId="47" fontId="1" fillId="0" borderId="0" xfId="0" applyNumberFormat="1" applyFont="1"/>
    <xf numFmtId="47" fontId="1" fillId="8" borderId="0" xfId="0" applyNumberFormat="1" applyFont="1" applyFill="1"/>
    <xf numFmtId="0" fontId="8" fillId="4" borderId="0" xfId="0" applyFont="1" applyFill="1" applyAlignment="1" applyProtection="1">
      <alignment horizontal="left" vertical="center" indent="1"/>
    </xf>
    <xf numFmtId="0" fontId="37" fillId="3" borderId="1" xfId="0" applyFont="1" applyFill="1" applyBorder="1" applyAlignment="1" applyProtection="1">
      <alignment horizontal="center" vertical="center"/>
    </xf>
    <xf numFmtId="0" fontId="37" fillId="3" borderId="2" xfId="0" applyFont="1" applyFill="1" applyBorder="1" applyAlignment="1" applyProtection="1">
      <alignment horizontal="center" vertical="center"/>
    </xf>
    <xf numFmtId="0" fontId="33" fillId="13" borderId="0" xfId="0" applyFont="1" applyFill="1"/>
    <xf numFmtId="0" fontId="42" fillId="0" borderId="0" xfId="0" applyFont="1"/>
    <xf numFmtId="0" fontId="40" fillId="14" borderId="0" xfId="2" applyFont="1" applyFill="1" applyAlignment="1">
      <alignment horizontal="center" vertical="center" wrapText="1"/>
    </xf>
    <xf numFmtId="0" fontId="20" fillId="10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17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40" fillId="14" borderId="0" xfId="2" applyFont="1" applyFill="1" applyAlignment="1">
      <alignment horizontal="center" vertical="center" wrapText="1"/>
    </xf>
    <xf numFmtId="47" fontId="41" fillId="14" borderId="0" xfId="2" applyNumberFormat="1" applyFont="1" applyFill="1" applyAlignment="1">
      <alignment horizontal="center" vertical="center" wrapText="1"/>
    </xf>
    <xf numFmtId="0" fontId="24" fillId="8" borderId="0" xfId="0" applyFont="1" applyFill="1" applyAlignment="1">
      <alignment horizontal="left" vertical="center" wrapText="1"/>
    </xf>
    <xf numFmtId="0" fontId="26" fillId="8" borderId="0" xfId="0" applyFont="1" applyFill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0" fontId="20" fillId="11" borderId="0" xfId="0" applyFont="1" applyFill="1" applyAlignment="1">
      <alignment horizontal="center" vertical="center"/>
    </xf>
    <xf numFmtId="1" fontId="25" fillId="8" borderId="0" xfId="1" applyNumberFormat="1" applyFont="1" applyFill="1" applyAlignment="1">
      <alignment horizontal="left" vertical="center" indent="1"/>
    </xf>
    <xf numFmtId="0" fontId="20" fillId="1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indent="1"/>
    </xf>
    <xf numFmtId="0" fontId="35" fillId="2" borderId="0" xfId="0" applyFont="1" applyFill="1" applyAlignment="1">
      <alignment horizontal="left" vertical="top" wrapText="1" indent="1"/>
    </xf>
    <xf numFmtId="0" fontId="38" fillId="2" borderId="0" xfId="0" applyFont="1" applyFill="1" applyAlignment="1" applyProtection="1">
      <alignment horizontal="left" indent="1"/>
    </xf>
    <xf numFmtId="0" fontId="38" fillId="2" borderId="8" xfId="0" applyFont="1" applyFill="1" applyBorder="1" applyAlignment="1" applyProtection="1">
      <alignment horizontal="left" indent="1"/>
    </xf>
    <xf numFmtId="0" fontId="10" fillId="4" borderId="0" xfId="0" applyFont="1" applyFill="1" applyAlignment="1" applyProtection="1">
      <alignment horizontal="left" vertical="center" wrapText="1" indent="1"/>
      <protection locked="0"/>
    </xf>
    <xf numFmtId="0" fontId="5" fillId="4" borderId="0" xfId="0" applyFont="1" applyFill="1" applyAlignment="1" applyProtection="1">
      <alignment horizontal="left" indent="1"/>
      <protection locked="0"/>
    </xf>
    <xf numFmtId="0" fontId="35" fillId="4" borderId="0" xfId="0" applyFont="1" applyFill="1" applyAlignment="1" applyProtection="1">
      <alignment horizontal="left" vertical="top" wrapText="1" indent="1"/>
      <protection locked="0"/>
    </xf>
  </cellXfs>
  <cellStyles count="3">
    <cellStyle name="Hiperlink" xfId="2" builtinId="8"/>
    <cellStyle name="Normal" xfId="0" builtinId="0"/>
    <cellStyle name="Vírgula" xfId="1" builtinId="3"/>
  </cellStyles>
  <dxfs count="1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5" formatCode="h:mm:ss.00"/>
      <fill>
        <patternFill patternType="solid">
          <fgColor indexed="64"/>
          <bgColor rgb="FFFFFFE0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5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B8685C74-75AC-4868-AE1F-532C983E4C10}"/>
  </tableStyles>
  <colors>
    <mruColors>
      <color rgb="FF006C33"/>
      <color rgb="FF067B75"/>
      <color rgb="FF004B50"/>
      <color rgb="FFF2F2F2"/>
      <color rgb="FF007B77"/>
      <color rgb="FF00B294"/>
      <color rgb="FF154A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40.png"/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12" Type="http://schemas.openxmlformats.org/officeDocument/2006/relationships/image" Target="../media/image39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11" Type="http://schemas.openxmlformats.org/officeDocument/2006/relationships/image" Target="../media/image38.png"/><Relationship Id="rId5" Type="http://schemas.openxmlformats.org/officeDocument/2006/relationships/image" Target="../media/image32.png"/><Relationship Id="rId15" Type="http://schemas.openxmlformats.org/officeDocument/2006/relationships/image" Target="../media/image42.png"/><Relationship Id="rId10" Type="http://schemas.openxmlformats.org/officeDocument/2006/relationships/image" Target="../media/image37.png"/><Relationship Id="rId4" Type="http://schemas.openxmlformats.org/officeDocument/2006/relationships/image" Target="../media/image31.png"/><Relationship Id="rId9" Type="http://schemas.openxmlformats.org/officeDocument/2006/relationships/image" Target="../media/image36.png"/><Relationship Id="rId14" Type="http://schemas.openxmlformats.org/officeDocument/2006/relationships/image" Target="../media/image41.png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png"/><Relationship Id="rId3" Type="http://schemas.openxmlformats.org/officeDocument/2006/relationships/image" Target="../media/image45.png"/><Relationship Id="rId7" Type="http://schemas.openxmlformats.org/officeDocument/2006/relationships/image" Target="../media/image49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Relationship Id="rId6" Type="http://schemas.openxmlformats.org/officeDocument/2006/relationships/image" Target="../media/image48.png"/><Relationship Id="rId5" Type="http://schemas.openxmlformats.org/officeDocument/2006/relationships/image" Target="../media/image47.png"/><Relationship Id="rId4" Type="http://schemas.openxmlformats.org/officeDocument/2006/relationships/image" Target="../media/image46.png"/><Relationship Id="rId9" Type="http://schemas.openxmlformats.org/officeDocument/2006/relationships/image" Target="../media/image51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png"/><Relationship Id="rId1" Type="http://schemas.openxmlformats.org/officeDocument/2006/relationships/image" Target="../media/image52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5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png"/><Relationship Id="rId18" Type="http://schemas.openxmlformats.org/officeDocument/2006/relationships/image" Target="../media/image73.png"/><Relationship Id="rId26" Type="http://schemas.openxmlformats.org/officeDocument/2006/relationships/image" Target="../media/image81.png"/><Relationship Id="rId39" Type="http://schemas.openxmlformats.org/officeDocument/2006/relationships/image" Target="../media/image9.png"/><Relationship Id="rId21" Type="http://schemas.openxmlformats.org/officeDocument/2006/relationships/image" Target="../media/image76.png"/><Relationship Id="rId34" Type="http://schemas.openxmlformats.org/officeDocument/2006/relationships/image" Target="../media/image4.png"/><Relationship Id="rId42" Type="http://schemas.openxmlformats.org/officeDocument/2006/relationships/image" Target="../media/image12.png"/><Relationship Id="rId47" Type="http://schemas.openxmlformats.org/officeDocument/2006/relationships/image" Target="../media/image17.png"/><Relationship Id="rId50" Type="http://schemas.openxmlformats.org/officeDocument/2006/relationships/image" Target="../media/image20.png"/><Relationship Id="rId55" Type="http://schemas.openxmlformats.org/officeDocument/2006/relationships/image" Target="../media/image25.png"/><Relationship Id="rId7" Type="http://schemas.openxmlformats.org/officeDocument/2006/relationships/image" Target="../media/image62.png"/><Relationship Id="rId2" Type="http://schemas.openxmlformats.org/officeDocument/2006/relationships/image" Target="../media/image57.png"/><Relationship Id="rId16" Type="http://schemas.openxmlformats.org/officeDocument/2006/relationships/image" Target="../media/image71.png"/><Relationship Id="rId29" Type="http://schemas.openxmlformats.org/officeDocument/2006/relationships/image" Target="../media/image84.png"/><Relationship Id="rId11" Type="http://schemas.openxmlformats.org/officeDocument/2006/relationships/image" Target="../media/image66.png"/><Relationship Id="rId24" Type="http://schemas.openxmlformats.org/officeDocument/2006/relationships/image" Target="../media/image79.png"/><Relationship Id="rId32" Type="http://schemas.openxmlformats.org/officeDocument/2006/relationships/image" Target="../media/image2.png"/><Relationship Id="rId37" Type="http://schemas.openxmlformats.org/officeDocument/2006/relationships/image" Target="../media/image7.png"/><Relationship Id="rId40" Type="http://schemas.openxmlformats.org/officeDocument/2006/relationships/image" Target="../media/image10.png"/><Relationship Id="rId45" Type="http://schemas.openxmlformats.org/officeDocument/2006/relationships/image" Target="../media/image15.png"/><Relationship Id="rId53" Type="http://schemas.openxmlformats.org/officeDocument/2006/relationships/image" Target="../media/image23.png"/><Relationship Id="rId58" Type="http://schemas.openxmlformats.org/officeDocument/2006/relationships/image" Target="../media/image86.png"/><Relationship Id="rId5" Type="http://schemas.openxmlformats.org/officeDocument/2006/relationships/image" Target="../media/image60.png"/><Relationship Id="rId19" Type="http://schemas.openxmlformats.org/officeDocument/2006/relationships/image" Target="../media/image74.png"/><Relationship Id="rId4" Type="http://schemas.openxmlformats.org/officeDocument/2006/relationships/image" Target="../media/image59.png"/><Relationship Id="rId9" Type="http://schemas.openxmlformats.org/officeDocument/2006/relationships/image" Target="../media/image64.png"/><Relationship Id="rId14" Type="http://schemas.openxmlformats.org/officeDocument/2006/relationships/image" Target="../media/image69.png"/><Relationship Id="rId22" Type="http://schemas.openxmlformats.org/officeDocument/2006/relationships/image" Target="../media/image77.png"/><Relationship Id="rId27" Type="http://schemas.openxmlformats.org/officeDocument/2006/relationships/image" Target="../media/image82.png"/><Relationship Id="rId30" Type="http://schemas.openxmlformats.org/officeDocument/2006/relationships/image" Target="../media/image85.png"/><Relationship Id="rId35" Type="http://schemas.openxmlformats.org/officeDocument/2006/relationships/image" Target="../media/image5.png"/><Relationship Id="rId43" Type="http://schemas.openxmlformats.org/officeDocument/2006/relationships/image" Target="../media/image13.png"/><Relationship Id="rId48" Type="http://schemas.openxmlformats.org/officeDocument/2006/relationships/image" Target="../media/image18.png"/><Relationship Id="rId56" Type="http://schemas.openxmlformats.org/officeDocument/2006/relationships/image" Target="../media/image26.png"/><Relationship Id="rId8" Type="http://schemas.openxmlformats.org/officeDocument/2006/relationships/image" Target="../media/image63.png"/><Relationship Id="rId51" Type="http://schemas.openxmlformats.org/officeDocument/2006/relationships/image" Target="../media/image21.png"/><Relationship Id="rId3" Type="http://schemas.openxmlformats.org/officeDocument/2006/relationships/image" Target="../media/image58.png"/><Relationship Id="rId12" Type="http://schemas.openxmlformats.org/officeDocument/2006/relationships/image" Target="../media/image67.png"/><Relationship Id="rId17" Type="http://schemas.openxmlformats.org/officeDocument/2006/relationships/image" Target="../media/image72.png"/><Relationship Id="rId25" Type="http://schemas.openxmlformats.org/officeDocument/2006/relationships/image" Target="../media/image80.png"/><Relationship Id="rId33" Type="http://schemas.openxmlformats.org/officeDocument/2006/relationships/image" Target="../media/image3.png"/><Relationship Id="rId38" Type="http://schemas.openxmlformats.org/officeDocument/2006/relationships/image" Target="../media/image8.png"/><Relationship Id="rId46" Type="http://schemas.openxmlformats.org/officeDocument/2006/relationships/image" Target="../media/image16.png"/><Relationship Id="rId20" Type="http://schemas.openxmlformats.org/officeDocument/2006/relationships/image" Target="../media/image75.png"/><Relationship Id="rId41" Type="http://schemas.openxmlformats.org/officeDocument/2006/relationships/image" Target="../media/image11.png"/><Relationship Id="rId54" Type="http://schemas.openxmlformats.org/officeDocument/2006/relationships/image" Target="../media/image24.png"/><Relationship Id="rId1" Type="http://schemas.openxmlformats.org/officeDocument/2006/relationships/image" Target="../media/image56.png"/><Relationship Id="rId6" Type="http://schemas.openxmlformats.org/officeDocument/2006/relationships/image" Target="../media/image61.png"/><Relationship Id="rId15" Type="http://schemas.openxmlformats.org/officeDocument/2006/relationships/image" Target="../media/image70.png"/><Relationship Id="rId23" Type="http://schemas.openxmlformats.org/officeDocument/2006/relationships/image" Target="../media/image78.png"/><Relationship Id="rId28" Type="http://schemas.openxmlformats.org/officeDocument/2006/relationships/image" Target="../media/image83.png"/><Relationship Id="rId36" Type="http://schemas.openxmlformats.org/officeDocument/2006/relationships/image" Target="../media/image6.png"/><Relationship Id="rId49" Type="http://schemas.openxmlformats.org/officeDocument/2006/relationships/image" Target="../media/image19.png"/><Relationship Id="rId57" Type="http://schemas.openxmlformats.org/officeDocument/2006/relationships/image" Target="../media/image27.png"/><Relationship Id="rId10" Type="http://schemas.openxmlformats.org/officeDocument/2006/relationships/image" Target="../media/image65.png"/><Relationship Id="rId31" Type="http://schemas.openxmlformats.org/officeDocument/2006/relationships/image" Target="../media/image1.png"/><Relationship Id="rId44" Type="http://schemas.openxmlformats.org/officeDocument/2006/relationships/image" Target="../media/image14.png"/><Relationship Id="rId52" Type="http://schemas.openxmlformats.org/officeDocument/2006/relationships/image" Target="../media/image2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'Shark Graphing'!$B$3</c:f>
              <c:strCache>
                <c:ptCount val="1"/>
                <c:pt idx="0">
                  <c:v>SharkRPY_-1;-1;-1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1-42BD-A2A2-46144124C85F}"/>
            </c:ext>
          </c:extLst>
        </c:ser>
        <c:ser>
          <c:idx val="1"/>
          <c:order val="1"/>
          <c:tx>
            <c:strRef>
              <c:f>'Shark Graphing'!$B$4</c:f>
              <c:strCache>
                <c:ptCount val="1"/>
                <c:pt idx="0">
                  <c:v>SharkRPY_-1;-1;0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C1-42BD-A2A2-46144124C85F}"/>
            </c:ext>
          </c:extLst>
        </c:ser>
        <c:ser>
          <c:idx val="2"/>
          <c:order val="2"/>
          <c:tx>
            <c:strRef>
              <c:f>'Shark Graphing'!$B$5</c:f>
              <c:strCache>
                <c:ptCount val="1"/>
                <c:pt idx="0">
                  <c:v>SharkRPY_-1;-1;1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C1-42BD-A2A2-46144124C85F}"/>
            </c:ext>
          </c:extLst>
        </c:ser>
        <c:ser>
          <c:idx val="3"/>
          <c:order val="3"/>
          <c:tx>
            <c:strRef>
              <c:f>'Shark Graphing'!$B$6</c:f>
              <c:strCache>
                <c:ptCount val="1"/>
                <c:pt idx="0">
                  <c:v>SharkRPY_-1;0;-1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C1-42BD-A2A2-46144124C85F}"/>
            </c:ext>
          </c:extLst>
        </c:ser>
        <c:ser>
          <c:idx val="4"/>
          <c:order val="4"/>
          <c:tx>
            <c:strRef>
              <c:f>'Shark Graphing'!$B$7</c:f>
              <c:strCache>
                <c:ptCount val="1"/>
                <c:pt idx="0">
                  <c:v>SharkRPY_-1;0;0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C1-42BD-A2A2-46144124C85F}"/>
            </c:ext>
          </c:extLst>
        </c:ser>
        <c:ser>
          <c:idx val="5"/>
          <c:order val="5"/>
          <c:tx>
            <c:strRef>
              <c:f>'Shark Graphing'!$B$8</c:f>
              <c:strCache>
                <c:ptCount val="1"/>
                <c:pt idx="0">
                  <c:v>SharkRPY_-1;0;1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C1-42BD-A2A2-46144124C85F}"/>
            </c:ext>
          </c:extLst>
        </c:ser>
        <c:ser>
          <c:idx val="6"/>
          <c:order val="6"/>
          <c:tx>
            <c:strRef>
              <c:f>'Shark Graphing'!$B$9</c:f>
              <c:strCache>
                <c:ptCount val="1"/>
                <c:pt idx="0">
                  <c:v>SharkRPY_-1;1;-1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C1-42BD-A2A2-46144124C85F}"/>
            </c:ext>
          </c:extLst>
        </c:ser>
        <c:ser>
          <c:idx val="7"/>
          <c:order val="7"/>
          <c:tx>
            <c:strRef>
              <c:f>'Shark Graphing'!$B$10</c:f>
              <c:strCache>
                <c:ptCount val="1"/>
                <c:pt idx="0">
                  <c:v>SharkRPY_-1;1;0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C1-42BD-A2A2-46144124C85F}"/>
            </c:ext>
          </c:extLst>
        </c:ser>
        <c:ser>
          <c:idx val="8"/>
          <c:order val="8"/>
          <c:tx>
            <c:strRef>
              <c:f>'Shark Graphing'!$B$11</c:f>
              <c:strCache>
                <c:ptCount val="1"/>
                <c:pt idx="0">
                  <c:v>SharkRPY_-1;1;1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C1-42BD-A2A2-46144124C85F}"/>
            </c:ext>
          </c:extLst>
        </c:ser>
        <c:ser>
          <c:idx val="9"/>
          <c:order val="9"/>
          <c:tx>
            <c:strRef>
              <c:f>'Shark Graphing'!$B$12</c:f>
              <c:strCache>
                <c:ptCount val="1"/>
                <c:pt idx="0">
                  <c:v>SharkRPY_0;-1;-1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C1-42BD-A2A2-46144124C85F}"/>
            </c:ext>
          </c:extLst>
        </c:ser>
        <c:ser>
          <c:idx val="10"/>
          <c:order val="10"/>
          <c:tx>
            <c:strRef>
              <c:f>'Shark Graphing'!$B$13</c:f>
              <c:strCache>
                <c:ptCount val="1"/>
                <c:pt idx="0">
                  <c:v>SharkRPY_0;-1;0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C1-42BD-A2A2-46144124C85F}"/>
            </c:ext>
          </c:extLst>
        </c:ser>
        <c:ser>
          <c:idx val="11"/>
          <c:order val="11"/>
          <c:tx>
            <c:strRef>
              <c:f>'Shark Graphing'!$B$14</c:f>
              <c:strCache>
                <c:ptCount val="1"/>
                <c:pt idx="0">
                  <c:v>SharkRPY_0;-1;1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C1-42BD-A2A2-46144124C85F}"/>
            </c:ext>
          </c:extLst>
        </c:ser>
        <c:ser>
          <c:idx val="12"/>
          <c:order val="12"/>
          <c:tx>
            <c:strRef>
              <c:f>'Shark Graphing'!$B$15</c:f>
              <c:strCache>
                <c:ptCount val="1"/>
                <c:pt idx="0">
                  <c:v>SharkRPY_0;0;-1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C1-42BD-A2A2-46144124C85F}"/>
            </c:ext>
          </c:extLst>
        </c:ser>
        <c:ser>
          <c:idx val="13"/>
          <c:order val="13"/>
          <c:tx>
            <c:strRef>
              <c:f>'Shark Graphing'!$B$16</c:f>
              <c:strCache>
                <c:ptCount val="1"/>
                <c:pt idx="0">
                  <c:v>SharkRPY_0;0;0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'Shark Graphing'!$L$16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C1-42BD-A2A2-46144124C85F}"/>
            </c:ext>
          </c:extLst>
        </c:ser>
        <c:ser>
          <c:idx val="14"/>
          <c:order val="14"/>
          <c:tx>
            <c:strRef>
              <c:f>'Shark Graphing'!$B$17</c:f>
              <c:strCache>
                <c:ptCount val="1"/>
                <c:pt idx="0">
                  <c:v>SharkRPY_0;0;1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C1-42BD-A2A2-46144124C85F}"/>
            </c:ext>
          </c:extLst>
        </c:ser>
        <c:ser>
          <c:idx val="15"/>
          <c:order val="15"/>
          <c:tx>
            <c:strRef>
              <c:f>'Shark Graphing'!$B$18</c:f>
              <c:strCache>
                <c:ptCount val="1"/>
                <c:pt idx="0">
                  <c:v>SharkRPY_0;1;-1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C1-42BD-A2A2-46144124C85F}"/>
            </c:ext>
          </c:extLst>
        </c:ser>
        <c:ser>
          <c:idx val="16"/>
          <c:order val="16"/>
          <c:tx>
            <c:strRef>
              <c:f>'Shark Graphing'!$B$19</c:f>
              <c:strCache>
                <c:ptCount val="1"/>
                <c:pt idx="0">
                  <c:v>SharkRPY_0;1;0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FC1-42BD-A2A2-46144124C85F}"/>
            </c:ext>
          </c:extLst>
        </c:ser>
        <c:ser>
          <c:idx val="17"/>
          <c:order val="17"/>
          <c:tx>
            <c:strRef>
              <c:f>'Shark Graphing'!$B$20</c:f>
              <c:strCache>
                <c:ptCount val="1"/>
                <c:pt idx="0">
                  <c:v>SharkRPY_0;1;1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FC1-42BD-A2A2-46144124C85F}"/>
            </c:ext>
          </c:extLst>
        </c:ser>
        <c:ser>
          <c:idx val="18"/>
          <c:order val="18"/>
          <c:tx>
            <c:strRef>
              <c:f>'Shark Graphing'!$B$21</c:f>
              <c:strCache>
                <c:ptCount val="1"/>
                <c:pt idx="0">
                  <c:v>SharkRPY_1;-1;-1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C1-42BD-A2A2-46144124C85F}"/>
            </c:ext>
          </c:extLst>
        </c:ser>
        <c:ser>
          <c:idx val="19"/>
          <c:order val="19"/>
          <c:tx>
            <c:strRef>
              <c:f>'Shark Graphing'!$B$22</c:f>
              <c:strCache>
                <c:ptCount val="1"/>
                <c:pt idx="0">
                  <c:v>SharkRPY_1;-1;0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0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FC1-42BD-A2A2-46144124C85F}"/>
            </c:ext>
          </c:extLst>
        </c:ser>
        <c:ser>
          <c:idx val="20"/>
          <c:order val="20"/>
          <c:tx>
            <c:strRef>
              <c:f>'Shark Graphing'!$B$23</c:f>
              <c:strCache>
                <c:ptCount val="1"/>
                <c:pt idx="0">
                  <c:v>SharkRPY_1;-1;1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FC1-42BD-A2A2-46144124C85F}"/>
            </c:ext>
          </c:extLst>
        </c:ser>
        <c:ser>
          <c:idx val="21"/>
          <c:order val="21"/>
          <c:tx>
            <c:strRef>
              <c:f>'Shark Graphing'!$B$24</c:f>
              <c:strCache>
                <c:ptCount val="1"/>
                <c:pt idx="0">
                  <c:v>SharkRPY_1;0;-1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C1-42BD-A2A2-46144124C85F}"/>
            </c:ext>
          </c:extLst>
        </c:ser>
        <c:ser>
          <c:idx val="22"/>
          <c:order val="22"/>
          <c:tx>
            <c:strRef>
              <c:f>'Shark Graphing'!$B$25</c:f>
              <c:strCache>
                <c:ptCount val="1"/>
                <c:pt idx="0">
                  <c:v>SharkRPY_1;0;0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FC1-42BD-A2A2-46144124C85F}"/>
            </c:ext>
          </c:extLst>
        </c:ser>
        <c:ser>
          <c:idx val="23"/>
          <c:order val="23"/>
          <c:tx>
            <c:strRef>
              <c:f>'Shark Graphing'!$B$26</c:f>
              <c:strCache>
                <c:ptCount val="1"/>
                <c:pt idx="0">
                  <c:v>SharkRPY_1;0;1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FC1-42BD-A2A2-46144124C85F}"/>
            </c:ext>
          </c:extLst>
        </c:ser>
        <c:ser>
          <c:idx val="24"/>
          <c:order val="24"/>
          <c:tx>
            <c:strRef>
              <c:f>'Shark Graphing'!$B$27</c:f>
              <c:strCache>
                <c:ptCount val="1"/>
                <c:pt idx="0">
                  <c:v>SharkRPY_1;1;-1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C1-42BD-A2A2-46144124C85F}"/>
            </c:ext>
          </c:extLst>
        </c:ser>
        <c:ser>
          <c:idx val="25"/>
          <c:order val="25"/>
          <c:tx>
            <c:strRef>
              <c:f>'Shark Graphing'!$B$28</c:f>
              <c:strCache>
                <c:ptCount val="1"/>
                <c:pt idx="0">
                  <c:v>SharkRPY_1;1;0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FC1-42BD-A2A2-46144124C85F}"/>
            </c:ext>
          </c:extLst>
        </c:ser>
        <c:ser>
          <c:idx val="26"/>
          <c:order val="26"/>
          <c:tx>
            <c:strRef>
              <c:f>'Shark Graphing'!$B$29</c:f>
              <c:strCache>
                <c:ptCount val="1"/>
                <c:pt idx="0">
                  <c:v>SharkRPY_1;1;1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FC1-42BD-A2A2-46144124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688848"/>
        <c:axId val="1379045904"/>
      </c:scatterChart>
      <c:valAx>
        <c:axId val="1464688848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38100" cap="flat" cmpd="sng" algn="ctr">
            <a:solidFill>
              <a:srgbClr val="004B5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79045904"/>
        <c:crosses val="autoZero"/>
        <c:crossBetween val="midCat"/>
      </c:valAx>
      <c:valAx>
        <c:axId val="137904590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38100" cap="flat" cmpd="sng" algn="ctr">
            <a:solidFill>
              <a:srgbClr val="004B5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64688848"/>
        <c:crosses val="autoZero"/>
        <c:crossBetween val="midCat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'Shark Graphing'!$B$6</c:f>
              <c:strCache>
                <c:ptCount val="1"/>
                <c:pt idx="0">
                  <c:v>SharkRPY_-1;0;-1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5-42AE-84F5-4B3B91D8F63A}"/>
            </c:ext>
          </c:extLst>
        </c:ser>
        <c:ser>
          <c:idx val="4"/>
          <c:order val="1"/>
          <c:tx>
            <c:strRef>
              <c:f>'Shark Graphing'!$B$7</c:f>
              <c:strCache>
                <c:ptCount val="1"/>
                <c:pt idx="0">
                  <c:v>SharkRPY_-1;0;0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E5-42AE-84F5-4B3B91D8F63A}"/>
            </c:ext>
          </c:extLst>
        </c:ser>
        <c:ser>
          <c:idx val="5"/>
          <c:order val="2"/>
          <c:tx>
            <c:strRef>
              <c:f>'Shark Graphing'!$B$8</c:f>
              <c:strCache>
                <c:ptCount val="1"/>
                <c:pt idx="0">
                  <c:v>SharkRPY_-1;0;1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6E5-42AE-84F5-4B3B91D8F63A}"/>
            </c:ext>
          </c:extLst>
        </c:ser>
        <c:ser>
          <c:idx val="9"/>
          <c:order val="3"/>
          <c:tx>
            <c:strRef>
              <c:f>'Shark Graphing'!$B$12</c:f>
              <c:strCache>
                <c:ptCount val="1"/>
                <c:pt idx="0">
                  <c:v>SharkRPY_0;-1;-1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6E5-42AE-84F5-4B3B91D8F63A}"/>
            </c:ext>
          </c:extLst>
        </c:ser>
        <c:ser>
          <c:idx val="10"/>
          <c:order val="4"/>
          <c:tx>
            <c:strRef>
              <c:f>'Shark Graphing'!$B$13</c:f>
              <c:strCache>
                <c:ptCount val="1"/>
                <c:pt idx="0">
                  <c:v>SharkRPY_0;-1;0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6E5-42AE-84F5-4B3B91D8F63A}"/>
            </c:ext>
          </c:extLst>
        </c:ser>
        <c:ser>
          <c:idx val="11"/>
          <c:order val="5"/>
          <c:tx>
            <c:strRef>
              <c:f>'Shark Graphing'!$B$14</c:f>
              <c:strCache>
                <c:ptCount val="1"/>
                <c:pt idx="0">
                  <c:v>SharkRPY_0;-1;1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6E5-42AE-84F5-4B3B91D8F63A}"/>
            </c:ext>
          </c:extLst>
        </c:ser>
        <c:ser>
          <c:idx val="12"/>
          <c:order val="6"/>
          <c:tx>
            <c:strRef>
              <c:f>'Shark Graphing'!$B$15</c:f>
              <c:strCache>
                <c:ptCount val="1"/>
                <c:pt idx="0">
                  <c:v>SharkRPY_0;0;-1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6E5-42AE-84F5-4B3B91D8F63A}"/>
            </c:ext>
          </c:extLst>
        </c:ser>
        <c:ser>
          <c:idx val="13"/>
          <c:order val="7"/>
          <c:tx>
            <c:strRef>
              <c:f>'Shark Graphing'!$B$16</c:f>
              <c:strCache>
                <c:ptCount val="1"/>
                <c:pt idx="0">
                  <c:v>SharkRPY_0;0;0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'Shark Graphing'!$L$16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6E5-42AE-84F5-4B3B91D8F63A}"/>
            </c:ext>
          </c:extLst>
        </c:ser>
        <c:ser>
          <c:idx val="14"/>
          <c:order val="8"/>
          <c:tx>
            <c:strRef>
              <c:f>'Shark Graphing'!$B$17</c:f>
              <c:strCache>
                <c:ptCount val="1"/>
                <c:pt idx="0">
                  <c:v>SharkRPY_0;0;1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E5-42AE-84F5-4B3B91D8F63A}"/>
            </c:ext>
          </c:extLst>
        </c:ser>
        <c:ser>
          <c:idx val="15"/>
          <c:order val="9"/>
          <c:tx>
            <c:strRef>
              <c:f>'Shark Graphing'!$B$18</c:f>
              <c:strCache>
                <c:ptCount val="1"/>
                <c:pt idx="0">
                  <c:v>SharkRPY_0;1;-1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6E5-42AE-84F5-4B3B91D8F63A}"/>
            </c:ext>
          </c:extLst>
        </c:ser>
        <c:ser>
          <c:idx val="16"/>
          <c:order val="10"/>
          <c:tx>
            <c:strRef>
              <c:f>'Shark Graphing'!$B$19</c:f>
              <c:strCache>
                <c:ptCount val="1"/>
                <c:pt idx="0">
                  <c:v>SharkRPY_0;1;0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Graphing'!$L$19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Graphing'!$L$19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6E5-42AE-84F5-4B3B91D8F63A}"/>
            </c:ext>
          </c:extLst>
        </c:ser>
        <c:ser>
          <c:idx val="17"/>
          <c:order val="11"/>
          <c:tx>
            <c:strRef>
              <c:f>'Shark Graphing'!$B$20</c:f>
              <c:strCache>
                <c:ptCount val="1"/>
                <c:pt idx="0">
                  <c:v>SharkRPY_0;1;1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6E5-42AE-84F5-4B3B91D8F63A}"/>
            </c:ext>
          </c:extLst>
        </c:ser>
        <c:ser>
          <c:idx val="21"/>
          <c:order val="12"/>
          <c:tx>
            <c:strRef>
              <c:f>'Shark Graphing'!$B$24</c:f>
              <c:strCache>
                <c:ptCount val="1"/>
                <c:pt idx="0">
                  <c:v>SharkRPY_1;0;-1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6E5-42AE-84F5-4B3B91D8F63A}"/>
            </c:ext>
          </c:extLst>
        </c:ser>
        <c:ser>
          <c:idx val="22"/>
          <c:order val="13"/>
          <c:tx>
            <c:strRef>
              <c:f>'Shark Graphing'!$B$25</c:f>
              <c:strCache>
                <c:ptCount val="1"/>
                <c:pt idx="0">
                  <c:v>SharkRPY_1;0;0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6E5-42AE-84F5-4B3B91D8F63A}"/>
            </c:ext>
          </c:extLst>
        </c:ser>
        <c:ser>
          <c:idx val="23"/>
          <c:order val="14"/>
          <c:tx>
            <c:strRef>
              <c:f>'Shark Graphing'!$B$26</c:f>
              <c:strCache>
                <c:ptCount val="1"/>
                <c:pt idx="0">
                  <c:v>SharkRPY_1;0;1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'Shark Graphing'!$L$26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Graphing'!$L$26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6E5-42AE-84F5-4B3B91D8F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688848"/>
        <c:axId val="1379045904"/>
      </c:scatterChart>
      <c:valAx>
        <c:axId val="1464688848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045904"/>
        <c:crosses val="autoZero"/>
        <c:crossBetween val="midCat"/>
      </c:valAx>
      <c:valAx>
        <c:axId val="137904590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68884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'Gauge Work'!$A$2</c:f>
              <c:strCache>
                <c:ptCount val="1"/>
                <c:pt idx="0">
                  <c:v>Pitch down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yVal>
            <c:numRef>
              <c:f>'Gauge Work'!$D$2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BF-462E-A394-5BEB908ACB5F}"/>
            </c:ext>
          </c:extLst>
        </c:ser>
        <c:ser>
          <c:idx val="0"/>
          <c:order val="1"/>
          <c:tx>
            <c:strRef>
              <c:f>'Gauge Work'!$A$3</c:f>
              <c:strCache>
                <c:ptCount val="1"/>
                <c:pt idx="0">
                  <c:v>Roll left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'Gauge Work'!$D$3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'Gauge Work'!$D$3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7C-40A0-A881-EEEBD6CA2608}"/>
            </c:ext>
          </c:extLst>
        </c:ser>
        <c:ser>
          <c:idx val="2"/>
          <c:order val="2"/>
          <c:tx>
            <c:strRef>
              <c:f>'Gauge Work'!$A$4</c:f>
              <c:strCache>
                <c:ptCount val="1"/>
                <c:pt idx="0">
                  <c:v>Flat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'Gauge Work'!$D$4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'Gauge Work'!$D$4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7C-40A0-A881-EEEBD6CA2608}"/>
            </c:ext>
          </c:extLst>
        </c:ser>
        <c:ser>
          <c:idx val="3"/>
          <c:order val="3"/>
          <c:tx>
            <c:strRef>
              <c:f>'Gauge Work'!$A$5</c:f>
              <c:strCache>
                <c:ptCount val="1"/>
                <c:pt idx="0">
                  <c:v>Roll right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'Gauge Work'!$D$5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'Gauge Work'!$D$5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7C-40A0-A881-EEEBD6CA2608}"/>
            </c:ext>
          </c:extLst>
        </c:ser>
        <c:ser>
          <c:idx val="4"/>
          <c:order val="4"/>
          <c:tx>
            <c:strRef>
              <c:f>'Gauge Work'!$A$6</c:f>
              <c:strCache>
                <c:ptCount val="1"/>
                <c:pt idx="0">
                  <c:v>Pitch 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yVal>
            <c:numRef>
              <c:f>'Gauge Work'!$D$6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7C-40A0-A881-EEEBD6CA2608}"/>
            </c:ext>
          </c:extLst>
        </c:ser>
        <c:ser>
          <c:idx val="5"/>
          <c:order val="5"/>
          <c:tx>
            <c:strRef>
              <c:f>'Gauge Work'!$A$7</c:f>
              <c:strCache>
                <c:ptCount val="1"/>
                <c:pt idx="0">
                  <c:v>Roll left Pitch down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'Gauge Work'!$D$7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'Gauge Work'!$D$7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7C-40A0-A881-EEEBD6CA2608}"/>
            </c:ext>
          </c:extLst>
        </c:ser>
        <c:ser>
          <c:idx val="6"/>
          <c:order val="6"/>
          <c:tx>
            <c:strRef>
              <c:f>'Gauge Work'!$A$8</c:f>
              <c:strCache>
                <c:ptCount val="1"/>
                <c:pt idx="0">
                  <c:v>Roll left Pitch up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'Gauge Work'!$D$8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'Gauge Work'!$D$8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B7C-40A0-A881-EEEBD6CA2608}"/>
            </c:ext>
          </c:extLst>
        </c:ser>
        <c:ser>
          <c:idx val="7"/>
          <c:order val="7"/>
          <c:tx>
            <c:strRef>
              <c:f>'Gauge Work'!$A$9</c:f>
              <c:strCache>
                <c:ptCount val="1"/>
                <c:pt idx="0">
                  <c:v>Roll right Pitch down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'Gauge Work'!$D$9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'Gauge Work'!$D$9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7C-40A0-A881-EEEBD6CA2608}"/>
            </c:ext>
          </c:extLst>
        </c:ser>
        <c:ser>
          <c:idx val="8"/>
          <c:order val="8"/>
          <c:tx>
            <c:strRef>
              <c:f>'Gauge Work'!$A$10</c:f>
              <c:strCache>
                <c:ptCount val="1"/>
                <c:pt idx="0">
                  <c:v>Roll right Pitch up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'Gauge Work'!$D$10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'Gauge Work'!$D$10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B7C-40A0-A881-EEEBD6CA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75216"/>
        <c:axId val="723326224"/>
      </c:scatterChart>
      <c:valAx>
        <c:axId val="169975216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326224"/>
        <c:crosses val="autoZero"/>
        <c:crossBetween val="midCat"/>
      </c:valAx>
      <c:valAx>
        <c:axId val="72332622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7521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'Gauge Work'!$A$14</c:f>
              <c:strCache>
                <c:ptCount val="1"/>
                <c:pt idx="0">
                  <c:v>Yaw left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'Gauge Work'!$C$14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D-4510-BEFF-4D393C130D06}"/>
            </c:ext>
          </c:extLst>
        </c:ser>
        <c:ser>
          <c:idx val="1"/>
          <c:order val="1"/>
          <c:tx>
            <c:strRef>
              <c:f>'Gauge Work'!$A$15</c:f>
              <c:strCache>
                <c:ptCount val="1"/>
                <c:pt idx="0">
                  <c:v>Mid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'Gauge Work'!$C$15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3D-4510-BEFF-4D393C130D06}"/>
            </c:ext>
          </c:extLst>
        </c:ser>
        <c:ser>
          <c:idx val="2"/>
          <c:order val="2"/>
          <c:tx>
            <c:strRef>
              <c:f>'Gauge Work'!$A$16</c:f>
              <c:strCache>
                <c:ptCount val="1"/>
                <c:pt idx="0">
                  <c:v>Yaw right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'Gauge Work'!$C$16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3D-4510-BEFF-4D393C130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75216"/>
        <c:axId val="723326224"/>
      </c:scatterChart>
      <c:valAx>
        <c:axId val="169975216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326224"/>
        <c:crosses val="autoZero"/>
        <c:crossBetween val="midCat"/>
      </c:valAx>
      <c:valAx>
        <c:axId val="72332622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7521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66847886307014"/>
          <c:y val="3.9450732358351339E-3"/>
          <c:w val="0.50066304227385972"/>
          <c:h val="0.9883103290074101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Setup!$B$25</c:f>
              <c:numCache>
                <c:formatCode>General</c:formatCode>
                <c:ptCount val="1"/>
                <c:pt idx="0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AF-41CA-A3DB-41015AA48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35359"/>
        <c:axId val="1209501727"/>
      </c:scatterChart>
      <c:valAx>
        <c:axId val="78393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501727"/>
        <c:crosses val="autoZero"/>
        <c:crossBetween val="midCat"/>
      </c:valAx>
      <c:valAx>
        <c:axId val="1209501727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935359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'Background Graphing'!$B$9</c:f>
              <c:strCache>
                <c:ptCount val="1"/>
                <c:pt idx="0">
                  <c:v>Rock1_1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Graphing'!$L$9</c:f>
              <c:numCache>
                <c:formatCode>General</c:formatCode>
                <c:ptCount val="1"/>
                <c:pt idx="0">
                  <c:v>-0.3818376618407357</c:v>
                </c:pt>
              </c:numCache>
            </c:numRef>
          </c:xVal>
          <c:yVal>
            <c:numRef>
              <c:f>'Background Graphing'!$M$9</c:f>
              <c:numCache>
                <c:formatCode>General</c:formatCode>
                <c:ptCount val="1"/>
                <c:pt idx="0">
                  <c:v>-0.33583964042979364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6D-422B-820E-1B5DA405C3AE}"/>
            </c:ext>
          </c:extLst>
        </c:ser>
        <c:ser>
          <c:idx val="7"/>
          <c:order val="1"/>
          <c:tx>
            <c:strRef>
              <c:f>'Background Graphing'!$B$10</c:f>
              <c:strCache>
                <c:ptCount val="1"/>
                <c:pt idx="0">
                  <c:v>Rock1_2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Graphing'!$L$10</c:f>
              <c:numCache>
                <c:formatCode>General</c:formatCode>
                <c:ptCount val="1"/>
                <c:pt idx="0">
                  <c:v>0.93338095116624287</c:v>
                </c:pt>
              </c:numCache>
            </c:numRef>
          </c:xVal>
          <c:yVal>
            <c:numRef>
              <c:f>'Background Graphing'!$M$10</c:f>
              <c:numCache>
                <c:formatCode>General</c:formatCode>
                <c:ptCount val="1"/>
                <c:pt idx="0">
                  <c:v>0.32176966607369561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D-422B-820E-1B5DA405C3AE}"/>
            </c:ext>
          </c:extLst>
        </c:ser>
        <c:ser>
          <c:idx val="82"/>
          <c:order val="2"/>
          <c:tx>
            <c:strRef>
              <c:f>'Background Graphing'!$B$11</c:f>
              <c:strCache>
                <c:ptCount val="1"/>
                <c:pt idx="0">
                  <c:v>Rock1_3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Graphing'!$L$11</c:f>
              <c:numCache>
                <c:formatCode>General</c:formatCode>
                <c:ptCount val="1"/>
                <c:pt idx="0">
                  <c:v>1.9940411229460644</c:v>
                </c:pt>
              </c:numCache>
            </c:numRef>
          </c:xVal>
          <c:yVal>
            <c:numRef>
              <c:f>'Background Graphing'!$M$11</c:f>
              <c:numCache>
                <c:formatCode>General</c:formatCode>
                <c:ptCount val="1"/>
                <c:pt idx="0">
                  <c:v>0.76724693822122059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76D-422B-820E-1B5DA405C3AE}"/>
            </c:ext>
          </c:extLst>
        </c:ser>
        <c:ser>
          <c:idx val="9"/>
          <c:order val="3"/>
          <c:tx>
            <c:strRef>
              <c:f>'Background Graphing'!$B$12</c:f>
              <c:strCache>
                <c:ptCount val="1"/>
                <c:pt idx="0">
                  <c:v>Rock2_1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Graphing'!$L$12</c:f>
              <c:numCache>
                <c:formatCode>General</c:formatCode>
                <c:ptCount val="1"/>
                <c:pt idx="0">
                  <c:v>-0.1414213562373095</c:v>
                </c:pt>
              </c:numCache>
            </c:numRef>
          </c:xVal>
          <c:yVal>
            <c:numRef>
              <c:f>'Background Graphing'!$M$12</c:f>
              <c:numCache>
                <c:formatCode>General</c:formatCode>
                <c:ptCount val="1"/>
                <c:pt idx="0">
                  <c:v>-0.13077867388569483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6D-422B-820E-1B5DA405C3AE}"/>
            </c:ext>
          </c:extLst>
        </c:ser>
        <c:ser>
          <c:idx val="17"/>
          <c:order val="4"/>
          <c:tx>
            <c:strRef>
              <c:f>'Background Graphing'!$B$13</c:f>
              <c:strCache>
                <c:ptCount val="1"/>
                <c:pt idx="0">
                  <c:v>Rock2_2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Graphing'!$L$13</c:f>
              <c:numCache>
                <c:formatCode>General</c:formatCode>
                <c:ptCount val="1"/>
                <c:pt idx="0">
                  <c:v>0.19798989873223338</c:v>
                </c:pt>
              </c:numCache>
            </c:numRef>
          </c:xVal>
          <c:yVal>
            <c:numRef>
              <c:f>'Background Graphing'!$M$13</c:f>
              <c:numCache>
                <c:formatCode>General</c:formatCode>
                <c:ptCount val="1"/>
                <c:pt idx="0">
                  <c:v>2.4784817975345597E-2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6D-422B-820E-1B5DA405C3AE}"/>
            </c:ext>
          </c:extLst>
        </c:ser>
        <c:ser>
          <c:idx val="19"/>
          <c:order val="5"/>
          <c:tx>
            <c:strRef>
              <c:f>'Background Graphing'!$B$14</c:f>
              <c:strCache>
                <c:ptCount val="1"/>
                <c:pt idx="0">
                  <c:v>Rock2_3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Graphing'!$L$14</c:f>
              <c:numCache>
                <c:formatCode>General</c:formatCode>
                <c:ptCount val="1"/>
                <c:pt idx="0">
                  <c:v>2.1637467504308354</c:v>
                </c:pt>
              </c:numCache>
            </c:numRef>
          </c:xVal>
          <c:yVal>
            <c:numRef>
              <c:f>'Background Graphing'!$M$14</c:f>
              <c:numCache>
                <c:formatCode>General</c:formatCode>
                <c:ptCount val="1"/>
                <c:pt idx="0">
                  <c:v>0.82381548071614441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6D-422B-820E-1B5DA405C3AE}"/>
            </c:ext>
          </c:extLst>
        </c:ser>
        <c:ser>
          <c:idx val="79"/>
          <c:order val="6"/>
          <c:tx>
            <c:strRef>
              <c:f>'Background Graphing'!$B$15</c:f>
              <c:strCache>
                <c:ptCount val="1"/>
                <c:pt idx="0">
                  <c:v>Rock3_1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Graphing'!$L$15</c:f>
              <c:numCache>
                <c:formatCode>General</c:formatCode>
                <c:ptCount val="1"/>
                <c:pt idx="0">
                  <c:v>0.25455844122715715</c:v>
                </c:pt>
              </c:numCache>
            </c:numRef>
          </c:xVal>
          <c:yVal>
            <c:numRef>
              <c:f>'Background Graphing'!$M$15</c:f>
              <c:numCache>
                <c:formatCode>General</c:formatCode>
                <c:ptCount val="1"/>
                <c:pt idx="0">
                  <c:v>-8.8352267014501995E-2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76D-422B-820E-1B5DA405C3AE}"/>
            </c:ext>
          </c:extLst>
        </c:ser>
        <c:ser>
          <c:idx val="80"/>
          <c:order val="7"/>
          <c:tx>
            <c:strRef>
              <c:f>'Background Graphing'!$B$16</c:f>
              <c:strCache>
                <c:ptCount val="1"/>
                <c:pt idx="0">
                  <c:v>Rock3_2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Graphing'!$L$16</c:f>
              <c:numCache>
                <c:formatCode>General</c:formatCode>
                <c:ptCount val="1"/>
                <c:pt idx="0">
                  <c:v>1.1596551211459381</c:v>
                </c:pt>
              </c:numCache>
            </c:numRef>
          </c:xVal>
          <c:yVal>
            <c:numRef>
              <c:f>'Background Graphing'!$M$16</c:f>
              <c:numCache>
                <c:formatCode>General</c:formatCode>
                <c:ptCount val="1"/>
                <c:pt idx="0">
                  <c:v>0.40662247981608129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76D-422B-820E-1B5DA405C3AE}"/>
            </c:ext>
          </c:extLst>
        </c:ser>
        <c:ser>
          <c:idx val="81"/>
          <c:order val="8"/>
          <c:tx>
            <c:strRef>
              <c:f>'Background Graphing'!$B$17</c:f>
              <c:strCache>
                <c:ptCount val="1"/>
                <c:pt idx="0">
                  <c:v>Rock3_3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Graphing'!$L$17</c:f>
              <c:numCache>
                <c:formatCode>General</c:formatCode>
                <c:ptCount val="1"/>
                <c:pt idx="0">
                  <c:v>1.5273506473629426</c:v>
                </c:pt>
              </c:numCache>
            </c:numRef>
          </c:xVal>
          <c:yVal>
            <c:numRef>
              <c:f>'Background Graphing'!$M$17</c:f>
              <c:numCache>
                <c:formatCode>General</c:formatCode>
                <c:ptCount val="1"/>
                <c:pt idx="0">
                  <c:v>0.46319102231100501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76D-422B-820E-1B5DA405C3AE}"/>
            </c:ext>
          </c:extLst>
        </c:ser>
        <c:ser>
          <c:idx val="55"/>
          <c:order val="9"/>
          <c:tx>
            <c:strRef>
              <c:f>'Background Graphing'!$B$18</c:f>
              <c:strCache>
                <c:ptCount val="1"/>
                <c:pt idx="0">
                  <c:v>Rock3_4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Graphing'!$L$18</c:f>
              <c:numCache>
                <c:formatCode>General</c:formatCode>
                <c:ptCount val="1"/>
                <c:pt idx="0">
                  <c:v>1.6546298679765215</c:v>
                </c:pt>
              </c:numCache>
            </c:numRef>
          </c:xVal>
          <c:yVal>
            <c:numRef>
              <c:f>'Background Graphing'!$M$18</c:f>
              <c:numCache>
                <c:formatCode>General</c:formatCode>
                <c:ptCount val="1"/>
                <c:pt idx="0">
                  <c:v>0.73896266697375856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6D-422B-820E-1B5DA405C3AE}"/>
            </c:ext>
          </c:extLst>
        </c:ser>
        <c:ser>
          <c:idx val="57"/>
          <c:order val="10"/>
          <c:tx>
            <c:strRef>
              <c:f>'Background Graphing'!$B$19</c:f>
              <c:strCache>
                <c:ptCount val="1"/>
                <c:pt idx="0">
                  <c:v>Rock4_1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Graphing'!$L$19</c:f>
              <c:numCache>
                <c:formatCode>General</c:formatCode>
                <c:ptCount val="1"/>
                <c:pt idx="0">
                  <c:v>-0.2545584412271571</c:v>
                </c:pt>
              </c:numCache>
            </c:numRef>
          </c:xVal>
          <c:yVal>
            <c:numRef>
              <c:f>'Background Graphing'!$M$19</c:f>
              <c:numCache>
                <c:formatCode>General</c:formatCode>
                <c:ptCount val="1"/>
                <c:pt idx="0">
                  <c:v>-0.24391575887554251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6D-422B-820E-1B5DA405C3AE}"/>
            </c:ext>
          </c:extLst>
        </c:ser>
        <c:ser>
          <c:idx val="62"/>
          <c:order val="11"/>
          <c:tx>
            <c:strRef>
              <c:f>'Background Graphing'!$B$20</c:f>
              <c:strCache>
                <c:ptCount val="1"/>
                <c:pt idx="0">
                  <c:v>Rock4_2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Graphing'!$L$20</c:f>
              <c:numCache>
                <c:formatCode>General</c:formatCode>
                <c:ptCount val="1"/>
                <c:pt idx="0">
                  <c:v>0.7778174593052023</c:v>
                </c:pt>
              </c:numCache>
            </c:numRef>
          </c:xVal>
          <c:yVal>
            <c:numRef>
              <c:f>'Background Graphing'!$M$20</c:f>
              <c:numCache>
                <c:formatCode>General</c:formatCode>
                <c:ptCount val="1"/>
                <c:pt idx="0">
                  <c:v>0.14499297077705869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76D-422B-820E-1B5DA405C3AE}"/>
            </c:ext>
          </c:extLst>
        </c:ser>
        <c:ser>
          <c:idx val="63"/>
          <c:order val="12"/>
          <c:tx>
            <c:strRef>
              <c:f>'Background Graphing'!$B$21</c:f>
              <c:strCache>
                <c:ptCount val="1"/>
                <c:pt idx="0">
                  <c:v>Rock4_3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Graphing'!$L$21</c:f>
              <c:numCache>
                <c:formatCode>General</c:formatCode>
                <c:ptCount val="1"/>
                <c:pt idx="0">
                  <c:v>1.8101933598375619</c:v>
                </c:pt>
              </c:numCache>
            </c:numRef>
          </c:xVal>
          <c:yVal>
            <c:numRef>
              <c:f>'Background Graphing'!$M$21</c:f>
              <c:numCache>
                <c:formatCode>General</c:formatCode>
                <c:ptCount val="1"/>
                <c:pt idx="0">
                  <c:v>0.73189159916189328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6D-422B-820E-1B5DA405C3AE}"/>
            </c:ext>
          </c:extLst>
        </c:ser>
        <c:ser>
          <c:idx val="64"/>
          <c:order val="13"/>
          <c:tx>
            <c:strRef>
              <c:f>'Background Graphing'!$B$22</c:f>
              <c:strCache>
                <c:ptCount val="1"/>
                <c:pt idx="0">
                  <c:v>Rock5_1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Graphing'!$L$22</c:f>
              <c:numCache>
                <c:formatCode>General</c:formatCode>
                <c:ptCount val="1"/>
                <c:pt idx="0">
                  <c:v>0.18384776310850234</c:v>
                </c:pt>
              </c:numCache>
            </c:numRef>
          </c:xVal>
          <c:yVal>
            <c:numRef>
              <c:f>'Background Graphing'!$M$22</c:f>
              <c:numCache>
                <c:formatCode>General</c:formatCode>
                <c:ptCount val="1"/>
                <c:pt idx="0">
                  <c:v>-0.18027614856875321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76D-422B-820E-1B5DA405C3AE}"/>
            </c:ext>
          </c:extLst>
        </c:ser>
        <c:ser>
          <c:idx val="65"/>
          <c:order val="14"/>
          <c:tx>
            <c:strRef>
              <c:f>'Background Graphing'!$B$23</c:f>
              <c:strCache>
                <c:ptCount val="1"/>
                <c:pt idx="0">
                  <c:v>Rock5_2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Graphing'!$L$23</c:f>
              <c:numCache>
                <c:formatCode>General</c:formatCode>
                <c:ptCount val="1"/>
                <c:pt idx="0">
                  <c:v>1.0040916292848976</c:v>
                </c:pt>
              </c:numCache>
            </c:numRef>
          </c:xVal>
          <c:yVal>
            <c:numRef>
              <c:f>'Background Graphing'!$M$23</c:f>
              <c:numCache>
                <c:formatCode>General</c:formatCode>
                <c:ptCount val="1"/>
                <c:pt idx="0">
                  <c:v>0.27227219139063724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6D-422B-820E-1B5DA405C3AE}"/>
            </c:ext>
          </c:extLst>
        </c:ser>
        <c:ser>
          <c:idx val="66"/>
          <c:order val="15"/>
          <c:tx>
            <c:strRef>
              <c:f>'Background Graphing'!$B$24</c:f>
              <c:strCache>
                <c:ptCount val="1"/>
                <c:pt idx="0">
                  <c:v>Rock5_3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Graphing'!$L$24</c:f>
              <c:numCache>
                <c:formatCode>General</c:formatCode>
                <c:ptCount val="1"/>
                <c:pt idx="0">
                  <c:v>1.668772003600252</c:v>
                </c:pt>
              </c:numCache>
            </c:numRef>
          </c:xVal>
          <c:yVal>
            <c:numRef>
              <c:f>'Background Graphing'!$M$24</c:f>
              <c:numCache>
                <c:formatCode>General</c:formatCode>
                <c:ptCount val="1"/>
                <c:pt idx="0">
                  <c:v>0.61875451417204541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76D-422B-820E-1B5DA405C3AE}"/>
            </c:ext>
          </c:extLst>
        </c:ser>
        <c:ser>
          <c:idx val="67"/>
          <c:order val="16"/>
          <c:tx>
            <c:strRef>
              <c:f>'Background Graphing'!$B$25</c:f>
              <c:strCache>
                <c:ptCount val="1"/>
                <c:pt idx="0">
                  <c:v>Rock6_1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Graphing'!$L$25</c:f>
              <c:numCache>
                <c:formatCode>General</c:formatCode>
                <c:ptCount val="1"/>
                <c:pt idx="0">
                  <c:v>0.15556349186104051</c:v>
                </c:pt>
              </c:numCache>
            </c:numRef>
          </c:xVal>
          <c:yVal>
            <c:numRef>
              <c:f>'Background Graphing'!$M$25</c:f>
              <c:numCache>
                <c:formatCode>General</c:formatCode>
                <c:ptCount val="1"/>
                <c:pt idx="0">
                  <c:v>-3.8854792331443677E-2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76D-422B-820E-1B5DA405C3AE}"/>
            </c:ext>
          </c:extLst>
        </c:ser>
        <c:ser>
          <c:idx val="75"/>
          <c:order val="17"/>
          <c:tx>
            <c:strRef>
              <c:f>'Background Graphing'!$B$26</c:f>
              <c:strCache>
                <c:ptCount val="1"/>
                <c:pt idx="0">
                  <c:v>Rock6_2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Graphing'!$L$26</c:f>
              <c:numCache>
                <c:formatCode>General</c:formatCode>
                <c:ptCount val="1"/>
                <c:pt idx="0">
                  <c:v>1.2445079348883237</c:v>
                </c:pt>
              </c:numCache>
            </c:numRef>
          </c:xVal>
          <c:yVal>
            <c:numRef>
              <c:f>'Background Graphing'!$M$26</c:f>
              <c:numCache>
                <c:formatCode>General</c:formatCode>
                <c:ptCount val="1"/>
                <c:pt idx="0">
                  <c:v>0.47733315793473591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76D-422B-820E-1B5DA405C3AE}"/>
            </c:ext>
          </c:extLst>
        </c:ser>
        <c:ser>
          <c:idx val="83"/>
          <c:order val="18"/>
          <c:tx>
            <c:strRef>
              <c:f>'Background Graphing'!$B$27</c:f>
              <c:strCache>
                <c:ptCount val="1"/>
                <c:pt idx="0">
                  <c:v>Rock6_3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Graphing'!$L$27</c:f>
              <c:numCache>
                <c:formatCode>General</c:formatCode>
                <c:ptCount val="1"/>
                <c:pt idx="0">
                  <c:v>-0.56568542494923812</c:v>
                </c:pt>
              </c:numCache>
            </c:numRef>
          </c:xVal>
          <c:yVal>
            <c:numRef>
              <c:f>'Background Graphing'!$M$27</c:f>
              <c:numCache>
                <c:formatCode>General</c:formatCode>
                <c:ptCount val="1"/>
                <c:pt idx="0">
                  <c:v>-0.45604779323150679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76D-422B-820E-1B5DA405C3AE}"/>
            </c:ext>
          </c:extLst>
        </c:ser>
        <c:ser>
          <c:idx val="68"/>
          <c:order val="19"/>
          <c:tx>
            <c:strRef>
              <c:f>'Background Graphing'!$B$28</c:f>
              <c:strCache>
                <c:ptCount val="1"/>
                <c:pt idx="0">
                  <c:v>Rock7_1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Graphing'!$L$28</c:f>
              <c:numCache>
                <c:formatCode>General</c:formatCode>
                <c:ptCount val="1"/>
                <c:pt idx="0">
                  <c:v>-0.15556349186104046</c:v>
                </c:pt>
              </c:numCache>
            </c:numRef>
          </c:xVal>
          <c:yVal>
            <c:numRef>
              <c:f>'Background Graphing'!$M$28</c:f>
              <c:numCache>
                <c:formatCode>General</c:formatCode>
                <c:ptCount val="1"/>
                <c:pt idx="0">
                  <c:v>-0.30755536918233178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76D-422B-820E-1B5DA405C3AE}"/>
            </c:ext>
          </c:extLst>
        </c:ser>
        <c:ser>
          <c:idx val="76"/>
          <c:order val="20"/>
          <c:tx>
            <c:strRef>
              <c:f>'Background Graphing'!$B$29</c:f>
              <c:strCache>
                <c:ptCount val="1"/>
                <c:pt idx="0">
                  <c:v>Rock7_2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Graphing'!$L$29</c:f>
              <c:numCache>
                <c:formatCode>General</c:formatCode>
                <c:ptCount val="1"/>
                <c:pt idx="0">
                  <c:v>1.7960512242138309</c:v>
                </c:pt>
              </c:numCache>
            </c:numRef>
          </c:xVal>
          <c:yVal>
            <c:numRef>
              <c:f>'Background Graphing'!$M$29</c:f>
              <c:numCache>
                <c:formatCode>General</c:formatCode>
                <c:ptCount val="1"/>
                <c:pt idx="0">
                  <c:v>0.76724693822122059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76D-422B-820E-1B5DA405C3AE}"/>
            </c:ext>
          </c:extLst>
        </c:ser>
        <c:ser>
          <c:idx val="84"/>
          <c:order val="21"/>
          <c:tx>
            <c:strRef>
              <c:f>'Background Graphing'!$B$30</c:f>
              <c:strCache>
                <c:ptCount val="1"/>
                <c:pt idx="0">
                  <c:v>Rock7_3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Graphing'!$L$30</c:f>
              <c:numCache>
                <c:formatCode>General</c:formatCode>
                <c:ptCount val="1"/>
                <c:pt idx="0">
                  <c:v>0.57982756057296891</c:v>
                </c:pt>
              </c:numCache>
            </c:numRef>
          </c:xVal>
          <c:yVal>
            <c:numRef>
              <c:f>'Background Graphing'!$M$30</c:f>
              <c:numCache>
                <c:formatCode>General</c:formatCode>
                <c:ptCount val="1"/>
                <c:pt idx="0">
                  <c:v>0.17327724202452055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76D-422B-820E-1B5DA405C3AE}"/>
            </c:ext>
          </c:extLst>
        </c:ser>
        <c:ser>
          <c:idx val="69"/>
          <c:order val="22"/>
          <c:tx>
            <c:strRef>
              <c:f>'Background Graphing'!$B$31</c:f>
              <c:strCache>
                <c:ptCount val="1"/>
                <c:pt idx="0">
                  <c:v>Rock8_1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0321-4CFD-9FF5-FEC7BF78FA12}"/>
              </c:ext>
            </c:extLst>
          </c:dPt>
          <c:xVal>
            <c:numRef>
              <c:f>'Background Graphing'!$L$31</c:f>
              <c:numCache>
                <c:formatCode>General</c:formatCode>
                <c:ptCount val="1"/>
                <c:pt idx="0">
                  <c:v>0.56568542494923801</c:v>
                </c:pt>
              </c:numCache>
            </c:numRef>
          </c:xVal>
          <c:yVal>
            <c:numRef>
              <c:f>'Background Graphing'!$M$31</c:f>
              <c:numCache>
                <c:formatCode>General</c:formatCode>
                <c:ptCount val="1"/>
                <c:pt idx="0">
                  <c:v>3.8926953599076525E-2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76D-422B-820E-1B5DA405C3AE}"/>
            </c:ext>
          </c:extLst>
        </c:ser>
        <c:ser>
          <c:idx val="77"/>
          <c:order val="23"/>
          <c:tx>
            <c:strRef>
              <c:f>'Background Graphing'!$B$32</c:f>
              <c:strCache>
                <c:ptCount val="1"/>
                <c:pt idx="0">
                  <c:v>Rock8_2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Graphing'!$L$32</c:f>
              <c:numCache>
                <c:formatCode>General</c:formatCode>
                <c:ptCount val="1"/>
                <c:pt idx="0">
                  <c:v>1.48492424049175</c:v>
                </c:pt>
              </c:numCache>
            </c:numRef>
          </c:xVal>
          <c:yVal>
            <c:numRef>
              <c:f>'Background Graphing'!$M$32</c:f>
              <c:numCache>
                <c:formatCode>General</c:formatCode>
                <c:ptCount val="1"/>
                <c:pt idx="0">
                  <c:v>0.63996771760764215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76D-422B-820E-1B5DA405C3AE}"/>
            </c:ext>
          </c:extLst>
        </c:ser>
        <c:ser>
          <c:idx val="85"/>
          <c:order val="24"/>
          <c:tx>
            <c:strRef>
              <c:f>'Background Graphing'!$B$33</c:f>
              <c:strCache>
                <c:ptCount val="1"/>
                <c:pt idx="0">
                  <c:v>Rock8_3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Graphing'!$L$33</c:f>
              <c:numCache>
                <c:formatCode>General</c:formatCode>
                <c:ptCount val="1"/>
                <c:pt idx="0">
                  <c:v>1.2586500705120549</c:v>
                </c:pt>
              </c:numCache>
            </c:numRef>
          </c:xVal>
          <c:yVal>
            <c:numRef>
              <c:f>'Background Graphing'!$M$33</c:f>
              <c:numCache>
                <c:formatCode>General</c:formatCode>
                <c:ptCount val="1"/>
                <c:pt idx="0">
                  <c:v>0.3995514120042159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76D-422B-820E-1B5DA405C3AE}"/>
            </c:ext>
          </c:extLst>
        </c:ser>
        <c:ser>
          <c:idx val="70"/>
          <c:order val="25"/>
          <c:tx>
            <c:strRef>
              <c:f>'Background Graphing'!$B$34</c:f>
              <c:strCache>
                <c:ptCount val="1"/>
                <c:pt idx="0">
                  <c:v>Rock9_1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Graphing'!$L$34</c:f>
              <c:numCache>
                <c:formatCode>General</c:formatCode>
                <c:ptCount val="1"/>
                <c:pt idx="0">
                  <c:v>-0.48083261120685244</c:v>
                </c:pt>
              </c:numCache>
            </c:numRef>
          </c:xVal>
          <c:yVal>
            <c:numRef>
              <c:f>'Background Graphing'!$M$34</c:f>
              <c:numCache>
                <c:formatCode>General</c:formatCode>
                <c:ptCount val="1"/>
                <c:pt idx="0">
                  <c:v>-0.49847420010269966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76D-422B-820E-1B5DA405C3AE}"/>
            </c:ext>
          </c:extLst>
        </c:ser>
        <c:ser>
          <c:idx val="78"/>
          <c:order val="26"/>
          <c:tx>
            <c:strRef>
              <c:f>'Background Graphing'!$B$35</c:f>
              <c:strCache>
                <c:ptCount val="1"/>
                <c:pt idx="0">
                  <c:v>Rock9_2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Graphing'!$L$35</c:f>
              <c:numCache>
                <c:formatCode>General</c:formatCode>
                <c:ptCount val="1"/>
                <c:pt idx="0">
                  <c:v>0.7636753236814714</c:v>
                </c:pt>
              </c:numCache>
            </c:numRef>
          </c:xVal>
          <c:yVal>
            <c:numRef>
              <c:f>'Background Graphing'!$M$35</c:f>
              <c:numCache>
                <c:formatCode>General</c:formatCode>
                <c:ptCount val="1"/>
                <c:pt idx="0">
                  <c:v>0.27934325920250269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76D-422B-820E-1B5DA405C3AE}"/>
            </c:ext>
          </c:extLst>
        </c:ser>
        <c:ser>
          <c:idx val="71"/>
          <c:order val="27"/>
          <c:tx>
            <c:strRef>
              <c:f>'Background Graphing'!$B$36</c:f>
              <c:strCache>
                <c:ptCount val="1"/>
                <c:pt idx="0">
                  <c:v>Rock10_1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Graphing'!$L$36</c:f>
              <c:numCache>
                <c:formatCode>General</c:formatCode>
                <c:ptCount val="1"/>
                <c:pt idx="0">
                  <c:v>-0.31112698372208092</c:v>
                </c:pt>
              </c:numCache>
            </c:numRef>
          </c:xVal>
          <c:yVal>
            <c:numRef>
              <c:f>'Background Graphing'!$M$36</c:f>
              <c:numCache>
                <c:formatCode>General</c:formatCode>
                <c:ptCount val="1"/>
                <c:pt idx="0">
                  <c:v>-0.34291070824165915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76D-422B-820E-1B5DA405C3AE}"/>
            </c:ext>
          </c:extLst>
        </c:ser>
        <c:ser>
          <c:idx val="74"/>
          <c:order val="28"/>
          <c:tx>
            <c:strRef>
              <c:f>'Background Graphing'!$B$37</c:f>
              <c:strCache>
                <c:ptCount val="1"/>
                <c:pt idx="0">
                  <c:v>Rock10_2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Graphing'!$L$37</c:f>
              <c:numCache>
                <c:formatCode>General</c:formatCode>
                <c:ptCount val="1"/>
                <c:pt idx="0">
                  <c:v>0.41012193308819767</c:v>
                </c:pt>
              </c:numCache>
            </c:numRef>
          </c:xVal>
          <c:yVal>
            <c:numRef>
              <c:f>'Background Graphing'!$M$37</c:f>
              <c:numCache>
                <c:formatCode>General</c:formatCode>
                <c:ptCount val="1"/>
                <c:pt idx="0">
                  <c:v>0.15913510640078971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76D-422B-820E-1B5DA405C3AE}"/>
            </c:ext>
          </c:extLst>
        </c:ser>
        <c:ser>
          <c:idx val="73"/>
          <c:order val="29"/>
          <c:tx>
            <c:strRef>
              <c:f>'Background Graphing'!$B$38</c:f>
              <c:strCache>
                <c:ptCount val="1"/>
                <c:pt idx="0">
                  <c:v>Rock10_3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Graphing'!$L$38</c:f>
              <c:numCache>
                <c:formatCode>General</c:formatCode>
                <c:ptCount val="1"/>
                <c:pt idx="0">
                  <c:v>1.0465180361560904</c:v>
                </c:pt>
              </c:numCache>
            </c:numRef>
          </c:xVal>
          <c:yVal>
            <c:numRef>
              <c:f>'Background Graphing'!$M$38</c:f>
              <c:numCache>
                <c:formatCode>General</c:formatCode>
                <c:ptCount val="1"/>
                <c:pt idx="0">
                  <c:v>0.46319102231100512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76D-422B-820E-1B5DA405C3AE}"/>
            </c:ext>
          </c:extLst>
        </c:ser>
        <c:ser>
          <c:idx val="72"/>
          <c:order val="30"/>
          <c:tx>
            <c:strRef>
              <c:f>'Background Graphing'!$B$39</c:f>
              <c:strCache>
                <c:ptCount val="1"/>
                <c:pt idx="0">
                  <c:v>Rock10_4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'Background Graphing'!$L$39</c:f>
              <c:numCache>
                <c:formatCode>General</c:formatCode>
                <c:ptCount val="1"/>
                <c:pt idx="0">
                  <c:v>2.0506096654409878</c:v>
                </c:pt>
              </c:numCache>
            </c:numRef>
          </c:xVal>
          <c:yVal>
            <c:numRef>
              <c:f>'Background Graphing'!$M$39</c:f>
              <c:numCache>
                <c:formatCode>General</c:formatCode>
                <c:ptCount val="1"/>
                <c:pt idx="0">
                  <c:v>0.89452615883479925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76D-422B-820E-1B5DA405C3AE}"/>
            </c:ext>
          </c:extLst>
        </c:ser>
        <c:ser>
          <c:idx val="1"/>
          <c:order val="31"/>
          <c:tx>
            <c:strRef>
              <c:f>'Shadow Graphing'!$C$3</c:f>
              <c:strCache>
                <c:ptCount val="1"/>
                <c:pt idx="0">
                  <c:v>Shadow;Yaw-1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'Shadow Graphing'!$I$3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61B-4BC7-B9F9-6A8C4E08F223}"/>
            </c:ext>
          </c:extLst>
        </c:ser>
        <c:ser>
          <c:idx val="2"/>
          <c:order val="32"/>
          <c:tx>
            <c:strRef>
              <c:f>'Shadow Graphing'!$C$4</c:f>
              <c:strCache>
                <c:ptCount val="1"/>
                <c:pt idx="0">
                  <c:v>Shadow;Yaw0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Graphing'!$H$4</c:f>
              <c:numCache>
                <c:formatCode>General</c:formatCode>
                <c:ptCount val="1"/>
                <c:pt idx="0">
                  <c:v>-0.35355339059327379</c:v>
                </c:pt>
              </c:numCache>
            </c:numRef>
          </c:xVal>
          <c:yVal>
            <c:numRef>
              <c:f>'Shadow Graphing'!$I$4</c:f>
              <c:numCache>
                <c:formatCode>General</c:formatCode>
                <c:ptCount val="1"/>
                <c:pt idx="0">
                  <c:v>-0.34998177605352465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61B-4BC7-B9F9-6A8C4E08F223}"/>
            </c:ext>
          </c:extLst>
        </c:ser>
        <c:ser>
          <c:idx val="3"/>
          <c:order val="33"/>
          <c:tx>
            <c:strRef>
              <c:f>'Shadow Graphing'!$C$5</c:f>
              <c:strCache>
                <c:ptCount val="1"/>
                <c:pt idx="0">
                  <c:v>Shadow;Yaw1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'Shadow Graphing'!$I$5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61B-4BC7-B9F9-6A8C4E08F223}"/>
            </c:ext>
          </c:extLst>
        </c:ser>
        <c:ser>
          <c:idx val="4"/>
          <c:order val="34"/>
          <c:tx>
            <c:strRef>
              <c:f>'Shadow Graphing'!$C$6</c:f>
              <c:strCache>
                <c:ptCount val="1"/>
                <c:pt idx="0">
                  <c:v>Crab-Shadow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Graphing'!$H$6:$H$7</c:f>
              <c:numCache>
                <c:formatCode>General</c:formatCode>
                <c:ptCount val="2"/>
                <c:pt idx="0">
                  <c:v>0.19798989873223327</c:v>
                </c:pt>
                <c:pt idx="1">
                  <c:v>0.98994949366116658</c:v>
                </c:pt>
              </c:numCache>
            </c:numRef>
          </c:xVal>
          <c:yVal>
            <c:numRef>
              <c:f>'Shadow Graphing'!$I$6:$I$7</c:f>
              <c:numCache>
                <c:formatCode>General</c:formatCode>
                <c:ptCount val="2"/>
                <c:pt idx="0">
                  <c:v>-0.21563148762808063</c:v>
                </c:pt>
                <c:pt idx="1">
                  <c:v>0.20863258108384791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61B-4BC7-B9F9-6A8C4E08F223}"/>
            </c:ext>
          </c:extLst>
        </c:ser>
        <c:ser>
          <c:idx val="5"/>
          <c:order val="35"/>
          <c:tx>
            <c:strRef>
              <c:f>'Shadow Graphing'!$C$8</c:f>
              <c:strCache>
                <c:ptCount val="1"/>
                <c:pt idx="0">
                  <c:v>Octopus-Shadow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Graphing'!$H$8:$H$9</c:f>
              <c:numCache>
                <c:formatCode>General</c:formatCode>
                <c:ptCount val="2"/>
                <c:pt idx="0">
                  <c:v>-1.3877787807814457E-17</c:v>
                </c:pt>
                <c:pt idx="1">
                  <c:v>0.7353910524340096</c:v>
                </c:pt>
              </c:numCache>
            </c:numRef>
          </c:xVal>
          <c:yVal>
            <c:numRef>
              <c:f>'Shadow Graphing'!$I$8:$I$9</c:f>
              <c:numCache>
                <c:formatCode>General</c:formatCode>
                <c:ptCount val="2"/>
                <c:pt idx="0">
                  <c:v>-0.25805789449927347</c:v>
                </c:pt>
                <c:pt idx="1">
                  <c:v>0.20863258108384797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61B-4BC7-B9F9-6A8C4E08F223}"/>
            </c:ext>
          </c:extLst>
        </c:ser>
        <c:ser>
          <c:idx val="6"/>
          <c:order val="36"/>
          <c:tx>
            <c:strRef>
              <c:f>'Shadow Graphing'!$C$10</c:f>
              <c:strCache>
                <c:ptCount val="1"/>
                <c:pt idx="0">
                  <c:v>Hammerhead-Shadow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Graphing'!$H$10:$H$11</c:f>
              <c:numCache>
                <c:formatCode>General</c:formatCode>
                <c:ptCount val="2"/>
                <c:pt idx="0">
                  <c:v>0.49497474683058335</c:v>
                </c:pt>
                <c:pt idx="1">
                  <c:v>1.7111984104714451</c:v>
                </c:pt>
              </c:numCache>
            </c:numRef>
          </c:xVal>
          <c:yVal>
            <c:numRef>
              <c:f>'Shadow Graphing'!$I$10:$I$11</c:f>
              <c:numCache>
                <c:formatCode>General</c:formatCode>
                <c:ptCount val="2"/>
                <c:pt idx="0">
                  <c:v>0.18741937764825156</c:v>
                </c:pt>
                <c:pt idx="1">
                  <c:v>0.62582558198391092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61B-4BC7-B9F9-6A8C4E08F223}"/>
            </c:ext>
          </c:extLst>
        </c:ser>
        <c:ser>
          <c:idx val="8"/>
          <c:order val="37"/>
          <c:tx>
            <c:strRef>
              <c:f>'Shadow Graphing'!$C$14</c:f>
              <c:strCache>
                <c:ptCount val="1"/>
                <c:pt idx="0">
                  <c:v>Turtle-Shadow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Graphing'!$H$14:$H$15</c:f>
              <c:numCache>
                <c:formatCode>General</c:formatCode>
                <c:ptCount val="2"/>
                <c:pt idx="0">
                  <c:v>-0.16970562748477142</c:v>
                </c:pt>
                <c:pt idx="1">
                  <c:v>0.63639610306789285</c:v>
                </c:pt>
              </c:numCache>
            </c:numRef>
          </c:xVal>
          <c:yVal>
            <c:numRef>
              <c:f>'Shadow Graphing'!$I$14:$I$15</c:f>
              <c:numCache>
                <c:formatCode>General</c:formatCode>
                <c:ptCount val="2"/>
                <c:pt idx="0">
                  <c:v>-0.13077867388569486</c:v>
                </c:pt>
                <c:pt idx="1">
                  <c:v>0.24398792014317533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61B-4BC7-B9F9-6A8C4E08F223}"/>
            </c:ext>
          </c:extLst>
        </c:ser>
        <c:ser>
          <c:idx val="10"/>
          <c:order val="38"/>
          <c:tx>
            <c:strRef>
              <c:f>'Shadow Graphing'!$C$18</c:f>
              <c:strCache>
                <c:ptCount val="1"/>
                <c:pt idx="0">
                  <c:v>Jellyfish-Shadow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Graphing'!$H$18:$H$19</c:f>
              <c:numCache>
                <c:formatCode>General</c:formatCode>
                <c:ptCount val="2"/>
                <c:pt idx="0">
                  <c:v>-5.656854249492381E-2</c:v>
                </c:pt>
                <c:pt idx="1">
                  <c:v>0.67882250993908577</c:v>
                </c:pt>
              </c:numCache>
            </c:numRef>
          </c:xVal>
          <c:yVal>
            <c:numRef>
              <c:f>'Shadow Graphing'!$I$18:$I$19</c:f>
              <c:numCache>
                <c:formatCode>General</c:formatCode>
                <c:ptCount val="2"/>
                <c:pt idx="0">
                  <c:v>-7.4210131390771067E-2</c:v>
                </c:pt>
                <c:pt idx="1">
                  <c:v>0.25105898795504084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61B-4BC7-B9F9-6A8C4E08F223}"/>
            </c:ext>
          </c:extLst>
        </c:ser>
        <c:ser>
          <c:idx val="11"/>
          <c:order val="39"/>
          <c:tx>
            <c:strRef>
              <c:f>'Shadow Graphing'!$C$20</c:f>
              <c:strCache>
                <c:ptCount val="1"/>
                <c:pt idx="0">
                  <c:v>Orca-Shadow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Graphing'!$H$20:$H$21</c:f>
              <c:numCache>
                <c:formatCode>General</c:formatCode>
                <c:ptCount val="2"/>
                <c:pt idx="0">
                  <c:v>0.41012193308819755</c:v>
                </c:pt>
                <c:pt idx="1">
                  <c:v>2.1354624791833738</c:v>
                </c:pt>
              </c:numCache>
            </c:numRef>
          </c:xVal>
          <c:yVal>
            <c:numRef>
              <c:f>'Shadow Graphing'!$I$20:$I$21</c:f>
              <c:numCache>
                <c:formatCode>General</c:formatCode>
                <c:ptCount val="2"/>
                <c:pt idx="0">
                  <c:v>-6.7139063578905617E-2</c:v>
                </c:pt>
                <c:pt idx="1">
                  <c:v>0.88038402321106823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61B-4BC7-B9F9-6A8C4E08F223}"/>
            </c:ext>
          </c:extLst>
        </c:ser>
        <c:ser>
          <c:idx val="12"/>
          <c:order val="40"/>
          <c:tx>
            <c:strRef>
              <c:f>'Shadow Graphing'!$C$22</c:f>
              <c:strCache>
                <c:ptCount val="1"/>
                <c:pt idx="0">
                  <c:v>Sting Ray-Shadow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Graphing'!$H$22:$H$23</c:f>
              <c:numCache>
                <c:formatCode>General</c:formatCode>
                <c:ptCount val="2"/>
                <c:pt idx="0">
                  <c:v>-0.36769552621700474</c:v>
                </c:pt>
                <c:pt idx="1">
                  <c:v>0.32526911934581182</c:v>
                </c:pt>
              </c:numCache>
            </c:numRef>
          </c:xVal>
          <c:yVal>
            <c:numRef>
              <c:f>'Shadow Graphing'!$I$22:$I$23</c:f>
              <c:numCache>
                <c:formatCode>General</c:formatCode>
                <c:ptCount val="2"/>
                <c:pt idx="0">
                  <c:v>-0.27220003012300442</c:v>
                </c:pt>
                <c:pt idx="1">
                  <c:v>0.13085083515332768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61B-4BC7-B9F9-6A8C4E08F223}"/>
            </c:ext>
          </c:extLst>
        </c:ser>
        <c:ser>
          <c:idx val="13"/>
          <c:order val="41"/>
          <c:tx>
            <c:strRef>
              <c:f>'Shadow Graphing'!$C$24</c:f>
              <c:strCache>
                <c:ptCount val="1"/>
                <c:pt idx="0">
                  <c:v>Dolphin-Shadow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'Shadow Graphing'!$H$24:$H$25</c:f>
              <c:numCache>
                <c:formatCode>General</c:formatCode>
                <c:ptCount val="2"/>
                <c:pt idx="0">
                  <c:v>-0.16970562748477142</c:v>
                </c:pt>
                <c:pt idx="1">
                  <c:v>0.94752308678997366</c:v>
                </c:pt>
              </c:numCache>
            </c:numRef>
          </c:xVal>
          <c:yVal>
            <c:numRef>
              <c:f>'Shadow Graphing'!$I$24:$I$25</c:f>
              <c:numCache>
                <c:formatCode>General</c:formatCode>
                <c:ptCount val="2"/>
                <c:pt idx="0">
                  <c:v>-0.30048430137046628</c:v>
                </c:pt>
                <c:pt idx="1">
                  <c:v>0.20156151327198246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61B-4BC7-B9F9-6A8C4E08F223}"/>
            </c:ext>
          </c:extLst>
        </c:ser>
        <c:ser>
          <c:idx val="14"/>
          <c:order val="42"/>
          <c:tx>
            <c:strRef>
              <c:f>'Animal Graphing'!$C$3:$D$3</c:f>
              <c:strCache>
                <c:ptCount val="2"/>
                <c:pt idx="0">
                  <c:v>Crab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Graphing'!$U$3:$U$4</c:f>
              <c:numCache>
                <c:formatCode>General</c:formatCode>
                <c:ptCount val="2"/>
                <c:pt idx="0">
                  <c:v>0.19798989873223327</c:v>
                </c:pt>
                <c:pt idx="1">
                  <c:v>0.98994949366116658</c:v>
                </c:pt>
              </c:numCache>
            </c:numRef>
          </c:xVal>
          <c:yVal>
            <c:numRef>
              <c:f>'Animal Graphing'!$V$3:$V$4</c:f>
              <c:numCache>
                <c:formatCode>General</c:formatCode>
                <c:ptCount val="2"/>
                <c:pt idx="0">
                  <c:v>-0.20870328439780514</c:v>
                </c:pt>
                <c:pt idx="1">
                  <c:v>0.2155607843141234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61B-4BC7-B9F9-6A8C4E08F223}"/>
            </c:ext>
          </c:extLst>
        </c:ser>
        <c:ser>
          <c:idx val="15"/>
          <c:order val="43"/>
          <c:tx>
            <c:strRef>
              <c:f>'Animal Graphing'!$C$5:$D$5</c:f>
              <c:strCache>
                <c:ptCount val="2"/>
                <c:pt idx="0">
                  <c:v>Octopus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Graphing'!$U$5:$U$6</c:f>
              <c:numCache>
                <c:formatCode>General</c:formatCode>
                <c:ptCount val="2"/>
                <c:pt idx="0">
                  <c:v>-1.3877787807814457E-17</c:v>
                </c:pt>
                <c:pt idx="1">
                  <c:v>0.7353910524340096</c:v>
                </c:pt>
              </c:numCache>
            </c:numRef>
          </c:xVal>
          <c:yVal>
            <c:numRef>
              <c:f>'Animal Graphing'!$V$5:$V$6</c:f>
              <c:numCache>
                <c:formatCode>General</c:formatCode>
                <c:ptCount val="2"/>
                <c:pt idx="0">
                  <c:v>-0.20609637027220712</c:v>
                </c:pt>
                <c:pt idx="1">
                  <c:v>0.24327359723522551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61B-4BC7-B9F9-6A8C4E08F223}"/>
            </c:ext>
          </c:extLst>
        </c:ser>
        <c:ser>
          <c:idx val="16"/>
          <c:order val="44"/>
          <c:tx>
            <c:strRef>
              <c:f>'Animal Graphing'!$C$7:$D$7</c:f>
              <c:strCache>
                <c:ptCount val="2"/>
                <c:pt idx="0">
                  <c:v>Hammerhead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Graphing'!$U$7:$U$8</c:f>
              <c:numCache>
                <c:formatCode>General</c:formatCode>
                <c:ptCount val="2"/>
                <c:pt idx="0">
                  <c:v>0.49497474683058335</c:v>
                </c:pt>
                <c:pt idx="1">
                  <c:v>1.7111984104714451</c:v>
                </c:pt>
              </c:numCache>
            </c:numRef>
          </c:xVal>
          <c:yVal>
            <c:numRef>
              <c:f>'Animal Graphing'!$V$7:$V$8</c:f>
              <c:numCache>
                <c:formatCode>General</c:formatCode>
                <c:ptCount val="2"/>
                <c:pt idx="0">
                  <c:v>0.2740219180266954</c:v>
                </c:pt>
                <c:pt idx="1">
                  <c:v>0.72974863043804361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61B-4BC7-B9F9-6A8C4E08F223}"/>
            </c:ext>
          </c:extLst>
        </c:ser>
        <c:ser>
          <c:idx val="18"/>
          <c:order val="45"/>
          <c:tx>
            <c:strRef>
              <c:f>'Animal Graphing'!$C$9:$D$9</c:f>
              <c:strCache>
                <c:ptCount val="2"/>
                <c:pt idx="0">
                  <c:v>Turtle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Graphing'!$U$9:$U$10</c:f>
              <c:numCache>
                <c:formatCode>General</c:formatCode>
                <c:ptCount val="2"/>
                <c:pt idx="0">
                  <c:v>-0.16970562748477142</c:v>
                </c:pt>
                <c:pt idx="1">
                  <c:v>0.63639610306789285</c:v>
                </c:pt>
              </c:numCache>
            </c:numRef>
          </c:xVal>
          <c:yVal>
            <c:numRef>
              <c:f>'Animal Graphing'!$V$9:$V$10</c:f>
              <c:numCache>
                <c:formatCode>General</c:formatCode>
                <c:ptCount val="2"/>
                <c:pt idx="0">
                  <c:v>2.5105898795504105E-2</c:v>
                </c:pt>
                <c:pt idx="1">
                  <c:v>0.38255198474868551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61B-4BC7-B9F9-6A8C4E08F223}"/>
            </c:ext>
          </c:extLst>
        </c:ser>
        <c:ser>
          <c:idx val="20"/>
          <c:order val="46"/>
          <c:tx>
            <c:strRef>
              <c:f>'Animal Graphing'!$C$11:$D$11</c:f>
              <c:strCache>
                <c:ptCount val="2"/>
                <c:pt idx="0">
                  <c:v>Jellyfish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Graphing'!$U$11:$U$12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Graphing'!$V$11:$V$12</c:f>
              <c:numCache>
                <c:formatCode>General</c:formatCode>
                <c:ptCount val="2"/>
                <c:pt idx="0">
                  <c:v>9.8994949366116664E-2</c:v>
                </c:pt>
                <c:pt idx="1">
                  <c:v>0.44158457678761737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61B-4BC7-B9F9-6A8C4E08F223}"/>
            </c:ext>
          </c:extLst>
        </c:ser>
        <c:ser>
          <c:idx val="21"/>
          <c:order val="47"/>
          <c:tx>
            <c:strRef>
              <c:f>'Animal Graphing'!$C$13:$D$13</c:f>
              <c:strCache>
                <c:ptCount val="2"/>
                <c:pt idx="0">
                  <c:v>Orca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Graphing'!$U$13:$U$14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Graphing'!$V$13:$V$14</c:f>
              <c:numCache>
                <c:formatCode>General</c:formatCode>
                <c:ptCount val="2"/>
                <c:pt idx="0">
                  <c:v>0.17534804948073718</c:v>
                </c:pt>
                <c:pt idx="1">
                  <c:v>1.1055506281950223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61B-4BC7-B9F9-6A8C4E08F223}"/>
            </c:ext>
          </c:extLst>
        </c:ser>
        <c:ser>
          <c:idx val="22"/>
          <c:order val="48"/>
          <c:tx>
            <c:strRef>
              <c:f>'Animal Graphing'!$C$15:$D$15</c:f>
              <c:strCache>
                <c:ptCount val="2"/>
                <c:pt idx="0">
                  <c:v>Sting Ray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Graphing'!$U$15:$U$16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Graphing'!$V$15:$V$16</c:f>
              <c:numCache>
                <c:formatCode>General</c:formatCode>
                <c:ptCount val="2"/>
                <c:pt idx="0">
                  <c:v>2.224860716370472E-2</c:v>
                </c:pt>
                <c:pt idx="1">
                  <c:v>0.40797896436434805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61B-4BC7-B9F9-6A8C4E08F223}"/>
            </c:ext>
          </c:extLst>
        </c:ser>
        <c:ser>
          <c:idx val="23"/>
          <c:order val="49"/>
          <c:tx>
            <c:strRef>
              <c:f>'Animal Graphing'!$C$17:$D$17</c:f>
              <c:strCache>
                <c:ptCount val="2"/>
                <c:pt idx="0">
                  <c:v>Dolphin</c:v>
                </c:pt>
                <c:pt idx="1">
                  <c:v>Below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Graphing'!$U$17:$U$18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Graphing'!$V$17:$V$18</c:f>
              <c:numCache>
                <c:formatCode>General</c:formatCode>
                <c:ptCount val="2"/>
                <c:pt idx="0">
                  <c:v>2.8605352067620382E-2</c:v>
                </c:pt>
                <c:pt idx="1">
                  <c:v>0.51333065863438043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61B-4BC7-B9F9-6A8C4E08F223}"/>
            </c:ext>
          </c:extLst>
        </c:ser>
        <c:ser>
          <c:idx val="24"/>
          <c:order val="50"/>
          <c:tx>
            <c:v>Halo</c:v>
          </c:tx>
          <c:spPr>
            <a:ln w="19050">
              <a:noFill/>
            </a:ln>
          </c:spPr>
          <c:marker>
            <c:symbol val="picture"/>
            <c:spPr>
              <a:blipFill dpi="0" rotWithShape="1">
                <a:blip xmlns:r="http://schemas.openxmlformats.org/officeDocument/2006/relationships" r:embed="rId30"/>
                <a:srcRect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</c:f>
              <c:numCache>
                <c:formatCode>General</c:formatCode>
                <c:ptCount val="1"/>
                <c:pt idx="0">
                  <c:v>-0.35355339059327379</c:v>
                </c:pt>
              </c:numCache>
              <c:extLst xmlns:c15="http://schemas.microsoft.com/office/drawing/2012/chart"/>
            </c:numRef>
          </c:xVal>
          <c:yVal>
            <c:numRef>
              <c:f>'Shark Graphing'!$K$1</c:f>
              <c:numCache>
                <c:formatCode>General</c:formatCode>
                <c:ptCount val="1"/>
                <c:pt idx="0">
                  <c:v>-0.18543694933448129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361B-4BC7-B9F9-6A8C4E08F223}"/>
            </c:ext>
          </c:extLst>
        </c:ser>
        <c:ser>
          <c:idx val="25"/>
          <c:order val="51"/>
          <c:tx>
            <c:strRef>
              <c:f>'Shark Graphing'!$B$3</c:f>
              <c:strCache>
                <c:ptCount val="1"/>
                <c:pt idx="0">
                  <c:v>SharkRPY_-1;-1;-1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61B-4BC7-B9F9-6A8C4E08F223}"/>
            </c:ext>
          </c:extLst>
        </c:ser>
        <c:ser>
          <c:idx val="26"/>
          <c:order val="52"/>
          <c:tx>
            <c:strRef>
              <c:f>'Shark Graphing'!$B$4</c:f>
              <c:strCache>
                <c:ptCount val="1"/>
                <c:pt idx="0">
                  <c:v>SharkRPY_-1;-1;0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61B-4BC7-B9F9-6A8C4E08F223}"/>
            </c:ext>
          </c:extLst>
        </c:ser>
        <c:ser>
          <c:idx val="27"/>
          <c:order val="53"/>
          <c:tx>
            <c:strRef>
              <c:f>'Shark Graphing'!$B$5</c:f>
              <c:strCache>
                <c:ptCount val="1"/>
                <c:pt idx="0">
                  <c:v>SharkRPY_-1;-1;1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61B-4BC7-B9F9-6A8C4E08F223}"/>
            </c:ext>
          </c:extLst>
        </c:ser>
        <c:ser>
          <c:idx val="28"/>
          <c:order val="54"/>
          <c:tx>
            <c:strRef>
              <c:f>'Shark Graphing'!$B$6</c:f>
              <c:strCache>
                <c:ptCount val="1"/>
                <c:pt idx="0">
                  <c:v>SharkRPY_-1;0;-1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61B-4BC7-B9F9-6A8C4E08F223}"/>
            </c:ext>
          </c:extLst>
        </c:ser>
        <c:ser>
          <c:idx val="29"/>
          <c:order val="55"/>
          <c:tx>
            <c:strRef>
              <c:f>'Shark Graphing'!$B$7</c:f>
              <c:strCache>
                <c:ptCount val="1"/>
                <c:pt idx="0">
                  <c:v>SharkRPY_-1;0;0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61B-4BC7-B9F9-6A8C4E08F223}"/>
            </c:ext>
          </c:extLst>
        </c:ser>
        <c:ser>
          <c:idx val="30"/>
          <c:order val="56"/>
          <c:tx>
            <c:strRef>
              <c:f>'Shark Graphing'!$B$8</c:f>
              <c:strCache>
                <c:ptCount val="1"/>
                <c:pt idx="0">
                  <c:v>SharkRPY_-1;0;1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61B-4BC7-B9F9-6A8C4E08F223}"/>
            </c:ext>
          </c:extLst>
        </c:ser>
        <c:ser>
          <c:idx val="31"/>
          <c:order val="57"/>
          <c:tx>
            <c:strRef>
              <c:f>'Shark Graphing'!$B$9</c:f>
              <c:strCache>
                <c:ptCount val="1"/>
                <c:pt idx="0">
                  <c:v>SharkRPY_-1;1;-1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61B-4BC7-B9F9-6A8C4E08F223}"/>
            </c:ext>
          </c:extLst>
        </c:ser>
        <c:ser>
          <c:idx val="32"/>
          <c:order val="58"/>
          <c:tx>
            <c:strRef>
              <c:f>'Shark Graphing'!$B$10</c:f>
              <c:strCache>
                <c:ptCount val="1"/>
                <c:pt idx="0">
                  <c:v>SharkRPY_-1;1;0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61B-4BC7-B9F9-6A8C4E08F223}"/>
            </c:ext>
          </c:extLst>
        </c:ser>
        <c:ser>
          <c:idx val="33"/>
          <c:order val="59"/>
          <c:tx>
            <c:strRef>
              <c:f>'Shark Graphing'!$B$11</c:f>
              <c:strCache>
                <c:ptCount val="1"/>
                <c:pt idx="0">
                  <c:v>SharkRPY_-1;1;1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61B-4BC7-B9F9-6A8C4E08F223}"/>
            </c:ext>
          </c:extLst>
        </c:ser>
        <c:ser>
          <c:idx val="34"/>
          <c:order val="60"/>
          <c:tx>
            <c:strRef>
              <c:f>'Shark Graphing'!$B$12</c:f>
              <c:strCache>
                <c:ptCount val="1"/>
                <c:pt idx="0">
                  <c:v>SharkRPY_0;-1;-1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61B-4BC7-B9F9-6A8C4E08F223}"/>
            </c:ext>
          </c:extLst>
        </c:ser>
        <c:ser>
          <c:idx val="35"/>
          <c:order val="61"/>
          <c:tx>
            <c:strRef>
              <c:f>'Shark Graphing'!$B$13</c:f>
              <c:strCache>
                <c:ptCount val="1"/>
                <c:pt idx="0">
                  <c:v>SharkRPY_0;-1;0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61B-4BC7-B9F9-6A8C4E08F223}"/>
            </c:ext>
          </c:extLst>
        </c:ser>
        <c:ser>
          <c:idx val="36"/>
          <c:order val="62"/>
          <c:tx>
            <c:strRef>
              <c:f>'Shark Graphing'!$B$14</c:f>
              <c:strCache>
                <c:ptCount val="1"/>
                <c:pt idx="0">
                  <c:v>SharkRPY_0;-1;1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61B-4BC7-B9F9-6A8C4E08F223}"/>
            </c:ext>
          </c:extLst>
        </c:ser>
        <c:ser>
          <c:idx val="37"/>
          <c:order val="63"/>
          <c:tx>
            <c:strRef>
              <c:f>'Shark Graphing'!$B$15</c:f>
              <c:strCache>
                <c:ptCount val="1"/>
                <c:pt idx="0">
                  <c:v>SharkRPY_0;0;-1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61B-4BC7-B9F9-6A8C4E08F223}"/>
            </c:ext>
          </c:extLst>
        </c:ser>
        <c:ser>
          <c:idx val="38"/>
          <c:order val="64"/>
          <c:tx>
            <c:strRef>
              <c:f>'Shark Graphing'!$B$16</c:f>
              <c:strCache>
                <c:ptCount val="1"/>
                <c:pt idx="0">
                  <c:v>SharkRPY_0;0;0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Graphing'!$J$16</c:f>
              <c:numCache>
                <c:formatCode>General</c:formatCode>
                <c:ptCount val="1"/>
                <c:pt idx="0">
                  <c:v>-0.35355339059327379</c:v>
                </c:pt>
              </c:numCache>
            </c:numRef>
          </c:xVal>
          <c:yVal>
            <c:numRef>
              <c:f>'Shark Graphing'!$K$16</c:f>
              <c:numCache>
                <c:formatCode>General</c:formatCode>
                <c:ptCount val="1"/>
                <c:pt idx="0">
                  <c:v>-0.18543694933448129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61B-4BC7-B9F9-6A8C4E08F223}"/>
            </c:ext>
          </c:extLst>
        </c:ser>
        <c:ser>
          <c:idx val="39"/>
          <c:order val="65"/>
          <c:tx>
            <c:strRef>
              <c:f>'Shark Graphing'!$B$17</c:f>
              <c:strCache>
                <c:ptCount val="1"/>
                <c:pt idx="0">
                  <c:v>SharkRPY_0;0;1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61B-4BC7-B9F9-6A8C4E08F223}"/>
            </c:ext>
          </c:extLst>
        </c:ser>
        <c:ser>
          <c:idx val="40"/>
          <c:order val="66"/>
          <c:tx>
            <c:strRef>
              <c:f>'Shark Graphing'!$B$18</c:f>
              <c:strCache>
                <c:ptCount val="1"/>
                <c:pt idx="0">
                  <c:v>SharkRPY_0;1;-1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61B-4BC7-B9F9-6A8C4E08F223}"/>
            </c:ext>
          </c:extLst>
        </c:ser>
        <c:ser>
          <c:idx val="41"/>
          <c:order val="67"/>
          <c:tx>
            <c:strRef>
              <c:f>'Shark Graphing'!$B$19</c:f>
              <c:strCache>
                <c:ptCount val="1"/>
                <c:pt idx="0">
                  <c:v>SharkRPY_0;1;0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Graphing'!$J$19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Graphing'!$K$19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61B-4BC7-B9F9-6A8C4E08F223}"/>
            </c:ext>
          </c:extLst>
        </c:ser>
        <c:ser>
          <c:idx val="42"/>
          <c:order val="68"/>
          <c:tx>
            <c:strRef>
              <c:f>'Shark Graphing'!$B$20</c:f>
              <c:strCache>
                <c:ptCount val="1"/>
                <c:pt idx="0">
                  <c:v>SharkRPY_0;1;1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61B-4BC7-B9F9-6A8C4E08F223}"/>
            </c:ext>
          </c:extLst>
        </c:ser>
        <c:ser>
          <c:idx val="43"/>
          <c:order val="69"/>
          <c:tx>
            <c:strRef>
              <c:f>'Shark Graphing'!$B$21</c:f>
              <c:strCache>
                <c:ptCount val="1"/>
                <c:pt idx="0">
                  <c:v>SharkRPY_1;-1;-1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61B-4BC7-B9F9-6A8C4E08F223}"/>
            </c:ext>
          </c:extLst>
        </c:ser>
        <c:ser>
          <c:idx val="44"/>
          <c:order val="70"/>
          <c:tx>
            <c:strRef>
              <c:f>'Shark Graphing'!$B$22</c:f>
              <c:strCache>
                <c:ptCount val="1"/>
                <c:pt idx="0">
                  <c:v>SharkRPY_1;-1;0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61B-4BC7-B9F9-6A8C4E08F223}"/>
            </c:ext>
          </c:extLst>
        </c:ser>
        <c:ser>
          <c:idx val="45"/>
          <c:order val="71"/>
          <c:tx>
            <c:strRef>
              <c:f>'Shark Graphing'!$B$23</c:f>
              <c:strCache>
                <c:ptCount val="1"/>
                <c:pt idx="0">
                  <c:v>SharkRPY_1;-1;1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61B-4BC7-B9F9-6A8C4E08F223}"/>
            </c:ext>
          </c:extLst>
        </c:ser>
        <c:ser>
          <c:idx val="46"/>
          <c:order val="72"/>
          <c:tx>
            <c:strRef>
              <c:f>'Shark Graphing'!$B$24</c:f>
              <c:strCache>
                <c:ptCount val="1"/>
                <c:pt idx="0">
                  <c:v>SharkRPY_1;0;-1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61B-4BC7-B9F9-6A8C4E08F223}"/>
            </c:ext>
          </c:extLst>
        </c:ser>
        <c:ser>
          <c:idx val="47"/>
          <c:order val="73"/>
          <c:tx>
            <c:strRef>
              <c:f>'Shark Graphing'!$B$25</c:f>
              <c:strCache>
                <c:ptCount val="1"/>
                <c:pt idx="0">
                  <c:v>SharkRPY_1;0;0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61B-4BC7-B9F9-6A8C4E08F223}"/>
            </c:ext>
          </c:extLst>
        </c:ser>
        <c:ser>
          <c:idx val="48"/>
          <c:order val="74"/>
          <c:tx>
            <c:strRef>
              <c:f>'Shark Graphing'!$B$26</c:f>
              <c:strCache>
                <c:ptCount val="1"/>
                <c:pt idx="0">
                  <c:v>SharkRPY_1;0;1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61B-4BC7-B9F9-6A8C4E08F223}"/>
            </c:ext>
          </c:extLst>
        </c:ser>
        <c:ser>
          <c:idx val="49"/>
          <c:order val="75"/>
          <c:tx>
            <c:strRef>
              <c:f>'Shark Graphing'!$B$27</c:f>
              <c:strCache>
                <c:ptCount val="1"/>
                <c:pt idx="0">
                  <c:v>SharkRPY_1;1;-1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61B-4BC7-B9F9-6A8C4E08F223}"/>
            </c:ext>
          </c:extLst>
        </c:ser>
        <c:ser>
          <c:idx val="50"/>
          <c:order val="76"/>
          <c:tx>
            <c:strRef>
              <c:f>'Shark Graphing'!$B$28</c:f>
              <c:strCache>
                <c:ptCount val="1"/>
                <c:pt idx="0">
                  <c:v>SharkRPY_1;1;0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61B-4BC7-B9F9-6A8C4E08F223}"/>
            </c:ext>
          </c:extLst>
        </c:ser>
        <c:ser>
          <c:idx val="51"/>
          <c:order val="77"/>
          <c:tx>
            <c:strRef>
              <c:f>'Shark Graphing'!$B$29</c:f>
              <c:strCache>
                <c:ptCount val="1"/>
                <c:pt idx="0">
                  <c:v>SharkRPY_1;1;1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'Shark Graphing'!$J$29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'Shark Graphing'!$K$29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61B-4BC7-B9F9-6A8C4E08F223}"/>
            </c:ext>
          </c:extLst>
        </c:ser>
        <c:ser>
          <c:idx val="52"/>
          <c:order val="78"/>
          <c:tx>
            <c:strRef>
              <c:f>'Animal Graphing'!$C$19:$D$19</c:f>
              <c:strCache>
                <c:ptCount val="2"/>
                <c:pt idx="0">
                  <c:v>Crab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2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Graphing'!$U$19:$U$20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Graphing'!$V$19:$V$20</c:f>
              <c:numCache>
                <c:formatCode>General</c:formatCode>
                <c:ptCount val="2"/>
                <c:pt idx="0">
                  <c:v>-0.20870328439780514</c:v>
                </c:pt>
                <c:pt idx="1">
                  <c:v>0.2155607843141234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61B-4BC7-B9F9-6A8C4E08F223}"/>
            </c:ext>
          </c:extLst>
        </c:ser>
        <c:ser>
          <c:idx val="53"/>
          <c:order val="79"/>
          <c:tx>
            <c:strRef>
              <c:f>'Animal Graphing'!$C$21:$D$21</c:f>
              <c:strCache>
                <c:ptCount val="2"/>
                <c:pt idx="0">
                  <c:v>Octopus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Graphing'!$U$21:$U$22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Graphing'!$V$21:$V$22</c:f>
              <c:numCache>
                <c:formatCode>General</c:formatCode>
                <c:ptCount val="2"/>
                <c:pt idx="0">
                  <c:v>-0.20609637027220712</c:v>
                </c:pt>
                <c:pt idx="1">
                  <c:v>0.24327359723522551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61B-4BC7-B9F9-6A8C4E08F223}"/>
            </c:ext>
          </c:extLst>
        </c:ser>
        <c:ser>
          <c:idx val="54"/>
          <c:order val="80"/>
          <c:tx>
            <c:strRef>
              <c:f>'Animal Graphing'!$C$23:$D$23</c:f>
              <c:strCache>
                <c:ptCount val="2"/>
                <c:pt idx="0">
                  <c:v>Hammerhead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4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Graphing'!$U$23:$U$24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Graphing'!$V$23:$V$24</c:f>
              <c:numCache>
                <c:formatCode>General</c:formatCode>
                <c:ptCount val="2"/>
                <c:pt idx="0">
                  <c:v>0.2740219180266954</c:v>
                </c:pt>
                <c:pt idx="1">
                  <c:v>0.72974863043804361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61B-4BC7-B9F9-6A8C4E08F223}"/>
            </c:ext>
          </c:extLst>
        </c:ser>
        <c:ser>
          <c:idx val="56"/>
          <c:order val="81"/>
          <c:tx>
            <c:strRef>
              <c:f>'Animal Graphing'!$C$25:$D$25</c:f>
              <c:strCache>
                <c:ptCount val="2"/>
                <c:pt idx="0">
                  <c:v>Turtle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Graphing'!$U$25:$U$26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'Animal Graphing'!$V$25:$V$26</c:f>
              <c:numCache>
                <c:formatCode>General</c:formatCode>
                <c:ptCount val="2"/>
                <c:pt idx="0">
                  <c:v>2.5105898795504105E-2</c:v>
                </c:pt>
                <c:pt idx="1">
                  <c:v>0.38255198474868551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61B-4BC7-B9F9-6A8C4E08F223}"/>
            </c:ext>
          </c:extLst>
        </c:ser>
        <c:ser>
          <c:idx val="58"/>
          <c:order val="82"/>
          <c:tx>
            <c:strRef>
              <c:f>'Animal Graphing'!$C$27:$D$27</c:f>
              <c:strCache>
                <c:ptCount val="2"/>
                <c:pt idx="0">
                  <c:v>Jellyfish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Graphing'!$U$27:$U$28</c:f>
              <c:numCache>
                <c:formatCode>General</c:formatCode>
                <c:ptCount val="2"/>
                <c:pt idx="0">
                  <c:v>-5.656854249492381E-2</c:v>
                </c:pt>
                <c:pt idx="1">
                  <c:v>0.67882250993908577</c:v>
                </c:pt>
              </c:numCache>
            </c:numRef>
          </c:xVal>
          <c:yVal>
            <c:numRef>
              <c:f>'Animal Graphing'!$V$27:$V$28</c:f>
              <c:numCache>
                <c:formatCode>General</c:formatCode>
                <c:ptCount val="2"/>
                <c:pt idx="0">
                  <c:v>9.8994949366116664E-2</c:v>
                </c:pt>
                <c:pt idx="1">
                  <c:v>0.44158457678761737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61B-4BC7-B9F9-6A8C4E08F223}"/>
            </c:ext>
          </c:extLst>
        </c:ser>
        <c:ser>
          <c:idx val="59"/>
          <c:order val="83"/>
          <c:tx>
            <c:strRef>
              <c:f>'Animal Graphing'!$C$29:$D$29</c:f>
              <c:strCache>
                <c:ptCount val="2"/>
                <c:pt idx="0">
                  <c:v>Orca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Graphing'!$U$29:$U$30</c:f>
              <c:numCache>
                <c:formatCode>General</c:formatCode>
                <c:ptCount val="2"/>
                <c:pt idx="0">
                  <c:v>0.41012193308819755</c:v>
                </c:pt>
                <c:pt idx="1">
                  <c:v>2.1354624791833738</c:v>
                </c:pt>
              </c:numCache>
            </c:numRef>
          </c:xVal>
          <c:yVal>
            <c:numRef>
              <c:f>'Animal Graphing'!$V$29:$V$30</c:f>
              <c:numCache>
                <c:formatCode>General</c:formatCode>
                <c:ptCount val="2"/>
                <c:pt idx="0">
                  <c:v>0.17534804948073718</c:v>
                </c:pt>
                <c:pt idx="1">
                  <c:v>1.1055506281950223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61B-4BC7-B9F9-6A8C4E08F223}"/>
            </c:ext>
          </c:extLst>
        </c:ser>
        <c:ser>
          <c:idx val="60"/>
          <c:order val="84"/>
          <c:tx>
            <c:strRef>
              <c:f>'Animal Graphing'!$C$31:$D$31</c:f>
              <c:strCache>
                <c:ptCount val="2"/>
                <c:pt idx="0">
                  <c:v>Sting Ray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Graphing'!$U$31:$U$32</c:f>
              <c:numCache>
                <c:formatCode>General</c:formatCode>
                <c:ptCount val="2"/>
                <c:pt idx="0">
                  <c:v>-0.36769552621700474</c:v>
                </c:pt>
                <c:pt idx="1">
                  <c:v>0.32526911934581182</c:v>
                </c:pt>
              </c:numCache>
            </c:numRef>
          </c:xVal>
          <c:yVal>
            <c:numRef>
              <c:f>'Animal Graphing'!$V$31:$V$32</c:f>
              <c:numCache>
                <c:formatCode>General</c:formatCode>
                <c:ptCount val="2"/>
                <c:pt idx="0">
                  <c:v>2.224860716370472E-2</c:v>
                </c:pt>
                <c:pt idx="1">
                  <c:v>0.40797896436434805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361B-4BC7-B9F9-6A8C4E08F223}"/>
            </c:ext>
          </c:extLst>
        </c:ser>
        <c:ser>
          <c:idx val="61"/>
          <c:order val="85"/>
          <c:tx>
            <c:strRef>
              <c:f>'Animal Graphing'!$C$33:$D$33</c:f>
              <c:strCache>
                <c:ptCount val="2"/>
                <c:pt idx="0">
                  <c:v>Dolphin</c:v>
                </c:pt>
                <c:pt idx="1">
                  <c:v>Above Shark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'Animal Graphing'!$U$33:$U$34</c:f>
              <c:numCache>
                <c:formatCode>General</c:formatCode>
                <c:ptCount val="2"/>
                <c:pt idx="0">
                  <c:v>-0.16970562748477142</c:v>
                </c:pt>
                <c:pt idx="1">
                  <c:v>0.94752308678997366</c:v>
                </c:pt>
              </c:numCache>
            </c:numRef>
          </c:xVal>
          <c:yVal>
            <c:numRef>
              <c:f>'Animal Graphing'!$V$33:$V$34</c:f>
              <c:numCache>
                <c:formatCode>General</c:formatCode>
                <c:ptCount val="2"/>
                <c:pt idx="0">
                  <c:v>2.8605352067620382E-2</c:v>
                </c:pt>
                <c:pt idx="1">
                  <c:v>0.51333065863438043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361B-4BC7-B9F9-6A8C4E08F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984384"/>
        <c:axId val="796144832"/>
        <c:extLst/>
      </c:scatterChart>
      <c:valAx>
        <c:axId val="355984384"/>
        <c:scaling>
          <c:orientation val="minMax"/>
          <c:max val="0.60000000000000009"/>
          <c:min val="-0.60000000000000009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44832"/>
        <c:crosses val="autoZero"/>
        <c:crossBetween val="midCat"/>
        <c:majorUnit val="0.1"/>
      </c:valAx>
      <c:valAx>
        <c:axId val="796144832"/>
        <c:scaling>
          <c:orientation val="minMax"/>
          <c:max val="0.25"/>
          <c:min val="-0.5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8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8"/>
      <a:stretch>
        <a:fillRect/>
      </a:stretch>
    </a:blip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png"/><Relationship Id="rId13" Type="http://schemas.openxmlformats.org/officeDocument/2006/relationships/image" Target="../media/image95.png"/><Relationship Id="rId3" Type="http://schemas.openxmlformats.org/officeDocument/2006/relationships/chart" Target="../charts/chart5.xml"/><Relationship Id="rId7" Type="http://schemas.openxmlformats.org/officeDocument/2006/relationships/image" Target="../media/image89.png"/><Relationship Id="rId12" Type="http://schemas.openxmlformats.org/officeDocument/2006/relationships/image" Target="../media/image94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88.png"/><Relationship Id="rId11" Type="http://schemas.openxmlformats.org/officeDocument/2006/relationships/image" Target="../media/image93.png"/><Relationship Id="rId5" Type="http://schemas.openxmlformats.org/officeDocument/2006/relationships/image" Target="../media/image87.png"/><Relationship Id="rId10" Type="http://schemas.openxmlformats.org/officeDocument/2006/relationships/image" Target="../media/image92.png"/><Relationship Id="rId4" Type="http://schemas.openxmlformats.org/officeDocument/2006/relationships/chart" Target="../charts/chart6.xml"/><Relationship Id="rId9" Type="http://schemas.openxmlformats.org/officeDocument/2006/relationships/image" Target="../media/image9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1649922</xdr:colOff>
      <xdr:row>5</xdr:row>
      <xdr:rowOff>45886</xdr:rowOff>
    </xdr:from>
    <xdr:to>
      <xdr:col>11</xdr:col>
      <xdr:colOff>36592</xdr:colOff>
      <xdr:row>15</xdr:row>
      <xdr:rowOff>211133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F0AB7E-1F6B-4A5D-B816-3ED0EF559D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6911</xdr:colOff>
      <xdr:row>2</xdr:row>
      <xdr:rowOff>0</xdr:rowOff>
    </xdr:from>
    <xdr:to>
      <xdr:col>5</xdr:col>
      <xdr:colOff>427916</xdr:colOff>
      <xdr:row>19</xdr:row>
      <xdr:rowOff>79159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30A4BF-710B-4676-B441-B73CB0FBC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390099</xdr:colOff>
      <xdr:row>3</xdr:row>
      <xdr:rowOff>73582</xdr:rowOff>
    </xdr:from>
    <xdr:to>
      <xdr:col>23</xdr:col>
      <xdr:colOff>2092834</xdr:colOff>
      <xdr:row>7</xdr:row>
      <xdr:rowOff>228600</xdr:rowOff>
    </xdr:to>
    <xdr:graphicFrame macro="">
      <xdr:nvGraphicFramePr>
        <xdr:cNvPr id="11" name="AI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314821</xdr:colOff>
      <xdr:row>8</xdr:row>
      <xdr:rowOff>36997</xdr:rowOff>
    </xdr:from>
    <xdr:to>
      <xdr:col>24</xdr:col>
      <xdr:colOff>68108</xdr:colOff>
      <xdr:row>12</xdr:row>
      <xdr:rowOff>174155</xdr:rowOff>
    </xdr:to>
    <xdr:graphicFrame macro="">
      <xdr:nvGraphicFramePr>
        <xdr:cNvPr id="13" name="Direction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521178</xdr:colOff>
      <xdr:row>3</xdr:row>
      <xdr:rowOff>353786</xdr:rowOff>
    </xdr:from>
    <xdr:to>
      <xdr:col>1</xdr:col>
      <xdr:colOff>1073099</xdr:colOff>
      <xdr:row>23</xdr:row>
      <xdr:rowOff>146538</xdr:rowOff>
    </xdr:to>
    <xdr:graphicFrame macro="">
      <xdr:nvGraphicFramePr>
        <xdr:cNvPr id="8" name="DepthChart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8415</xdr:colOff>
      <xdr:row>1</xdr:row>
      <xdr:rowOff>505445</xdr:rowOff>
    </xdr:from>
    <xdr:to>
      <xdr:col>21</xdr:col>
      <xdr:colOff>19685</xdr:colOff>
      <xdr:row>25</xdr:row>
      <xdr:rowOff>19953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E1B95CD-F01D-432F-A056-07FF4AF2A08D}"/>
            </a:ext>
          </a:extLst>
        </xdr:cNvPr>
        <xdr:cNvGrpSpPr/>
      </xdr:nvGrpSpPr>
      <xdr:grpSpPr>
        <a:xfrm>
          <a:off x="2208690" y="772145"/>
          <a:ext cx="15346520" cy="9334783"/>
          <a:chOff x="2215974" y="774386"/>
          <a:chExt cx="15396945" cy="9297236"/>
        </a:xfrm>
      </xdr:grpSpPr>
      <xdr:graphicFrame macro="">
        <xdr:nvGraphicFramePr>
          <xdr:cNvPr id="14" name="GameChart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GraphicFramePr>
            <a:graphicFrameLocks noChangeAspect="1"/>
          </xdr:cNvGraphicFramePr>
        </xdr:nvGraphicFramePr>
        <xdr:xfrm>
          <a:off x="2223176" y="788974"/>
          <a:ext cx="15389743" cy="92826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pic>
        <xdr:nvPicPr>
          <xdr:cNvPr id="16" name="Lightrays" hidden="1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5974" y="774386"/>
            <a:ext cx="15391692" cy="9291716"/>
          </a:xfrm>
          <a:prstGeom prst="rect">
            <a:avLst/>
          </a:prstGeom>
        </xdr:spPr>
      </xdr:pic>
      <xdr:sp macro="[0]!startgame" textlink="TT!$O$62">
        <xdr:nvSpPr>
          <xdr:cNvPr id="3" name="StartExploring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4470407" y="9224332"/>
            <a:ext cx="2757162" cy="483720"/>
          </a:xfrm>
          <a:prstGeom prst="rect">
            <a:avLst/>
          </a:prstGeom>
          <a:solidFill>
            <a:srgbClr val="00B29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61C84BE-B09E-4BC5-8D8E-C7B649D984B5}" type="TxLink">
              <a:rPr lang="en-US" sz="18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Start Exploring &gt;</a:t>
            </a:fld>
            <a:endParaRPr lang="en-US" sz="36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4</xdr:col>
      <xdr:colOff>386770</xdr:colOff>
      <xdr:row>25</xdr:row>
      <xdr:rowOff>31951</xdr:rowOff>
    </xdr:from>
    <xdr:to>
      <xdr:col>5</xdr:col>
      <xdr:colOff>1021874</xdr:colOff>
      <xdr:row>27</xdr:row>
      <xdr:rowOff>196549</xdr:rowOff>
    </xdr:to>
    <xdr:pic>
      <xdr:nvPicPr>
        <xdr:cNvPr id="10" name="Dolphin">
          <a:extLst>
            <a:ext uri="{FF2B5EF4-FFF2-40B4-BE49-F238E27FC236}">
              <a16:creationId xmlns:a16="http://schemas.microsoft.com/office/drawing/2014/main" id="{B33356A6-A722-4C58-ABEC-E65BDED0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47" y="10076496"/>
          <a:ext cx="1024763" cy="1030508"/>
        </a:xfrm>
        <a:prstGeom prst="rect">
          <a:avLst/>
        </a:prstGeom>
      </xdr:spPr>
    </xdr:pic>
    <xdr:clientData/>
  </xdr:twoCellAnchor>
  <xdr:twoCellAnchor editAs="oneCell">
    <xdr:from>
      <xdr:col>7</xdr:col>
      <xdr:colOff>2734</xdr:colOff>
      <xdr:row>25</xdr:row>
      <xdr:rowOff>38315</xdr:rowOff>
    </xdr:from>
    <xdr:to>
      <xdr:col>7</xdr:col>
      <xdr:colOff>1018607</xdr:colOff>
      <xdr:row>27</xdr:row>
      <xdr:rowOff>190186</xdr:rowOff>
    </xdr:to>
    <xdr:pic>
      <xdr:nvPicPr>
        <xdr:cNvPr id="4" name="StingRay">
          <a:extLst>
            <a:ext uri="{FF2B5EF4-FFF2-40B4-BE49-F238E27FC236}">
              <a16:creationId xmlns:a16="http://schemas.microsoft.com/office/drawing/2014/main" id="{2F0413A5-6D31-4453-AFD1-2EBC52E20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779" y="10082860"/>
          <a:ext cx="1015873" cy="1017781"/>
        </a:xfrm>
        <a:prstGeom prst="rect">
          <a:avLst/>
        </a:prstGeom>
      </xdr:spPr>
    </xdr:pic>
    <xdr:clientData/>
  </xdr:twoCellAnchor>
  <xdr:twoCellAnchor editAs="oneCell">
    <xdr:from>
      <xdr:col>8</xdr:col>
      <xdr:colOff>389126</xdr:colOff>
      <xdr:row>25</xdr:row>
      <xdr:rowOff>36396</xdr:rowOff>
    </xdr:from>
    <xdr:to>
      <xdr:col>9</xdr:col>
      <xdr:colOff>1025832</xdr:colOff>
      <xdr:row>27</xdr:row>
      <xdr:rowOff>192104</xdr:rowOff>
    </xdr:to>
    <xdr:pic>
      <xdr:nvPicPr>
        <xdr:cNvPr id="12" name="Orca">
          <a:extLst>
            <a:ext uri="{FF2B5EF4-FFF2-40B4-BE49-F238E27FC236}">
              <a16:creationId xmlns:a16="http://schemas.microsoft.com/office/drawing/2014/main" id="{221422ED-C8E5-4565-935E-345C1CD20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4921" y="10080941"/>
          <a:ext cx="1026366" cy="1021618"/>
        </a:xfrm>
        <a:prstGeom prst="rect">
          <a:avLst/>
        </a:prstGeom>
      </xdr:spPr>
    </xdr:pic>
    <xdr:clientData/>
  </xdr:twoCellAnchor>
  <xdr:twoCellAnchor editAs="oneCell">
    <xdr:from>
      <xdr:col>11</xdr:col>
      <xdr:colOff>6692</xdr:colOff>
      <xdr:row>25</xdr:row>
      <xdr:rowOff>37984</xdr:rowOff>
    </xdr:from>
    <xdr:to>
      <xdr:col>11</xdr:col>
      <xdr:colOff>1041947</xdr:colOff>
      <xdr:row>27</xdr:row>
      <xdr:rowOff>190517</xdr:rowOff>
    </xdr:to>
    <xdr:pic>
      <xdr:nvPicPr>
        <xdr:cNvPr id="15" name="Jellyfish">
          <a:extLst>
            <a:ext uri="{FF2B5EF4-FFF2-40B4-BE49-F238E27FC236}">
              <a16:creationId xmlns:a16="http://schemas.microsoft.com/office/drawing/2014/main" id="{C48472CB-1D03-4B39-B342-270A353CA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56" y="10082529"/>
          <a:ext cx="1035255" cy="1018443"/>
        </a:xfrm>
        <a:prstGeom prst="rect">
          <a:avLst/>
        </a:prstGeom>
      </xdr:spPr>
    </xdr:pic>
    <xdr:clientData/>
  </xdr:twoCellAnchor>
  <xdr:twoCellAnchor editAs="oneCell">
    <xdr:from>
      <xdr:col>13</xdr:col>
      <xdr:colOff>22807</xdr:colOff>
      <xdr:row>25</xdr:row>
      <xdr:rowOff>34491</xdr:rowOff>
    </xdr:from>
    <xdr:to>
      <xdr:col>13</xdr:col>
      <xdr:colOff>1028064</xdr:colOff>
      <xdr:row>27</xdr:row>
      <xdr:rowOff>194009</xdr:rowOff>
    </xdr:to>
    <xdr:pic>
      <xdr:nvPicPr>
        <xdr:cNvPr id="17" name="Turtle">
          <a:extLst>
            <a:ext uri="{FF2B5EF4-FFF2-40B4-BE49-F238E27FC236}">
              <a16:creationId xmlns:a16="http://schemas.microsoft.com/office/drawing/2014/main" id="{642DAC2E-66BF-49B3-9864-60E09504F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5080" y="10079036"/>
          <a:ext cx="1005257" cy="1025428"/>
        </a:xfrm>
        <a:prstGeom prst="rect">
          <a:avLst/>
        </a:prstGeom>
      </xdr:spPr>
    </xdr:pic>
    <xdr:clientData/>
  </xdr:twoCellAnchor>
  <xdr:twoCellAnchor editAs="oneCell">
    <xdr:from>
      <xdr:col>15</xdr:col>
      <xdr:colOff>8924</xdr:colOff>
      <xdr:row>25</xdr:row>
      <xdr:rowOff>35037</xdr:rowOff>
    </xdr:from>
    <xdr:to>
      <xdr:col>15</xdr:col>
      <xdr:colOff>1046719</xdr:colOff>
      <xdr:row>27</xdr:row>
      <xdr:rowOff>193464</xdr:rowOff>
    </xdr:to>
    <xdr:pic>
      <xdr:nvPicPr>
        <xdr:cNvPr id="18" name="Hammerhead">
          <a:extLst>
            <a:ext uri="{FF2B5EF4-FFF2-40B4-BE49-F238E27FC236}">
              <a16:creationId xmlns:a16="http://schemas.microsoft.com/office/drawing/2014/main" id="{8C078419-2D57-4A29-BCA8-94C0FA418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9606" y="10079582"/>
          <a:ext cx="1037795" cy="1024337"/>
        </a:xfrm>
        <a:prstGeom prst="rect">
          <a:avLst/>
        </a:prstGeom>
      </xdr:spPr>
    </xdr:pic>
    <xdr:clientData/>
  </xdr:twoCellAnchor>
  <xdr:twoCellAnchor editAs="oneCell">
    <xdr:from>
      <xdr:col>17</xdr:col>
      <xdr:colOff>27579</xdr:colOff>
      <xdr:row>25</xdr:row>
      <xdr:rowOff>36323</xdr:rowOff>
    </xdr:from>
    <xdr:to>
      <xdr:col>17</xdr:col>
      <xdr:colOff>1039340</xdr:colOff>
      <xdr:row>27</xdr:row>
      <xdr:rowOff>192178</xdr:rowOff>
    </xdr:to>
    <xdr:pic>
      <xdr:nvPicPr>
        <xdr:cNvPr id="19" name="Octopus">
          <a:extLst>
            <a:ext uri="{FF2B5EF4-FFF2-40B4-BE49-F238E27FC236}">
              <a16:creationId xmlns:a16="http://schemas.microsoft.com/office/drawing/2014/main" id="{B317F765-EBCA-4F5F-B72B-82745888C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6670" y="10080868"/>
          <a:ext cx="1011761" cy="1021765"/>
        </a:xfrm>
        <a:prstGeom prst="rect">
          <a:avLst/>
        </a:prstGeom>
      </xdr:spPr>
    </xdr:pic>
    <xdr:clientData/>
  </xdr:twoCellAnchor>
  <xdr:twoCellAnchor editAs="oneCell">
    <xdr:from>
      <xdr:col>19</xdr:col>
      <xdr:colOff>20201</xdr:colOff>
      <xdr:row>25</xdr:row>
      <xdr:rowOff>36396</xdr:rowOff>
    </xdr:from>
    <xdr:to>
      <xdr:col>19</xdr:col>
      <xdr:colOff>1046869</xdr:colOff>
      <xdr:row>27</xdr:row>
      <xdr:rowOff>192104</xdr:rowOff>
    </xdr:to>
    <xdr:pic>
      <xdr:nvPicPr>
        <xdr:cNvPr id="20" name="Crab">
          <a:extLst>
            <a:ext uri="{FF2B5EF4-FFF2-40B4-BE49-F238E27FC236}">
              <a16:creationId xmlns:a16="http://schemas.microsoft.com/office/drawing/2014/main" id="{F7E2AE7E-595D-4AA8-B2C4-C6AB9CF76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7701" y="10080941"/>
          <a:ext cx="1026668" cy="10216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11D0575-6823-4DE4-8E9F-894E8F978A96}"/>
            </a:ext>
          </a:extLst>
        </xdr:cNvPr>
        <xdr:cNvSpPr/>
      </xdr:nvSpPr>
      <xdr:spPr>
        <a:xfrm>
          <a:off x="8648700" y="2286000"/>
          <a:ext cx="581025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0EB3ED-DC6A-4218-9B3B-EAE3BA5FAD9B}" name="SharkGraphingTable" displayName="SharkGraphingTable" ref="B2:M29" totalsRowShown="0">
  <autoFilter ref="B2:M29" xr:uid="{7813C504-60BE-4D8A-9D74-538D78BB8D09}"/>
  <tableColumns count="12">
    <tableColumn id="1" xr3:uid="{C87EBD32-8458-461F-9D5A-432A1BA4BD29}" name="Rotation"/>
    <tableColumn id="11" xr3:uid="{F26BE18E-E203-42A0-8A9E-9D34E9B67DD4}" name="Roll"/>
    <tableColumn id="12" xr3:uid="{9DA1FB5E-3338-42AA-8C01-03BD44CFEDFF}" name="Pitch"/>
    <tableColumn id="13" xr3:uid="{B97FE81D-42DD-4776-8F74-FD6B6F440400}" name="Yaw"/>
    <tableColumn id="14" xr3:uid="{B2054D9F-704E-4163-9D71-6DC583D310C8}" name="Make NA" dataDxfId="109">
      <calculatedColumnFormula>AND(SharkGraphingTable[[#This Row],[Roll]]=Roll,SharkGraphingTable[[#This Row],[Pitch]]=Pitch,SharkGraphingTable[[#This Row],[Yaw]]=Yaw)</calculatedColumnFormula>
    </tableColumn>
    <tableColumn id="17" xr3:uid="{19CCA342-DAD3-40DC-84A6-A56E8C79C4A7}" name="Norm X" dataDxfId="108">
      <calculatedColumnFormula>(Xposition-Xframe_min)/Xframe_range-0.5</calculatedColumnFormula>
    </tableColumn>
    <tableColumn id="18" xr3:uid="{9079E266-043F-4F66-AC1F-8A423ED6A91D}" name="Norm Y" dataDxfId="107">
      <calculatedColumnFormula>(Yposition-Yframe_min)/Yframe_range-0.5</calculatedColumnFormula>
    </tableColumn>
    <tableColumn id="15" xr3:uid="{2BA3A552-C672-4191-B51D-81B007B04F5A}" name="Norm Z" dataDxfId="106">
      <calculatedColumnFormula>(Zposition-Zframe_min)/Zframe_range-0.5</calculatedColumnFormula>
    </tableColumn>
    <tableColumn id="2" xr3:uid="{09D0431B-146D-4884-9439-FD8A783A5DB7}" name="X" dataDxfId="105">
      <calculatedColumnFormula>IF(SharkGraphingTable[[#This Row],[Make NA]],SUMPRODUCT(SharkGraphingTable[[#This Row],[Norm X]:[Norm Z]],Chart_XRotationVals),NA())</calculatedColumnFormula>
    </tableColumn>
    <tableColumn id="3" xr3:uid="{1D35A652-154D-4891-B89A-3E85F6FDD35A}" name="Y" dataDxfId="104">
      <calculatedColumnFormula>IF(SharkGraphingTable[[#This Row],[Make NA]],SUMPRODUCT(SharkGraphingTable[[#This Row],[Norm X]:[Norm Z]],Chart_YRotationVals),NA())</calculatedColumnFormula>
    </tableColumn>
    <tableColumn id="4" xr3:uid="{2CA65EAA-8081-4682-B208-B58762038AAA}" name="Shark Testing Y" dataDxfId="103">
      <calculatedColumnFormula>IF(AND(SharkGraphingTable[[#This Row],[Roll]]=InputRoll,SharkGraphingTable[[#This Row],[Pitch]]=InputPitch,SharkGraphingTable[[#This Row],[Yaw]]=InputYaw),1,NA())</calculatedColumnFormula>
    </tableColumn>
    <tableColumn id="5" xr3:uid="{A75F900C-E053-4E49-908E-E4C7621DDA8E}" name="Picture Name" dataDxfId="102">
      <calculatedColumnFormula>"shark R"&amp;SharkGraphingTable[[#This Row],[Roll]]&amp;" P"&amp;SharkGraphingTable[[#This Row],[Pitch]]&amp;" Y"&amp;SharkGraphingTable[[#This Row],[Yaw]]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7AAB21-97B1-4DA6-A5D6-3AA87679BBFD}" name="SharkBubbleTable" displayName="SharkBubbleTable" ref="P2:V5" totalsRowShown="0">
  <autoFilter ref="P2:V5" xr:uid="{DEE92E05-DABC-401E-AF06-BC627097CD61}"/>
  <tableColumns count="7">
    <tableColumn id="1" xr3:uid="{2555AFA8-4F30-40DE-A2BE-EF76BCD182F3}" name="Shark"/>
    <tableColumn id="7" xr3:uid="{B5913EC7-FC13-44F0-A6B9-7CBCB0A4217C}" name="Dist from mid" dataDxfId="101">
      <calculatedColumnFormula>IFERROR(INDEX(SetupConstantsTable[],MATCH($P$2,SetupConstantsTable[Object],0),MATCH(SharkBubbleTable[[#This Row],[Shark]]&amp;" to mid",SetupConstantsTable[#Headers],0)),0)</calculatedColumnFormula>
    </tableColumn>
    <tableColumn id="6" xr3:uid="{553299C6-4E0F-4A72-A68A-1CCC293155D8}" name="Radius" dataDxfId="100">
      <calculatedColumnFormula>INDEX(SetupConstantsTable[],MATCH($P$2,SetupConstantsTable[Object],0),MATCH(SharkBubbleTable[[#This Row],[Shark]],SetupConstantsTable[#Headers],0))</calculatedColumnFormula>
    </tableColumn>
    <tableColumn id="5" xr3:uid="{D7D9F8E0-08EC-4B97-96F1-92BA3725F23B}" name="#"/>
    <tableColumn id="2" xr3:uid="{62815D4D-8F87-4878-A96B-03E60C605ECE}" name="x" dataDxfId="99">
      <calculatedColumnFormula>Xposition+SharkBubbleTable[[#This Row],[Dist from mid]]*COS($R$8*Yaw)*COS($R$8*Pitch)</calculatedColumnFormula>
    </tableColumn>
    <tableColumn id="3" xr3:uid="{39AC7F0E-1FA5-4181-B579-2E8661CEFDDD}" name="y" dataDxfId="98">
      <calculatedColumnFormula>Yposition+SharkBubbleTable[[#This Row],[Dist from mid]]*SharkBubbleTable[[#This Row],['#]]*SIN($R$8*Yaw)</calculatedColumnFormula>
    </tableColumn>
    <tableColumn id="4" xr3:uid="{EA9B926E-2835-4E42-8847-103D04C85C38}" name="z" dataDxfId="97">
      <calculatedColumnFormula>Zposition+SharkBubbleTable[[#This Row],[Dist from mid]]*SharkBubbleTable[[#This Row],['#]]*SIN($R$8*Pitch)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41827A-33F2-47A9-9DF9-ED2F622D5B36}" name="AnimalGraphingTable" displayName="AnimalGraphingTable" ref="A2:AD34" totalsRowShown="0">
  <autoFilter ref="A2:AD34" xr:uid="{CE2455D1-1F5F-4D91-9244-6B15F45CD912}"/>
  <sortState xmlns:xlrd2="http://schemas.microsoft.com/office/spreadsheetml/2017/richdata2" ref="A3:Z26">
    <sortCondition descending="1" ref="D3:D26"/>
    <sortCondition descending="1" ref="A3:A26"/>
    <sortCondition ref="E3:E26"/>
  </sortState>
  <tableColumns count="30">
    <tableColumn id="1" xr3:uid="{B6CE168D-049E-490D-9338-3418CD49E276}" name="Object"/>
    <tableColumn id="30" xr3:uid="{B5B5D204-7D3A-46DA-BC93-B61150E3FE09}" name="ReferenceID" dataDxfId="96">
      <calculatedColumnFormula>AnimalGraphingTable[[#This Row],[Object]]&amp;AnimalGraphingTable[[#This Row],[Version]]&amp;LEFT(AnimalGraphingTable[[#This Row],[Top/Bottom]],1)</calculatedColumnFormula>
    </tableColumn>
    <tableColumn id="25" xr3:uid="{9E3B8D27-8FC9-4CED-B7B2-02A3B27BBE5C}" name="Image Appearance" dataDxfId="95">
      <calculatedColumnFormula>VLOOKUP(AnimalGraphingTable[[#This Row],[Object]],SetupConstantsTable[],2,0)&amp;IF(AnimalGraphingTable[[#This Row],[Top/Bottom]]="Shadow","-"&amp;AnimalGraphingTable[[#This Row],[Top/Bottom]],"")</calculatedColumnFormula>
    </tableColumn>
    <tableColumn id="2" xr3:uid="{DB40D6B9-2A23-4622-AFC4-C309022A6FCD}" name="Top/Bottom" dataDxfId="94"/>
    <tableColumn id="3" xr3:uid="{DE7ADF6C-C678-4A60-A0F2-F47AFB99D32B}" name="Version" dataDxfId="93"/>
    <tableColumn id="6" xr3:uid="{9A751061-946F-4FB4-8197-D675BD338D64}" name="Velocity at 0" dataDxfId="92">
      <calculatedColumnFormula>INDEX(SetupConstantsTable[],MATCH(AnimalGraphingTable[[#This Row],[Object]],SetupConstantsTable[Object],0),MATCH('Animal Graphing'!F$2,SetupConstantsTable[#Headers],0))</calculatedColumnFormula>
    </tableColumn>
    <tableColumn id="7" xr3:uid="{B8A267DD-0731-4B6F-9FE5-0E32A44AB2AC}" name="Cycle position" dataDxfId="91">
      <calculatedColumnFormula>INDEX(SetupConstantsTable[],MATCH(AnimalGraphingTable[[#This Row],[Object]],SetupConstantsTable[Object],0),MATCH('Animal Graphing'!G$2,SetupConstantsTable[#Headers],0))</calculatedColumnFormula>
    </tableColumn>
    <tableColumn id="8" xr3:uid="{5DC2F212-2852-4CD7-A492-78CD93AFAB32}" name="Starting position" dataDxfId="90">
      <calculatedColumnFormula>INDEX(SetupConstantsTable[],MATCH(AnimalGraphingTable[[#This Row],[Object]],SetupConstantsTable[Object],0),MATCH("X"&amp;AnimalGraphingTable[[#This Row],[Version]],SetupConstantsTable[#Headers],0))</calculatedColumnFormula>
    </tableColumn>
    <tableColumn id="9" xr3:uid="{C9673E37-F30F-4B77-934C-742B88479D14}" name="Starting Y lane" dataDxfId="89">
      <calculatedColumnFormula>INDEX(SetupConstantsTable[],MATCH(AnimalGraphingTable[[#This Row],[Object]],SetupConstantsTable[Object],0),MATCH("Y"&amp;AnimalGraphingTable[[#This Row],[Version]],SetupConstantsTable[#Headers],0))</calculatedColumnFormula>
    </tableColumn>
    <tableColumn id="10" xr3:uid="{90C8E986-3571-4560-8F20-FBAB03EDE2D4}" name="Starting Z depth" dataDxfId="88">
      <calculatedColumnFormula>IF(AnimalGraphingTable[[#This Row],[Top/Bottom]]="Shadow",Setup!$H$25,INDEX(SetupConstantsTable[],MATCH(AnimalGraphingTable[[#This Row],[Object]],SetupConstantsTable[Object],0),MATCH("Z"&amp;AnimalGraphingTable[[#This Row],[Version]],SetupConstantsTable[#Headers],0)))</calculatedColumnFormula>
    </tableColumn>
    <tableColumn id="11" xr3:uid="{F89071EE-E7A1-4BEC-AD83-E778633131E6}" name="Calculated position" dataDxfId="87">
      <calculatedColumnFormula>AnimalGraphingTable[[#This Row],[Velocity at 0]]*NetTime+AnimalGraphingTable[[#This Row],[Starting position]]</calculatedColumnFormula>
    </tableColumn>
    <tableColumn id="12" xr3:uid="{03821627-20C9-4813-A9B0-932D225CD973}" name="Offset multiplier" dataDxfId="86">
      <calculatedColumnFormula>IF(AnimalGraphingTable[[#This Row],[Calculated position]]&gt;0,0,ROUNDUP(-AnimalGraphingTable[[#This Row],[Calculated position]]/AnimalGraphingTable[[#This Row],[Cycle position]],0))</calculatedColumnFormula>
    </tableColumn>
    <tableColumn id="13" xr3:uid="{80CFD08A-D8CA-457D-8B00-E49A89DDFF46}" name="Position offset" dataDxfId="85">
      <calculatedColumnFormula>AnimalGraphingTable[[#This Row],[Offset multiplier]]*AnimalGraphingTable[[#This Row],[Cycle position]]</calculatedColumnFormula>
    </tableColumn>
    <tableColumn id="14" xr3:uid="{DA3185F6-70B1-4103-BBE3-E1548FC3694F}" name="X" dataDxfId="84">
      <calculatedColumnFormula>AnimalGraphingTable[[#This Row],[Calculated position]]+AnimalGraphingTable[[#This Row],[Position offset]]</calculatedColumnFormula>
    </tableColumn>
    <tableColumn id="15" xr3:uid="{6B118173-B19E-49C0-BA48-35BC049E26BB}" name="Y" dataDxfId="83">
      <calculatedColumnFormula>IF(AnimalGraphingTable[[#This Row],[Offset multiplier]]=0,AnimalGraphingTable[[#This Row],[Starting Y lane]],MOD(ROUND(0.9*(ROUND(AnimalGraphingTable[[#This Row],[y lane randomizer]],0)-ROUNDDOWN(AnimalGraphingTable[[#This Row],[y lane randomizer]],-2)),0),22)+Yframe_min+4)</calculatedColumnFormula>
    </tableColumn>
    <tableColumn id="16" xr3:uid="{0B21D908-5764-4FB4-87E3-CB988BAF3167}" name="Z" dataDxfId="82">
      <calculatedColumnFormula>AnimalGraphingTable[[#This Row],[Starting Z depth]]</calculatedColumnFormula>
    </tableColumn>
    <tableColumn id="17" xr3:uid="{3D148177-693B-4ADB-A1DB-8220CB2C1B24}" name="y lane randomizer" dataDxfId="81">
      <calculatedColumnFormula>RADIANS(AnimalGraphingTable[[#This Row],[Cycle position]]+AnimalGraphingTable[[#This Row],[Starting Y lane]]-Setup!$G$25+AnimalGraphingTable[[#This Row],[Offset multiplier]]+StartingTime)*100000</calculatedColumnFormula>
    </tableColumn>
    <tableColumn id="18" xr3:uid="{164005E6-B354-45F5-A945-421485145C42}" name="Norm X" dataDxfId="80">
      <calculatedColumnFormula>(AnimalGraphingTable[[#This Row],[X]]-Setup!F$25)/Setup!F$26-0.5</calculatedColumnFormula>
    </tableColumn>
    <tableColumn id="19" xr3:uid="{909A9FB0-AD3C-4F95-B5BB-FF98B109FC16}" name="Norm Y" dataDxfId="79">
      <calculatedColumnFormula>(AnimalGraphingTable[[#This Row],[Y]]-Setup!G$25)/Setup!G$26-0.5</calculatedColumnFormula>
    </tableColumn>
    <tableColumn id="20" xr3:uid="{D62DDD0C-8316-4F65-BC71-3CA64981E3F5}" name="Norm Z" dataDxfId="78">
      <calculatedColumnFormula>(AnimalGraphingTable[[#This Row],[Z]]-Setup!H$25)/Setup!H$26-0.5</calculatedColumnFormula>
    </tableColumn>
    <tableColumn id="21" xr3:uid="{DA409DC1-E61C-409C-ABDD-6D0B81F753FF}" name="Screen X" dataDxfId="77">
      <calculatedColumnFormula>IF(AnimalGraphingTable[[#This Row],[Hidden]],NA(),SUMPRODUCT(AnimalGraphingTable[[#This Row],[Norm X]:[Norm Z]],Chart_XRotationVals))</calculatedColumnFormula>
    </tableColumn>
    <tableColumn id="22" xr3:uid="{EC0F2F5F-1DE7-40F3-9C19-399962412B66}" name="Screen Y" dataDxfId="76">
      <calculatedColumnFormula>SUMPRODUCT(AnimalGraphingTable[[#This Row],[Norm X]:[Norm Z]],Chart_YRotationVals)</calculatedColumnFormula>
    </tableColumn>
    <tableColumn id="23" xr3:uid="{18DD9041-5E9D-4C0F-958F-5B45A5571FAA}" name="Hidden" dataDxfId="75">
      <calculatedColumnFormula>OR(AND(AnimalGraphingTable[[#This Row],[Top/Bottom]]="Above Shark",AnimalGraphingTable[[#This Row],[Z]]&lt;Zposition),AND(AnimalGraphingTable[[#This Row],[Top/Bottom]]="Below Shark",AnimalGraphingTable[[#This Row],[Z]]&gt;Zposition))</calculatedColumnFormula>
    </tableColumn>
    <tableColumn id="24" xr3:uid="{205D3D24-DC45-45CE-B724-9DA1F073888D}" name="Closest sphere to Shark" dataDxfId="74">
      <calculatedColumnFormula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calculatedColumnFormula>
    </tableColumn>
    <tableColumn id="42" xr3:uid="{947465A2-4D35-497D-B0D0-B6FA07B54E53}" name="Hit" dataDxfId="73">
      <calculatedColumnFormula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calculatedColumnFormula>
    </tableColumn>
    <tableColumn id="26" xr3:uid="{D4BCA2AB-FD93-4327-B259-FCBD8E85A4D4}" name="Separation" dataDxfId="72">
      <calculatedColumnFormula>SQRT(AnimalGraphingTable[[#This Row],[X dist]]+AnimalGraphingTable[[#This Row],[Y dist]]+AnimalGraphingTable[[#This Row],[Z dist]])</calculatedColumnFormula>
    </tableColumn>
    <tableColumn id="4" xr3:uid="{774A976E-4331-485C-8E50-0CE61EC0E598}" name="X dist" dataDxfId="71">
      <calculatedColumnFormula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calculatedColumnFormula>
    </tableColumn>
    <tableColumn id="27" xr3:uid="{DE162FFA-236B-4AF5-A2A3-DA7081D5F531}" name="Y dist" dataDxfId="70">
      <calculatedColumnFormula>(AnimalGraphingTable[[#This Row],[Y]]-VLOOKUP(AnimalGraphingTable[[#This Row],[Closest sphere to Shark]],SharkBubbleTable[],6,0))^2</calculatedColumnFormula>
    </tableColumn>
    <tableColumn id="29" xr3:uid="{9DCD00B8-7C9D-4AD3-B48F-1EEA1AACDEFF}" name="Z dist" dataDxfId="69">
      <calculatedColumnFormula>(AnimalGraphingTable[[#This Row],[Z]]-VLOOKUP(AnimalGraphingTable[[#This Row],[Closest sphere to Shark]],SharkBubbleTable[],7,0))^2</calculatedColumnFormula>
    </tableColumn>
    <tableColumn id="28" xr3:uid="{F1EA97AA-ED81-449E-9F1E-05445211123C}" name="Number seen" dataDxfId="68">
      <calculatedColumnFormula>IF(AnimalGraphingTable[[#This Row],[Top/Bottom]]="Below Shark",AnimalGraphingTable[[#This Row],[Offset multiplier]]+IF(AnimalGraphingTable[[#This Row],[X]]&lt;50,1,0),0)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02ADE0-96D5-4186-9E88-2B7FB2CBABAD}" name="AnimalShadows" displayName="AnimalShadows" ref="B2:I25" totalsRowShown="0">
  <autoFilter ref="B2:I25" xr:uid="{BAA5EDEC-029D-43B2-ACCE-68FC17132D58}"/>
  <tableColumns count="8">
    <tableColumn id="1" xr3:uid="{F7D00E6C-74F2-499E-B3A5-A95A577760BE}" name="Object"/>
    <tableColumn id="2" xr3:uid="{132FD282-AA08-4DFB-8D56-FA47452AD142}" name="Image Appearance" dataDxfId="67">
      <calculatedColumnFormula>IFERROR(VLOOKUP(AnimalShadows[[#This Row],[Object]],SetupConstantsTable[],2,0)&amp;"-Shadow",AnimalShadows[[#This Row],[Object]])</calculatedColumnFormula>
    </tableColumn>
    <tableColumn id="3" xr3:uid="{A716E872-1543-48D6-B990-67416F76409A}" name="Version"/>
    <tableColumn id="4" xr3:uid="{C565FFE1-AF3A-49A7-B664-BF420D0EF17E}" name="Norm X" dataDxfId="66">
      <calculatedColumnFormula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calculatedColumnFormula>
    </tableColumn>
    <tableColumn id="5" xr3:uid="{B038520C-5410-4E61-8382-9AE2C4CBBA4C}" name="Norm Y" dataDxfId="65">
      <calculatedColumnFormula>IFERROR(INDEX(AnimalGraphingTable[],MATCH(AnimalShadows[[#This Row],[Object]]&amp;AnimalShadows[[#This Row],[Version]]&amp;"A",AnimalGraphingTable[ReferenceID],0),MATCH(F$2,AnimalGraphingTable[#Headers],0)),(Yposition-Setup!$G$25)/Setup!$G$26-0.5)</calculatedColumnFormula>
    </tableColumn>
    <tableColumn id="6" xr3:uid="{A38BCF59-2B12-43C3-B088-0903CB6C7FED}" name="Norm Z" dataDxfId="64">
      <calculatedColumnFormula>-0.5</calculatedColumnFormula>
    </tableColumn>
    <tableColumn id="7" xr3:uid="{5528E18C-7CFD-4AC9-9CAB-A3681568E11E}" name="Screen X" dataDxfId="63">
      <calculatedColumnFormula>SUMPRODUCT(AnimalShadows[[#This Row],[Norm X]:[Norm Z]],Chart_XRotationVals)</calculatedColumnFormula>
    </tableColumn>
    <tableColumn id="8" xr3:uid="{D1823636-1EED-41C0-A6CC-BDD721664B64}" name="Screen Y" dataDxfId="62">
      <calculatedColumnFormula>SUMPRODUCT(AnimalShadows[[#This Row],[Norm X]:[Norm Z]],Chart_YRotationVals)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659E1AC-F902-4DEE-981A-B51CA1687EDC}" name="BackgroundGraphingTable" displayName="BackgroundGraphingTable" ref="B8:M39" totalsRowShown="0">
  <autoFilter ref="B8:M39" xr:uid="{C57018C1-0E09-489A-BCE1-9B6062190739}"/>
  <tableColumns count="12">
    <tableColumn id="1" xr3:uid="{7083C25F-6DC9-4171-8D96-631ABFB88339}" name="Version"/>
    <tableColumn id="5" xr3:uid="{337914CE-6E04-44D1-B7DC-1AF9C400C722}" name="Starting position"/>
    <tableColumn id="8" xr3:uid="{BCF8885E-D6C6-41C0-8541-F0EBA9C2DD15}" name="Calculated position" dataDxfId="61">
      <calculatedColumnFormula>0.5*BackgroundAcceleration*NetTime^2+BackgroundVelocity*NetTime+BackgroundGraphingTable[[#This Row],[Starting position]]</calculatedColumnFormula>
    </tableColumn>
    <tableColumn id="9" xr3:uid="{56195650-FB58-4677-BD10-549304AFA5D1}" name="Offset multiplier" dataDxfId="60">
      <calculatedColumnFormula>IF(BackgroundGraphingTable[[#This Row],[Calculated position]]&gt;0,0,ROUNDUP(-BackgroundGraphingTable[[#This Row],[Calculated position]]/BackgroundCycle,0))</calculatedColumnFormula>
    </tableColumn>
    <tableColumn id="10" xr3:uid="{47F27230-005B-4098-B860-AF921A6ABB57}" name="X" dataDxfId="59">
      <calculatedColumnFormula>BackgroundGraphingTable[[#This Row],[Offset multiplier]]*BackgroundCycle+BackgroundGraphingTable[[#This Row],[Calculated position]]</calculatedColumnFormula>
    </tableColumn>
    <tableColumn id="11" xr3:uid="{62439E76-0CB2-4F49-87A5-7B270F64F232}" name="Y" dataDxfId="58"/>
    <tableColumn id="12" xr3:uid="{E8349223-B107-42F5-814B-5F14E3D47AF5}" name="Z" dataDxfId="57">
      <calculatedColumnFormula>-20</calculatedColumnFormula>
    </tableColumn>
    <tableColumn id="13" xr3:uid="{99BCD07B-6DB9-4793-9ED1-CC0F0451ECE0}" name="Norm X" dataDxfId="56">
      <calculatedColumnFormula>(BackgroundGraphingTable[[#This Row],[X]]-Xframe_min)/Xframe_range-0.5</calculatedColumnFormula>
    </tableColumn>
    <tableColumn id="14" xr3:uid="{AD400414-389E-4059-8182-512F24F79244}" name="Norm Y" dataDxfId="55">
      <calculatedColumnFormula>(BackgroundGraphingTable[[#This Row],[Y]]-Yframe_min)/Yframe_range-0.5</calculatedColumnFormula>
    </tableColumn>
    <tableColumn id="15" xr3:uid="{2CB03DC9-1C18-4514-BCA0-AB4626F794CD}" name="Norm Z" dataDxfId="54">
      <calculatedColumnFormula>(BackgroundGraphingTable[[#This Row],[Z]]-Zframe_min)/Zframe_range-0.5</calculatedColumnFormula>
    </tableColumn>
    <tableColumn id="16" xr3:uid="{BB6ED17F-A8D4-48AA-90D0-A0239D766B6D}" name="Screen X" dataDxfId="53">
      <calculatedColumnFormula>SUMPRODUCT(BackgroundGraphingTable[[#This Row],[Norm X]:[Norm Z]],Chart_XRotationVals)</calculatedColumnFormula>
    </tableColumn>
    <tableColumn id="17" xr3:uid="{1595B625-6F1E-4A90-A5D2-310614D79FF1}" name="Screen Y" dataDxfId="52">
      <calculatedColumnFormula>SUMPRODUCT(BackgroundGraphingTable[[#This Row],[Norm X]:[Norm Z]],Chart_YRotationVals)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2D716C-5B32-49B9-8B81-91B89108E675}" name="GameRotationTable" displayName="GameRotationTable" ref="E19:H27" totalsRowShown="0">
  <autoFilter ref="E19:H27" xr:uid="{26806D1A-55BF-4F48-853A-8B3DCEF4DB95}"/>
  <tableColumns count="4">
    <tableColumn id="1" xr3:uid="{1B2868B8-C9CB-46BC-987C-055EF2680838}" name="Label"/>
    <tableColumn id="2" xr3:uid="{6AC2F7F0-E9E7-4A1B-AD45-06644B6591E3}" name="X val"/>
    <tableColumn id="3" xr3:uid="{DAB4B1AD-5725-433F-8E6C-E3D42464E669}" name="Y val"/>
    <tableColumn id="4" xr3:uid="{5F9AA6CA-87D1-4484-9D13-5E74C5AD709D}" name="Z val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D2F494-7FAD-4B35-B41B-2C022C4253FA}" name="BasicCalcsTable" displayName="BasicCalcsTable" ref="A1:B32" totalsRowShown="0">
  <autoFilter ref="A1:B32" xr:uid="{FD7EB899-6B00-4321-AC29-B2874BACF8D9}"/>
  <tableColumns count="2">
    <tableColumn id="1" xr3:uid="{064F656E-2A70-4D94-BC4A-12931A4A8741}" name="Data"/>
    <tableColumn id="2" xr3:uid="{69BBAB5E-7AB6-46E0-8FDC-E2CE2AFC2AF5}" name="Value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E67FF5-C4D2-477D-A07D-310DC6DA7DD4}" name="SetupConstantsTable" displayName="SetupConstantsTable" ref="E1:W12" totalsRowShown="0">
  <autoFilter ref="E1:W12" xr:uid="{43A6E886-30C7-4AEB-8EE5-2B5B3C944441}"/>
  <tableColumns count="19">
    <tableColumn id="1" xr3:uid="{C6994DA2-A172-414B-97D7-7A955B74DB0E}" name="Object"/>
    <tableColumn id="2" xr3:uid="{A5BACA5E-A048-416F-BC6D-AFE2C6F4C321}" name="Appearance"/>
    <tableColumn id="3" xr3:uid="{109ED738-4A20-457A-A4FB-CDA3EF6274E2}" name="Cycle position"/>
    <tableColumn id="4" xr3:uid="{7FA8B449-52E2-4502-83E8-66A705073639}" name="Head to mid"/>
    <tableColumn id="5" xr3:uid="{AC010943-0A43-49A4-90D5-DABFDA9C3A6E}" name="Tail to mid"/>
    <tableColumn id="6" xr3:uid="{80DFB239-42A1-4910-B4D3-7BEE7423688B}" name="Head"/>
    <tableColumn id="7" xr3:uid="{4A6969EE-9290-4901-92FB-FA6F699834FD}" name="Mid"/>
    <tableColumn id="8" xr3:uid="{8F724782-8AAF-4F0C-853C-3F09253071F4}" name="Tail"/>
    <tableColumn id="21" xr3:uid="{98FB4119-D33E-443D-874A-7DDED638AD85}" name="High Z"/>
    <tableColumn id="22" xr3:uid="{BA5B5D66-651E-4F22-BBB8-6D8B0F83FCC8}" name="Low Z"/>
    <tableColumn id="9" xr3:uid="{61A0D15C-35B3-4B7C-967B-D41FE511A440}" name="Acceleration"/>
    <tableColumn id="10" xr3:uid="{A5CF51B3-B427-405C-BC5D-2D6CBCFA8006}" name="Velocity at 0"/>
    <tableColumn id="11" xr3:uid="{54F33617-9BB7-4BBB-864B-FCEFC910FD55}" name="X1" dataDxfId="51"/>
    <tableColumn id="15" xr3:uid="{5D4F3968-A8CB-49F1-A18B-481FF4AAC8CD}" name="Y1" dataDxfId="50"/>
    <tableColumn id="18" xr3:uid="{0549AE66-7C2F-4F2B-8056-DE3DF8F0A72D}" name="Z1" dataDxfId="49"/>
    <tableColumn id="12" xr3:uid="{ACE8E244-6D6C-463A-967B-DC0C35CA69DA}" name="X2" dataDxfId="48"/>
    <tableColumn id="16" xr3:uid="{7B26100F-9003-46FD-9F6C-9E63FA06F6EE}" name="Y2" dataDxfId="47"/>
    <tableColumn id="19" xr3:uid="{9BE9D0AF-D1FA-4598-8228-B72C3ECBF583}" name="Z2" dataDxfId="46"/>
    <tableColumn id="13" xr3:uid="{68DE37D4-BB47-4694-BFE4-C5929830FC59}" name="A/an" dataDxfId="45">
      <calculatedColumnFormula>IF(LEFT(SetupConstantsTable[[#This Row],[Appearance]],1)="O","an","a")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6B47C2-96C2-4295-8420-23F1D3F65EE5}" name="CageGraphingTable" displayName="CageGraphingTable" ref="B2:G13" totalsRowShown="0">
  <autoFilter ref="B2:G13" xr:uid="{7D51E64F-7067-4A64-9DFB-3022F71FF828}"/>
  <tableColumns count="6">
    <tableColumn id="1" xr3:uid="{ADC9FE3E-2E51-42BC-9E34-F01217AF67F1}" name="Point"/>
    <tableColumn id="2" xr3:uid="{39BBBBD3-07F9-4F31-959F-91530AEEFFE1}" name="X"/>
    <tableColumn id="3" xr3:uid="{2445590B-6D72-4D07-87D0-5D616B5C7359}" name="Y"/>
    <tableColumn id="4" xr3:uid="{43EEBC01-4F8F-4CAF-A765-1351C4182AAA}" name="Z"/>
    <tableColumn id="5" xr3:uid="{E5D8C23C-5D62-493B-B971-CA8E7A19C851}" name="Screen xs" dataDxfId="44">
      <calculatedColumnFormula>SUMPRODUCT(CageGraphingTable[[#This Row],[X]:[Z]],Chart_XRotationVals)</calculatedColumnFormula>
    </tableColumn>
    <tableColumn id="6" xr3:uid="{1DA7C76C-8463-40A0-B64D-EE7291026FD5}" name="Screen ys" dataDxfId="43">
      <calculatedColumnFormula>SUMPRODUCT(CageGraphingTable[[#This Row],[X]:[Z]],Chart_YRotationVals)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343302-153A-4CEC-BE7E-3C5A4A6C4AA1}" name="TT" displayName="TT" ref="B2:O98" totalsRowShown="0" headerRowDxfId="42" dataDxfId="41">
  <autoFilter ref="B2:O98" xr:uid="{8984F064-5057-45B7-AC56-2719050DDE6C}"/>
  <tableColumns count="14">
    <tableColumn id="1" xr3:uid="{580FF733-AE22-4313-A9E7-69266ACFF0A1}" name="Row" dataDxfId="40">
      <calculatedColumnFormula>ROW()</calculatedColumnFormula>
    </tableColumn>
    <tableColumn id="2" xr3:uid="{010EB4D8-5306-4815-8667-CE1FC438583B}" name="Tab" dataDxfId="39"/>
    <tableColumn id="3" xr3:uid="{B17C998E-7E08-4544-BAB0-0C163CB19029}" name="Location" dataDxfId="38">
      <calculatedColumnFormula>"Shark2-"&amp;TT[[#This Row],[Tab]]</calculatedColumnFormula>
    </tableColumn>
    <tableColumn id="4" xr3:uid="{DBF0A63D-4A7F-4B71-92D5-E4BF1158A2E7}" name="Language 1" dataDxfId="37"/>
    <tableColumn id="5" xr3:uid="{EC04C366-B0A7-495F-85A0-8EB2CBE1AD87}" name="Language 2" dataDxfId="36"/>
    <tableColumn id="6" xr3:uid="{0CB69FFF-4D56-4A0F-A343-89963853DC43}" name="Language 3" dataDxfId="35"/>
    <tableColumn id="7" xr3:uid="{381DFA3A-DE50-4D6F-8D39-9AB63B6EA205}" name="Language 4" dataDxfId="34"/>
    <tableColumn id="8" xr3:uid="{2A3EEE0A-1D7F-46EF-A248-B19FA78FCCA7}" name="Language 5" dataDxfId="33"/>
    <tableColumn id="9" xr3:uid="{698B6D7A-F832-496B-B274-C98FDBC4EBBC}" name="Language 6" dataDxfId="32"/>
    <tableColumn id="10" xr3:uid="{868BE214-97B8-4CDE-84C8-B9D8DAE6FBE5}" name="Language 7" dataDxfId="31"/>
    <tableColumn id="11" xr3:uid="{04B831F3-ACE3-4C9C-A268-1DB2F3393600}" name="Language 8" dataDxfId="30"/>
    <tableColumn id="12" xr3:uid="{710CD807-E699-4FF4-B1AF-B2D77223C795}" name="Language 9" dataDxfId="29"/>
    <tableColumn id="13" xr3:uid="{D83D7494-91D7-47FD-A3E8-54902929B4B0}" name="Language 10" dataDxfId="28"/>
    <tableColumn id="14" xr3:uid="{71C6D194-EB3A-4F67-ACA2-5904EF161295}" name="Display" dataDxfId="27">
      <calculatedColumnFormula>INDEX(TT[[#This Row],[Language 1]:[Language 10]],1,LanguageSelect)</calculatedColumn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B193955-53A6-4F94-AD59-43585BAC1F66}" name="TBL_CUR" displayName="TBL_CUR" ref="A4:H5" totalsRowShown="0" headerRowDxfId="26" dataDxfId="25">
  <autoFilter ref="A4:H5" xr:uid="{DE8527C9-2862-4A55-9854-CF2D289989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0E6D35-4A77-4A0D-943E-D812D4D776A6}" name="TIME" dataDxfId="24"/>
    <tableColumn id="2" xr3:uid="{CF577A38-A553-408E-90B4-D8A705CBF2FE}" name="X Rotation" dataDxfId="23"/>
    <tableColumn id="3" xr3:uid="{0C8B4443-5A07-40A8-9455-09E893A9E5DA}" name="Y Rotation" dataDxfId="22"/>
    <tableColumn id="4" xr3:uid="{6F8EA537-56F7-4BD2-B7BD-F8747101029A}" name="Z Rotation" dataDxfId="21"/>
    <tableColumn id="5" xr3:uid="{B319F7F1-B26D-470E-B54B-666C68E77F46}" name="X Position" dataDxfId="20"/>
    <tableColumn id="6" xr3:uid="{01B1AE9B-74FA-4093-A78F-CE564566C8E1}" name="Y Position" dataDxfId="19"/>
    <tableColumn id="7" xr3:uid="{E45BF277-B5BA-4A77-AACC-064CAF2609CC}" name="Z Position" dataDxfId="18"/>
    <tableColumn id="8" xr3:uid="{D96EBF6C-0C42-465D-A6E5-378A40CDEE72}" name="End Time" dataDxfId="17"/>
  </tableColumns>
  <tableStyleInfo name="Invisi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6D935F-097C-4BD3-8E60-2135C11EA3CF}" name="TBL_HST" displayName="TBL_HST" ref="A7:H8" totalsRowShown="0" headerRowDxfId="16" dataDxfId="15">
  <autoFilter ref="A7:H8" xr:uid="{16F1E181-50C3-4CC0-98F1-9E1137EFB1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40F8ED8-C6ED-44BF-B1A8-94B341875F3E}" name="TIME" dataDxfId="14"/>
    <tableColumn id="2" xr3:uid="{275D57EE-4E78-4AEC-A19B-056816F17BD3}" name="X Rotation" dataDxfId="13"/>
    <tableColumn id="3" xr3:uid="{A8B05ED9-CD99-44DC-A3E4-31867A353FE2}" name="Y Rotation" dataDxfId="12"/>
    <tableColumn id="4" xr3:uid="{B56478CF-9235-40D0-AE96-8C014B1C37AD}" name="Z Rotation" dataDxfId="11"/>
    <tableColumn id="5" xr3:uid="{1FECFB30-0F79-4537-9782-DD4F38EF2339}" name="X Position" dataDxfId="10"/>
    <tableColumn id="6" xr3:uid="{51BBCADB-2B06-499E-9EF8-2267B3872361}" name="Y Position" dataDxfId="9"/>
    <tableColumn id="7" xr3:uid="{F48B1B9A-9CE2-466C-8197-C05F72AE692F}" name="Z Position" dataDxfId="8"/>
    <tableColumn id="8" xr3:uid="{126C2219-E2B7-43BD-939D-2ABD612F593F}" name="End Time" dataDxfId="7"/>
  </tableColumns>
  <tableStyleInfo name="Invisi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484D64-5319-4827-9C14-3CC0E51B6A5F}" name="Table1" displayName="Table1" ref="A1:E10" totalsRowShown="0">
  <autoFilter ref="A1:E10" xr:uid="{AD1B591B-CAF3-47BD-B223-E7154B5D37C8}"/>
  <tableColumns count="5">
    <tableColumn id="1" xr3:uid="{34973CB1-C71D-4455-8DF7-A9096E3D2B80}" name="Name"/>
    <tableColumn id="2" xr3:uid="{0D5737C7-22BA-4B42-8C8F-76509633BC6A}" name="Roll" dataDxfId="6"/>
    <tableColumn id="3" xr3:uid="{2D01FA9D-B337-46AC-90E8-7F5E564F624F}" name="Pitch" dataDxfId="5"/>
    <tableColumn id="4" xr3:uid="{FD8F83A4-4170-4FA1-9107-77248D705A7F}" name="Visible" dataDxfId="4">
      <calculatedColumnFormula>IF(AND(Table1[[#This Row],[Roll]]=Roll,Pitch=Table1[[#This Row],[Pitch]]),1,NA())</calculatedColumnFormula>
    </tableColumn>
    <tableColumn id="5" xr3:uid="{58C025CF-D1AB-4090-A5E3-BDEA67B5A601}" name="Test Visible" dataDxfId="3">
      <calculatedColumnFormula>IF(AND(Table1[[#This Row],[Roll]]=InputRoll,InputPitch=Table1[[#This Row],[Pitch]]),1,NA())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78737B-8272-4857-9BF3-64C2BADCD8DB}" name="Table5" displayName="Table5" ref="A13:D16" totalsRowShown="0">
  <autoFilter ref="A13:D16" xr:uid="{03B2C480-25AE-4FF7-A13B-BE916CD5C4E7}"/>
  <tableColumns count="4">
    <tableColumn id="1" xr3:uid="{99E29C07-CEE0-43E4-B3F8-E9D4333FB8B9}" name="Name"/>
    <tableColumn id="2" xr3:uid="{1997CDE1-88FC-4E16-A5C4-9750CA359753}" name="Yaw" dataDxfId="2"/>
    <tableColumn id="3" xr3:uid="{F3518FD2-9F15-4367-86BF-2F029FEE1277}" name="Visible" dataDxfId="1">
      <calculatedColumnFormula>IF(Table5[[#This Row],[Yaw]]=Yaw,1,NA())</calculatedColumnFormula>
    </tableColumn>
    <tableColumn id="4" xr3:uid="{146ECA2A-75B2-4E38-BB72-6FF49422B226}" name="Test Visible" dataDxfId="0">
      <calculatedColumnFormula>IF(Table5[[#This Row],[Yaw]]=InputYaw,1,NA())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749ED-5023-445B-BE94-4CA9E60EF749}">
  <sheetPr codeName="Sheet7"/>
  <dimension ref="B1:W29"/>
  <sheetViews>
    <sheetView workbookViewId="0">
      <selection activeCell="P8" sqref="P8"/>
    </sheetView>
  </sheetViews>
  <sheetFormatPr defaultRowHeight="15"/>
  <cols>
    <col min="1" max="1" width="4.5703125" customWidth="1"/>
    <col min="2" max="2" width="15.5703125" bestFit="1" customWidth="1"/>
    <col min="3" max="3" width="6.140625" bestFit="1" customWidth="1"/>
    <col min="4" max="4" width="7.28515625" bestFit="1" customWidth="1"/>
    <col min="5" max="5" width="6.5703125" bestFit="1" customWidth="1"/>
    <col min="6" max="9" width="10.42578125" customWidth="1"/>
    <col min="12" max="12" width="14.42578125" bestFit="1" customWidth="1"/>
    <col min="13" max="13" width="14.85546875" bestFit="1" customWidth="1"/>
    <col min="16" max="16" width="14.42578125" bestFit="1" customWidth="1"/>
    <col min="17" max="17" width="14.5703125" bestFit="1" customWidth="1"/>
    <col min="18" max="19" width="11" customWidth="1"/>
  </cols>
  <sheetData>
    <row r="1" spans="2:23">
      <c r="G1" s="12">
        <f>(Xposition-Xframe_min)/Xframe_range-0.5</f>
        <v>-0.5</v>
      </c>
      <c r="H1" s="12">
        <f>(Yposition-Yframe_min)/Yframe_range-0.5</f>
        <v>0</v>
      </c>
      <c r="I1" s="12">
        <f>(Zposition-Zframe_min)/Zframe_range-0.5</f>
        <v>-2.5000000000000022E-2</v>
      </c>
      <c r="J1" s="12">
        <f>SUMPRODUCT($G$1:$I$1,Chart_XRotationVals)</f>
        <v>-0.35355339059327379</v>
      </c>
      <c r="K1" s="12">
        <f>SUMPRODUCT($G$1:$I$1,Chart_YRotationVals)</f>
        <v>-0.18543694933448129</v>
      </c>
    </row>
    <row r="2" spans="2:2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</row>
    <row r="3" spans="2:23">
      <c r="B3" t="s">
        <v>19</v>
      </c>
      <c r="C3">
        <v>-1</v>
      </c>
      <c r="D3">
        <v>-1</v>
      </c>
      <c r="E3">
        <v>-1</v>
      </c>
      <c r="F3" t="b">
        <f>AND(SharkGraphingTable[[#This Row],[Roll]]=Roll,SharkGraphingTable[[#This Row],[Pitch]]=Pitch,SharkGraphingTable[[#This Row],[Yaw]]=Yaw)</f>
        <v>0</v>
      </c>
      <c r="G3">
        <f t="shared" ref="G3:G29" si="0">(Xposition-Xframe_min)/Xframe_range-0.5</f>
        <v>-0.5</v>
      </c>
      <c r="H3">
        <f t="shared" ref="H3:H29" si="1">(Yposition-Yframe_min)/Yframe_range-0.5</f>
        <v>0</v>
      </c>
      <c r="I3">
        <f t="shared" ref="I3:I29" si="2">(Zposition-Zframe_min)/Zframe_range-0.5</f>
        <v>-2.5000000000000022E-2</v>
      </c>
      <c r="J3" t="e">
        <f>IF(SharkGraphingTable[[#This Row],[Make NA]],SUMPRODUCT(SharkGraphingTable[[#This Row],[Norm X]:[Norm Z]],Chart_XRotationVals),NA())</f>
        <v>#N/A</v>
      </c>
      <c r="K3" t="e">
        <f>IF(SharkGraphingTable[[#This Row],[Make NA]],SUMPRODUCT(SharkGraphingTable[[#This Row],[Norm X]:[Norm Z]],Chart_YRotationVals),NA())</f>
        <v>#N/A</v>
      </c>
      <c r="L3" t="e">
        <f>IF(AND(SharkGraphingTable[[#This Row],[Roll]]=InputRoll,SharkGraphingTable[[#This Row],[Pitch]]=InputPitch,SharkGraphingTable[[#This Row],[Yaw]]=InputYaw),1,NA())</f>
        <v>#N/A</v>
      </c>
      <c r="M3" t="str">
        <f>"shark R"&amp;SharkGraphingTable[[#This Row],[Roll]]&amp;" P"&amp;SharkGraphingTable[[#This Row],[Pitch]]&amp;" Y"&amp;SharkGraphingTable[[#This Row],[Yaw]]</f>
        <v>shark R-1 P-1 Y-1</v>
      </c>
      <c r="P3" t="s">
        <v>20</v>
      </c>
      <c r="Q3">
        <f>IFERROR(INDEX(SetupConstantsTable[],MATCH($P$2,SetupConstantsTable[Object],0),MATCH(SharkBubbleTable[[#This Row],[Shark]]&amp;" to mid",SetupConstantsTable[#Headers],0)),0)</f>
        <v>2</v>
      </c>
      <c r="R3">
        <f>INDEX(SetupConstantsTable[],MATCH($P$2,SetupConstantsTable[Object],0),MATCH(SharkBubbleTable[[#This Row],[Shark]],SetupConstantsTable[#Headers],0))</f>
        <v>2</v>
      </c>
      <c r="S3">
        <v>1</v>
      </c>
      <c r="T3">
        <f>Xposition+SharkBubbleTable[[#This Row],[Dist from mid]]*COS($R$8*Yaw)*COS($R$8*Pitch)</f>
        <v>22</v>
      </c>
      <c r="U3">
        <f>Yposition+SharkBubbleTable[[#This Row],[Dist from mid]]*SharkBubbleTable[[#This Row],['#]]*SIN($R$8*Yaw)</f>
        <v>0</v>
      </c>
      <c r="V3">
        <f>Zposition+SharkBubbleTable[[#This Row],[Dist from mid]]*SharkBubbleTable[[#This Row],['#]]*SIN($R$8*Pitch)</f>
        <v>-10.5</v>
      </c>
    </row>
    <row r="4" spans="2:23">
      <c r="B4" t="s">
        <v>21</v>
      </c>
      <c r="C4">
        <v>-1</v>
      </c>
      <c r="D4">
        <v>-1</v>
      </c>
      <c r="E4">
        <v>0</v>
      </c>
      <c r="F4" t="b">
        <f>AND(SharkGraphingTable[[#This Row],[Roll]]=Roll,SharkGraphingTable[[#This Row],[Pitch]]=Pitch,SharkGraphingTable[[#This Row],[Yaw]]=Yaw)</f>
        <v>0</v>
      </c>
      <c r="G4">
        <f t="shared" si="0"/>
        <v>-0.5</v>
      </c>
      <c r="H4">
        <f t="shared" si="1"/>
        <v>0</v>
      </c>
      <c r="I4">
        <f t="shared" si="2"/>
        <v>-2.5000000000000022E-2</v>
      </c>
      <c r="J4" t="e">
        <f>IF(SharkGraphingTable[[#This Row],[Make NA]],SUMPRODUCT(SharkGraphingTable[[#This Row],[Norm X]:[Norm Z]],Chart_XRotationVals),NA())</f>
        <v>#N/A</v>
      </c>
      <c r="K4" t="e">
        <f>IF(SharkGraphingTable[[#This Row],[Make NA]],SUMPRODUCT(SharkGraphingTable[[#This Row],[Norm X]:[Norm Z]],Chart_YRotationVals),NA())</f>
        <v>#N/A</v>
      </c>
      <c r="L4" t="e">
        <f>IF(AND(SharkGraphingTable[[#This Row],[Roll]]=InputRoll,SharkGraphingTable[[#This Row],[Pitch]]=InputPitch,SharkGraphingTable[[#This Row],[Yaw]]=InputYaw),1,NA())</f>
        <v>#N/A</v>
      </c>
      <c r="M4" t="str">
        <f>"shark R"&amp;SharkGraphingTable[[#This Row],[Roll]]&amp;" P"&amp;SharkGraphingTable[[#This Row],[Pitch]]&amp;" Y"&amp;SharkGraphingTable[[#This Row],[Yaw]]</f>
        <v>shark R-1 P-1 Y0</v>
      </c>
      <c r="P4" t="s">
        <v>22</v>
      </c>
      <c r="Q4">
        <f>IFERROR(INDEX(SetupConstantsTable[],MATCH($P$2,SetupConstantsTable[Object],0),MATCH(SharkBubbleTable[[#This Row],[Shark]]&amp;" to mid",SetupConstantsTable[#Headers],0)),0)</f>
        <v>0</v>
      </c>
      <c r="R4">
        <f>INDEX(SetupConstantsTable[],MATCH($P$2,SetupConstantsTable[Object],0),MATCH(SharkBubbleTable[[#This Row],[Shark]],SetupConstantsTable[#Headers],0))</f>
        <v>2</v>
      </c>
      <c r="S4">
        <v>0</v>
      </c>
      <c r="T4">
        <f>Xposition+SharkBubbleTable[[#This Row],[Dist from mid]]*COS($R$8*Yaw)*COS($R$8*Pitch)</f>
        <v>20</v>
      </c>
      <c r="U4">
        <f>Yposition+SharkBubbleTable[[#This Row],[Dist from mid]]*SharkBubbleTable[[#This Row],['#]]*SIN($R$8*Yaw)</f>
        <v>0</v>
      </c>
      <c r="V4">
        <f>Zposition+SharkBubbleTable[[#This Row],[Dist from mid]]*SharkBubbleTable[[#This Row],['#]]*SIN($R$8*Pitch)</f>
        <v>-10.5</v>
      </c>
    </row>
    <row r="5" spans="2:23">
      <c r="B5" t="s">
        <v>23</v>
      </c>
      <c r="C5">
        <v>-1</v>
      </c>
      <c r="D5">
        <v>-1</v>
      </c>
      <c r="E5">
        <v>1</v>
      </c>
      <c r="F5" t="b">
        <f>AND(SharkGraphingTable[[#This Row],[Roll]]=Roll,SharkGraphingTable[[#This Row],[Pitch]]=Pitch,SharkGraphingTable[[#This Row],[Yaw]]=Yaw)</f>
        <v>0</v>
      </c>
      <c r="G5">
        <f t="shared" si="0"/>
        <v>-0.5</v>
      </c>
      <c r="H5">
        <f t="shared" si="1"/>
        <v>0</v>
      </c>
      <c r="I5">
        <f t="shared" si="2"/>
        <v>-2.5000000000000022E-2</v>
      </c>
      <c r="J5" t="e">
        <f>IF(SharkGraphingTable[[#This Row],[Make NA]],SUMPRODUCT(SharkGraphingTable[[#This Row],[Norm X]:[Norm Z]],Chart_XRotationVals),NA())</f>
        <v>#N/A</v>
      </c>
      <c r="K5" t="e">
        <f>IF(SharkGraphingTable[[#This Row],[Make NA]],SUMPRODUCT(SharkGraphingTable[[#This Row],[Norm X]:[Norm Z]],Chart_YRotationVals),NA())</f>
        <v>#N/A</v>
      </c>
      <c r="L5" t="e">
        <f>IF(AND(SharkGraphingTable[[#This Row],[Roll]]=InputRoll,SharkGraphingTable[[#This Row],[Pitch]]=InputPitch,SharkGraphingTable[[#This Row],[Yaw]]=InputYaw),1,NA())</f>
        <v>#N/A</v>
      </c>
      <c r="M5" t="str">
        <f>"shark R"&amp;SharkGraphingTable[[#This Row],[Roll]]&amp;" P"&amp;SharkGraphingTable[[#This Row],[Pitch]]&amp;" Y"&amp;SharkGraphingTable[[#This Row],[Yaw]]</f>
        <v>shark R-1 P-1 Y1</v>
      </c>
      <c r="P5" t="s">
        <v>24</v>
      </c>
      <c r="Q5">
        <f>IFERROR(INDEX(SetupConstantsTable[],MATCH($P$2,SetupConstantsTable[Object],0),MATCH(SharkBubbleTable[[#This Row],[Shark]]&amp;" to mid",SetupConstantsTable[#Headers],0)),0)</f>
        <v>-2</v>
      </c>
      <c r="R5">
        <f>INDEX(SetupConstantsTable[],MATCH($P$2,SetupConstantsTable[Object],0),MATCH(SharkBubbleTable[[#This Row],[Shark]],SetupConstantsTable[#Headers],0))</f>
        <v>1</v>
      </c>
      <c r="S5">
        <v>-1</v>
      </c>
      <c r="T5">
        <f>Xposition+SharkBubbleTable[[#This Row],[Dist from mid]]*COS($R$8*Yaw)*COS($R$8*Pitch)</f>
        <v>18</v>
      </c>
      <c r="U5">
        <f>Yposition+SharkBubbleTable[[#This Row],[Dist from mid]]*SharkBubbleTable[[#This Row],['#]]*SIN($R$8*Yaw)</f>
        <v>0</v>
      </c>
      <c r="V5">
        <f>Zposition+SharkBubbleTable[[#This Row],[Dist from mid]]*SharkBubbleTable[[#This Row],['#]]*SIN($R$8*Pitch)</f>
        <v>-10.5</v>
      </c>
    </row>
    <row r="6" spans="2:23">
      <c r="B6" t="s">
        <v>25</v>
      </c>
      <c r="C6">
        <v>-1</v>
      </c>
      <c r="D6">
        <v>0</v>
      </c>
      <c r="E6">
        <v>-1</v>
      </c>
      <c r="F6" t="b">
        <f>AND(SharkGraphingTable[[#This Row],[Roll]]=Roll,SharkGraphingTable[[#This Row],[Pitch]]=Pitch,SharkGraphingTable[[#This Row],[Yaw]]=Yaw)</f>
        <v>0</v>
      </c>
      <c r="G6">
        <f t="shared" si="0"/>
        <v>-0.5</v>
      </c>
      <c r="H6">
        <f t="shared" si="1"/>
        <v>0</v>
      </c>
      <c r="I6">
        <f t="shared" si="2"/>
        <v>-2.5000000000000022E-2</v>
      </c>
      <c r="J6" t="e">
        <f>IF(SharkGraphingTable[[#This Row],[Make NA]],SUMPRODUCT(SharkGraphingTable[[#This Row],[Norm X]:[Norm Z]],Chart_XRotationVals),NA())</f>
        <v>#N/A</v>
      </c>
      <c r="K6" t="e">
        <f>IF(SharkGraphingTable[[#This Row],[Make NA]],SUMPRODUCT(SharkGraphingTable[[#This Row],[Norm X]:[Norm Z]],Chart_YRotationVals),NA())</f>
        <v>#N/A</v>
      </c>
      <c r="L6" t="e">
        <f>IF(AND(SharkGraphingTable[[#This Row],[Roll]]=InputRoll,SharkGraphingTable[[#This Row],[Pitch]]=InputPitch,SharkGraphingTable[[#This Row],[Yaw]]=InputYaw),1,NA())</f>
        <v>#N/A</v>
      </c>
      <c r="M6" t="str">
        <f>"shark R"&amp;SharkGraphingTable[[#This Row],[Roll]]&amp;" P"&amp;SharkGraphingTable[[#This Row],[Pitch]]&amp;" Y"&amp;SharkGraphingTable[[#This Row],[Yaw]]</f>
        <v>shark R-1 P0 Y-1</v>
      </c>
    </row>
    <row r="7" spans="2:23">
      <c r="B7" t="s">
        <v>26</v>
      </c>
      <c r="C7">
        <v>-1</v>
      </c>
      <c r="D7">
        <v>0</v>
      </c>
      <c r="E7">
        <v>0</v>
      </c>
      <c r="F7" t="b">
        <f>AND(SharkGraphingTable[[#This Row],[Roll]]=Roll,SharkGraphingTable[[#This Row],[Pitch]]=Pitch,SharkGraphingTable[[#This Row],[Yaw]]=Yaw)</f>
        <v>0</v>
      </c>
      <c r="G7">
        <f t="shared" si="0"/>
        <v>-0.5</v>
      </c>
      <c r="H7">
        <f t="shared" si="1"/>
        <v>0</v>
      </c>
      <c r="I7">
        <f t="shared" si="2"/>
        <v>-2.5000000000000022E-2</v>
      </c>
      <c r="J7" t="e">
        <f>IF(SharkGraphingTable[[#This Row],[Make NA]],SUMPRODUCT(SharkGraphingTable[[#This Row],[Norm X]:[Norm Z]],Chart_XRotationVals),NA())</f>
        <v>#N/A</v>
      </c>
      <c r="K7" t="e">
        <f>IF(SharkGraphingTable[[#This Row],[Make NA]],SUMPRODUCT(SharkGraphingTable[[#This Row],[Norm X]:[Norm Z]],Chart_YRotationVals),NA())</f>
        <v>#N/A</v>
      </c>
      <c r="L7" t="e">
        <f>IF(AND(SharkGraphingTable[[#This Row],[Roll]]=InputRoll,SharkGraphingTable[[#This Row],[Pitch]]=InputPitch,SharkGraphingTable[[#This Row],[Yaw]]=InputYaw),1,NA())</f>
        <v>#N/A</v>
      </c>
      <c r="M7" t="str">
        <f>"shark R"&amp;SharkGraphingTable[[#This Row],[Roll]]&amp;" P"&amp;SharkGraphingTable[[#This Row],[Pitch]]&amp;" Y"&amp;SharkGraphingTable[[#This Row],[Yaw]]</f>
        <v>shark R-1 P0 Y0</v>
      </c>
    </row>
    <row r="8" spans="2:23">
      <c r="B8" t="s">
        <v>27</v>
      </c>
      <c r="C8">
        <v>-1</v>
      </c>
      <c r="D8">
        <v>0</v>
      </c>
      <c r="E8">
        <v>1</v>
      </c>
      <c r="F8" t="b">
        <f>AND(SharkGraphingTable[[#This Row],[Roll]]=Roll,SharkGraphingTable[[#This Row],[Pitch]]=Pitch,SharkGraphingTable[[#This Row],[Yaw]]=Yaw)</f>
        <v>0</v>
      </c>
      <c r="G8">
        <f t="shared" si="0"/>
        <v>-0.5</v>
      </c>
      <c r="H8">
        <f t="shared" si="1"/>
        <v>0</v>
      </c>
      <c r="I8">
        <f t="shared" si="2"/>
        <v>-2.5000000000000022E-2</v>
      </c>
      <c r="J8" t="e">
        <f>IF(SharkGraphingTable[[#This Row],[Make NA]],SUMPRODUCT(SharkGraphingTable[[#This Row],[Norm X]:[Norm Z]],Chart_XRotationVals),NA())</f>
        <v>#N/A</v>
      </c>
      <c r="K8" t="e">
        <f>IF(SharkGraphingTable[[#This Row],[Make NA]],SUMPRODUCT(SharkGraphingTable[[#This Row],[Norm X]:[Norm Z]],Chart_YRotationVals),NA())</f>
        <v>#N/A</v>
      </c>
      <c r="L8" t="e">
        <f>IF(AND(SharkGraphingTable[[#This Row],[Roll]]=InputRoll,SharkGraphingTable[[#This Row],[Pitch]]=InputPitch,SharkGraphingTable[[#This Row],[Yaw]]=InputYaw),1,NA())</f>
        <v>#N/A</v>
      </c>
      <c r="M8" t="str">
        <f>"shark R"&amp;SharkGraphingTable[[#This Row],[Roll]]&amp;" P"&amp;SharkGraphingTable[[#This Row],[Pitch]]&amp;" Y"&amp;SharkGraphingTable[[#This Row],[Yaw]]</f>
        <v>shark R-1 P0 Y1</v>
      </c>
      <c r="P8" t="s">
        <v>28</v>
      </c>
      <c r="Q8">
        <v>30</v>
      </c>
      <c r="R8">
        <v>0.52359877559829882</v>
      </c>
    </row>
    <row r="9" spans="2:23">
      <c r="B9" t="s">
        <v>29</v>
      </c>
      <c r="C9">
        <v>-1</v>
      </c>
      <c r="D9">
        <v>1</v>
      </c>
      <c r="E9">
        <v>-1</v>
      </c>
      <c r="F9" t="b">
        <f>AND(SharkGraphingTable[[#This Row],[Roll]]=Roll,SharkGraphingTable[[#This Row],[Pitch]]=Pitch,SharkGraphingTable[[#This Row],[Yaw]]=Yaw)</f>
        <v>0</v>
      </c>
      <c r="G9">
        <f t="shared" si="0"/>
        <v>-0.5</v>
      </c>
      <c r="H9">
        <f t="shared" si="1"/>
        <v>0</v>
      </c>
      <c r="I9">
        <f t="shared" si="2"/>
        <v>-2.5000000000000022E-2</v>
      </c>
      <c r="J9" t="e">
        <f>IF(SharkGraphingTable[[#This Row],[Make NA]],SUMPRODUCT(SharkGraphingTable[[#This Row],[Norm X]:[Norm Z]],Chart_XRotationVals),NA())</f>
        <v>#N/A</v>
      </c>
      <c r="K9" t="e">
        <f>IF(SharkGraphingTable[[#This Row],[Make NA]],SUMPRODUCT(SharkGraphingTable[[#This Row],[Norm X]:[Norm Z]],Chart_YRotationVals),NA())</f>
        <v>#N/A</v>
      </c>
      <c r="L9" t="e">
        <f>IF(AND(SharkGraphingTable[[#This Row],[Roll]]=InputRoll,SharkGraphingTable[[#This Row],[Pitch]]=InputPitch,SharkGraphingTable[[#This Row],[Yaw]]=InputYaw),1,NA())</f>
        <v>#N/A</v>
      </c>
      <c r="M9" t="str">
        <f>"shark R"&amp;SharkGraphingTable[[#This Row],[Roll]]&amp;" P"&amp;SharkGraphingTable[[#This Row],[Pitch]]&amp;" Y"&amp;SharkGraphingTable[[#This Row],[Yaw]]</f>
        <v>shark R-1 P1 Y-1</v>
      </c>
    </row>
    <row r="10" spans="2:23">
      <c r="B10" t="s">
        <v>30</v>
      </c>
      <c r="C10">
        <v>-1</v>
      </c>
      <c r="D10">
        <v>1</v>
      </c>
      <c r="E10">
        <v>0</v>
      </c>
      <c r="F10" t="b">
        <f>AND(SharkGraphingTable[[#This Row],[Roll]]=Roll,SharkGraphingTable[[#This Row],[Pitch]]=Pitch,SharkGraphingTable[[#This Row],[Yaw]]=Yaw)</f>
        <v>0</v>
      </c>
      <c r="G10">
        <f t="shared" si="0"/>
        <v>-0.5</v>
      </c>
      <c r="H10">
        <f t="shared" si="1"/>
        <v>0</v>
      </c>
      <c r="I10">
        <f t="shared" si="2"/>
        <v>-2.5000000000000022E-2</v>
      </c>
      <c r="J10" t="e">
        <f>IF(SharkGraphingTable[[#This Row],[Make NA]],SUMPRODUCT(SharkGraphingTable[[#This Row],[Norm X]:[Norm Z]],Chart_XRotationVals),NA())</f>
        <v>#N/A</v>
      </c>
      <c r="K10" t="e">
        <f>IF(SharkGraphingTable[[#This Row],[Make NA]],SUMPRODUCT(SharkGraphingTable[[#This Row],[Norm X]:[Norm Z]],Chart_YRotationVals),NA())</f>
        <v>#N/A</v>
      </c>
      <c r="L10" t="e">
        <f>IF(AND(SharkGraphingTable[[#This Row],[Roll]]=InputRoll,SharkGraphingTable[[#This Row],[Pitch]]=InputPitch,SharkGraphingTable[[#This Row],[Yaw]]=InputYaw),1,NA())</f>
        <v>#N/A</v>
      </c>
      <c r="M10" t="str">
        <f>"shark R"&amp;SharkGraphingTable[[#This Row],[Roll]]&amp;" P"&amp;SharkGraphingTable[[#This Row],[Pitch]]&amp;" Y"&amp;SharkGraphingTable[[#This Row],[Yaw]]</f>
        <v>shark R-1 P1 Y0</v>
      </c>
    </row>
    <row r="11" spans="2:23">
      <c r="B11" t="s">
        <v>31</v>
      </c>
      <c r="C11">
        <v>-1</v>
      </c>
      <c r="D11">
        <v>1</v>
      </c>
      <c r="E11">
        <v>1</v>
      </c>
      <c r="F11" t="b">
        <f>AND(SharkGraphingTable[[#This Row],[Roll]]=Roll,SharkGraphingTable[[#This Row],[Pitch]]=Pitch,SharkGraphingTable[[#This Row],[Yaw]]=Yaw)</f>
        <v>0</v>
      </c>
      <c r="G11">
        <f t="shared" si="0"/>
        <v>-0.5</v>
      </c>
      <c r="H11">
        <f t="shared" si="1"/>
        <v>0</v>
      </c>
      <c r="I11">
        <f t="shared" si="2"/>
        <v>-2.5000000000000022E-2</v>
      </c>
      <c r="J11" t="e">
        <f>IF(SharkGraphingTable[[#This Row],[Make NA]],SUMPRODUCT(SharkGraphingTable[[#This Row],[Norm X]:[Norm Z]],Chart_XRotationVals),NA())</f>
        <v>#N/A</v>
      </c>
      <c r="K11" t="e">
        <f>IF(SharkGraphingTable[[#This Row],[Make NA]],SUMPRODUCT(SharkGraphingTable[[#This Row],[Norm X]:[Norm Z]],Chart_YRotationVals),NA())</f>
        <v>#N/A</v>
      </c>
      <c r="L11" t="e">
        <f>IF(AND(SharkGraphingTable[[#This Row],[Roll]]=InputRoll,SharkGraphingTable[[#This Row],[Pitch]]=InputPitch,SharkGraphingTable[[#This Row],[Yaw]]=InputYaw),1,NA())</f>
        <v>#N/A</v>
      </c>
      <c r="M11" t="str">
        <f>"shark R"&amp;SharkGraphingTable[[#This Row],[Roll]]&amp;" P"&amp;SharkGraphingTable[[#This Row],[Pitch]]&amp;" Y"&amp;SharkGraphingTable[[#This Row],[Yaw]]</f>
        <v>shark R-1 P1 Y1</v>
      </c>
    </row>
    <row r="12" spans="2:23">
      <c r="B12" t="s">
        <v>32</v>
      </c>
      <c r="C12">
        <v>0</v>
      </c>
      <c r="D12">
        <v>-1</v>
      </c>
      <c r="E12">
        <v>-1</v>
      </c>
      <c r="F12" t="b">
        <f>AND(SharkGraphingTable[[#This Row],[Roll]]=Roll,SharkGraphingTable[[#This Row],[Pitch]]=Pitch,SharkGraphingTable[[#This Row],[Yaw]]=Yaw)</f>
        <v>0</v>
      </c>
      <c r="G12">
        <f t="shared" si="0"/>
        <v>-0.5</v>
      </c>
      <c r="H12">
        <f t="shared" si="1"/>
        <v>0</v>
      </c>
      <c r="I12">
        <f t="shared" si="2"/>
        <v>-2.5000000000000022E-2</v>
      </c>
      <c r="J12" t="e">
        <f>IF(SharkGraphingTable[[#This Row],[Make NA]],SUMPRODUCT(SharkGraphingTable[[#This Row],[Norm X]:[Norm Z]],Chart_XRotationVals),NA())</f>
        <v>#N/A</v>
      </c>
      <c r="K12" t="e">
        <f>IF(SharkGraphingTable[[#This Row],[Make NA]],SUMPRODUCT(SharkGraphingTable[[#This Row],[Norm X]:[Norm Z]],Chart_YRotationVals),NA())</f>
        <v>#N/A</v>
      </c>
      <c r="L12" t="e">
        <f>IF(AND(SharkGraphingTable[[#This Row],[Roll]]=InputRoll,SharkGraphingTable[[#This Row],[Pitch]]=InputPitch,SharkGraphingTable[[#This Row],[Yaw]]=InputYaw),1,NA())</f>
        <v>#N/A</v>
      </c>
      <c r="M12" t="str">
        <f>"shark R"&amp;SharkGraphingTable[[#This Row],[Roll]]&amp;" P"&amp;SharkGraphingTable[[#This Row],[Pitch]]&amp;" Y"&amp;SharkGraphingTable[[#This Row],[Yaw]]</f>
        <v>shark R0 P-1 Y-1</v>
      </c>
    </row>
    <row r="13" spans="2:23">
      <c r="B13" t="s">
        <v>33</v>
      </c>
      <c r="C13">
        <v>0</v>
      </c>
      <c r="D13">
        <v>-1</v>
      </c>
      <c r="E13">
        <v>0</v>
      </c>
      <c r="F13" t="b">
        <f>AND(SharkGraphingTable[[#This Row],[Roll]]=Roll,SharkGraphingTable[[#This Row],[Pitch]]=Pitch,SharkGraphingTable[[#This Row],[Yaw]]=Yaw)</f>
        <v>0</v>
      </c>
      <c r="G13">
        <f t="shared" si="0"/>
        <v>-0.5</v>
      </c>
      <c r="H13">
        <f t="shared" si="1"/>
        <v>0</v>
      </c>
      <c r="I13">
        <f t="shared" si="2"/>
        <v>-2.5000000000000022E-2</v>
      </c>
      <c r="J13" t="e">
        <f>IF(SharkGraphingTable[[#This Row],[Make NA]],SUMPRODUCT(SharkGraphingTable[[#This Row],[Norm X]:[Norm Z]],Chart_XRotationVals),NA())</f>
        <v>#N/A</v>
      </c>
      <c r="K13" t="e">
        <f>IF(SharkGraphingTable[[#This Row],[Make NA]],SUMPRODUCT(SharkGraphingTable[[#This Row],[Norm X]:[Norm Z]],Chart_YRotationVals),NA())</f>
        <v>#N/A</v>
      </c>
      <c r="L13" t="e">
        <f>IF(AND(SharkGraphingTable[[#This Row],[Roll]]=InputRoll,SharkGraphingTable[[#This Row],[Pitch]]=InputPitch,SharkGraphingTable[[#This Row],[Yaw]]=InputYaw),1,NA())</f>
        <v>#N/A</v>
      </c>
      <c r="M13" t="str">
        <f>"shark R"&amp;SharkGraphingTable[[#This Row],[Roll]]&amp;" P"&amp;SharkGraphingTable[[#This Row],[Pitch]]&amp;" Y"&amp;SharkGraphingTable[[#This Row],[Yaw]]</f>
        <v>shark R0 P-1 Y0</v>
      </c>
    </row>
    <row r="14" spans="2:23">
      <c r="B14" t="s">
        <v>34</v>
      </c>
      <c r="C14">
        <v>0</v>
      </c>
      <c r="D14">
        <v>-1</v>
      </c>
      <c r="E14">
        <v>1</v>
      </c>
      <c r="F14" t="b">
        <f>AND(SharkGraphingTable[[#This Row],[Roll]]=Roll,SharkGraphingTable[[#This Row],[Pitch]]=Pitch,SharkGraphingTable[[#This Row],[Yaw]]=Yaw)</f>
        <v>0</v>
      </c>
      <c r="G14">
        <f t="shared" si="0"/>
        <v>-0.5</v>
      </c>
      <c r="H14">
        <f t="shared" si="1"/>
        <v>0</v>
      </c>
      <c r="I14">
        <f t="shared" si="2"/>
        <v>-2.5000000000000022E-2</v>
      </c>
      <c r="J14" t="e">
        <f>IF(SharkGraphingTable[[#This Row],[Make NA]],SUMPRODUCT(SharkGraphingTable[[#This Row],[Norm X]:[Norm Z]],Chart_XRotationVals),NA())</f>
        <v>#N/A</v>
      </c>
      <c r="K14" t="e">
        <f>IF(SharkGraphingTable[[#This Row],[Make NA]],SUMPRODUCT(SharkGraphingTable[[#This Row],[Norm X]:[Norm Z]],Chart_YRotationVals),NA())</f>
        <v>#N/A</v>
      </c>
      <c r="L14" t="e">
        <f>IF(AND(SharkGraphingTable[[#This Row],[Roll]]=InputRoll,SharkGraphingTable[[#This Row],[Pitch]]=InputPitch,SharkGraphingTable[[#This Row],[Yaw]]=InputYaw),1,NA())</f>
        <v>#N/A</v>
      </c>
      <c r="M14" t="str">
        <f>"shark R"&amp;SharkGraphingTable[[#This Row],[Roll]]&amp;" P"&amp;SharkGraphingTable[[#This Row],[Pitch]]&amp;" Y"&amp;SharkGraphingTable[[#This Row],[Yaw]]</f>
        <v>shark R0 P-1 Y1</v>
      </c>
      <c r="P14" s="13">
        <v>21.661000000007775</v>
      </c>
      <c r="Q14" s="13">
        <v>8</v>
      </c>
      <c r="R14" s="13">
        <v>-15</v>
      </c>
      <c r="S14">
        <f>(P$14-Xframe_min)/Xframe_range-0.5</f>
        <v>-0.46677999999984449</v>
      </c>
      <c r="T14">
        <f>(Q$14-Yframe_min)/Yframe_range-0.5</f>
        <v>0.26666666666666672</v>
      </c>
      <c r="U14">
        <f>(R$14-Zframe_min)/Zframe_range-0.5</f>
        <v>-0.25</v>
      </c>
      <c r="V14" s="13">
        <f>SUMPRODUCT($S$14:$U$14,Chart_XRotationVals)</f>
        <v>-0.44320038831199432</v>
      </c>
      <c r="W14" s="13">
        <f>SUMPRODUCT($S$14:$U$14,Chart_YRotationVals)</f>
        <v>-0.19506564954459341</v>
      </c>
    </row>
    <row r="15" spans="2:23">
      <c r="B15" t="s">
        <v>35</v>
      </c>
      <c r="C15">
        <v>0</v>
      </c>
      <c r="D15">
        <v>0</v>
      </c>
      <c r="E15">
        <v>-1</v>
      </c>
      <c r="F15" t="b">
        <f>AND(SharkGraphingTable[[#This Row],[Roll]]=Roll,SharkGraphingTable[[#This Row],[Pitch]]=Pitch,SharkGraphingTable[[#This Row],[Yaw]]=Yaw)</f>
        <v>0</v>
      </c>
      <c r="G15">
        <f t="shared" si="0"/>
        <v>-0.5</v>
      </c>
      <c r="H15">
        <f t="shared" si="1"/>
        <v>0</v>
      </c>
      <c r="I15">
        <f t="shared" si="2"/>
        <v>-2.5000000000000022E-2</v>
      </c>
      <c r="J15" t="e">
        <f>IF(SharkGraphingTable[[#This Row],[Make NA]],SUMPRODUCT(SharkGraphingTable[[#This Row],[Norm X]:[Norm Z]],Chart_XRotationVals),NA())</f>
        <v>#N/A</v>
      </c>
      <c r="K15" t="e">
        <f>IF(SharkGraphingTable[[#This Row],[Make NA]],SUMPRODUCT(SharkGraphingTable[[#This Row],[Norm X]:[Norm Z]],Chart_YRotationVals),NA())</f>
        <v>#N/A</v>
      </c>
      <c r="L15" t="e">
        <f>IF(AND(SharkGraphingTable[[#This Row],[Roll]]=InputRoll,SharkGraphingTable[[#This Row],[Pitch]]=InputPitch,SharkGraphingTable[[#This Row],[Yaw]]=InputYaw),1,NA())</f>
        <v>#N/A</v>
      </c>
      <c r="M15" t="str">
        <f>"shark R"&amp;SharkGraphingTable[[#This Row],[Roll]]&amp;" P"&amp;SharkGraphingTable[[#This Row],[Pitch]]&amp;" Y"&amp;SharkGraphingTable[[#This Row],[Yaw]]</f>
        <v>shark R0 P0 Y-1</v>
      </c>
      <c r="P15">
        <v>20</v>
      </c>
      <c r="Q15">
        <v>9</v>
      </c>
      <c r="R15">
        <v>-16.5</v>
      </c>
    </row>
    <row r="16" spans="2:23">
      <c r="B16" t="s">
        <v>36</v>
      </c>
      <c r="C16">
        <v>0</v>
      </c>
      <c r="D16">
        <v>0</v>
      </c>
      <c r="E16">
        <v>0</v>
      </c>
      <c r="F16" t="b">
        <f>AND(SharkGraphingTable[[#This Row],[Roll]]=Roll,SharkGraphingTable[[#This Row],[Pitch]]=Pitch,SharkGraphingTable[[#This Row],[Yaw]]=Yaw)</f>
        <v>1</v>
      </c>
      <c r="G16">
        <f t="shared" si="0"/>
        <v>-0.5</v>
      </c>
      <c r="H16">
        <f t="shared" si="1"/>
        <v>0</v>
      </c>
      <c r="I16">
        <f t="shared" si="2"/>
        <v>-2.5000000000000022E-2</v>
      </c>
      <c r="J16">
        <f>IF(SharkGraphingTable[[#This Row],[Make NA]],SUMPRODUCT(SharkGraphingTable[[#This Row],[Norm X]:[Norm Z]],Chart_XRotationVals),NA())</f>
        <v>-0.35355339059327379</v>
      </c>
      <c r="K16">
        <f>IF(SharkGraphingTable[[#This Row],[Make NA]],SUMPRODUCT(SharkGraphingTable[[#This Row],[Norm X]:[Norm Z]],Chart_YRotationVals),NA())</f>
        <v>-0.18543694933448129</v>
      </c>
      <c r="L16">
        <f>IF(AND(SharkGraphingTable[[#This Row],[Roll]]=InputRoll,SharkGraphingTable[[#This Row],[Pitch]]=InputPitch,SharkGraphingTable[[#This Row],[Yaw]]=InputYaw),1,NA())</f>
        <v>1</v>
      </c>
      <c r="M16" t="str">
        <f>"shark R"&amp;SharkGraphingTable[[#This Row],[Roll]]&amp;" P"&amp;SharkGraphingTable[[#This Row],[Pitch]]&amp;" Y"&amp;SharkGraphingTable[[#This Row],[Yaw]]</f>
        <v>shark R0 P0 Y0</v>
      </c>
    </row>
    <row r="17" spans="2:18">
      <c r="B17" t="s">
        <v>37</v>
      </c>
      <c r="C17">
        <v>0</v>
      </c>
      <c r="D17">
        <v>0</v>
      </c>
      <c r="E17">
        <v>1</v>
      </c>
      <c r="F17" t="b">
        <f>AND(SharkGraphingTable[[#This Row],[Roll]]=Roll,SharkGraphingTable[[#This Row],[Pitch]]=Pitch,SharkGraphingTable[[#This Row],[Yaw]]=Yaw)</f>
        <v>0</v>
      </c>
      <c r="G17">
        <f t="shared" si="0"/>
        <v>-0.5</v>
      </c>
      <c r="H17">
        <f t="shared" si="1"/>
        <v>0</v>
      </c>
      <c r="I17">
        <f t="shared" si="2"/>
        <v>-2.5000000000000022E-2</v>
      </c>
      <c r="J17" t="e">
        <f>IF(SharkGraphingTable[[#This Row],[Make NA]],SUMPRODUCT(SharkGraphingTable[[#This Row],[Norm X]:[Norm Z]],Chart_XRotationVals),NA())</f>
        <v>#N/A</v>
      </c>
      <c r="K17" t="e">
        <f>IF(SharkGraphingTable[[#This Row],[Make NA]],SUMPRODUCT(SharkGraphingTable[[#This Row],[Norm X]:[Norm Z]],Chart_YRotationVals),NA())</f>
        <v>#N/A</v>
      </c>
      <c r="L17" t="e">
        <f>IF(AND(SharkGraphingTable[[#This Row],[Roll]]=InputRoll,SharkGraphingTable[[#This Row],[Pitch]]=InputPitch,SharkGraphingTable[[#This Row],[Yaw]]=InputYaw),1,NA())</f>
        <v>#N/A</v>
      </c>
      <c r="M17" t="str">
        <f>"shark R"&amp;SharkGraphingTable[[#This Row],[Roll]]&amp;" P"&amp;SharkGraphingTable[[#This Row],[Pitch]]&amp;" Y"&amp;SharkGraphingTable[[#This Row],[Yaw]]</f>
        <v>shark R0 P0 Y1</v>
      </c>
    </row>
    <row r="18" spans="2:18">
      <c r="B18" t="s">
        <v>38</v>
      </c>
      <c r="C18">
        <v>0</v>
      </c>
      <c r="D18">
        <v>1</v>
      </c>
      <c r="E18">
        <v>-1</v>
      </c>
      <c r="F18" t="b">
        <f>AND(SharkGraphingTable[[#This Row],[Roll]]=Roll,SharkGraphingTable[[#This Row],[Pitch]]=Pitch,SharkGraphingTable[[#This Row],[Yaw]]=Yaw)</f>
        <v>0</v>
      </c>
      <c r="G18">
        <f t="shared" si="0"/>
        <v>-0.5</v>
      </c>
      <c r="H18">
        <f t="shared" si="1"/>
        <v>0</v>
      </c>
      <c r="I18">
        <f t="shared" si="2"/>
        <v>-2.5000000000000022E-2</v>
      </c>
      <c r="J18" t="e">
        <f>IF(SharkGraphingTable[[#This Row],[Make NA]],SUMPRODUCT(SharkGraphingTable[[#This Row],[Norm X]:[Norm Z]],Chart_XRotationVals),NA())</f>
        <v>#N/A</v>
      </c>
      <c r="K18" t="e">
        <f>IF(SharkGraphingTable[[#This Row],[Make NA]],SUMPRODUCT(SharkGraphingTable[[#This Row],[Norm X]:[Norm Z]],Chart_YRotationVals),NA())</f>
        <v>#N/A</v>
      </c>
      <c r="L18" t="e">
        <f>IF(AND(SharkGraphingTable[[#This Row],[Roll]]=InputRoll,SharkGraphingTable[[#This Row],[Pitch]]=InputPitch,SharkGraphingTable[[#This Row],[Yaw]]=InputYaw),1,NA())</f>
        <v>#N/A</v>
      </c>
      <c r="M18" t="str">
        <f>"shark R"&amp;SharkGraphingTable[[#This Row],[Roll]]&amp;" P"&amp;SharkGraphingTable[[#This Row],[Pitch]]&amp;" Y"&amp;SharkGraphingTable[[#This Row],[Yaw]]</f>
        <v>shark R0 P1 Y-1</v>
      </c>
    </row>
    <row r="19" spans="2:18">
      <c r="B19" t="s">
        <v>39</v>
      </c>
      <c r="C19">
        <v>0</v>
      </c>
      <c r="D19">
        <v>1</v>
      </c>
      <c r="E19">
        <v>0</v>
      </c>
      <c r="F19" t="b">
        <f>AND(SharkGraphingTable[[#This Row],[Roll]]=Roll,SharkGraphingTable[[#This Row],[Pitch]]=Pitch,SharkGraphingTable[[#This Row],[Yaw]]=Yaw)</f>
        <v>0</v>
      </c>
      <c r="G19">
        <f t="shared" si="0"/>
        <v>-0.5</v>
      </c>
      <c r="H19">
        <f t="shared" si="1"/>
        <v>0</v>
      </c>
      <c r="I19">
        <f t="shared" si="2"/>
        <v>-2.5000000000000022E-2</v>
      </c>
      <c r="J19" t="e">
        <f>IF(SharkGraphingTable[[#This Row],[Make NA]],SUMPRODUCT(SharkGraphingTable[[#This Row],[Norm X]:[Norm Z]],Chart_XRotationVals),NA())</f>
        <v>#N/A</v>
      </c>
      <c r="K19" t="e">
        <f>IF(SharkGraphingTable[[#This Row],[Make NA]],SUMPRODUCT(SharkGraphingTable[[#This Row],[Norm X]:[Norm Z]],Chart_YRotationVals),NA())</f>
        <v>#N/A</v>
      </c>
      <c r="L19" t="e">
        <f>IF(AND(SharkGraphingTable[[#This Row],[Roll]]=InputRoll,SharkGraphingTable[[#This Row],[Pitch]]=InputPitch,SharkGraphingTable[[#This Row],[Yaw]]=InputYaw),1,NA())</f>
        <v>#N/A</v>
      </c>
      <c r="M19" t="str">
        <f>"shark R"&amp;SharkGraphingTable[[#This Row],[Roll]]&amp;" P"&amp;SharkGraphingTable[[#This Row],[Pitch]]&amp;" Y"&amp;SharkGraphingTable[[#This Row],[Yaw]]</f>
        <v>shark R0 P1 Y0</v>
      </c>
      <c r="O19" s="10"/>
      <c r="P19" s="10"/>
      <c r="Q19" s="10"/>
      <c r="R19" s="10"/>
    </row>
    <row r="20" spans="2:18">
      <c r="B20" t="s">
        <v>40</v>
      </c>
      <c r="C20">
        <v>0</v>
      </c>
      <c r="D20">
        <v>1</v>
      </c>
      <c r="E20">
        <v>1</v>
      </c>
      <c r="F20" t="b">
        <f>AND(SharkGraphingTable[[#This Row],[Roll]]=Roll,SharkGraphingTable[[#This Row],[Pitch]]=Pitch,SharkGraphingTable[[#This Row],[Yaw]]=Yaw)</f>
        <v>0</v>
      </c>
      <c r="G20">
        <f t="shared" si="0"/>
        <v>-0.5</v>
      </c>
      <c r="H20">
        <f t="shared" si="1"/>
        <v>0</v>
      </c>
      <c r="I20">
        <f t="shared" si="2"/>
        <v>-2.5000000000000022E-2</v>
      </c>
      <c r="J20" t="e">
        <f>IF(SharkGraphingTable[[#This Row],[Make NA]],SUMPRODUCT(SharkGraphingTable[[#This Row],[Norm X]:[Norm Z]],Chart_XRotationVals),NA())</f>
        <v>#N/A</v>
      </c>
      <c r="K20" t="e">
        <f>IF(SharkGraphingTable[[#This Row],[Make NA]],SUMPRODUCT(SharkGraphingTable[[#This Row],[Norm X]:[Norm Z]],Chart_YRotationVals),NA())</f>
        <v>#N/A</v>
      </c>
      <c r="L20" t="e">
        <f>IF(AND(SharkGraphingTable[[#This Row],[Roll]]=InputRoll,SharkGraphingTable[[#This Row],[Pitch]]=InputPitch,SharkGraphingTable[[#This Row],[Yaw]]=InputYaw),1,NA())</f>
        <v>#N/A</v>
      </c>
      <c r="M20" t="str">
        <f>"shark R"&amp;SharkGraphingTable[[#This Row],[Roll]]&amp;" P"&amp;SharkGraphingTable[[#This Row],[Pitch]]&amp;" Y"&amp;SharkGraphingTable[[#This Row],[Yaw]]</f>
        <v>shark R0 P1 Y1</v>
      </c>
    </row>
    <row r="21" spans="2:18">
      <c r="B21" t="s">
        <v>41</v>
      </c>
      <c r="C21">
        <v>1</v>
      </c>
      <c r="D21">
        <v>-1</v>
      </c>
      <c r="E21">
        <v>-1</v>
      </c>
      <c r="F21" t="b">
        <f>AND(SharkGraphingTable[[#This Row],[Roll]]=Roll,SharkGraphingTable[[#This Row],[Pitch]]=Pitch,SharkGraphingTable[[#This Row],[Yaw]]=Yaw)</f>
        <v>0</v>
      </c>
      <c r="G21">
        <f t="shared" si="0"/>
        <v>-0.5</v>
      </c>
      <c r="H21">
        <f t="shared" si="1"/>
        <v>0</v>
      </c>
      <c r="I21">
        <f t="shared" si="2"/>
        <v>-2.5000000000000022E-2</v>
      </c>
      <c r="J21" t="e">
        <f>IF(SharkGraphingTable[[#This Row],[Make NA]],SUMPRODUCT(SharkGraphingTable[[#This Row],[Norm X]:[Norm Z]],Chart_XRotationVals),NA())</f>
        <v>#N/A</v>
      </c>
      <c r="K21" t="e">
        <f>IF(SharkGraphingTable[[#This Row],[Make NA]],SUMPRODUCT(SharkGraphingTable[[#This Row],[Norm X]:[Norm Z]],Chart_YRotationVals),NA())</f>
        <v>#N/A</v>
      </c>
      <c r="L21" t="e">
        <f>IF(AND(SharkGraphingTable[[#This Row],[Roll]]=InputRoll,SharkGraphingTable[[#This Row],[Pitch]]=InputPitch,SharkGraphingTable[[#This Row],[Yaw]]=InputYaw),1,NA())</f>
        <v>#N/A</v>
      </c>
      <c r="M21" t="str">
        <f>"shark R"&amp;SharkGraphingTable[[#This Row],[Roll]]&amp;" P"&amp;SharkGraphingTable[[#This Row],[Pitch]]&amp;" Y"&amp;SharkGraphingTable[[#This Row],[Yaw]]</f>
        <v>shark R1 P-1 Y-1</v>
      </c>
    </row>
    <row r="22" spans="2:18">
      <c r="B22" t="s">
        <v>42</v>
      </c>
      <c r="C22">
        <v>1</v>
      </c>
      <c r="D22">
        <v>-1</v>
      </c>
      <c r="E22">
        <v>0</v>
      </c>
      <c r="F22" t="b">
        <f>AND(SharkGraphingTable[[#This Row],[Roll]]=Roll,SharkGraphingTable[[#This Row],[Pitch]]=Pitch,SharkGraphingTable[[#This Row],[Yaw]]=Yaw)</f>
        <v>0</v>
      </c>
      <c r="G22">
        <f t="shared" si="0"/>
        <v>-0.5</v>
      </c>
      <c r="H22">
        <f t="shared" si="1"/>
        <v>0</v>
      </c>
      <c r="I22">
        <f t="shared" si="2"/>
        <v>-2.5000000000000022E-2</v>
      </c>
      <c r="J22" t="e">
        <f>IF(SharkGraphingTable[[#This Row],[Make NA]],SUMPRODUCT(SharkGraphingTable[[#This Row],[Norm X]:[Norm Z]],Chart_XRotationVals),NA())</f>
        <v>#N/A</v>
      </c>
      <c r="K22" t="e">
        <f>IF(SharkGraphingTable[[#This Row],[Make NA]],SUMPRODUCT(SharkGraphingTable[[#This Row],[Norm X]:[Norm Z]],Chart_YRotationVals),NA())</f>
        <v>#N/A</v>
      </c>
      <c r="L22" t="e">
        <f>IF(AND(SharkGraphingTable[[#This Row],[Roll]]=InputRoll,SharkGraphingTable[[#This Row],[Pitch]]=InputPitch,SharkGraphingTable[[#This Row],[Yaw]]=InputYaw),1,NA())</f>
        <v>#N/A</v>
      </c>
      <c r="M22" t="str">
        <f>"shark R"&amp;SharkGraphingTable[[#This Row],[Roll]]&amp;" P"&amp;SharkGraphingTable[[#This Row],[Pitch]]&amp;" Y"&amp;SharkGraphingTable[[#This Row],[Yaw]]</f>
        <v>shark R1 P-1 Y0</v>
      </c>
    </row>
    <row r="23" spans="2:18">
      <c r="B23" t="s">
        <v>43</v>
      </c>
      <c r="C23">
        <v>1</v>
      </c>
      <c r="D23">
        <v>-1</v>
      </c>
      <c r="E23">
        <v>1</v>
      </c>
      <c r="F23" t="b">
        <f>AND(SharkGraphingTable[[#This Row],[Roll]]=Roll,SharkGraphingTable[[#This Row],[Pitch]]=Pitch,SharkGraphingTable[[#This Row],[Yaw]]=Yaw)</f>
        <v>0</v>
      </c>
      <c r="G23">
        <f t="shared" si="0"/>
        <v>-0.5</v>
      </c>
      <c r="H23">
        <f t="shared" si="1"/>
        <v>0</v>
      </c>
      <c r="I23">
        <f t="shared" si="2"/>
        <v>-2.5000000000000022E-2</v>
      </c>
      <c r="J23" t="e">
        <f>IF(SharkGraphingTable[[#This Row],[Make NA]],SUMPRODUCT(SharkGraphingTable[[#This Row],[Norm X]:[Norm Z]],Chart_XRotationVals),NA())</f>
        <v>#N/A</v>
      </c>
      <c r="K23" t="e">
        <f>IF(SharkGraphingTable[[#This Row],[Make NA]],SUMPRODUCT(SharkGraphingTable[[#This Row],[Norm X]:[Norm Z]],Chart_YRotationVals),NA())</f>
        <v>#N/A</v>
      </c>
      <c r="L23" t="e">
        <f>IF(AND(SharkGraphingTable[[#This Row],[Roll]]=InputRoll,SharkGraphingTable[[#This Row],[Pitch]]=InputPitch,SharkGraphingTable[[#This Row],[Yaw]]=InputYaw),1,NA())</f>
        <v>#N/A</v>
      </c>
      <c r="M23" t="str">
        <f>"shark R"&amp;SharkGraphingTable[[#This Row],[Roll]]&amp;" P"&amp;SharkGraphingTable[[#This Row],[Pitch]]&amp;" Y"&amp;SharkGraphingTable[[#This Row],[Yaw]]</f>
        <v>shark R1 P-1 Y1</v>
      </c>
    </row>
    <row r="24" spans="2:18">
      <c r="B24" t="s">
        <v>44</v>
      </c>
      <c r="C24">
        <v>1</v>
      </c>
      <c r="D24">
        <v>0</v>
      </c>
      <c r="E24">
        <v>-1</v>
      </c>
      <c r="F24" t="b">
        <f>AND(SharkGraphingTable[[#This Row],[Roll]]=Roll,SharkGraphingTable[[#This Row],[Pitch]]=Pitch,SharkGraphingTable[[#This Row],[Yaw]]=Yaw)</f>
        <v>0</v>
      </c>
      <c r="G24">
        <f t="shared" si="0"/>
        <v>-0.5</v>
      </c>
      <c r="H24">
        <f t="shared" si="1"/>
        <v>0</v>
      </c>
      <c r="I24">
        <f t="shared" si="2"/>
        <v>-2.5000000000000022E-2</v>
      </c>
      <c r="J24" t="e">
        <f>IF(SharkGraphingTable[[#This Row],[Make NA]],SUMPRODUCT(SharkGraphingTable[[#This Row],[Norm X]:[Norm Z]],Chart_XRotationVals),NA())</f>
        <v>#N/A</v>
      </c>
      <c r="K24" t="e">
        <f>IF(SharkGraphingTable[[#This Row],[Make NA]],SUMPRODUCT(SharkGraphingTable[[#This Row],[Norm X]:[Norm Z]],Chart_YRotationVals),NA())</f>
        <v>#N/A</v>
      </c>
      <c r="L24" t="e">
        <f>IF(AND(SharkGraphingTable[[#This Row],[Roll]]=InputRoll,SharkGraphingTable[[#This Row],[Pitch]]=InputPitch,SharkGraphingTable[[#This Row],[Yaw]]=InputYaw),1,NA())</f>
        <v>#N/A</v>
      </c>
      <c r="M24" t="str">
        <f>"shark R"&amp;SharkGraphingTable[[#This Row],[Roll]]&amp;" P"&amp;SharkGraphingTable[[#This Row],[Pitch]]&amp;" Y"&amp;SharkGraphingTable[[#This Row],[Yaw]]</f>
        <v>shark R1 P0 Y-1</v>
      </c>
    </row>
    <row r="25" spans="2:18">
      <c r="B25" t="s">
        <v>45</v>
      </c>
      <c r="C25">
        <v>1</v>
      </c>
      <c r="D25">
        <v>0</v>
      </c>
      <c r="E25">
        <v>0</v>
      </c>
      <c r="F25" t="b">
        <f>AND(SharkGraphingTable[[#This Row],[Roll]]=Roll,SharkGraphingTable[[#This Row],[Pitch]]=Pitch,SharkGraphingTable[[#This Row],[Yaw]]=Yaw)</f>
        <v>0</v>
      </c>
      <c r="G25">
        <f t="shared" si="0"/>
        <v>-0.5</v>
      </c>
      <c r="H25">
        <f t="shared" si="1"/>
        <v>0</v>
      </c>
      <c r="I25">
        <f t="shared" si="2"/>
        <v>-2.5000000000000022E-2</v>
      </c>
      <c r="J25" t="e">
        <f>IF(SharkGraphingTable[[#This Row],[Make NA]],SUMPRODUCT(SharkGraphingTable[[#This Row],[Norm X]:[Norm Z]],Chart_XRotationVals),NA())</f>
        <v>#N/A</v>
      </c>
      <c r="K25" t="e">
        <f>IF(SharkGraphingTable[[#This Row],[Make NA]],SUMPRODUCT(SharkGraphingTable[[#This Row],[Norm X]:[Norm Z]],Chart_YRotationVals),NA())</f>
        <v>#N/A</v>
      </c>
      <c r="L25" t="e">
        <f>IF(AND(SharkGraphingTable[[#This Row],[Roll]]=InputRoll,SharkGraphingTable[[#This Row],[Pitch]]=InputPitch,SharkGraphingTable[[#This Row],[Yaw]]=InputYaw),1,NA())</f>
        <v>#N/A</v>
      </c>
      <c r="M25" t="str">
        <f>"shark R"&amp;SharkGraphingTable[[#This Row],[Roll]]&amp;" P"&amp;SharkGraphingTable[[#This Row],[Pitch]]&amp;" Y"&amp;SharkGraphingTable[[#This Row],[Yaw]]</f>
        <v>shark R1 P0 Y0</v>
      </c>
    </row>
    <row r="26" spans="2:18">
      <c r="B26" t="s">
        <v>46</v>
      </c>
      <c r="C26">
        <v>1</v>
      </c>
      <c r="D26">
        <v>0</v>
      </c>
      <c r="E26">
        <v>1</v>
      </c>
      <c r="F26" t="b">
        <f>AND(SharkGraphingTable[[#This Row],[Roll]]=Roll,SharkGraphingTable[[#This Row],[Pitch]]=Pitch,SharkGraphingTable[[#This Row],[Yaw]]=Yaw)</f>
        <v>0</v>
      </c>
      <c r="G26">
        <f t="shared" si="0"/>
        <v>-0.5</v>
      </c>
      <c r="H26">
        <f t="shared" si="1"/>
        <v>0</v>
      </c>
      <c r="I26">
        <f t="shared" si="2"/>
        <v>-2.5000000000000022E-2</v>
      </c>
      <c r="J26" t="e">
        <f>IF(SharkGraphingTable[[#This Row],[Make NA]],SUMPRODUCT(SharkGraphingTable[[#This Row],[Norm X]:[Norm Z]],Chart_XRotationVals),NA())</f>
        <v>#N/A</v>
      </c>
      <c r="K26" t="e">
        <f>IF(SharkGraphingTable[[#This Row],[Make NA]],SUMPRODUCT(SharkGraphingTable[[#This Row],[Norm X]:[Norm Z]],Chart_YRotationVals),NA())</f>
        <v>#N/A</v>
      </c>
      <c r="L26" t="e">
        <f>IF(AND(SharkGraphingTable[[#This Row],[Roll]]=InputRoll,SharkGraphingTable[[#This Row],[Pitch]]=InputPitch,SharkGraphingTable[[#This Row],[Yaw]]=InputYaw),1,NA())</f>
        <v>#N/A</v>
      </c>
      <c r="M26" t="str">
        <f>"shark R"&amp;SharkGraphingTable[[#This Row],[Roll]]&amp;" P"&amp;SharkGraphingTable[[#This Row],[Pitch]]&amp;" Y"&amp;SharkGraphingTable[[#This Row],[Yaw]]</f>
        <v>shark R1 P0 Y1</v>
      </c>
    </row>
    <row r="27" spans="2:18">
      <c r="B27" t="s">
        <v>47</v>
      </c>
      <c r="C27">
        <v>1</v>
      </c>
      <c r="D27">
        <v>1</v>
      </c>
      <c r="E27">
        <v>-1</v>
      </c>
      <c r="F27" t="b">
        <f>AND(SharkGraphingTable[[#This Row],[Roll]]=Roll,SharkGraphingTable[[#This Row],[Pitch]]=Pitch,SharkGraphingTable[[#This Row],[Yaw]]=Yaw)</f>
        <v>0</v>
      </c>
      <c r="G27">
        <f t="shared" si="0"/>
        <v>-0.5</v>
      </c>
      <c r="H27">
        <f t="shared" si="1"/>
        <v>0</v>
      </c>
      <c r="I27">
        <f t="shared" si="2"/>
        <v>-2.5000000000000022E-2</v>
      </c>
      <c r="J27" t="e">
        <f>IF(SharkGraphingTable[[#This Row],[Make NA]],SUMPRODUCT(SharkGraphingTable[[#This Row],[Norm X]:[Norm Z]],Chart_XRotationVals),NA())</f>
        <v>#N/A</v>
      </c>
      <c r="K27" t="e">
        <f>IF(SharkGraphingTable[[#This Row],[Make NA]],SUMPRODUCT(SharkGraphingTable[[#This Row],[Norm X]:[Norm Z]],Chart_YRotationVals),NA())</f>
        <v>#N/A</v>
      </c>
      <c r="L27" t="e">
        <f>IF(AND(SharkGraphingTable[[#This Row],[Roll]]=InputRoll,SharkGraphingTable[[#This Row],[Pitch]]=InputPitch,SharkGraphingTable[[#This Row],[Yaw]]=InputYaw),1,NA())</f>
        <v>#N/A</v>
      </c>
      <c r="M27" t="str">
        <f>"shark R"&amp;SharkGraphingTable[[#This Row],[Roll]]&amp;" P"&amp;SharkGraphingTable[[#This Row],[Pitch]]&amp;" Y"&amp;SharkGraphingTable[[#This Row],[Yaw]]</f>
        <v>shark R1 P1 Y-1</v>
      </c>
    </row>
    <row r="28" spans="2:18">
      <c r="B28" t="s">
        <v>48</v>
      </c>
      <c r="C28">
        <v>1</v>
      </c>
      <c r="D28">
        <v>1</v>
      </c>
      <c r="E28">
        <v>0</v>
      </c>
      <c r="F28" t="b">
        <f>AND(SharkGraphingTable[[#This Row],[Roll]]=Roll,SharkGraphingTable[[#This Row],[Pitch]]=Pitch,SharkGraphingTable[[#This Row],[Yaw]]=Yaw)</f>
        <v>0</v>
      </c>
      <c r="G28">
        <f t="shared" si="0"/>
        <v>-0.5</v>
      </c>
      <c r="H28">
        <f t="shared" si="1"/>
        <v>0</v>
      </c>
      <c r="I28">
        <f t="shared" si="2"/>
        <v>-2.5000000000000022E-2</v>
      </c>
      <c r="J28" t="e">
        <f>IF(SharkGraphingTable[[#This Row],[Make NA]],SUMPRODUCT(SharkGraphingTable[[#This Row],[Norm X]:[Norm Z]],Chart_XRotationVals),NA())</f>
        <v>#N/A</v>
      </c>
      <c r="K28" t="e">
        <f>IF(SharkGraphingTable[[#This Row],[Make NA]],SUMPRODUCT(SharkGraphingTable[[#This Row],[Norm X]:[Norm Z]],Chart_YRotationVals),NA())</f>
        <v>#N/A</v>
      </c>
      <c r="L28" t="e">
        <f>IF(AND(SharkGraphingTable[[#This Row],[Roll]]=InputRoll,SharkGraphingTable[[#This Row],[Pitch]]=InputPitch,SharkGraphingTable[[#This Row],[Yaw]]=InputYaw),1,NA())</f>
        <v>#N/A</v>
      </c>
      <c r="M28" t="str">
        <f>"shark R"&amp;SharkGraphingTable[[#This Row],[Roll]]&amp;" P"&amp;SharkGraphingTable[[#This Row],[Pitch]]&amp;" Y"&amp;SharkGraphingTable[[#This Row],[Yaw]]</f>
        <v>shark R1 P1 Y0</v>
      </c>
    </row>
    <row r="29" spans="2:18">
      <c r="B29" t="s">
        <v>49</v>
      </c>
      <c r="C29">
        <v>1</v>
      </c>
      <c r="D29">
        <v>1</v>
      </c>
      <c r="E29">
        <v>1</v>
      </c>
      <c r="F29" t="b">
        <f>AND(SharkGraphingTable[[#This Row],[Roll]]=Roll,SharkGraphingTable[[#This Row],[Pitch]]=Pitch,SharkGraphingTable[[#This Row],[Yaw]]=Yaw)</f>
        <v>0</v>
      </c>
      <c r="G29">
        <f t="shared" si="0"/>
        <v>-0.5</v>
      </c>
      <c r="H29">
        <f t="shared" si="1"/>
        <v>0</v>
      </c>
      <c r="I29">
        <f t="shared" si="2"/>
        <v>-2.5000000000000022E-2</v>
      </c>
      <c r="J29" t="e">
        <f>IF(SharkGraphingTable[[#This Row],[Make NA]],SUMPRODUCT(SharkGraphingTable[[#This Row],[Norm X]:[Norm Z]],Chart_XRotationVals),NA())</f>
        <v>#N/A</v>
      </c>
      <c r="K29" t="e">
        <f>IF(SharkGraphingTable[[#This Row],[Make NA]],SUMPRODUCT(SharkGraphingTable[[#This Row],[Norm X]:[Norm Z]],Chart_YRotationVals),NA())</f>
        <v>#N/A</v>
      </c>
      <c r="L29" t="e">
        <f>IF(AND(SharkGraphingTable[[#This Row],[Roll]]=InputRoll,SharkGraphingTable[[#This Row],[Pitch]]=InputPitch,SharkGraphingTable[[#This Row],[Yaw]]=InputYaw),1,NA())</f>
        <v>#N/A</v>
      </c>
      <c r="M29" t="str">
        <f>"shark R"&amp;SharkGraphingTable[[#This Row],[Roll]]&amp;" P"&amp;SharkGraphingTable[[#This Row],[Pitch]]&amp;" Y"&amp;SharkGraphingTable[[#This Row],[Yaw]]</f>
        <v>shark R1 P1 Y1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FF47D-673B-43EE-BA54-E6B6D1C75CA0}">
  <sheetPr codeName="Sheet10"/>
  <dimension ref="A2:AD42"/>
  <sheetViews>
    <sheetView topLeftCell="F1" workbookViewId="0">
      <selection activeCell="Y19" sqref="Y19"/>
    </sheetView>
  </sheetViews>
  <sheetFormatPr defaultRowHeight="15"/>
  <cols>
    <col min="5" max="5" width="9.42578125" customWidth="1"/>
    <col min="6" max="6" width="13.42578125" customWidth="1"/>
    <col min="7" max="7" width="14.5703125" customWidth="1"/>
    <col min="8" max="8" width="17" customWidth="1"/>
    <col min="9" max="9" width="15.140625" customWidth="1"/>
    <col min="10" max="10" width="16.5703125" customWidth="1"/>
    <col min="11" max="11" width="19.28515625" customWidth="1"/>
    <col min="12" max="12" width="16.85546875" customWidth="1"/>
    <col min="13" max="13" width="15.42578125" customWidth="1"/>
    <col min="14" max="14" width="7.85546875" customWidth="1"/>
    <col min="15" max="16" width="4.140625" customWidth="1"/>
    <col min="17" max="18" width="8.7109375" customWidth="1"/>
    <col min="19" max="20" width="17.85546875" customWidth="1"/>
    <col min="21" max="21" width="9.140625" customWidth="1"/>
    <col min="22" max="23" width="9" customWidth="1"/>
    <col min="24" max="25" width="9.85546875" customWidth="1"/>
    <col min="26" max="26" width="8.85546875" customWidth="1"/>
    <col min="27" max="28" width="22.42578125" customWidth="1"/>
    <col min="29" max="29" width="12.140625" bestFit="1" customWidth="1"/>
  </cols>
  <sheetData>
    <row r="2" spans="1:30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57</v>
      </c>
      <c r="I2" t="s">
        <v>58</v>
      </c>
      <c r="J2" t="s">
        <v>59</v>
      </c>
      <c r="K2" t="s">
        <v>60</v>
      </c>
      <c r="L2" t="s">
        <v>61</v>
      </c>
      <c r="M2" t="s">
        <v>62</v>
      </c>
      <c r="N2" t="s">
        <v>8</v>
      </c>
      <c r="O2" t="s">
        <v>9</v>
      </c>
      <c r="P2" t="s">
        <v>63</v>
      </c>
      <c r="Q2" t="s">
        <v>64</v>
      </c>
      <c r="R2" t="s">
        <v>5</v>
      </c>
      <c r="S2" t="s">
        <v>6</v>
      </c>
      <c r="T2" t="s">
        <v>7</v>
      </c>
      <c r="U2" t="s">
        <v>65</v>
      </c>
      <c r="V2" t="s">
        <v>66</v>
      </c>
      <c r="W2" t="s">
        <v>67</v>
      </c>
      <c r="X2" t="s">
        <v>68</v>
      </c>
      <c r="Y2" t="s">
        <v>69</v>
      </c>
      <c r="Z2" t="s">
        <v>70</v>
      </c>
      <c r="AA2" t="s">
        <v>71</v>
      </c>
      <c r="AB2" t="s">
        <v>72</v>
      </c>
      <c r="AC2" t="s">
        <v>73</v>
      </c>
      <c r="AD2" t="s">
        <v>74</v>
      </c>
    </row>
    <row r="3" spans="1:30">
      <c r="A3" t="s">
        <v>75</v>
      </c>
      <c r="B3" t="str">
        <f>AnimalGraphingTable[[#This Row],[Object]]&amp;AnimalGraphingTable[[#This Row],[Version]]&amp;LEFT(AnimalGraphingTable[[#This Row],[Top/Bottom]],1)</f>
        <v>J1B</v>
      </c>
      <c r="C3" t="str">
        <f>VLOOKUP(AnimalGraphingTable[[#This Row],[Object]],SetupConstantsTable[],2,0)&amp;IF(AnimalGraphingTable[[#This Row],[Top/Bottom]]="Shadow","-"&amp;AnimalGraphingTable[[#This Row],[Top/Bottom]],"")</f>
        <v>Crab</v>
      </c>
      <c r="D3" t="s">
        <v>76</v>
      </c>
      <c r="E3">
        <v>1</v>
      </c>
      <c r="F3">
        <f>INDEX(SetupConstantsTable[],MATCH(AnimalGraphingTable[[#This Row],[Object]],SetupConstantsTable[Object],0),MATCH('Animal Graphing'!F$2,SetupConstantsTable[#Headers],0))</f>
        <v>-2.5</v>
      </c>
      <c r="G3">
        <f>INDEX(SetupConstantsTable[],MATCH(AnimalGraphingTable[[#This Row],[Object]],SetupConstantsTable[Object],0),MATCH('Animal Graphing'!G$2,SetupConstantsTable[#Headers],0))</f>
        <v>120</v>
      </c>
      <c r="H3">
        <f>INDEX(SetupConstantsTable[],MATCH(AnimalGraphingTable[[#This Row],[Object]],SetupConstantsTable[Object],0),MATCH("X"&amp;AnimalGraphingTable[[#This Row],[Version]],SetupConstantsTable[#Headers],0))</f>
        <v>49</v>
      </c>
      <c r="I3">
        <f>INDEX(SetupConstantsTable[],MATCH(AnimalGraphingTable[[#This Row],[Object]],SetupConstantsTable[Object],0),MATCH("Y"&amp;AnimalGraphingTable[[#This Row],[Version]],SetupConstantsTable[#Headers],0))</f>
        <v>-10</v>
      </c>
      <c r="J3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-19.600000000000001</v>
      </c>
      <c r="K3">
        <f>AnimalGraphingTable[[#This Row],[Velocity at 0]]*NetTime+AnimalGraphingTable[[#This Row],[Starting position]]</f>
        <v>49</v>
      </c>
      <c r="L3">
        <f>IF(AnimalGraphingTable[[#This Row],[Calculated position]]&gt;0,0,ROUNDUP(-AnimalGraphingTable[[#This Row],[Calculated position]]/AnimalGraphingTable[[#This Row],[Cycle position]],0))</f>
        <v>0</v>
      </c>
      <c r="M3">
        <f>AnimalGraphingTable[[#This Row],[Offset multiplier]]*AnimalGraphingTable[[#This Row],[Cycle position]]</f>
        <v>0</v>
      </c>
      <c r="N3">
        <f>AnimalGraphingTable[[#This Row],[Calculated position]]+AnimalGraphingTable[[#This Row],[Position offset]]</f>
        <v>49</v>
      </c>
      <c r="O3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-10</v>
      </c>
      <c r="P3">
        <f>AnimalGraphingTable[[#This Row],[Starting Z depth]]</f>
        <v>-19.600000000000001</v>
      </c>
      <c r="Q3">
        <f>RADIANS(AnimalGraphingTable[[#This Row],[Cycle position]]+AnimalGraphingTable[[#This Row],[Starting Y lane]]-Setup!$G$25+AnimalGraphingTable[[#This Row],[Offset multiplier]]+StartingTime)*100000</f>
        <v>77700220.188317344</v>
      </c>
      <c r="R3">
        <f>(AnimalGraphingTable[[#This Row],[X]]-Setup!F$25)/Setup!F$26-0.5</f>
        <v>7.999999999999996E-2</v>
      </c>
      <c r="S3">
        <f>(AnimalGraphingTable[[#This Row],[Y]]-Setup!G$25)/Setup!G$26-0.5</f>
        <v>-0.33333333333333337</v>
      </c>
      <c r="T3">
        <f>(AnimalGraphingTable[[#This Row],[Z]]-Setup!H$25)/Setup!H$26-0.5</f>
        <v>-0.48000000000000009</v>
      </c>
      <c r="U3">
        <f>IF(AnimalGraphingTable[[#This Row],[Hidden]],NA(),SUMPRODUCT(AnimalGraphingTable[[#This Row],[Norm X]:[Norm Z]],Chart_XRotationVals))</f>
        <v>0.19798989873223327</v>
      </c>
      <c r="V3">
        <f>SUMPRODUCT(AnimalGraphingTable[[#This Row],[Norm X]:[Norm Z]],Chart_YRotationVals)</f>
        <v>-0.20870328439780514</v>
      </c>
      <c r="W3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3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3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3">
        <f>SQRT(AnimalGraphingTable[[#This Row],[X dist]]+AnimalGraphingTable[[#This Row],[Y dist]]+AnimalGraphingTable[[#This Row],[Z dist]])</f>
        <v>30.196191812876009</v>
      </c>
      <c r="AA3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729</v>
      </c>
      <c r="AB3">
        <f>(AnimalGraphingTable[[#This Row],[Y]]-VLOOKUP(AnimalGraphingTable[[#This Row],[Closest sphere to Shark]],SharkBubbleTable[],6,0))^2</f>
        <v>100</v>
      </c>
      <c r="AC3">
        <f>(AnimalGraphingTable[[#This Row],[Z]]-VLOOKUP(AnimalGraphingTable[[#This Row],[Closest sphere to Shark]],SharkBubbleTable[],7,0))^2</f>
        <v>82.810000000000031</v>
      </c>
      <c r="AD3">
        <f>IF(AnimalGraphingTable[[#This Row],[Top/Bottom]]="Below Shark",AnimalGraphingTable[[#This Row],[Offset multiplier]]+IF(AnimalGraphingTable[[#This Row],[X]]&lt;50,1,0),0)</f>
        <v>1</v>
      </c>
    </row>
    <row r="4" spans="1:30">
      <c r="A4" t="s">
        <v>75</v>
      </c>
      <c r="B4" t="str">
        <f>AnimalGraphingTable[[#This Row],[Object]]&amp;AnimalGraphingTable[[#This Row],[Version]]&amp;LEFT(AnimalGraphingTable[[#This Row],[Top/Bottom]],1)</f>
        <v>J2B</v>
      </c>
      <c r="C4" t="str">
        <f>VLOOKUP(AnimalGraphingTable[[#This Row],[Object]],SetupConstantsTable[],2,0)&amp;IF(AnimalGraphingTable[[#This Row],[Top/Bottom]]="Shadow","-"&amp;AnimalGraphingTable[[#This Row],[Top/Bottom]],"")</f>
        <v>Crab</v>
      </c>
      <c r="D4" t="s">
        <v>76</v>
      </c>
      <c r="E4">
        <v>2</v>
      </c>
      <c r="F4">
        <f>INDEX(SetupConstantsTable[],MATCH(AnimalGraphingTable[[#This Row],[Object]],SetupConstantsTable[Object],0),MATCH('Animal Graphing'!F$2,SetupConstantsTable[#Headers],0))</f>
        <v>-2.5</v>
      </c>
      <c r="G4">
        <f>INDEX(SetupConstantsTable[],MATCH(AnimalGraphingTable[[#This Row],[Object]],SetupConstantsTable[Object],0),MATCH('Animal Graphing'!G$2,SetupConstantsTable[#Headers],0))</f>
        <v>120</v>
      </c>
      <c r="H4">
        <f>INDEX(SetupConstantsTable[],MATCH(AnimalGraphingTable[[#This Row],[Object]],SetupConstantsTable[Object],0),MATCH("X"&amp;AnimalGraphingTable[[#This Row],[Version]],SetupConstantsTable[#Headers],0))</f>
        <v>107</v>
      </c>
      <c r="I4">
        <f>INDEX(SetupConstantsTable[],MATCH(AnimalGraphingTable[[#This Row],[Object]],SetupConstantsTable[Object],0),MATCH("Y"&amp;AnimalGraphingTable[[#This Row],[Version]],SetupConstantsTable[#Headers],0))</f>
        <v>-8</v>
      </c>
      <c r="J4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-19.600000000000001</v>
      </c>
      <c r="K4">
        <f>AnimalGraphingTable[[#This Row],[Velocity at 0]]*NetTime+AnimalGraphingTable[[#This Row],[Starting position]]</f>
        <v>107</v>
      </c>
      <c r="L4">
        <f>IF(AnimalGraphingTable[[#This Row],[Calculated position]]&gt;0,0,ROUNDUP(-AnimalGraphingTable[[#This Row],[Calculated position]]/AnimalGraphingTable[[#This Row],[Cycle position]],0))</f>
        <v>0</v>
      </c>
      <c r="M4">
        <f>AnimalGraphingTable[[#This Row],[Offset multiplier]]*AnimalGraphingTable[[#This Row],[Cycle position]]</f>
        <v>0</v>
      </c>
      <c r="N4">
        <f>AnimalGraphingTable[[#This Row],[Calculated position]]+AnimalGraphingTable[[#This Row],[Position offset]]</f>
        <v>107</v>
      </c>
      <c r="O4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-8</v>
      </c>
      <c r="P4">
        <f>AnimalGraphingTable[[#This Row],[Starting Z depth]]</f>
        <v>-19.600000000000001</v>
      </c>
      <c r="Q4">
        <f>RADIANS(AnimalGraphingTable[[#This Row],[Cycle position]]+AnimalGraphingTable[[#This Row],[Starting Y lane]]-Setup!$G$25+AnimalGraphingTable[[#This Row],[Offset multiplier]]+StartingTime)*100000</f>
        <v>77703710.846821323</v>
      </c>
      <c r="R4">
        <f>(AnimalGraphingTable[[#This Row],[X]]-Setup!F$25)/Setup!F$26-0.5</f>
        <v>1.24</v>
      </c>
      <c r="S4">
        <f>(AnimalGraphingTable[[#This Row],[Y]]-Setup!G$25)/Setup!G$26-0.5</f>
        <v>-0.26666666666666666</v>
      </c>
      <c r="T4">
        <f>(AnimalGraphingTable[[#This Row],[Z]]-Setup!H$25)/Setup!H$26-0.5</f>
        <v>-0.48000000000000009</v>
      </c>
      <c r="U4">
        <f>IF(AnimalGraphingTable[[#This Row],[Hidden]],NA(),SUMPRODUCT(AnimalGraphingTable[[#This Row],[Norm X]:[Norm Z]],Chart_XRotationVals))</f>
        <v>0.98994949366116658</v>
      </c>
      <c r="V4">
        <f>SUMPRODUCT(AnimalGraphingTable[[#This Row],[Norm X]:[Norm Z]],Chart_YRotationVals)</f>
        <v>0.2155607843141234</v>
      </c>
      <c r="W4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4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4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4">
        <f>SQRT(AnimalGraphingTable[[#This Row],[X dist]]+AnimalGraphingTable[[#This Row],[Y dist]]+AnimalGraphingTable[[#This Row],[Z dist]])</f>
        <v>85.859245279701824</v>
      </c>
      <c r="AA4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7225</v>
      </c>
      <c r="AB4">
        <f>(AnimalGraphingTable[[#This Row],[Y]]-VLOOKUP(AnimalGraphingTable[[#This Row],[Closest sphere to Shark]],SharkBubbleTable[],6,0))^2</f>
        <v>64</v>
      </c>
      <c r="AC4">
        <f>(AnimalGraphingTable[[#This Row],[Z]]-VLOOKUP(AnimalGraphingTable[[#This Row],[Closest sphere to Shark]],SharkBubbleTable[],7,0))^2</f>
        <v>82.810000000000031</v>
      </c>
      <c r="AD4">
        <f>IF(AnimalGraphingTable[[#This Row],[Top/Bottom]]="Below Shark",AnimalGraphingTable[[#This Row],[Offset multiplier]]+IF(AnimalGraphingTable[[#This Row],[X]]&lt;50,1,0),0)</f>
        <v>0</v>
      </c>
    </row>
    <row r="5" spans="1:30">
      <c r="A5" t="s">
        <v>77</v>
      </c>
      <c r="B5" t="str">
        <f>AnimalGraphingTable[[#This Row],[Object]]&amp;AnimalGraphingTable[[#This Row],[Version]]&amp;LEFT(AnimalGraphingTable[[#This Row],[Top/Bottom]],1)</f>
        <v>I1B</v>
      </c>
      <c r="C5" t="str">
        <f>VLOOKUP(AnimalGraphingTable[[#This Row],[Object]],SetupConstantsTable[],2,0)&amp;IF(AnimalGraphingTable[[#This Row],[Top/Bottom]]="Shadow","-"&amp;AnimalGraphingTable[[#This Row],[Top/Bottom]],"")</f>
        <v>Octopus</v>
      </c>
      <c r="D5" t="s">
        <v>76</v>
      </c>
      <c r="E5">
        <v>1</v>
      </c>
      <c r="F5">
        <f>INDEX(SetupConstantsTable[],MATCH(AnimalGraphingTable[[#This Row],[Object]],SetupConstantsTable[Object],0),MATCH('Animal Graphing'!F$2,SetupConstantsTable[#Headers],0))</f>
        <v>-2.5</v>
      </c>
      <c r="G5">
        <f>INDEX(SetupConstantsTable[],MATCH(AnimalGraphingTable[[#This Row],[Object]],SetupConstantsTable[Object],0),MATCH('Animal Graphing'!G$2,SetupConstantsTable[#Headers],0))</f>
        <v>130</v>
      </c>
      <c r="H5">
        <f>INDEX(SetupConstantsTable[],MATCH(AnimalGraphingTable[[#This Row],[Object]],SetupConstantsTable[Object],0),MATCH("X"&amp;AnimalGraphingTable[[#This Row],[Version]],SetupConstantsTable[#Headers],0))</f>
        <v>39</v>
      </c>
      <c r="I5">
        <f>INDEX(SetupConstantsTable[],MATCH(AnimalGraphingTable[[#This Row],[Object]],SetupConstantsTable[Object],0),MATCH("Y"&amp;AnimalGraphingTable[[#This Row],[Version]],SetupConstantsTable[#Headers],0))</f>
        <v>-6</v>
      </c>
      <c r="J5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-17</v>
      </c>
      <c r="K5">
        <f>AnimalGraphingTable[[#This Row],[Velocity at 0]]*NetTime+AnimalGraphingTable[[#This Row],[Starting position]]</f>
        <v>39</v>
      </c>
      <c r="L5">
        <f>IF(AnimalGraphingTable[[#This Row],[Calculated position]]&gt;0,0,ROUNDUP(-AnimalGraphingTable[[#This Row],[Calculated position]]/AnimalGraphingTable[[#This Row],[Cycle position]],0))</f>
        <v>0</v>
      </c>
      <c r="M5">
        <f>AnimalGraphingTable[[#This Row],[Offset multiplier]]*AnimalGraphingTable[[#This Row],[Cycle position]]</f>
        <v>0</v>
      </c>
      <c r="N5">
        <f>AnimalGraphingTable[[#This Row],[Calculated position]]+AnimalGraphingTable[[#This Row],[Position offset]]</f>
        <v>39</v>
      </c>
      <c r="O5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-6</v>
      </c>
      <c r="P5">
        <f>AnimalGraphingTable[[#This Row],[Starting Z depth]]</f>
        <v>-17</v>
      </c>
      <c r="Q5">
        <f>RADIANS(AnimalGraphingTable[[#This Row],[Cycle position]]+AnimalGraphingTable[[#This Row],[Starting Y lane]]-Setup!$G$25+AnimalGraphingTable[[#This Row],[Offset multiplier]]+StartingTime)*100000</f>
        <v>77724654.797845259</v>
      </c>
      <c r="R5">
        <f>(AnimalGraphingTable[[#This Row],[X]]-Setup!F$25)/Setup!F$26-0.5</f>
        <v>-0.12</v>
      </c>
      <c r="S5">
        <f>(AnimalGraphingTable[[#This Row],[Y]]-Setup!G$25)/Setup!G$26-0.5</f>
        <v>-0.2</v>
      </c>
      <c r="T5">
        <f>(AnimalGraphingTable[[#This Row],[Z]]-Setup!H$25)/Setup!H$26-0.5</f>
        <v>-0.35</v>
      </c>
      <c r="U5">
        <f>IF(AnimalGraphingTable[[#This Row],[Hidden]],NA(),SUMPRODUCT(AnimalGraphingTable[[#This Row],[Norm X]:[Norm Z]],Chart_XRotationVals))</f>
        <v>-1.3877787807814457E-17</v>
      </c>
      <c r="V5">
        <f>SUMPRODUCT(AnimalGraphingTable[[#This Row],[Norm X]:[Norm Z]],Chart_YRotationVals)</f>
        <v>-0.20609637027220712</v>
      </c>
      <c r="W5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5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5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5">
        <f>SQRT(AnimalGraphingTable[[#This Row],[X dist]]+AnimalGraphingTable[[#This Row],[Y dist]]+AnimalGraphingTable[[#This Row],[Z dist]])</f>
        <v>19.1637678967368</v>
      </c>
      <c r="AA5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289</v>
      </c>
      <c r="AB5">
        <f>(AnimalGraphingTable[[#This Row],[Y]]-VLOOKUP(AnimalGraphingTable[[#This Row],[Closest sphere to Shark]],SharkBubbleTable[],6,0))^2</f>
        <v>36</v>
      </c>
      <c r="AC5">
        <f>(AnimalGraphingTable[[#This Row],[Z]]-VLOOKUP(AnimalGraphingTable[[#This Row],[Closest sphere to Shark]],SharkBubbleTable[],7,0))^2</f>
        <v>42.25</v>
      </c>
      <c r="AD5">
        <f>IF(AnimalGraphingTable[[#This Row],[Top/Bottom]]="Below Shark",AnimalGraphingTable[[#This Row],[Offset multiplier]]+IF(AnimalGraphingTable[[#This Row],[X]]&lt;50,1,0),0)</f>
        <v>1</v>
      </c>
    </row>
    <row r="6" spans="1:30">
      <c r="A6" t="s">
        <v>77</v>
      </c>
      <c r="B6" t="str">
        <f>AnimalGraphingTable[[#This Row],[Object]]&amp;AnimalGraphingTable[[#This Row],[Version]]&amp;LEFT(AnimalGraphingTable[[#This Row],[Top/Bottom]],1)</f>
        <v>I2B</v>
      </c>
      <c r="C6" t="str">
        <f>VLOOKUP(AnimalGraphingTable[[#This Row],[Object]],SetupConstantsTable[],2,0)&amp;IF(AnimalGraphingTable[[#This Row],[Top/Bottom]]="Shadow","-"&amp;AnimalGraphingTable[[#This Row],[Top/Bottom]],"")</f>
        <v>Octopus</v>
      </c>
      <c r="D6" t="s">
        <v>76</v>
      </c>
      <c r="E6">
        <v>2</v>
      </c>
      <c r="F6">
        <f>INDEX(SetupConstantsTable[],MATCH(AnimalGraphingTable[[#This Row],[Object]],SetupConstantsTable[Object],0),MATCH('Animal Graphing'!F$2,SetupConstantsTable[#Headers],0))</f>
        <v>-2.5</v>
      </c>
      <c r="G6">
        <f>INDEX(SetupConstantsTable[],MATCH(AnimalGraphingTable[[#This Row],[Object]],SetupConstantsTable[Object],0),MATCH('Animal Graphing'!G$2,SetupConstantsTable[#Headers],0))</f>
        <v>130</v>
      </c>
      <c r="H6">
        <f>INDEX(SetupConstantsTable[],MATCH(AnimalGraphingTable[[#This Row],[Object]],SetupConstantsTable[Object],0),MATCH("X"&amp;AnimalGraphingTable[[#This Row],[Version]],SetupConstantsTable[#Headers],0))</f>
        <v>98</v>
      </c>
      <c r="I6">
        <f>INDEX(SetupConstantsTable[],MATCH(AnimalGraphingTable[[#This Row],[Object]],SetupConstantsTable[Object],0),MATCH("Y"&amp;AnimalGraphingTable[[#This Row],[Version]],SetupConstantsTable[#Headers],0))</f>
        <v>1</v>
      </c>
      <c r="J6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-18</v>
      </c>
      <c r="K6">
        <f>AnimalGraphingTable[[#This Row],[Velocity at 0]]*NetTime+AnimalGraphingTable[[#This Row],[Starting position]]</f>
        <v>98</v>
      </c>
      <c r="L6">
        <f>IF(AnimalGraphingTable[[#This Row],[Calculated position]]&gt;0,0,ROUNDUP(-AnimalGraphingTable[[#This Row],[Calculated position]]/AnimalGraphingTable[[#This Row],[Cycle position]],0))</f>
        <v>0</v>
      </c>
      <c r="M6">
        <f>AnimalGraphingTable[[#This Row],[Offset multiplier]]*AnimalGraphingTable[[#This Row],[Cycle position]]</f>
        <v>0</v>
      </c>
      <c r="N6">
        <f>AnimalGraphingTable[[#This Row],[Calculated position]]+AnimalGraphingTable[[#This Row],[Position offset]]</f>
        <v>98</v>
      </c>
      <c r="O6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1</v>
      </c>
      <c r="P6">
        <f>AnimalGraphingTable[[#This Row],[Starting Z depth]]</f>
        <v>-18</v>
      </c>
      <c r="Q6">
        <f>RADIANS(AnimalGraphingTable[[#This Row],[Cycle position]]+AnimalGraphingTable[[#This Row],[Starting Y lane]]-Setup!$G$25+AnimalGraphingTable[[#This Row],[Offset multiplier]]+StartingTime)*100000</f>
        <v>77736872.102609217</v>
      </c>
      <c r="R6">
        <f>(AnimalGraphingTable[[#This Row],[X]]-Setup!F$25)/Setup!F$26-0.5</f>
        <v>1.06</v>
      </c>
      <c r="S6">
        <f>(AnimalGraphingTable[[#This Row],[Y]]-Setup!G$25)/Setup!G$26-0.5</f>
        <v>3.3333333333333326E-2</v>
      </c>
      <c r="T6">
        <f>(AnimalGraphingTable[[#This Row],[Z]]-Setup!H$25)/Setup!H$26-0.5</f>
        <v>-0.4</v>
      </c>
      <c r="U6">
        <f>IF(AnimalGraphingTable[[#This Row],[Hidden]],NA(),SUMPRODUCT(AnimalGraphingTable[[#This Row],[Norm X]:[Norm Z]],Chart_XRotationVals))</f>
        <v>0.7353910524340096</v>
      </c>
      <c r="V6">
        <f>SUMPRODUCT(AnimalGraphingTable[[#This Row],[Norm X]:[Norm Z]],Chart_YRotationVals)</f>
        <v>0.24327359723522551</v>
      </c>
      <c r="W6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6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6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6">
        <f>SQRT(AnimalGraphingTable[[#This Row],[X dist]]+AnimalGraphingTable[[#This Row],[Y dist]]+AnimalGraphingTable[[#This Row],[Z dist]])</f>
        <v>76.375716035923361</v>
      </c>
      <c r="AA6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5776</v>
      </c>
      <c r="AB6">
        <f>(AnimalGraphingTable[[#This Row],[Y]]-VLOOKUP(AnimalGraphingTable[[#This Row],[Closest sphere to Shark]],SharkBubbleTable[],6,0))^2</f>
        <v>1</v>
      </c>
      <c r="AC6">
        <f>(AnimalGraphingTable[[#This Row],[Z]]-VLOOKUP(AnimalGraphingTable[[#This Row],[Closest sphere to Shark]],SharkBubbleTable[],7,0))^2</f>
        <v>56.25</v>
      </c>
      <c r="AD6">
        <f>IF(AnimalGraphingTable[[#This Row],[Top/Bottom]]="Below Shark",AnimalGraphingTable[[#This Row],[Offset multiplier]]+IF(AnimalGraphingTable[[#This Row],[X]]&lt;50,1,0),0)</f>
        <v>0</v>
      </c>
    </row>
    <row r="7" spans="1:30">
      <c r="A7" t="s">
        <v>78</v>
      </c>
      <c r="B7" t="str">
        <f>AnimalGraphingTable[[#This Row],[Object]]&amp;AnimalGraphingTable[[#This Row],[Version]]&amp;LEFT(AnimalGraphingTable[[#This Row],[Top/Bottom]],1)</f>
        <v>H1B</v>
      </c>
      <c r="C7" t="str">
        <f>VLOOKUP(AnimalGraphingTable[[#This Row],[Object]],SetupConstantsTable[],2,0)&amp;IF(AnimalGraphingTable[[#This Row],[Top/Bottom]]="Shadow","-"&amp;AnimalGraphingTable[[#This Row],[Top/Bottom]],"")</f>
        <v>Hammerhead</v>
      </c>
      <c r="D7" t="s">
        <v>76</v>
      </c>
      <c r="E7">
        <v>1</v>
      </c>
      <c r="F7">
        <f>INDEX(SetupConstantsTable[],MATCH(AnimalGraphingTable[[#This Row],[Object]],SetupConstantsTable[Object],0),MATCH('Animal Graphing'!F$2,SetupConstantsTable[#Headers],0))</f>
        <v>-4.5</v>
      </c>
      <c r="G7">
        <f>INDEX(SetupConstantsTable[],MATCH(AnimalGraphingTable[[#This Row],[Object]],SetupConstantsTable[Object],0),MATCH('Animal Graphing'!G$2,SetupConstantsTable[#Headers],0))</f>
        <v>170</v>
      </c>
      <c r="H7">
        <f>INDEX(SetupConstantsTable[],MATCH(AnimalGraphingTable[[#This Row],[Object]],SetupConstantsTable[Object],0),MATCH("X"&amp;AnimalGraphingTable[[#This Row],[Version]],SetupConstantsTable[#Headers],0))</f>
        <v>88</v>
      </c>
      <c r="I7">
        <f>INDEX(SetupConstantsTable[],MATCH(AnimalGraphingTable[[#This Row],[Object]],SetupConstantsTable[Object],0),MATCH("Y"&amp;AnimalGraphingTable[[#This Row],[Version]],SetupConstantsTable[#Headers],0))</f>
        <v>8</v>
      </c>
      <c r="J7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-15</v>
      </c>
      <c r="K7">
        <f>AnimalGraphingTable[[#This Row],[Velocity at 0]]*NetTime+AnimalGraphingTable[[#This Row],[Starting position]]</f>
        <v>88</v>
      </c>
      <c r="L7">
        <f>IF(AnimalGraphingTable[[#This Row],[Calculated position]]&gt;0,0,ROUNDUP(-AnimalGraphingTable[[#This Row],[Calculated position]]/AnimalGraphingTable[[#This Row],[Cycle position]],0))</f>
        <v>0</v>
      </c>
      <c r="M7">
        <f>AnimalGraphingTable[[#This Row],[Offset multiplier]]*AnimalGraphingTable[[#This Row],[Cycle position]]</f>
        <v>0</v>
      </c>
      <c r="N7">
        <f>AnimalGraphingTable[[#This Row],[Calculated position]]+AnimalGraphingTable[[#This Row],[Position offset]]</f>
        <v>88</v>
      </c>
      <c r="O7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8</v>
      </c>
      <c r="P7">
        <f>AnimalGraphingTable[[#This Row],[Starting Z depth]]</f>
        <v>-15</v>
      </c>
      <c r="Q7">
        <f>RADIANS(AnimalGraphingTable[[#This Row],[Cycle position]]+AnimalGraphingTable[[#This Row],[Starting Y lane]]-Setup!$G$25+AnimalGraphingTable[[#This Row],[Offset multiplier]]+StartingTime)*100000</f>
        <v>77818902.577452943</v>
      </c>
      <c r="R7">
        <f>(AnimalGraphingTable[[#This Row],[X]]-Setup!F$25)/Setup!F$26-0.5</f>
        <v>0.8600000000000001</v>
      </c>
      <c r="S7">
        <f>(AnimalGraphingTable[[#This Row],[Y]]-Setup!G$25)/Setup!G$26-0.5</f>
        <v>0.26666666666666672</v>
      </c>
      <c r="T7">
        <f>(AnimalGraphingTable[[#This Row],[Z]]-Setup!H$25)/Setup!H$26-0.5</f>
        <v>-0.25</v>
      </c>
      <c r="U7">
        <f>IF(AnimalGraphingTable[[#This Row],[Hidden]],NA(),SUMPRODUCT(AnimalGraphingTable[[#This Row],[Norm X]:[Norm Z]],Chart_XRotationVals))</f>
        <v>0.49497474683058335</v>
      </c>
      <c r="V7">
        <f>SUMPRODUCT(AnimalGraphingTable[[#This Row],[Norm X]:[Norm Z]],Chart_YRotationVals)</f>
        <v>0.2740219180266954</v>
      </c>
      <c r="W7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7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7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7">
        <f>SQRT(AnimalGraphingTable[[#This Row],[X dist]]+AnimalGraphingTable[[#This Row],[Y dist]]+AnimalGraphingTable[[#This Row],[Z dist]])</f>
        <v>69.607830019330436</v>
      </c>
      <c r="AA7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4761</v>
      </c>
      <c r="AB7">
        <f>(AnimalGraphingTable[[#This Row],[Y]]-VLOOKUP(AnimalGraphingTable[[#This Row],[Closest sphere to Shark]],SharkBubbleTable[],6,0))^2</f>
        <v>64</v>
      </c>
      <c r="AC7">
        <f>(AnimalGraphingTable[[#This Row],[Z]]-VLOOKUP(AnimalGraphingTable[[#This Row],[Closest sphere to Shark]],SharkBubbleTable[],7,0))^2</f>
        <v>20.25</v>
      </c>
      <c r="AD7">
        <f>IF(AnimalGraphingTable[[#This Row],[Top/Bottom]]="Below Shark",AnimalGraphingTable[[#This Row],[Offset multiplier]]+IF(AnimalGraphingTable[[#This Row],[X]]&lt;50,1,0),0)</f>
        <v>0</v>
      </c>
    </row>
    <row r="8" spans="1:30">
      <c r="A8" t="s">
        <v>78</v>
      </c>
      <c r="B8" t="str">
        <f>AnimalGraphingTable[[#This Row],[Object]]&amp;AnimalGraphingTable[[#This Row],[Version]]&amp;LEFT(AnimalGraphingTable[[#This Row],[Top/Bottom]],1)</f>
        <v>H2B</v>
      </c>
      <c r="C8" t="str">
        <f>VLOOKUP(AnimalGraphingTable[[#This Row],[Object]],SetupConstantsTable[],2,0)&amp;IF(AnimalGraphingTable[[#This Row],[Top/Bottom]]="Shadow","-"&amp;AnimalGraphingTable[[#This Row],[Top/Bottom]],"")</f>
        <v>Hammerhead</v>
      </c>
      <c r="D8" t="s">
        <v>76</v>
      </c>
      <c r="E8">
        <v>2</v>
      </c>
      <c r="F8">
        <f>INDEX(SetupConstantsTable[],MATCH(AnimalGraphingTable[[#This Row],[Object]],SetupConstantsTable[Object],0),MATCH('Animal Graphing'!F$2,SetupConstantsTable[#Headers],0))</f>
        <v>-4.5</v>
      </c>
      <c r="G8">
        <f>INDEX(SetupConstantsTable[],MATCH(AnimalGraphingTable[[#This Row],[Object]],SetupConstantsTable[Object],0),MATCH('Animal Graphing'!G$2,SetupConstantsTable[#Headers],0))</f>
        <v>170</v>
      </c>
      <c r="H8">
        <f>INDEX(SetupConstantsTable[],MATCH(AnimalGraphingTable[[#This Row],[Object]],SetupConstantsTable[Object],0),MATCH("X"&amp;AnimalGraphingTable[[#This Row],[Version]],SetupConstantsTable[#Headers],0))</f>
        <v>162</v>
      </c>
      <c r="I8">
        <f>INDEX(SetupConstantsTable[],MATCH(AnimalGraphingTable[[#This Row],[Object]],SetupConstantsTable[Object],0),MATCH("Y"&amp;AnimalGraphingTable[[#This Row],[Version]],SetupConstantsTable[#Headers],0))</f>
        <v>-4</v>
      </c>
      <c r="J8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-14</v>
      </c>
      <c r="K8">
        <f>AnimalGraphingTable[[#This Row],[Velocity at 0]]*NetTime+AnimalGraphingTable[[#This Row],[Starting position]]</f>
        <v>162</v>
      </c>
      <c r="L8">
        <f>IF(AnimalGraphingTable[[#This Row],[Calculated position]]&gt;0,0,ROUNDUP(-AnimalGraphingTable[[#This Row],[Calculated position]]/AnimalGraphingTable[[#This Row],[Cycle position]],0))</f>
        <v>0</v>
      </c>
      <c r="M8">
        <f>AnimalGraphingTable[[#This Row],[Offset multiplier]]*AnimalGraphingTable[[#This Row],[Cycle position]]</f>
        <v>0</v>
      </c>
      <c r="N8">
        <f>AnimalGraphingTable[[#This Row],[Calculated position]]+AnimalGraphingTable[[#This Row],[Position offset]]</f>
        <v>162</v>
      </c>
      <c r="O8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-4</v>
      </c>
      <c r="P8">
        <f>AnimalGraphingTable[[#This Row],[Starting Z depth]]</f>
        <v>-14</v>
      </c>
      <c r="Q8">
        <f>RADIANS(AnimalGraphingTable[[#This Row],[Cycle position]]+AnimalGraphingTable[[#This Row],[Starting Y lane]]-Setup!$G$25+AnimalGraphingTable[[#This Row],[Offset multiplier]]+StartingTime)*100000</f>
        <v>77797958.626429021</v>
      </c>
      <c r="R8">
        <f>(AnimalGraphingTable[[#This Row],[X]]-Setup!F$25)/Setup!F$26-0.5</f>
        <v>2.34</v>
      </c>
      <c r="S8">
        <f>(AnimalGraphingTable[[#This Row],[Y]]-Setup!G$25)/Setup!G$26-0.5</f>
        <v>-0.13333333333333336</v>
      </c>
      <c r="T8">
        <f>(AnimalGraphingTable[[#This Row],[Z]]-Setup!H$25)/Setup!H$26-0.5</f>
        <v>-0.2</v>
      </c>
      <c r="U8">
        <f>IF(AnimalGraphingTable[[#This Row],[Hidden]],NA(),SUMPRODUCT(AnimalGraphingTable[[#This Row],[Norm X]:[Norm Z]],Chart_XRotationVals))</f>
        <v>1.7111984104714451</v>
      </c>
      <c r="V8">
        <f>SUMPRODUCT(AnimalGraphingTable[[#This Row],[Norm X]:[Norm Z]],Chart_YRotationVals)</f>
        <v>0.72974863043804361</v>
      </c>
      <c r="W8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8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8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8">
        <f>SQRT(AnimalGraphingTable[[#This Row],[X dist]]+AnimalGraphingTable[[#This Row],[Y dist]]+AnimalGraphingTable[[#This Row],[Z dist]])</f>
        <v>143.09874213283638</v>
      </c>
      <c r="AA8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20449</v>
      </c>
      <c r="AB8">
        <f>(AnimalGraphingTable[[#This Row],[Y]]-VLOOKUP(AnimalGraphingTable[[#This Row],[Closest sphere to Shark]],SharkBubbleTable[],6,0))^2</f>
        <v>16</v>
      </c>
      <c r="AC8">
        <f>(AnimalGraphingTable[[#This Row],[Z]]-VLOOKUP(AnimalGraphingTable[[#This Row],[Closest sphere to Shark]],SharkBubbleTable[],7,0))^2</f>
        <v>12.25</v>
      </c>
      <c r="AD8">
        <f>IF(AnimalGraphingTable[[#This Row],[Top/Bottom]]="Below Shark",AnimalGraphingTable[[#This Row],[Offset multiplier]]+IF(AnimalGraphingTable[[#This Row],[X]]&lt;50,1,0),0)</f>
        <v>0</v>
      </c>
    </row>
    <row r="9" spans="1:30">
      <c r="A9" t="s">
        <v>79</v>
      </c>
      <c r="B9" t="str">
        <f>AnimalGraphingTable[[#This Row],[Object]]&amp;AnimalGraphingTable[[#This Row],[Version]]&amp;LEFT(AnimalGraphingTable[[#This Row],[Top/Bottom]],1)</f>
        <v>F1B</v>
      </c>
      <c r="C9" t="str">
        <f>VLOOKUP(AnimalGraphingTable[[#This Row],[Object]],SetupConstantsTable[],2,0)&amp;IF(AnimalGraphingTable[[#This Row],[Top/Bottom]]="Shadow","-"&amp;AnimalGraphingTable[[#This Row],[Top/Bottom]],"")</f>
        <v>Turtle</v>
      </c>
      <c r="D9" t="s">
        <v>76</v>
      </c>
      <c r="E9">
        <v>1</v>
      </c>
      <c r="F9">
        <f>INDEX(SetupConstantsTable[],MATCH(AnimalGraphingTable[[#This Row],[Object]],SetupConstantsTable[Object],0),MATCH('Animal Graphing'!F$2,SetupConstantsTable[#Headers],0))</f>
        <v>-2.5</v>
      </c>
      <c r="G9">
        <f>INDEX(SetupConstantsTable[],MATCH(AnimalGraphingTable[[#This Row],[Object]],SetupConstantsTable[Object],0),MATCH('Animal Graphing'!G$2,SetupConstantsTable[#Headers],0))</f>
        <v>140</v>
      </c>
      <c r="H9">
        <f>INDEX(SetupConstantsTable[],MATCH(AnimalGraphingTable[[#This Row],[Object]],SetupConstantsTable[Object],0),MATCH("X"&amp;AnimalGraphingTable[[#This Row],[Version]],SetupConstantsTable[#Headers],0))</f>
        <v>42</v>
      </c>
      <c r="I9">
        <f>INDEX(SetupConstantsTable[],MATCH(AnimalGraphingTable[[#This Row],[Object]],SetupConstantsTable[Object],0),MATCH("Y"&amp;AnimalGraphingTable[[#This Row],[Version]],SetupConstantsTable[#Headers],0))</f>
        <v>9</v>
      </c>
      <c r="J9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-11</v>
      </c>
      <c r="K9">
        <f>AnimalGraphingTable[[#This Row],[Velocity at 0]]*NetTime+AnimalGraphingTable[[#This Row],[Starting position]]</f>
        <v>42</v>
      </c>
      <c r="L9">
        <f>IF(AnimalGraphingTable[[#This Row],[Calculated position]]&gt;0,0,ROUNDUP(-AnimalGraphingTable[[#This Row],[Calculated position]]/AnimalGraphingTable[[#This Row],[Cycle position]],0))</f>
        <v>0</v>
      </c>
      <c r="M9">
        <f>AnimalGraphingTable[[#This Row],[Offset multiplier]]*AnimalGraphingTable[[#This Row],[Cycle position]]</f>
        <v>0</v>
      </c>
      <c r="N9">
        <f>AnimalGraphingTable[[#This Row],[Calculated position]]+AnimalGraphingTable[[#This Row],[Position offset]]</f>
        <v>42</v>
      </c>
      <c r="O9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9</v>
      </c>
      <c r="P9">
        <f>AnimalGraphingTable[[#This Row],[Starting Z depth]]</f>
        <v>-11</v>
      </c>
      <c r="Q9">
        <f>RADIANS(AnimalGraphingTable[[#This Row],[Cycle position]]+AnimalGraphingTable[[#This Row],[Starting Y lane]]-Setup!$G$25+AnimalGraphingTable[[#This Row],[Offset multiplier]]+StartingTime)*100000</f>
        <v>77768288.029145122</v>
      </c>
      <c r="R9">
        <f>(AnimalGraphingTable[[#This Row],[X]]-Setup!F$25)/Setup!F$26-0.5</f>
        <v>-0.06</v>
      </c>
      <c r="S9">
        <f>(AnimalGraphingTable[[#This Row],[Y]]-Setup!G$25)/Setup!G$26-0.5</f>
        <v>0.30000000000000004</v>
      </c>
      <c r="T9">
        <f>(AnimalGraphingTable[[#This Row],[Z]]-Setup!H$25)/Setup!H$26-0.5</f>
        <v>-4.9999999999999989E-2</v>
      </c>
      <c r="U9">
        <f>IF(AnimalGraphingTable[[#This Row],[Hidden]],NA(),SUMPRODUCT(AnimalGraphingTable[[#This Row],[Norm X]:[Norm Z]],Chart_XRotationVals))</f>
        <v>-0.16970562748477142</v>
      </c>
      <c r="V9">
        <f>SUMPRODUCT(AnimalGraphingTable[[#This Row],[Norm X]:[Norm Z]],Chart_YRotationVals)</f>
        <v>2.5105898795504105E-2</v>
      </c>
      <c r="W9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9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9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9">
        <f>SQRT(AnimalGraphingTable[[#This Row],[X dist]]+AnimalGraphingTable[[#This Row],[Y dist]]+AnimalGraphingTable[[#This Row],[Z dist]])</f>
        <v>21.937410968480304</v>
      </c>
      <c r="AA9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400</v>
      </c>
      <c r="AB9">
        <f>(AnimalGraphingTable[[#This Row],[Y]]-VLOOKUP(AnimalGraphingTable[[#This Row],[Closest sphere to Shark]],SharkBubbleTable[],6,0))^2</f>
        <v>81</v>
      </c>
      <c r="AC9">
        <f>(AnimalGraphingTable[[#This Row],[Z]]-VLOOKUP(AnimalGraphingTable[[#This Row],[Closest sphere to Shark]],SharkBubbleTable[],7,0))^2</f>
        <v>0.25</v>
      </c>
      <c r="AD9">
        <f>IF(AnimalGraphingTable[[#This Row],[Top/Bottom]]="Below Shark",AnimalGraphingTable[[#This Row],[Offset multiplier]]+IF(AnimalGraphingTable[[#This Row],[X]]&lt;50,1,0),0)</f>
        <v>1</v>
      </c>
    </row>
    <row r="10" spans="1:30">
      <c r="A10" t="s">
        <v>79</v>
      </c>
      <c r="B10" t="str">
        <f>AnimalGraphingTable[[#This Row],[Object]]&amp;AnimalGraphingTable[[#This Row],[Version]]&amp;LEFT(AnimalGraphingTable[[#This Row],[Top/Bottom]],1)</f>
        <v>F2B</v>
      </c>
      <c r="C10" t="str">
        <f>VLOOKUP(AnimalGraphingTable[[#This Row],[Object]],SetupConstantsTable[],2,0)&amp;IF(AnimalGraphingTable[[#This Row],[Top/Bottom]]="Shadow","-"&amp;AnimalGraphingTable[[#This Row],[Top/Bottom]],"")</f>
        <v>Turtle</v>
      </c>
      <c r="D10" t="s">
        <v>76</v>
      </c>
      <c r="E10">
        <v>2</v>
      </c>
      <c r="F10">
        <f>INDEX(SetupConstantsTable[],MATCH(AnimalGraphingTable[[#This Row],[Object]],SetupConstantsTable[Object],0),MATCH('Animal Graphing'!F$2,SetupConstantsTable[#Headers],0))</f>
        <v>-2.5</v>
      </c>
      <c r="G10">
        <f>INDEX(SetupConstantsTable[],MATCH(AnimalGraphingTable[[#This Row],[Object]],SetupConstantsTable[Object],0),MATCH('Animal Graphing'!G$2,SetupConstantsTable[#Headers],0))</f>
        <v>140</v>
      </c>
      <c r="H10">
        <f>INDEX(SetupConstantsTable[],MATCH(AnimalGraphingTable[[#This Row],[Object]],SetupConstantsTable[Object],0),MATCH("X"&amp;AnimalGraphingTable[[#This Row],[Version]],SetupConstantsTable[#Headers],0))</f>
        <v>97</v>
      </c>
      <c r="I10">
        <f>INDEX(SetupConstantsTable[],MATCH(AnimalGraphingTable[[#This Row],[Object]],SetupConstantsTable[Object],0),MATCH("Y"&amp;AnimalGraphingTable[[#This Row],[Version]],SetupConstantsTable[#Headers],0))</f>
        <v>7</v>
      </c>
      <c r="J10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-12</v>
      </c>
      <c r="K10">
        <f>AnimalGraphingTable[[#This Row],[Velocity at 0]]*NetTime+AnimalGraphingTable[[#This Row],[Starting position]]</f>
        <v>97</v>
      </c>
      <c r="L10">
        <f>IF(AnimalGraphingTable[[#This Row],[Calculated position]]&gt;0,0,ROUNDUP(-AnimalGraphingTable[[#This Row],[Calculated position]]/AnimalGraphingTable[[#This Row],[Cycle position]],0))</f>
        <v>0</v>
      </c>
      <c r="M10">
        <f>AnimalGraphingTable[[#This Row],[Offset multiplier]]*AnimalGraphingTable[[#This Row],[Cycle position]]</f>
        <v>0</v>
      </c>
      <c r="N10">
        <f>AnimalGraphingTable[[#This Row],[Calculated position]]+AnimalGraphingTable[[#This Row],[Position offset]]</f>
        <v>97</v>
      </c>
      <c r="O10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7</v>
      </c>
      <c r="P10">
        <f>AnimalGraphingTable[[#This Row],[Starting Z depth]]</f>
        <v>-12</v>
      </c>
      <c r="Q10">
        <f>RADIANS(AnimalGraphingTable[[#This Row],[Cycle position]]+AnimalGraphingTable[[#This Row],[Starting Y lane]]-Setup!$G$25+AnimalGraphingTable[[#This Row],[Offset multiplier]]+StartingTime)*100000</f>
        <v>77764797.370641127</v>
      </c>
      <c r="R10">
        <f>(AnimalGraphingTable[[#This Row],[X]]-Setup!F$25)/Setup!F$26-0.5</f>
        <v>1.04</v>
      </c>
      <c r="S10">
        <f>(AnimalGraphingTable[[#This Row],[Y]]-Setup!G$25)/Setup!G$26-0.5</f>
        <v>0.23333333333333328</v>
      </c>
      <c r="T10">
        <f>(AnimalGraphingTable[[#This Row],[Z]]-Setup!H$25)/Setup!H$26-0.5</f>
        <v>-9.9999999999999978E-2</v>
      </c>
      <c r="U10">
        <f>IF(AnimalGraphingTable[[#This Row],[Hidden]],NA(),SUMPRODUCT(AnimalGraphingTable[[#This Row],[Norm X]:[Norm Z]],Chart_XRotationVals))</f>
        <v>0.63639610306789285</v>
      </c>
      <c r="V10">
        <f>SUMPRODUCT(AnimalGraphingTable[[#This Row],[Norm X]:[Norm Z]],Chart_YRotationVals)</f>
        <v>0.38255198474868551</v>
      </c>
      <c r="W10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10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0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0">
        <f>SQRT(AnimalGraphingTable[[#This Row],[X dist]]+AnimalGraphingTable[[#This Row],[Y dist]]+AnimalGraphingTable[[#This Row],[Z dist]])</f>
        <v>75.340891951184119</v>
      </c>
      <c r="AA10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5625</v>
      </c>
      <c r="AB10">
        <f>(AnimalGraphingTable[[#This Row],[Y]]-VLOOKUP(AnimalGraphingTable[[#This Row],[Closest sphere to Shark]],SharkBubbleTable[],6,0))^2</f>
        <v>49</v>
      </c>
      <c r="AC10">
        <f>(AnimalGraphingTable[[#This Row],[Z]]-VLOOKUP(AnimalGraphingTable[[#This Row],[Closest sphere to Shark]],SharkBubbleTable[],7,0))^2</f>
        <v>2.25</v>
      </c>
      <c r="AD10">
        <f>IF(AnimalGraphingTable[[#This Row],[Top/Bottom]]="Below Shark",AnimalGraphingTable[[#This Row],[Offset multiplier]]+IF(AnimalGraphingTable[[#This Row],[X]]&lt;50,1,0),0)</f>
        <v>0</v>
      </c>
    </row>
    <row r="11" spans="1:30">
      <c r="A11" t="s">
        <v>80</v>
      </c>
      <c r="B11" t="str">
        <f>AnimalGraphingTable[[#This Row],[Object]]&amp;AnimalGraphingTable[[#This Row],[Version]]&amp;LEFT(AnimalGraphingTable[[#This Row],[Top/Bottom]],1)</f>
        <v>D1B</v>
      </c>
      <c r="C11" t="str">
        <f>VLOOKUP(AnimalGraphingTable[[#This Row],[Object]],SetupConstantsTable[],2,0)&amp;IF(AnimalGraphingTable[[#This Row],[Top/Bottom]]="Shadow","-"&amp;AnimalGraphingTable[[#This Row],[Top/Bottom]],"")</f>
        <v>Jellyfish</v>
      </c>
      <c r="D11" t="s">
        <v>76</v>
      </c>
      <c r="E11">
        <v>1</v>
      </c>
      <c r="F11">
        <f>INDEX(SetupConstantsTable[],MATCH(AnimalGraphingTable[[#This Row],[Object]],SetupConstantsTable[Object],0),MATCH('Animal Graphing'!F$2,SetupConstantsTable[#Headers],0))</f>
        <v>-2.5</v>
      </c>
      <c r="G11">
        <f>INDEX(SetupConstantsTable[],MATCH(AnimalGraphingTable[[#This Row],[Object]],SetupConstantsTable[Object],0),MATCH('Animal Graphing'!G$2,SetupConstantsTable[#Headers],0))</f>
        <v>165</v>
      </c>
      <c r="H11">
        <f>INDEX(SetupConstantsTable[],MATCH(AnimalGraphingTable[[#This Row],[Object]],SetupConstantsTable[Object],0),MATCH("X"&amp;AnimalGraphingTable[[#This Row],[Version]],SetupConstantsTable[#Headers],0))</f>
        <v>50</v>
      </c>
      <c r="I11">
        <f>INDEX(SetupConstantsTable[],MATCH(AnimalGraphingTable[[#This Row],[Object]],SetupConstantsTable[Object],0),MATCH("Y"&amp;AnimalGraphingTable[[#This Row],[Version]],SetupConstantsTable[#Headers],0))</f>
        <v>9</v>
      </c>
      <c r="J11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-10</v>
      </c>
      <c r="K11">
        <f>AnimalGraphingTable[[#This Row],[Velocity at 0]]*NetTime+AnimalGraphingTable[[#This Row],[Starting position]]</f>
        <v>50</v>
      </c>
      <c r="L11">
        <f>IF(AnimalGraphingTable[[#This Row],[Calculated position]]&gt;0,0,ROUNDUP(-AnimalGraphingTable[[#This Row],[Calculated position]]/AnimalGraphingTable[[#This Row],[Cycle position]],0))</f>
        <v>0</v>
      </c>
      <c r="M11">
        <f>AnimalGraphingTable[[#This Row],[Offset multiplier]]*AnimalGraphingTable[[#This Row],[Cycle position]]</f>
        <v>0</v>
      </c>
      <c r="N11">
        <f>AnimalGraphingTable[[#This Row],[Calculated position]]+AnimalGraphingTable[[#This Row],[Position offset]]</f>
        <v>50</v>
      </c>
      <c r="O11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9</v>
      </c>
      <c r="P11">
        <f>AnimalGraphingTable[[#This Row],[Starting Z depth]]</f>
        <v>-10</v>
      </c>
      <c r="Q11">
        <f>RADIANS(AnimalGraphingTable[[#This Row],[Cycle position]]+AnimalGraphingTable[[#This Row],[Starting Y lane]]-Setup!$G$25+AnimalGraphingTable[[#This Row],[Offset multiplier]]+StartingTime)*100000</f>
        <v>77811921.260444984</v>
      </c>
      <c r="R11">
        <f>(AnimalGraphingTable[[#This Row],[X]]-Setup!F$25)/Setup!F$26-0.5</f>
        <v>9.9999999999999978E-2</v>
      </c>
      <c r="S11">
        <f>(AnimalGraphingTable[[#This Row],[Y]]-Setup!G$25)/Setup!G$26-0.5</f>
        <v>0.30000000000000004</v>
      </c>
      <c r="T11">
        <f>(AnimalGraphingTable[[#This Row],[Z]]-Setup!H$25)/Setup!H$26-0.5</f>
        <v>0</v>
      </c>
      <c r="U11" t="e">
        <f>IF(AnimalGraphingTable[[#This Row],[Hidden]],NA(),SUMPRODUCT(AnimalGraphingTable[[#This Row],[Norm X]:[Norm Z]],Chart_XRotationVals))</f>
        <v>#N/A</v>
      </c>
      <c r="V11">
        <f>SUMPRODUCT(AnimalGraphingTable[[#This Row],[Norm X]:[Norm Z]],Chart_YRotationVals)</f>
        <v>9.8994949366116664E-2</v>
      </c>
      <c r="W11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1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1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1">
        <f>SQRT(AnimalGraphingTable[[#This Row],[X dist]]+AnimalGraphingTable[[#This Row],[Y dist]]+AnimalGraphingTable[[#This Row],[Z dist]])</f>
        <v>29.415132160165456</v>
      </c>
      <c r="AA11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784</v>
      </c>
      <c r="AB11">
        <f>(AnimalGraphingTable[[#This Row],[Y]]-VLOOKUP(AnimalGraphingTable[[#This Row],[Closest sphere to Shark]],SharkBubbleTable[],6,0))^2</f>
        <v>81</v>
      </c>
      <c r="AC11">
        <f>(AnimalGraphingTable[[#This Row],[Z]]-VLOOKUP(AnimalGraphingTable[[#This Row],[Closest sphere to Shark]],SharkBubbleTable[],7,0))^2</f>
        <v>0.25</v>
      </c>
      <c r="AD11">
        <f>IF(AnimalGraphingTable[[#This Row],[Top/Bottom]]="Below Shark",AnimalGraphingTable[[#This Row],[Offset multiplier]]+IF(AnimalGraphingTable[[#This Row],[X]]&lt;50,1,0),0)</f>
        <v>0</v>
      </c>
    </row>
    <row r="12" spans="1:30">
      <c r="A12" t="s">
        <v>80</v>
      </c>
      <c r="B12" t="str">
        <f>AnimalGraphingTable[[#This Row],[Object]]&amp;AnimalGraphingTable[[#This Row],[Version]]&amp;LEFT(AnimalGraphingTable[[#This Row],[Top/Bottom]],1)</f>
        <v>D2B</v>
      </c>
      <c r="C12" t="str">
        <f>VLOOKUP(AnimalGraphingTable[[#This Row],[Object]],SetupConstantsTable[],2,0)&amp;IF(AnimalGraphingTable[[#This Row],[Top/Bottom]]="Shadow","-"&amp;AnimalGraphingTable[[#This Row],[Top/Bottom]],"")</f>
        <v>Jellyfish</v>
      </c>
      <c r="D12" t="s">
        <v>76</v>
      </c>
      <c r="E12">
        <v>2</v>
      </c>
      <c r="F12">
        <f>INDEX(SetupConstantsTable[],MATCH(AnimalGraphingTable[[#This Row],[Object]],SetupConstantsTable[Object],0),MATCH('Animal Graphing'!F$2,SetupConstantsTable[#Headers],0))</f>
        <v>-2.5</v>
      </c>
      <c r="G12">
        <f>INDEX(SetupConstantsTable[],MATCH(AnimalGraphingTable[[#This Row],[Object]],SetupConstantsTable[Object],0),MATCH('Animal Graphing'!G$2,SetupConstantsTable[#Headers],0))</f>
        <v>165</v>
      </c>
      <c r="H12">
        <f>INDEX(SetupConstantsTable[],MATCH(AnimalGraphingTable[[#This Row],[Object]],SetupConstantsTable[Object],0),MATCH("X"&amp;AnimalGraphingTable[[#This Row],[Version]],SetupConstantsTable[#Headers],0))</f>
        <v>99</v>
      </c>
      <c r="I12">
        <f>INDEX(SetupConstantsTable[],MATCH(AnimalGraphingTable[[#This Row],[Object]],SetupConstantsTable[Object],0),MATCH("Y"&amp;AnimalGraphingTable[[#This Row],[Version]],SetupConstantsTable[#Headers],0))</f>
        <v>6</v>
      </c>
      <c r="J12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-9</v>
      </c>
      <c r="K12">
        <f>AnimalGraphingTable[[#This Row],[Velocity at 0]]*NetTime+AnimalGraphingTable[[#This Row],[Starting position]]</f>
        <v>99</v>
      </c>
      <c r="L12">
        <f>IF(AnimalGraphingTable[[#This Row],[Calculated position]]&gt;0,0,ROUNDUP(-AnimalGraphingTable[[#This Row],[Calculated position]]/AnimalGraphingTable[[#This Row],[Cycle position]],0))</f>
        <v>0</v>
      </c>
      <c r="M12">
        <f>AnimalGraphingTable[[#This Row],[Offset multiplier]]*AnimalGraphingTable[[#This Row],[Cycle position]]</f>
        <v>0</v>
      </c>
      <c r="N12">
        <f>AnimalGraphingTable[[#This Row],[Calculated position]]+AnimalGraphingTable[[#This Row],[Position offset]]</f>
        <v>99</v>
      </c>
      <c r="O12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6</v>
      </c>
      <c r="P12">
        <f>AnimalGraphingTable[[#This Row],[Starting Z depth]]</f>
        <v>-9</v>
      </c>
      <c r="Q12">
        <f>RADIANS(AnimalGraphingTable[[#This Row],[Cycle position]]+AnimalGraphingTable[[#This Row],[Starting Y lane]]-Setup!$G$25+AnimalGraphingTable[[#This Row],[Offset multiplier]]+StartingTime)*100000</f>
        <v>77806685.272688985</v>
      </c>
      <c r="R12">
        <f>(AnimalGraphingTable[[#This Row],[X]]-Setup!F$25)/Setup!F$26-0.5</f>
        <v>1.08</v>
      </c>
      <c r="S12">
        <f>(AnimalGraphingTable[[#This Row],[Y]]-Setup!G$25)/Setup!G$26-0.5</f>
        <v>0.19999999999999996</v>
      </c>
      <c r="T12">
        <f>(AnimalGraphingTable[[#This Row],[Z]]-Setup!H$25)/Setup!H$26-0.5</f>
        <v>5.0000000000000044E-2</v>
      </c>
      <c r="U12" t="e">
        <f>IF(AnimalGraphingTable[[#This Row],[Hidden]],NA(),SUMPRODUCT(AnimalGraphingTable[[#This Row],[Norm X]:[Norm Z]],Chart_XRotationVals))</f>
        <v>#N/A</v>
      </c>
      <c r="V12">
        <f>SUMPRODUCT(AnimalGraphingTable[[#This Row],[Norm X]:[Norm Z]],Chart_YRotationVals)</f>
        <v>0.44158457678761737</v>
      </c>
      <c r="W12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2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2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2">
        <f>SQRT(AnimalGraphingTable[[#This Row],[X dist]]+AnimalGraphingTable[[#This Row],[Y dist]]+AnimalGraphingTable[[#This Row],[Z dist]])</f>
        <v>77.247977319797826</v>
      </c>
      <c r="AA12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5929</v>
      </c>
      <c r="AB12">
        <f>(AnimalGraphingTable[[#This Row],[Y]]-VLOOKUP(AnimalGraphingTable[[#This Row],[Closest sphere to Shark]],SharkBubbleTable[],6,0))^2</f>
        <v>36</v>
      </c>
      <c r="AC12">
        <f>(AnimalGraphingTable[[#This Row],[Z]]-VLOOKUP(AnimalGraphingTable[[#This Row],[Closest sphere to Shark]],SharkBubbleTable[],7,0))^2</f>
        <v>2.25</v>
      </c>
      <c r="AD12">
        <f>IF(AnimalGraphingTable[[#This Row],[Top/Bottom]]="Below Shark",AnimalGraphingTable[[#This Row],[Offset multiplier]]+IF(AnimalGraphingTable[[#This Row],[X]]&lt;50,1,0),0)</f>
        <v>0</v>
      </c>
    </row>
    <row r="13" spans="1:30">
      <c r="A13" t="s">
        <v>81</v>
      </c>
      <c r="B13" t="str">
        <f>AnimalGraphingTable[[#This Row],[Object]]&amp;AnimalGraphingTable[[#This Row],[Version]]&amp;LEFT(AnimalGraphingTable[[#This Row],[Top/Bottom]],1)</f>
        <v>C1B</v>
      </c>
      <c r="C13" t="str">
        <f>VLOOKUP(AnimalGraphingTable[[#This Row],[Object]],SetupConstantsTable[],2,0)&amp;IF(AnimalGraphingTable[[#This Row],[Top/Bottom]]="Shadow","-"&amp;AnimalGraphingTable[[#This Row],[Top/Bottom]],"")</f>
        <v>Orca</v>
      </c>
      <c r="D13" t="s">
        <v>76</v>
      </c>
      <c r="E13">
        <v>1</v>
      </c>
      <c r="F13">
        <f>INDEX(SetupConstantsTable[],MATCH(AnimalGraphingTable[[#This Row],[Object]],SetupConstantsTable[Object],0),MATCH('Animal Graphing'!F$2,SetupConstantsTable[#Headers],0))</f>
        <v>-5</v>
      </c>
      <c r="G13">
        <f>INDEX(SetupConstantsTable[],MATCH(AnimalGraphingTable[[#This Row],[Object]],SetupConstantsTable[Object],0),MATCH('Animal Graphing'!G$2,SetupConstantsTable[#Headers],0))</f>
        <v>260</v>
      </c>
      <c r="H13">
        <f>INDEX(SetupConstantsTable[],MATCH(AnimalGraphingTable[[#This Row],[Object]],SetupConstantsTable[Object],0),MATCH("X"&amp;AnimalGraphingTable[[#This Row],[Version]],SetupConstantsTable[#Headers],0))</f>
        <v>67</v>
      </c>
      <c r="I13">
        <f>INDEX(SetupConstantsTable[],MATCH(AnimalGraphingTable[[#This Row],[Object]],SetupConstantsTable[Object],0),MATCH("Y"&amp;AnimalGraphingTable[[#This Row],[Version]],SetupConstantsTable[#Headers],0))</f>
        <v>-7</v>
      </c>
      <c r="J13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-6</v>
      </c>
      <c r="K13">
        <f>AnimalGraphingTable[[#This Row],[Velocity at 0]]*NetTime+AnimalGraphingTable[[#This Row],[Starting position]]</f>
        <v>67</v>
      </c>
      <c r="L13">
        <f>IF(AnimalGraphingTable[[#This Row],[Calculated position]]&gt;0,0,ROUNDUP(-AnimalGraphingTable[[#This Row],[Calculated position]]/AnimalGraphingTable[[#This Row],[Cycle position]],0))</f>
        <v>0</v>
      </c>
      <c r="M13">
        <f>AnimalGraphingTable[[#This Row],[Offset multiplier]]*AnimalGraphingTable[[#This Row],[Cycle position]]</f>
        <v>0</v>
      </c>
      <c r="N13">
        <f>AnimalGraphingTable[[#This Row],[Calculated position]]+AnimalGraphingTable[[#This Row],[Position offset]]</f>
        <v>67</v>
      </c>
      <c r="O13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-7</v>
      </c>
      <c r="P13">
        <f>AnimalGraphingTable[[#This Row],[Starting Z depth]]</f>
        <v>-6</v>
      </c>
      <c r="Q13">
        <f>RADIANS(AnimalGraphingTable[[#This Row],[Cycle position]]+AnimalGraphingTable[[#This Row],[Starting Y lane]]-Setup!$G$25+AnimalGraphingTable[[#This Row],[Offset multiplier]]+StartingTime)*100000</f>
        <v>77949802.27135253</v>
      </c>
      <c r="R13">
        <f>(AnimalGraphingTable[[#This Row],[X]]-Setup!F$25)/Setup!F$26-0.5</f>
        <v>0.43999999999999995</v>
      </c>
      <c r="S13">
        <f>(AnimalGraphingTable[[#This Row],[Y]]-Setup!G$25)/Setup!G$26-0.5</f>
        <v>-0.23333333333333334</v>
      </c>
      <c r="T13">
        <f>(AnimalGraphingTable[[#This Row],[Z]]-Setup!H$25)/Setup!H$26-0.5</f>
        <v>0.19999999999999996</v>
      </c>
      <c r="U13" t="e">
        <f>IF(AnimalGraphingTable[[#This Row],[Hidden]],NA(),SUMPRODUCT(AnimalGraphingTable[[#This Row],[Norm X]:[Norm Z]],Chart_XRotationVals))</f>
        <v>#N/A</v>
      </c>
      <c r="V13">
        <f>SUMPRODUCT(AnimalGraphingTable[[#This Row],[Norm X]:[Norm Z]],Chart_YRotationVals)</f>
        <v>0.17534804948073718</v>
      </c>
      <c r="W13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3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3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3">
        <f>SQRT(AnimalGraphingTable[[#This Row],[X dist]]+AnimalGraphingTable[[#This Row],[Y dist]]+AnimalGraphingTable[[#This Row],[Z dist]])</f>
        <v>41.835989291517897</v>
      </c>
      <c r="AA13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1681</v>
      </c>
      <c r="AB13">
        <f>(AnimalGraphingTable[[#This Row],[Y]]-VLOOKUP(AnimalGraphingTable[[#This Row],[Closest sphere to Shark]],SharkBubbleTable[],6,0))^2</f>
        <v>49</v>
      </c>
      <c r="AC13">
        <f>(AnimalGraphingTable[[#This Row],[Z]]-VLOOKUP(AnimalGraphingTable[[#This Row],[Closest sphere to Shark]],SharkBubbleTable[],7,0))^2</f>
        <v>20.25</v>
      </c>
      <c r="AD13">
        <f>IF(AnimalGraphingTable[[#This Row],[Top/Bottom]]="Below Shark",AnimalGraphingTable[[#This Row],[Offset multiplier]]+IF(AnimalGraphingTable[[#This Row],[X]]&lt;50,1,0),0)</f>
        <v>0</v>
      </c>
    </row>
    <row r="14" spans="1:30">
      <c r="A14" t="s">
        <v>81</v>
      </c>
      <c r="B14" t="str">
        <f>AnimalGraphingTable[[#This Row],[Object]]&amp;AnimalGraphingTable[[#This Row],[Version]]&amp;LEFT(AnimalGraphingTable[[#This Row],[Top/Bottom]],1)</f>
        <v>C2B</v>
      </c>
      <c r="C14" t="str">
        <f>VLOOKUP(AnimalGraphingTable[[#This Row],[Object]],SetupConstantsTable[],2,0)&amp;IF(AnimalGraphingTable[[#This Row],[Top/Bottom]]="Shadow","-"&amp;AnimalGraphingTable[[#This Row],[Top/Bottom]],"")</f>
        <v>Orca</v>
      </c>
      <c r="D14" t="s">
        <v>76</v>
      </c>
      <c r="E14">
        <v>2</v>
      </c>
      <c r="F14">
        <f>INDEX(SetupConstantsTable[],MATCH(AnimalGraphingTable[[#This Row],[Object]],SetupConstantsTable[Object],0),MATCH('Animal Graphing'!F$2,SetupConstantsTable[#Headers],0))</f>
        <v>-5</v>
      </c>
      <c r="G14">
        <f>INDEX(SetupConstantsTable[],MATCH(AnimalGraphingTable[[#This Row],[Object]],SetupConstantsTable[Object],0),MATCH('Animal Graphing'!G$2,SetupConstantsTable[#Headers],0))</f>
        <v>260</v>
      </c>
      <c r="H14">
        <f>INDEX(SetupConstantsTable[],MATCH(AnimalGraphingTable[[#This Row],[Object]],SetupConstantsTable[Object],0),MATCH("X"&amp;AnimalGraphingTable[[#This Row],[Version]],SetupConstantsTable[#Headers],0))</f>
        <v>195</v>
      </c>
      <c r="I14">
        <f>INDEX(SetupConstantsTable[],MATCH(AnimalGraphingTable[[#This Row],[Object]],SetupConstantsTable[Object],0),MATCH("Y"&amp;AnimalGraphingTable[[#This Row],[Version]],SetupConstantsTable[#Headers],0))</f>
        <v>-1</v>
      </c>
      <c r="J14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-7</v>
      </c>
      <c r="K14">
        <f>AnimalGraphingTable[[#This Row],[Velocity at 0]]*NetTime+AnimalGraphingTable[[#This Row],[Starting position]]</f>
        <v>195</v>
      </c>
      <c r="L14">
        <f>IF(AnimalGraphingTable[[#This Row],[Calculated position]]&gt;0,0,ROUNDUP(-AnimalGraphingTable[[#This Row],[Calculated position]]/AnimalGraphingTable[[#This Row],[Cycle position]],0))</f>
        <v>0</v>
      </c>
      <c r="M14">
        <f>AnimalGraphingTable[[#This Row],[Offset multiplier]]*AnimalGraphingTable[[#This Row],[Cycle position]]</f>
        <v>0</v>
      </c>
      <c r="N14">
        <f>AnimalGraphingTable[[#This Row],[Calculated position]]+AnimalGraphingTable[[#This Row],[Position offset]]</f>
        <v>195</v>
      </c>
      <c r="O14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-1</v>
      </c>
      <c r="P14">
        <f>AnimalGraphingTable[[#This Row],[Starting Z depth]]</f>
        <v>-7</v>
      </c>
      <c r="Q14">
        <f>RADIANS(AnimalGraphingTable[[#This Row],[Cycle position]]+AnimalGraphingTable[[#This Row],[Starting Y lane]]-Setup!$G$25+AnimalGraphingTable[[#This Row],[Offset multiplier]]+StartingTime)*100000</f>
        <v>77960274.246864498</v>
      </c>
      <c r="R14">
        <f>(AnimalGraphingTable[[#This Row],[X]]-Setup!F$25)/Setup!F$26-0.5</f>
        <v>3</v>
      </c>
      <c r="S14">
        <f>(AnimalGraphingTable[[#This Row],[Y]]-Setup!G$25)/Setup!G$26-0.5</f>
        <v>-3.3333333333333326E-2</v>
      </c>
      <c r="T14">
        <f>(AnimalGraphingTable[[#This Row],[Z]]-Setup!H$25)/Setup!H$26-0.5</f>
        <v>0.15000000000000002</v>
      </c>
      <c r="U14" t="e">
        <f>IF(AnimalGraphingTable[[#This Row],[Hidden]],NA(),SUMPRODUCT(AnimalGraphingTable[[#This Row],[Norm X]:[Norm Z]],Chart_XRotationVals))</f>
        <v>#N/A</v>
      </c>
      <c r="V14">
        <f>SUMPRODUCT(AnimalGraphingTable[[#This Row],[Norm X]:[Norm Z]],Chart_YRotationVals)</f>
        <v>1.1055506281950223</v>
      </c>
      <c r="W14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4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4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4">
        <f>SQRT(AnimalGraphingTable[[#This Row],[X dist]]+AnimalGraphingTable[[#This Row],[Y dist]]+AnimalGraphingTable[[#This Row],[Z dist]])</f>
        <v>169.03919663793957</v>
      </c>
      <c r="AA14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28561</v>
      </c>
      <c r="AB14">
        <f>(AnimalGraphingTable[[#This Row],[Y]]-VLOOKUP(AnimalGraphingTable[[#This Row],[Closest sphere to Shark]],SharkBubbleTable[],6,0))^2</f>
        <v>1</v>
      </c>
      <c r="AC14">
        <f>(AnimalGraphingTable[[#This Row],[Z]]-VLOOKUP(AnimalGraphingTable[[#This Row],[Closest sphere to Shark]],SharkBubbleTable[],7,0))^2</f>
        <v>12.25</v>
      </c>
      <c r="AD14">
        <f>IF(AnimalGraphingTable[[#This Row],[Top/Bottom]]="Below Shark",AnimalGraphingTable[[#This Row],[Offset multiplier]]+IF(AnimalGraphingTable[[#This Row],[X]]&lt;50,1,0),0)</f>
        <v>0</v>
      </c>
    </row>
    <row r="15" spans="1:30">
      <c r="A15" t="s">
        <v>82</v>
      </c>
      <c r="B15" t="str">
        <f>AnimalGraphingTable[[#This Row],[Object]]&amp;AnimalGraphingTable[[#This Row],[Version]]&amp;LEFT(AnimalGraphingTable[[#This Row],[Top/Bottom]],1)</f>
        <v>B1B</v>
      </c>
      <c r="C15" t="str">
        <f>VLOOKUP(AnimalGraphingTable[[#This Row],[Object]],SetupConstantsTable[],2,0)&amp;IF(AnimalGraphingTable[[#This Row],[Top/Bottom]]="Shadow","-"&amp;AnimalGraphingTable[[#This Row],[Top/Bottom]],"")</f>
        <v>Sting Ray</v>
      </c>
      <c r="D15" t="s">
        <v>76</v>
      </c>
      <c r="E15">
        <v>1</v>
      </c>
      <c r="F15">
        <f>INDEX(SetupConstantsTable[],MATCH(AnimalGraphingTable[[#This Row],[Object]],SetupConstantsTable[Object],0),MATCH('Animal Graphing'!F$2,SetupConstantsTable[#Headers],0))</f>
        <v>-3.5</v>
      </c>
      <c r="G15">
        <f>INDEX(SetupConstantsTable[],MATCH(AnimalGraphingTable[[#This Row],[Object]],SetupConstantsTable[Object],0),MATCH('Animal Graphing'!G$2,SetupConstantsTable[#Headers],0))</f>
        <v>110</v>
      </c>
      <c r="H15">
        <f>INDEX(SetupConstantsTable[],MATCH(AnimalGraphingTable[[#This Row],[Object]],SetupConstantsTable[Object],0),MATCH("X"&amp;AnimalGraphingTable[[#This Row],[Version]],SetupConstantsTable[#Headers],0))</f>
        <v>25</v>
      </c>
      <c r="I15">
        <f>INDEX(SetupConstantsTable[],MATCH(AnimalGraphingTable[[#This Row],[Object]],SetupConstantsTable[Object],0),MATCH("Y"&amp;AnimalGraphingTable[[#This Row],[Version]],SetupConstantsTable[#Headers],0))</f>
        <v>6</v>
      </c>
      <c r="J15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-3</v>
      </c>
      <c r="K15">
        <f>AnimalGraphingTable[[#This Row],[Velocity at 0]]*NetTime+AnimalGraphingTable[[#This Row],[Starting position]]</f>
        <v>25</v>
      </c>
      <c r="L15">
        <f>IF(AnimalGraphingTable[[#This Row],[Calculated position]]&gt;0,0,ROUNDUP(-AnimalGraphingTable[[#This Row],[Calculated position]]/AnimalGraphingTable[[#This Row],[Cycle position]],0))</f>
        <v>0</v>
      </c>
      <c r="M15">
        <f>AnimalGraphingTable[[#This Row],[Offset multiplier]]*AnimalGraphingTable[[#This Row],[Cycle position]]</f>
        <v>0</v>
      </c>
      <c r="N15">
        <f>AnimalGraphingTable[[#This Row],[Calculated position]]+AnimalGraphingTable[[#This Row],[Position offset]]</f>
        <v>25</v>
      </c>
      <c r="O15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6</v>
      </c>
      <c r="P15">
        <f>AnimalGraphingTable[[#This Row],[Starting Z depth]]</f>
        <v>-3</v>
      </c>
      <c r="Q15">
        <f>RADIANS(AnimalGraphingTable[[#This Row],[Cycle position]]+AnimalGraphingTable[[#This Row],[Starting Y lane]]-Setup!$G$25+AnimalGraphingTable[[#This Row],[Offset multiplier]]+StartingTime)*100000</f>
        <v>77710692.163829297</v>
      </c>
      <c r="R15">
        <f>(AnimalGraphingTable[[#This Row],[X]]-Setup!F$25)/Setup!F$26-0.5</f>
        <v>-0.4</v>
      </c>
      <c r="S15">
        <f>(AnimalGraphingTable[[#This Row],[Y]]-Setup!G$25)/Setup!G$26-0.5</f>
        <v>0.19999999999999996</v>
      </c>
      <c r="T15">
        <f>(AnimalGraphingTable[[#This Row],[Z]]-Setup!H$25)/Setup!H$26-0.5</f>
        <v>0.35</v>
      </c>
      <c r="U15" t="e">
        <f>IF(AnimalGraphingTable[[#This Row],[Hidden]],NA(),SUMPRODUCT(AnimalGraphingTable[[#This Row],[Norm X]:[Norm Z]],Chart_XRotationVals))</f>
        <v>#N/A</v>
      </c>
      <c r="V15">
        <f>SUMPRODUCT(AnimalGraphingTable[[#This Row],[Norm X]:[Norm Z]],Chart_YRotationVals)</f>
        <v>2.224860716370472E-2</v>
      </c>
      <c r="W15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5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5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5">
        <f>SQRT(AnimalGraphingTable[[#This Row],[X dist]]+AnimalGraphingTable[[#This Row],[Y dist]]+AnimalGraphingTable[[#This Row],[Z dist]])</f>
        <v>10.404326023342406</v>
      </c>
      <c r="AA15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16</v>
      </c>
      <c r="AB15">
        <f>(AnimalGraphingTable[[#This Row],[Y]]-VLOOKUP(AnimalGraphingTable[[#This Row],[Closest sphere to Shark]],SharkBubbleTable[],6,0))^2</f>
        <v>36</v>
      </c>
      <c r="AC15">
        <f>(AnimalGraphingTable[[#This Row],[Z]]-VLOOKUP(AnimalGraphingTable[[#This Row],[Closest sphere to Shark]],SharkBubbleTable[],7,0))^2</f>
        <v>56.25</v>
      </c>
      <c r="AD15">
        <f>IF(AnimalGraphingTable[[#This Row],[Top/Bottom]]="Below Shark",AnimalGraphingTable[[#This Row],[Offset multiplier]]+IF(AnimalGraphingTable[[#This Row],[X]]&lt;50,1,0),0)</f>
        <v>1</v>
      </c>
    </row>
    <row r="16" spans="1:30">
      <c r="A16" t="s">
        <v>82</v>
      </c>
      <c r="B16" t="str">
        <f>AnimalGraphingTable[[#This Row],[Object]]&amp;AnimalGraphingTable[[#This Row],[Version]]&amp;LEFT(AnimalGraphingTable[[#This Row],[Top/Bottom]],1)</f>
        <v>B2B</v>
      </c>
      <c r="C16" t="str">
        <f>VLOOKUP(AnimalGraphingTable[[#This Row],[Object]],SetupConstantsTable[],2,0)&amp;IF(AnimalGraphingTable[[#This Row],[Top/Bottom]]="Shadow","-"&amp;AnimalGraphingTable[[#This Row],[Top/Bottom]],"")</f>
        <v>Sting Ray</v>
      </c>
      <c r="D16" t="s">
        <v>76</v>
      </c>
      <c r="E16">
        <v>2</v>
      </c>
      <c r="F16">
        <f>INDEX(SetupConstantsTable[],MATCH(AnimalGraphingTable[[#This Row],[Object]],SetupConstantsTable[Object],0),MATCH('Animal Graphing'!F$2,SetupConstantsTable[#Headers],0))</f>
        <v>-3.5</v>
      </c>
      <c r="G16">
        <f>INDEX(SetupConstantsTable[],MATCH(AnimalGraphingTable[[#This Row],[Object]],SetupConstantsTable[Object],0),MATCH('Animal Graphing'!G$2,SetupConstantsTable[#Headers],0))</f>
        <v>110</v>
      </c>
      <c r="H16">
        <f>INDEX(SetupConstantsTable[],MATCH(AnimalGraphingTable[[#This Row],[Object]],SetupConstantsTable[Object],0),MATCH("X"&amp;AnimalGraphingTable[[#This Row],[Version]],SetupConstantsTable[#Headers],0))</f>
        <v>78</v>
      </c>
      <c r="I16">
        <f>INDEX(SetupConstantsTable[],MATCH(AnimalGraphingTable[[#This Row],[Object]],SetupConstantsTable[Object],0),MATCH("Y"&amp;AnimalGraphingTable[[#This Row],[Version]],SetupConstantsTable[#Headers],0))</f>
        <v>10</v>
      </c>
      <c r="J16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-4</v>
      </c>
      <c r="K16">
        <f>AnimalGraphingTable[[#This Row],[Velocity at 0]]*NetTime+AnimalGraphingTable[[#This Row],[Starting position]]</f>
        <v>78</v>
      </c>
      <c r="L16">
        <f>IF(AnimalGraphingTable[[#This Row],[Calculated position]]&gt;0,0,ROUNDUP(-AnimalGraphingTable[[#This Row],[Calculated position]]/AnimalGraphingTable[[#This Row],[Cycle position]],0))</f>
        <v>0</v>
      </c>
      <c r="M16">
        <f>AnimalGraphingTable[[#This Row],[Offset multiplier]]*AnimalGraphingTable[[#This Row],[Cycle position]]</f>
        <v>0</v>
      </c>
      <c r="N16">
        <f>AnimalGraphingTable[[#This Row],[Calculated position]]+AnimalGraphingTable[[#This Row],[Position offset]]</f>
        <v>78</v>
      </c>
      <c r="O16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10</v>
      </c>
      <c r="P16">
        <f>AnimalGraphingTable[[#This Row],[Starting Z depth]]</f>
        <v>-4</v>
      </c>
      <c r="Q16">
        <f>RADIANS(AnimalGraphingTable[[#This Row],[Cycle position]]+AnimalGraphingTable[[#This Row],[Starting Y lane]]-Setup!$G$25+AnimalGraphingTable[[#This Row],[Offset multiplier]]+StartingTime)*100000</f>
        <v>77717673.480837271</v>
      </c>
      <c r="R16">
        <f>(AnimalGraphingTable[[#This Row],[X]]-Setup!F$25)/Setup!F$26-0.5</f>
        <v>0.65999999999999992</v>
      </c>
      <c r="S16">
        <f>(AnimalGraphingTable[[#This Row],[Y]]-Setup!G$25)/Setup!G$26-0.5</f>
        <v>0.33333333333333337</v>
      </c>
      <c r="T16">
        <f>(AnimalGraphingTable[[#This Row],[Z]]-Setup!H$25)/Setup!H$26-0.5</f>
        <v>0.30000000000000004</v>
      </c>
      <c r="U16" t="e">
        <f>IF(AnimalGraphingTable[[#This Row],[Hidden]],NA(),SUMPRODUCT(AnimalGraphingTable[[#This Row],[Norm X]:[Norm Z]],Chart_XRotationVals))</f>
        <v>#N/A</v>
      </c>
      <c r="V16">
        <f>SUMPRODUCT(AnimalGraphingTable[[#This Row],[Norm X]:[Norm Z]],Chart_YRotationVals)</f>
        <v>0.40797896436434805</v>
      </c>
      <c r="W16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6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6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6">
        <f>SQRT(AnimalGraphingTable[[#This Row],[X dist]]+AnimalGraphingTable[[#This Row],[Y dist]]+AnimalGraphingTable[[#This Row],[Z dist]])</f>
        <v>58.23443998185266</v>
      </c>
      <c r="AA16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3249</v>
      </c>
      <c r="AB16">
        <f>(AnimalGraphingTable[[#This Row],[Y]]-VLOOKUP(AnimalGraphingTable[[#This Row],[Closest sphere to Shark]],SharkBubbleTable[],6,0))^2</f>
        <v>100</v>
      </c>
      <c r="AC16">
        <f>(AnimalGraphingTable[[#This Row],[Z]]-VLOOKUP(AnimalGraphingTable[[#This Row],[Closest sphere to Shark]],SharkBubbleTable[],7,0))^2</f>
        <v>42.25</v>
      </c>
      <c r="AD16">
        <f>IF(AnimalGraphingTable[[#This Row],[Top/Bottom]]="Below Shark",AnimalGraphingTable[[#This Row],[Offset multiplier]]+IF(AnimalGraphingTable[[#This Row],[X]]&lt;50,1,0),0)</f>
        <v>0</v>
      </c>
    </row>
    <row r="17" spans="1:30">
      <c r="A17" t="s">
        <v>83</v>
      </c>
      <c r="B17" t="str">
        <f>AnimalGraphingTable[[#This Row],[Object]]&amp;AnimalGraphingTable[[#This Row],[Version]]&amp;LEFT(AnimalGraphingTable[[#This Row],[Top/Bottom]],1)</f>
        <v>A1B</v>
      </c>
      <c r="C17" t="str">
        <f>VLOOKUP(AnimalGraphingTable[[#This Row],[Object]],SetupConstantsTable[],2,0)&amp;IF(AnimalGraphingTable[[#This Row],[Top/Bottom]]="Shadow","-"&amp;AnimalGraphingTable[[#This Row],[Top/Bottom]],"")</f>
        <v>Dolphin</v>
      </c>
      <c r="D17" t="s">
        <v>76</v>
      </c>
      <c r="E17">
        <v>1</v>
      </c>
      <c r="F17">
        <f>INDEX(SetupConstantsTable[],MATCH(AnimalGraphingTable[[#This Row],[Object]],SetupConstantsTable[Object],0),MATCH('Animal Graphing'!F$2,SetupConstantsTable[#Headers],0))</f>
        <v>-6</v>
      </c>
      <c r="G17">
        <f>INDEX(SetupConstantsTable[],MATCH(AnimalGraphingTable[[#This Row],[Object]],SetupConstantsTable[Object],0),MATCH('Animal Graphing'!G$2,SetupConstantsTable[#Headers],0))</f>
        <v>150</v>
      </c>
      <c r="H17">
        <f>INDEX(SetupConstantsTable[],MATCH(AnimalGraphingTable[[#This Row],[Object]],SetupConstantsTable[Object],0),MATCH("X"&amp;AnimalGraphingTable[[#This Row],[Version]],SetupConstantsTable[#Headers],0))</f>
        <v>30</v>
      </c>
      <c r="I17">
        <f>INDEX(SetupConstantsTable[],MATCH(AnimalGraphingTable[[#This Row],[Object]],SetupConstantsTable[Object],0),MATCH("Y"&amp;AnimalGraphingTable[[#This Row],[Version]],SetupConstantsTable[#Headers],0))</f>
        <v>-3</v>
      </c>
      <c r="J17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</v>
      </c>
      <c r="K17">
        <f>AnimalGraphingTable[[#This Row],[Velocity at 0]]*NetTime+AnimalGraphingTable[[#This Row],[Starting position]]</f>
        <v>30</v>
      </c>
      <c r="L17">
        <f>IF(AnimalGraphingTable[[#This Row],[Calculated position]]&gt;0,0,ROUNDUP(-AnimalGraphingTable[[#This Row],[Calculated position]]/AnimalGraphingTable[[#This Row],[Cycle position]],0))</f>
        <v>0</v>
      </c>
      <c r="M17">
        <f>AnimalGraphingTable[[#This Row],[Offset multiplier]]*AnimalGraphingTable[[#This Row],[Cycle position]]</f>
        <v>0</v>
      </c>
      <c r="N17">
        <f>AnimalGraphingTable[[#This Row],[Calculated position]]+AnimalGraphingTable[[#This Row],[Position offset]]</f>
        <v>30</v>
      </c>
      <c r="O17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-3</v>
      </c>
      <c r="P17">
        <f>AnimalGraphingTable[[#This Row],[Starting Z depth]]</f>
        <v>-1</v>
      </c>
      <c r="Q17">
        <f>RADIANS(AnimalGraphingTable[[#This Row],[Cycle position]]+AnimalGraphingTable[[#This Row],[Starting Y lane]]-Setup!$G$25+AnimalGraphingTable[[#This Row],[Offset multiplier]]+StartingTime)*100000</f>
        <v>77764797.370641127</v>
      </c>
      <c r="R17">
        <f>(AnimalGraphingTable[[#This Row],[X]]-Setup!F$25)/Setup!F$26-0.5</f>
        <v>-0.3</v>
      </c>
      <c r="S17">
        <f>(AnimalGraphingTable[[#This Row],[Y]]-Setup!G$25)/Setup!G$26-0.5</f>
        <v>-9.9999999999999978E-2</v>
      </c>
      <c r="T17">
        <f>(AnimalGraphingTable[[#This Row],[Z]]-Setup!H$25)/Setup!H$26-0.5</f>
        <v>0.44999999999999996</v>
      </c>
      <c r="U17" t="e">
        <f>IF(AnimalGraphingTable[[#This Row],[Hidden]],NA(),SUMPRODUCT(AnimalGraphingTable[[#This Row],[Norm X]:[Norm Z]],Chart_XRotationVals))</f>
        <v>#N/A</v>
      </c>
      <c r="V17">
        <f>SUMPRODUCT(AnimalGraphingTable[[#This Row],[Norm X]:[Norm Z]],Chart_YRotationVals)</f>
        <v>2.8605352067620382E-2</v>
      </c>
      <c r="W17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7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7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7">
        <f>SQRT(AnimalGraphingTable[[#This Row],[X dist]]+AnimalGraphingTable[[#This Row],[Y dist]]+AnimalGraphingTable[[#This Row],[Z dist]])</f>
        <v>11.629703349613008</v>
      </c>
      <c r="AA17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36</v>
      </c>
      <c r="AB17">
        <f>(AnimalGraphingTable[[#This Row],[Y]]-VLOOKUP(AnimalGraphingTable[[#This Row],[Closest sphere to Shark]],SharkBubbleTable[],6,0))^2</f>
        <v>9</v>
      </c>
      <c r="AC17">
        <f>(AnimalGraphingTable[[#This Row],[Z]]-VLOOKUP(AnimalGraphingTable[[#This Row],[Closest sphere to Shark]],SharkBubbleTable[],7,0))^2</f>
        <v>90.25</v>
      </c>
      <c r="AD17">
        <f>IF(AnimalGraphingTable[[#This Row],[Top/Bottom]]="Below Shark",AnimalGraphingTable[[#This Row],[Offset multiplier]]+IF(AnimalGraphingTable[[#This Row],[X]]&lt;50,1,0),0)</f>
        <v>1</v>
      </c>
    </row>
    <row r="18" spans="1:30">
      <c r="A18" t="s">
        <v>83</v>
      </c>
      <c r="B18" t="str">
        <f>AnimalGraphingTable[[#This Row],[Object]]&amp;AnimalGraphingTable[[#This Row],[Version]]&amp;LEFT(AnimalGraphingTable[[#This Row],[Top/Bottom]],1)</f>
        <v>A2B</v>
      </c>
      <c r="C18" t="str">
        <f>VLOOKUP(AnimalGraphingTable[[#This Row],[Object]],SetupConstantsTable[],2,0)&amp;IF(AnimalGraphingTable[[#This Row],[Top/Bottom]]="Shadow","-"&amp;AnimalGraphingTable[[#This Row],[Top/Bottom]],"")</f>
        <v>Dolphin</v>
      </c>
      <c r="D18" t="s">
        <v>76</v>
      </c>
      <c r="E18">
        <v>2</v>
      </c>
      <c r="F18">
        <f>INDEX(SetupConstantsTable[],MATCH(AnimalGraphingTable[[#This Row],[Object]],SetupConstantsTable[Object],0),MATCH('Animal Graphing'!F$2,SetupConstantsTable[#Headers],0))</f>
        <v>-6</v>
      </c>
      <c r="G18">
        <f>INDEX(SetupConstantsTable[],MATCH(AnimalGraphingTable[[#This Row],[Object]],SetupConstantsTable[Object],0),MATCH('Animal Graphing'!G$2,SetupConstantsTable[#Headers],0))</f>
        <v>150</v>
      </c>
      <c r="H18">
        <f>INDEX(SetupConstantsTable[],MATCH(AnimalGraphingTable[[#This Row],[Object]],SetupConstantsTable[Object],0),MATCH("X"&amp;AnimalGraphingTable[[#This Row],[Version]],SetupConstantsTable[#Headers],0))</f>
        <v>105</v>
      </c>
      <c r="I18">
        <f>INDEX(SetupConstantsTable[],MATCH(AnimalGraphingTable[[#This Row],[Object]],SetupConstantsTable[Object],0),MATCH("Y"&amp;AnimalGraphingTable[[#This Row],[Version]],SetupConstantsTable[#Headers],0))</f>
        <v>-7</v>
      </c>
      <c r="J18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-2</v>
      </c>
      <c r="K18">
        <f>AnimalGraphingTable[[#This Row],[Velocity at 0]]*NetTime+AnimalGraphingTable[[#This Row],[Starting position]]</f>
        <v>105</v>
      </c>
      <c r="L18">
        <f>IF(AnimalGraphingTable[[#This Row],[Calculated position]]&gt;0,0,ROUNDUP(-AnimalGraphingTable[[#This Row],[Calculated position]]/AnimalGraphingTable[[#This Row],[Cycle position]],0))</f>
        <v>0</v>
      </c>
      <c r="M18">
        <f>AnimalGraphingTable[[#This Row],[Offset multiplier]]*AnimalGraphingTable[[#This Row],[Cycle position]]</f>
        <v>0</v>
      </c>
      <c r="N18">
        <f>AnimalGraphingTable[[#This Row],[Calculated position]]+AnimalGraphingTable[[#This Row],[Position offset]]</f>
        <v>105</v>
      </c>
      <c r="O18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-7</v>
      </c>
      <c r="P18">
        <f>AnimalGraphingTable[[#This Row],[Starting Z depth]]</f>
        <v>-2</v>
      </c>
      <c r="Q18">
        <f>RADIANS(AnimalGraphingTable[[#This Row],[Cycle position]]+AnimalGraphingTable[[#This Row],[Starting Y lane]]-Setup!$G$25+AnimalGraphingTable[[#This Row],[Offset multiplier]]+StartingTime)*100000</f>
        <v>77757816.053633139</v>
      </c>
      <c r="R18">
        <f>(AnimalGraphingTable[[#This Row],[X]]-Setup!F$25)/Setup!F$26-0.5</f>
        <v>1.2</v>
      </c>
      <c r="S18">
        <f>(AnimalGraphingTable[[#This Row],[Y]]-Setup!G$25)/Setup!G$26-0.5</f>
        <v>-0.23333333333333334</v>
      </c>
      <c r="T18">
        <f>(AnimalGraphingTable[[#This Row],[Z]]-Setup!H$25)/Setup!H$26-0.5</f>
        <v>0.4</v>
      </c>
      <c r="U18" t="e">
        <f>IF(AnimalGraphingTable[[#This Row],[Hidden]],NA(),SUMPRODUCT(AnimalGraphingTable[[#This Row],[Norm X]:[Norm Z]],Chart_XRotationVals))</f>
        <v>#N/A</v>
      </c>
      <c r="V18">
        <f>SUMPRODUCT(AnimalGraphingTable[[#This Row],[Norm X]:[Norm Z]],Chart_YRotationVals)</f>
        <v>0.51333065863438043</v>
      </c>
      <c r="W18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8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8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8">
        <f>SQRT(AnimalGraphingTable[[#This Row],[X dist]]+AnimalGraphingTable[[#This Row],[Y dist]]+AnimalGraphingTable[[#This Row],[Z dist]])</f>
        <v>81.745030429990052</v>
      </c>
      <c r="AA18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6561</v>
      </c>
      <c r="AB18">
        <f>(AnimalGraphingTable[[#This Row],[Y]]-VLOOKUP(AnimalGraphingTable[[#This Row],[Closest sphere to Shark]],SharkBubbleTable[],6,0))^2</f>
        <v>49</v>
      </c>
      <c r="AC18">
        <f>(AnimalGraphingTable[[#This Row],[Z]]-VLOOKUP(AnimalGraphingTable[[#This Row],[Closest sphere to Shark]],SharkBubbleTable[],7,0))^2</f>
        <v>72.25</v>
      </c>
      <c r="AD18">
        <f>IF(AnimalGraphingTable[[#This Row],[Top/Bottom]]="Below Shark",AnimalGraphingTable[[#This Row],[Offset multiplier]]+IF(AnimalGraphingTable[[#This Row],[X]]&lt;50,1,0),0)</f>
        <v>0</v>
      </c>
    </row>
    <row r="19" spans="1:30">
      <c r="A19" t="s">
        <v>75</v>
      </c>
      <c r="B19" t="str">
        <f>AnimalGraphingTable[[#This Row],[Object]]&amp;AnimalGraphingTable[[#This Row],[Version]]&amp;LEFT(AnimalGraphingTable[[#This Row],[Top/Bottom]],1)</f>
        <v>J1A</v>
      </c>
      <c r="C19" t="str">
        <f>VLOOKUP(AnimalGraphingTable[[#This Row],[Object]],SetupConstantsTable[],2,0)&amp;IF(AnimalGraphingTable[[#This Row],[Top/Bottom]]="Shadow","-"&amp;AnimalGraphingTable[[#This Row],[Top/Bottom]],"")</f>
        <v>Crab</v>
      </c>
      <c r="D19" t="s">
        <v>84</v>
      </c>
      <c r="E19">
        <v>1</v>
      </c>
      <c r="F19">
        <f>INDEX(SetupConstantsTable[],MATCH(AnimalGraphingTable[[#This Row],[Object]],SetupConstantsTable[Object],0),MATCH('Animal Graphing'!F$2,SetupConstantsTable[#Headers],0))</f>
        <v>-2.5</v>
      </c>
      <c r="G19">
        <f>INDEX(SetupConstantsTable[],MATCH(AnimalGraphingTable[[#This Row],[Object]],SetupConstantsTable[Object],0),MATCH('Animal Graphing'!G$2,SetupConstantsTable[#Headers],0))</f>
        <v>120</v>
      </c>
      <c r="H19">
        <f>INDEX(SetupConstantsTable[],MATCH(AnimalGraphingTable[[#This Row],[Object]],SetupConstantsTable[Object],0),MATCH("X"&amp;AnimalGraphingTable[[#This Row],[Version]],SetupConstantsTable[#Headers],0))</f>
        <v>49</v>
      </c>
      <c r="I19">
        <f>INDEX(SetupConstantsTable[],MATCH(AnimalGraphingTable[[#This Row],[Object]],SetupConstantsTable[Object],0),MATCH("Y"&amp;AnimalGraphingTable[[#This Row],[Version]],SetupConstantsTable[#Headers],0))</f>
        <v>-10</v>
      </c>
      <c r="J19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-19.600000000000001</v>
      </c>
      <c r="K19">
        <f>AnimalGraphingTable[[#This Row],[Velocity at 0]]*NetTime+AnimalGraphingTable[[#This Row],[Starting position]]</f>
        <v>49</v>
      </c>
      <c r="L19">
        <f>IF(AnimalGraphingTable[[#This Row],[Calculated position]]&gt;0,0,ROUNDUP(-AnimalGraphingTable[[#This Row],[Calculated position]]/AnimalGraphingTable[[#This Row],[Cycle position]],0))</f>
        <v>0</v>
      </c>
      <c r="M19">
        <f>AnimalGraphingTable[[#This Row],[Offset multiplier]]*AnimalGraphingTable[[#This Row],[Cycle position]]</f>
        <v>0</v>
      </c>
      <c r="N19">
        <f>AnimalGraphingTable[[#This Row],[Calculated position]]+AnimalGraphingTable[[#This Row],[Position offset]]</f>
        <v>49</v>
      </c>
      <c r="O19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-10</v>
      </c>
      <c r="P19">
        <f>AnimalGraphingTable[[#This Row],[Starting Z depth]]</f>
        <v>-19.600000000000001</v>
      </c>
      <c r="Q19">
        <f>RADIANS(AnimalGraphingTable[[#This Row],[Cycle position]]+AnimalGraphingTable[[#This Row],[Starting Y lane]]-Setup!$G$25+AnimalGraphingTable[[#This Row],[Offset multiplier]]+StartingTime)*100000</f>
        <v>77700220.188317344</v>
      </c>
      <c r="R19">
        <f>(AnimalGraphingTable[[#This Row],[X]]-Setup!F$25)/Setup!F$26-0.5</f>
        <v>7.999999999999996E-2</v>
      </c>
      <c r="S19">
        <f>(AnimalGraphingTable[[#This Row],[Y]]-Setup!G$25)/Setup!G$26-0.5</f>
        <v>-0.33333333333333337</v>
      </c>
      <c r="T19">
        <f>(AnimalGraphingTable[[#This Row],[Z]]-Setup!H$25)/Setup!H$26-0.5</f>
        <v>-0.48000000000000009</v>
      </c>
      <c r="U19" t="e">
        <f>IF(AnimalGraphingTable[[#This Row],[Hidden]],NA(),SUMPRODUCT(AnimalGraphingTable[[#This Row],[Norm X]:[Norm Z]],Chart_XRotationVals))</f>
        <v>#N/A</v>
      </c>
      <c r="V19">
        <f>SUMPRODUCT(AnimalGraphingTable[[#This Row],[Norm X]:[Norm Z]],Chart_YRotationVals)</f>
        <v>-0.20870328439780514</v>
      </c>
      <c r="W19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19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19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19">
        <f>SQRT(AnimalGraphingTable[[#This Row],[X dist]]+AnimalGraphingTable[[#This Row],[Y dist]]+AnimalGraphingTable[[#This Row],[Z dist]])</f>
        <v>30.196191812876009</v>
      </c>
      <c r="AA19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729</v>
      </c>
      <c r="AB19">
        <f>(AnimalGraphingTable[[#This Row],[Y]]-VLOOKUP(AnimalGraphingTable[[#This Row],[Closest sphere to Shark]],SharkBubbleTable[],6,0))^2</f>
        <v>100</v>
      </c>
      <c r="AC19">
        <f>(AnimalGraphingTable[[#This Row],[Z]]-VLOOKUP(AnimalGraphingTable[[#This Row],[Closest sphere to Shark]],SharkBubbleTable[],7,0))^2</f>
        <v>82.810000000000031</v>
      </c>
      <c r="AD19">
        <f>IF(AnimalGraphingTable[[#This Row],[Top/Bottom]]="Below Shark",AnimalGraphingTable[[#This Row],[Offset multiplier]]+IF(AnimalGraphingTable[[#This Row],[X]]&lt;50,1,0),0)</f>
        <v>0</v>
      </c>
    </row>
    <row r="20" spans="1:30">
      <c r="A20" t="s">
        <v>75</v>
      </c>
      <c r="B20" t="str">
        <f>AnimalGraphingTable[[#This Row],[Object]]&amp;AnimalGraphingTable[[#This Row],[Version]]&amp;LEFT(AnimalGraphingTable[[#This Row],[Top/Bottom]],1)</f>
        <v>J2A</v>
      </c>
      <c r="C20" t="str">
        <f>VLOOKUP(AnimalGraphingTable[[#This Row],[Object]],SetupConstantsTable[],2,0)&amp;IF(AnimalGraphingTable[[#This Row],[Top/Bottom]]="Shadow","-"&amp;AnimalGraphingTable[[#This Row],[Top/Bottom]],"")</f>
        <v>Crab</v>
      </c>
      <c r="D20" t="s">
        <v>84</v>
      </c>
      <c r="E20">
        <v>2</v>
      </c>
      <c r="F20">
        <f>INDEX(SetupConstantsTable[],MATCH(AnimalGraphingTable[[#This Row],[Object]],SetupConstantsTable[Object],0),MATCH('Animal Graphing'!F$2,SetupConstantsTable[#Headers],0))</f>
        <v>-2.5</v>
      </c>
      <c r="G20">
        <f>INDEX(SetupConstantsTable[],MATCH(AnimalGraphingTable[[#This Row],[Object]],SetupConstantsTable[Object],0),MATCH('Animal Graphing'!G$2,SetupConstantsTable[#Headers],0))</f>
        <v>120</v>
      </c>
      <c r="H20">
        <f>INDEX(SetupConstantsTable[],MATCH(AnimalGraphingTable[[#This Row],[Object]],SetupConstantsTable[Object],0),MATCH("X"&amp;AnimalGraphingTable[[#This Row],[Version]],SetupConstantsTable[#Headers],0))</f>
        <v>107</v>
      </c>
      <c r="I20">
        <f>INDEX(SetupConstantsTable[],MATCH(AnimalGraphingTable[[#This Row],[Object]],SetupConstantsTable[Object],0),MATCH("Y"&amp;AnimalGraphingTable[[#This Row],[Version]],SetupConstantsTable[#Headers],0))</f>
        <v>-8</v>
      </c>
      <c r="J20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-19.600000000000001</v>
      </c>
      <c r="K20">
        <f>AnimalGraphingTable[[#This Row],[Velocity at 0]]*NetTime+AnimalGraphingTable[[#This Row],[Starting position]]</f>
        <v>107</v>
      </c>
      <c r="L20">
        <f>IF(AnimalGraphingTable[[#This Row],[Calculated position]]&gt;0,0,ROUNDUP(-AnimalGraphingTable[[#This Row],[Calculated position]]/AnimalGraphingTable[[#This Row],[Cycle position]],0))</f>
        <v>0</v>
      </c>
      <c r="M20">
        <f>AnimalGraphingTable[[#This Row],[Offset multiplier]]*AnimalGraphingTable[[#This Row],[Cycle position]]</f>
        <v>0</v>
      </c>
      <c r="N20">
        <f>AnimalGraphingTable[[#This Row],[Calculated position]]+AnimalGraphingTable[[#This Row],[Position offset]]</f>
        <v>107</v>
      </c>
      <c r="O20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-8</v>
      </c>
      <c r="P20">
        <f>AnimalGraphingTable[[#This Row],[Starting Z depth]]</f>
        <v>-19.600000000000001</v>
      </c>
      <c r="Q20">
        <f>RADIANS(AnimalGraphingTable[[#This Row],[Cycle position]]+AnimalGraphingTable[[#This Row],[Starting Y lane]]-Setup!$G$25+AnimalGraphingTable[[#This Row],[Offset multiplier]]+StartingTime)*100000</f>
        <v>77703710.846821323</v>
      </c>
      <c r="R20">
        <f>(AnimalGraphingTable[[#This Row],[X]]-Setup!F$25)/Setup!F$26-0.5</f>
        <v>1.24</v>
      </c>
      <c r="S20">
        <f>(AnimalGraphingTable[[#This Row],[Y]]-Setup!G$25)/Setup!G$26-0.5</f>
        <v>-0.26666666666666666</v>
      </c>
      <c r="T20">
        <f>(AnimalGraphingTable[[#This Row],[Z]]-Setup!H$25)/Setup!H$26-0.5</f>
        <v>-0.48000000000000009</v>
      </c>
      <c r="U20" t="e">
        <f>IF(AnimalGraphingTable[[#This Row],[Hidden]],NA(),SUMPRODUCT(AnimalGraphingTable[[#This Row],[Norm X]:[Norm Z]],Chart_XRotationVals))</f>
        <v>#N/A</v>
      </c>
      <c r="V20">
        <f>SUMPRODUCT(AnimalGraphingTable[[#This Row],[Norm X]:[Norm Z]],Chart_YRotationVals)</f>
        <v>0.2155607843141234</v>
      </c>
      <c r="W20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0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0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0">
        <f>SQRT(AnimalGraphingTable[[#This Row],[X dist]]+AnimalGraphingTable[[#This Row],[Y dist]]+AnimalGraphingTable[[#This Row],[Z dist]])</f>
        <v>85.859245279701824</v>
      </c>
      <c r="AA20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7225</v>
      </c>
      <c r="AB20">
        <f>(AnimalGraphingTable[[#This Row],[Y]]-VLOOKUP(AnimalGraphingTable[[#This Row],[Closest sphere to Shark]],SharkBubbleTable[],6,0))^2</f>
        <v>64</v>
      </c>
      <c r="AC20">
        <f>(AnimalGraphingTable[[#This Row],[Z]]-VLOOKUP(AnimalGraphingTable[[#This Row],[Closest sphere to Shark]],SharkBubbleTable[],7,0))^2</f>
        <v>82.810000000000031</v>
      </c>
      <c r="AD20">
        <f>IF(AnimalGraphingTable[[#This Row],[Top/Bottom]]="Below Shark",AnimalGraphingTable[[#This Row],[Offset multiplier]]+IF(AnimalGraphingTable[[#This Row],[X]]&lt;50,1,0),0)</f>
        <v>0</v>
      </c>
    </row>
    <row r="21" spans="1:30">
      <c r="A21" t="s">
        <v>77</v>
      </c>
      <c r="B21" t="str">
        <f>AnimalGraphingTable[[#This Row],[Object]]&amp;AnimalGraphingTable[[#This Row],[Version]]&amp;LEFT(AnimalGraphingTable[[#This Row],[Top/Bottom]],1)</f>
        <v>I1A</v>
      </c>
      <c r="C21" t="str">
        <f>VLOOKUP(AnimalGraphingTable[[#This Row],[Object]],SetupConstantsTable[],2,0)&amp;IF(AnimalGraphingTable[[#This Row],[Top/Bottom]]="Shadow","-"&amp;AnimalGraphingTable[[#This Row],[Top/Bottom]],"")</f>
        <v>Octopus</v>
      </c>
      <c r="D21" t="s">
        <v>84</v>
      </c>
      <c r="E21">
        <v>1</v>
      </c>
      <c r="F21">
        <f>INDEX(SetupConstantsTable[],MATCH(AnimalGraphingTable[[#This Row],[Object]],SetupConstantsTable[Object],0),MATCH('Animal Graphing'!F$2,SetupConstantsTable[#Headers],0))</f>
        <v>-2.5</v>
      </c>
      <c r="G21">
        <f>INDEX(SetupConstantsTable[],MATCH(AnimalGraphingTable[[#This Row],[Object]],SetupConstantsTable[Object],0),MATCH('Animal Graphing'!G$2,SetupConstantsTable[#Headers],0))</f>
        <v>130</v>
      </c>
      <c r="H21">
        <f>INDEX(SetupConstantsTable[],MATCH(AnimalGraphingTable[[#This Row],[Object]],SetupConstantsTable[Object],0),MATCH("X"&amp;AnimalGraphingTable[[#This Row],[Version]],SetupConstantsTable[#Headers],0))</f>
        <v>39</v>
      </c>
      <c r="I21">
        <f>INDEX(SetupConstantsTable[],MATCH(AnimalGraphingTable[[#This Row],[Object]],SetupConstantsTable[Object],0),MATCH("Y"&amp;AnimalGraphingTable[[#This Row],[Version]],SetupConstantsTable[#Headers],0))</f>
        <v>-6</v>
      </c>
      <c r="J21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-17</v>
      </c>
      <c r="K21">
        <f>AnimalGraphingTable[[#This Row],[Velocity at 0]]*NetTime+AnimalGraphingTable[[#This Row],[Starting position]]</f>
        <v>39</v>
      </c>
      <c r="L21">
        <f>IF(AnimalGraphingTable[[#This Row],[Calculated position]]&gt;0,0,ROUNDUP(-AnimalGraphingTable[[#This Row],[Calculated position]]/AnimalGraphingTable[[#This Row],[Cycle position]],0))</f>
        <v>0</v>
      </c>
      <c r="M21">
        <f>AnimalGraphingTable[[#This Row],[Offset multiplier]]*AnimalGraphingTable[[#This Row],[Cycle position]]</f>
        <v>0</v>
      </c>
      <c r="N21">
        <f>AnimalGraphingTable[[#This Row],[Calculated position]]+AnimalGraphingTable[[#This Row],[Position offset]]</f>
        <v>39</v>
      </c>
      <c r="O21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-6</v>
      </c>
      <c r="P21">
        <f>AnimalGraphingTable[[#This Row],[Starting Z depth]]</f>
        <v>-17</v>
      </c>
      <c r="Q21">
        <f>RADIANS(AnimalGraphingTable[[#This Row],[Cycle position]]+AnimalGraphingTable[[#This Row],[Starting Y lane]]-Setup!$G$25+AnimalGraphingTable[[#This Row],[Offset multiplier]]+StartingTime)*100000</f>
        <v>77724654.797845259</v>
      </c>
      <c r="R21">
        <f>(AnimalGraphingTable[[#This Row],[X]]-Setup!F$25)/Setup!F$26-0.5</f>
        <v>-0.12</v>
      </c>
      <c r="S21">
        <f>(AnimalGraphingTable[[#This Row],[Y]]-Setup!G$25)/Setup!G$26-0.5</f>
        <v>-0.2</v>
      </c>
      <c r="T21">
        <f>(AnimalGraphingTable[[#This Row],[Z]]-Setup!H$25)/Setup!H$26-0.5</f>
        <v>-0.35</v>
      </c>
      <c r="U21" t="e">
        <f>IF(AnimalGraphingTable[[#This Row],[Hidden]],NA(),SUMPRODUCT(AnimalGraphingTable[[#This Row],[Norm X]:[Norm Z]],Chart_XRotationVals))</f>
        <v>#N/A</v>
      </c>
      <c r="V21">
        <f>SUMPRODUCT(AnimalGraphingTable[[#This Row],[Norm X]:[Norm Z]],Chart_YRotationVals)</f>
        <v>-0.20609637027220712</v>
      </c>
      <c r="W21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1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1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1">
        <f>SQRT(AnimalGraphingTable[[#This Row],[X dist]]+AnimalGraphingTable[[#This Row],[Y dist]]+AnimalGraphingTable[[#This Row],[Z dist]])</f>
        <v>19.1637678967368</v>
      </c>
      <c r="AA21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289</v>
      </c>
      <c r="AB21">
        <f>(AnimalGraphingTable[[#This Row],[Y]]-VLOOKUP(AnimalGraphingTable[[#This Row],[Closest sphere to Shark]],SharkBubbleTable[],6,0))^2</f>
        <v>36</v>
      </c>
      <c r="AC21">
        <f>(AnimalGraphingTable[[#This Row],[Z]]-VLOOKUP(AnimalGraphingTable[[#This Row],[Closest sphere to Shark]],SharkBubbleTable[],7,0))^2</f>
        <v>42.25</v>
      </c>
      <c r="AD21">
        <f>IF(AnimalGraphingTable[[#This Row],[Top/Bottom]]="Below Shark",AnimalGraphingTable[[#This Row],[Offset multiplier]]+IF(AnimalGraphingTable[[#This Row],[X]]&lt;50,1,0),0)</f>
        <v>0</v>
      </c>
    </row>
    <row r="22" spans="1:30">
      <c r="A22" t="s">
        <v>77</v>
      </c>
      <c r="B22" t="str">
        <f>AnimalGraphingTable[[#This Row],[Object]]&amp;AnimalGraphingTable[[#This Row],[Version]]&amp;LEFT(AnimalGraphingTable[[#This Row],[Top/Bottom]],1)</f>
        <v>I2A</v>
      </c>
      <c r="C22" t="str">
        <f>VLOOKUP(AnimalGraphingTable[[#This Row],[Object]],SetupConstantsTable[],2,0)&amp;IF(AnimalGraphingTable[[#This Row],[Top/Bottom]]="Shadow","-"&amp;AnimalGraphingTable[[#This Row],[Top/Bottom]],"")</f>
        <v>Octopus</v>
      </c>
      <c r="D22" t="s">
        <v>84</v>
      </c>
      <c r="E22">
        <v>2</v>
      </c>
      <c r="F22">
        <f>INDEX(SetupConstantsTable[],MATCH(AnimalGraphingTable[[#This Row],[Object]],SetupConstantsTable[Object],0),MATCH('Animal Graphing'!F$2,SetupConstantsTable[#Headers],0))</f>
        <v>-2.5</v>
      </c>
      <c r="G22">
        <f>INDEX(SetupConstantsTable[],MATCH(AnimalGraphingTable[[#This Row],[Object]],SetupConstantsTable[Object],0),MATCH('Animal Graphing'!G$2,SetupConstantsTable[#Headers],0))</f>
        <v>130</v>
      </c>
      <c r="H22">
        <f>INDEX(SetupConstantsTable[],MATCH(AnimalGraphingTable[[#This Row],[Object]],SetupConstantsTable[Object],0),MATCH("X"&amp;AnimalGraphingTable[[#This Row],[Version]],SetupConstantsTable[#Headers],0))</f>
        <v>98</v>
      </c>
      <c r="I22">
        <f>INDEX(SetupConstantsTable[],MATCH(AnimalGraphingTable[[#This Row],[Object]],SetupConstantsTable[Object],0),MATCH("Y"&amp;AnimalGraphingTable[[#This Row],[Version]],SetupConstantsTable[#Headers],0))</f>
        <v>1</v>
      </c>
      <c r="J22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-18</v>
      </c>
      <c r="K22">
        <f>AnimalGraphingTable[[#This Row],[Velocity at 0]]*NetTime+AnimalGraphingTable[[#This Row],[Starting position]]</f>
        <v>98</v>
      </c>
      <c r="L22">
        <f>IF(AnimalGraphingTable[[#This Row],[Calculated position]]&gt;0,0,ROUNDUP(-AnimalGraphingTable[[#This Row],[Calculated position]]/AnimalGraphingTable[[#This Row],[Cycle position]],0))</f>
        <v>0</v>
      </c>
      <c r="M22">
        <f>AnimalGraphingTable[[#This Row],[Offset multiplier]]*AnimalGraphingTable[[#This Row],[Cycle position]]</f>
        <v>0</v>
      </c>
      <c r="N22">
        <f>AnimalGraphingTable[[#This Row],[Calculated position]]+AnimalGraphingTable[[#This Row],[Position offset]]</f>
        <v>98</v>
      </c>
      <c r="O22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1</v>
      </c>
      <c r="P22">
        <f>AnimalGraphingTable[[#This Row],[Starting Z depth]]</f>
        <v>-18</v>
      </c>
      <c r="Q22">
        <f>RADIANS(AnimalGraphingTable[[#This Row],[Cycle position]]+AnimalGraphingTable[[#This Row],[Starting Y lane]]-Setup!$G$25+AnimalGraphingTable[[#This Row],[Offset multiplier]]+StartingTime)*100000</f>
        <v>77736872.102609217</v>
      </c>
      <c r="R22">
        <f>(AnimalGraphingTable[[#This Row],[X]]-Setup!F$25)/Setup!F$26-0.5</f>
        <v>1.06</v>
      </c>
      <c r="S22">
        <f>(AnimalGraphingTable[[#This Row],[Y]]-Setup!G$25)/Setup!G$26-0.5</f>
        <v>3.3333333333333326E-2</v>
      </c>
      <c r="T22">
        <f>(AnimalGraphingTable[[#This Row],[Z]]-Setup!H$25)/Setup!H$26-0.5</f>
        <v>-0.4</v>
      </c>
      <c r="U22" t="e">
        <f>IF(AnimalGraphingTable[[#This Row],[Hidden]],NA(),SUMPRODUCT(AnimalGraphingTable[[#This Row],[Norm X]:[Norm Z]],Chart_XRotationVals))</f>
        <v>#N/A</v>
      </c>
      <c r="V22">
        <f>SUMPRODUCT(AnimalGraphingTable[[#This Row],[Norm X]:[Norm Z]],Chart_YRotationVals)</f>
        <v>0.24327359723522551</v>
      </c>
      <c r="W22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2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2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2">
        <f>SQRT(AnimalGraphingTable[[#This Row],[X dist]]+AnimalGraphingTable[[#This Row],[Y dist]]+AnimalGraphingTable[[#This Row],[Z dist]])</f>
        <v>76.375716035923361</v>
      </c>
      <c r="AA22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5776</v>
      </c>
      <c r="AB22">
        <f>(AnimalGraphingTable[[#This Row],[Y]]-VLOOKUP(AnimalGraphingTable[[#This Row],[Closest sphere to Shark]],SharkBubbleTable[],6,0))^2</f>
        <v>1</v>
      </c>
      <c r="AC22">
        <f>(AnimalGraphingTable[[#This Row],[Z]]-VLOOKUP(AnimalGraphingTable[[#This Row],[Closest sphere to Shark]],SharkBubbleTable[],7,0))^2</f>
        <v>56.25</v>
      </c>
      <c r="AD22">
        <f>IF(AnimalGraphingTable[[#This Row],[Top/Bottom]]="Below Shark",AnimalGraphingTable[[#This Row],[Offset multiplier]]+IF(AnimalGraphingTable[[#This Row],[X]]&lt;50,1,0),0)</f>
        <v>0</v>
      </c>
    </row>
    <row r="23" spans="1:30">
      <c r="A23" t="s">
        <v>78</v>
      </c>
      <c r="B23" t="str">
        <f>AnimalGraphingTable[[#This Row],[Object]]&amp;AnimalGraphingTable[[#This Row],[Version]]&amp;LEFT(AnimalGraphingTable[[#This Row],[Top/Bottom]],1)</f>
        <v>H1A</v>
      </c>
      <c r="C23" t="str">
        <f>VLOOKUP(AnimalGraphingTable[[#This Row],[Object]],SetupConstantsTable[],2,0)&amp;IF(AnimalGraphingTable[[#This Row],[Top/Bottom]]="Shadow","-"&amp;AnimalGraphingTable[[#This Row],[Top/Bottom]],"")</f>
        <v>Hammerhead</v>
      </c>
      <c r="D23" t="s">
        <v>84</v>
      </c>
      <c r="E23">
        <v>1</v>
      </c>
      <c r="F23">
        <f>INDEX(SetupConstantsTable[],MATCH(AnimalGraphingTable[[#This Row],[Object]],SetupConstantsTable[Object],0),MATCH('Animal Graphing'!F$2,SetupConstantsTable[#Headers],0))</f>
        <v>-4.5</v>
      </c>
      <c r="G23">
        <f>INDEX(SetupConstantsTable[],MATCH(AnimalGraphingTable[[#This Row],[Object]],SetupConstantsTable[Object],0),MATCH('Animal Graphing'!G$2,SetupConstantsTable[#Headers],0))</f>
        <v>170</v>
      </c>
      <c r="H23">
        <f>INDEX(SetupConstantsTable[],MATCH(AnimalGraphingTable[[#This Row],[Object]],SetupConstantsTable[Object],0),MATCH("X"&amp;AnimalGraphingTable[[#This Row],[Version]],SetupConstantsTable[#Headers],0))</f>
        <v>88</v>
      </c>
      <c r="I23">
        <f>INDEX(SetupConstantsTable[],MATCH(AnimalGraphingTable[[#This Row],[Object]],SetupConstantsTable[Object],0),MATCH("Y"&amp;AnimalGraphingTable[[#This Row],[Version]],SetupConstantsTable[#Headers],0))</f>
        <v>8</v>
      </c>
      <c r="J23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-15</v>
      </c>
      <c r="K23">
        <f>AnimalGraphingTable[[#This Row],[Velocity at 0]]*NetTime+AnimalGraphingTable[[#This Row],[Starting position]]</f>
        <v>88</v>
      </c>
      <c r="L23">
        <f>IF(AnimalGraphingTable[[#This Row],[Calculated position]]&gt;0,0,ROUNDUP(-AnimalGraphingTable[[#This Row],[Calculated position]]/AnimalGraphingTable[[#This Row],[Cycle position]],0))</f>
        <v>0</v>
      </c>
      <c r="M23">
        <f>AnimalGraphingTable[[#This Row],[Offset multiplier]]*AnimalGraphingTable[[#This Row],[Cycle position]]</f>
        <v>0</v>
      </c>
      <c r="N23">
        <f>AnimalGraphingTable[[#This Row],[Calculated position]]+AnimalGraphingTable[[#This Row],[Position offset]]</f>
        <v>88</v>
      </c>
      <c r="O23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8</v>
      </c>
      <c r="P23">
        <f>AnimalGraphingTable[[#This Row],[Starting Z depth]]</f>
        <v>-15</v>
      </c>
      <c r="Q23">
        <f>RADIANS(AnimalGraphingTable[[#This Row],[Cycle position]]+AnimalGraphingTable[[#This Row],[Starting Y lane]]-Setup!$G$25+AnimalGraphingTable[[#This Row],[Offset multiplier]]+StartingTime)*100000</f>
        <v>77818902.577452943</v>
      </c>
      <c r="R23">
        <f>(AnimalGraphingTable[[#This Row],[X]]-Setup!F$25)/Setup!F$26-0.5</f>
        <v>0.8600000000000001</v>
      </c>
      <c r="S23">
        <f>(AnimalGraphingTable[[#This Row],[Y]]-Setup!G$25)/Setup!G$26-0.5</f>
        <v>0.26666666666666672</v>
      </c>
      <c r="T23">
        <f>(AnimalGraphingTable[[#This Row],[Z]]-Setup!H$25)/Setup!H$26-0.5</f>
        <v>-0.25</v>
      </c>
      <c r="U23" t="e">
        <f>IF(AnimalGraphingTable[[#This Row],[Hidden]],NA(),SUMPRODUCT(AnimalGraphingTable[[#This Row],[Norm X]:[Norm Z]],Chart_XRotationVals))</f>
        <v>#N/A</v>
      </c>
      <c r="V23">
        <f>SUMPRODUCT(AnimalGraphingTable[[#This Row],[Norm X]:[Norm Z]],Chart_YRotationVals)</f>
        <v>0.2740219180266954</v>
      </c>
      <c r="W23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3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3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3">
        <f>SQRT(AnimalGraphingTable[[#This Row],[X dist]]+AnimalGraphingTable[[#This Row],[Y dist]]+AnimalGraphingTable[[#This Row],[Z dist]])</f>
        <v>69.607830019330436</v>
      </c>
      <c r="AA23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4761</v>
      </c>
      <c r="AB23">
        <f>(AnimalGraphingTable[[#This Row],[Y]]-VLOOKUP(AnimalGraphingTable[[#This Row],[Closest sphere to Shark]],SharkBubbleTable[],6,0))^2</f>
        <v>64</v>
      </c>
      <c r="AC23">
        <f>(AnimalGraphingTable[[#This Row],[Z]]-VLOOKUP(AnimalGraphingTable[[#This Row],[Closest sphere to Shark]],SharkBubbleTable[],7,0))^2</f>
        <v>20.25</v>
      </c>
      <c r="AD23">
        <f>IF(AnimalGraphingTable[[#This Row],[Top/Bottom]]="Below Shark",AnimalGraphingTable[[#This Row],[Offset multiplier]]+IF(AnimalGraphingTable[[#This Row],[X]]&lt;50,1,0),0)</f>
        <v>0</v>
      </c>
    </row>
    <row r="24" spans="1:30">
      <c r="A24" t="s">
        <v>78</v>
      </c>
      <c r="B24" t="str">
        <f>AnimalGraphingTable[[#This Row],[Object]]&amp;AnimalGraphingTable[[#This Row],[Version]]&amp;LEFT(AnimalGraphingTable[[#This Row],[Top/Bottom]],1)</f>
        <v>H2A</v>
      </c>
      <c r="C24" t="str">
        <f>VLOOKUP(AnimalGraphingTable[[#This Row],[Object]],SetupConstantsTable[],2,0)&amp;IF(AnimalGraphingTable[[#This Row],[Top/Bottom]]="Shadow","-"&amp;AnimalGraphingTable[[#This Row],[Top/Bottom]],"")</f>
        <v>Hammerhead</v>
      </c>
      <c r="D24" t="s">
        <v>84</v>
      </c>
      <c r="E24">
        <v>2</v>
      </c>
      <c r="F24">
        <f>INDEX(SetupConstantsTable[],MATCH(AnimalGraphingTable[[#This Row],[Object]],SetupConstantsTable[Object],0),MATCH('Animal Graphing'!F$2,SetupConstantsTable[#Headers],0))</f>
        <v>-4.5</v>
      </c>
      <c r="G24">
        <f>INDEX(SetupConstantsTable[],MATCH(AnimalGraphingTable[[#This Row],[Object]],SetupConstantsTable[Object],0),MATCH('Animal Graphing'!G$2,SetupConstantsTable[#Headers],0))</f>
        <v>170</v>
      </c>
      <c r="H24">
        <f>INDEX(SetupConstantsTable[],MATCH(AnimalGraphingTable[[#This Row],[Object]],SetupConstantsTable[Object],0),MATCH("X"&amp;AnimalGraphingTable[[#This Row],[Version]],SetupConstantsTable[#Headers],0))</f>
        <v>162</v>
      </c>
      <c r="I24">
        <f>INDEX(SetupConstantsTable[],MATCH(AnimalGraphingTable[[#This Row],[Object]],SetupConstantsTable[Object],0),MATCH("Y"&amp;AnimalGraphingTable[[#This Row],[Version]],SetupConstantsTable[#Headers],0))</f>
        <v>-4</v>
      </c>
      <c r="J24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-14</v>
      </c>
      <c r="K24">
        <f>AnimalGraphingTable[[#This Row],[Velocity at 0]]*NetTime+AnimalGraphingTable[[#This Row],[Starting position]]</f>
        <v>162</v>
      </c>
      <c r="L24">
        <f>IF(AnimalGraphingTable[[#This Row],[Calculated position]]&gt;0,0,ROUNDUP(-AnimalGraphingTable[[#This Row],[Calculated position]]/AnimalGraphingTable[[#This Row],[Cycle position]],0))</f>
        <v>0</v>
      </c>
      <c r="M24">
        <f>AnimalGraphingTable[[#This Row],[Offset multiplier]]*AnimalGraphingTable[[#This Row],[Cycle position]]</f>
        <v>0</v>
      </c>
      <c r="N24">
        <f>AnimalGraphingTable[[#This Row],[Calculated position]]+AnimalGraphingTable[[#This Row],[Position offset]]</f>
        <v>162</v>
      </c>
      <c r="O24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-4</v>
      </c>
      <c r="P24">
        <f>AnimalGraphingTable[[#This Row],[Starting Z depth]]</f>
        <v>-14</v>
      </c>
      <c r="Q24">
        <f>RADIANS(AnimalGraphingTable[[#This Row],[Cycle position]]+AnimalGraphingTable[[#This Row],[Starting Y lane]]-Setup!$G$25+AnimalGraphingTable[[#This Row],[Offset multiplier]]+StartingTime)*100000</f>
        <v>77797958.626429021</v>
      </c>
      <c r="R24">
        <f>(AnimalGraphingTable[[#This Row],[X]]-Setup!F$25)/Setup!F$26-0.5</f>
        <v>2.34</v>
      </c>
      <c r="S24">
        <f>(AnimalGraphingTable[[#This Row],[Y]]-Setup!G$25)/Setup!G$26-0.5</f>
        <v>-0.13333333333333336</v>
      </c>
      <c r="T24">
        <f>(AnimalGraphingTable[[#This Row],[Z]]-Setup!H$25)/Setup!H$26-0.5</f>
        <v>-0.2</v>
      </c>
      <c r="U24" t="e">
        <f>IF(AnimalGraphingTable[[#This Row],[Hidden]],NA(),SUMPRODUCT(AnimalGraphingTable[[#This Row],[Norm X]:[Norm Z]],Chart_XRotationVals))</f>
        <v>#N/A</v>
      </c>
      <c r="V24">
        <f>SUMPRODUCT(AnimalGraphingTable[[#This Row],[Norm X]:[Norm Z]],Chart_YRotationVals)</f>
        <v>0.72974863043804361</v>
      </c>
      <c r="W24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4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4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4">
        <f>SQRT(AnimalGraphingTable[[#This Row],[X dist]]+AnimalGraphingTable[[#This Row],[Y dist]]+AnimalGraphingTable[[#This Row],[Z dist]])</f>
        <v>143.09874213283638</v>
      </c>
      <c r="AA24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20449</v>
      </c>
      <c r="AB24">
        <f>(AnimalGraphingTable[[#This Row],[Y]]-VLOOKUP(AnimalGraphingTable[[#This Row],[Closest sphere to Shark]],SharkBubbleTable[],6,0))^2</f>
        <v>16</v>
      </c>
      <c r="AC24">
        <f>(AnimalGraphingTable[[#This Row],[Z]]-VLOOKUP(AnimalGraphingTable[[#This Row],[Closest sphere to Shark]],SharkBubbleTable[],7,0))^2</f>
        <v>12.25</v>
      </c>
      <c r="AD24">
        <f>IF(AnimalGraphingTable[[#This Row],[Top/Bottom]]="Below Shark",AnimalGraphingTable[[#This Row],[Offset multiplier]]+IF(AnimalGraphingTable[[#This Row],[X]]&lt;50,1,0),0)</f>
        <v>0</v>
      </c>
    </row>
    <row r="25" spans="1:30">
      <c r="A25" t="s">
        <v>79</v>
      </c>
      <c r="B25" t="str">
        <f>AnimalGraphingTable[[#This Row],[Object]]&amp;AnimalGraphingTable[[#This Row],[Version]]&amp;LEFT(AnimalGraphingTable[[#This Row],[Top/Bottom]],1)</f>
        <v>F1A</v>
      </c>
      <c r="C25" t="str">
        <f>VLOOKUP(AnimalGraphingTable[[#This Row],[Object]],SetupConstantsTable[],2,0)&amp;IF(AnimalGraphingTable[[#This Row],[Top/Bottom]]="Shadow","-"&amp;AnimalGraphingTable[[#This Row],[Top/Bottom]],"")</f>
        <v>Turtle</v>
      </c>
      <c r="D25" t="s">
        <v>84</v>
      </c>
      <c r="E25">
        <v>1</v>
      </c>
      <c r="F25">
        <f>INDEX(SetupConstantsTable[],MATCH(AnimalGraphingTable[[#This Row],[Object]],SetupConstantsTable[Object],0),MATCH('Animal Graphing'!F$2,SetupConstantsTable[#Headers],0))</f>
        <v>-2.5</v>
      </c>
      <c r="G25">
        <f>INDEX(SetupConstantsTable[],MATCH(AnimalGraphingTable[[#This Row],[Object]],SetupConstantsTable[Object],0),MATCH('Animal Graphing'!G$2,SetupConstantsTable[#Headers],0))</f>
        <v>140</v>
      </c>
      <c r="H25">
        <f>INDEX(SetupConstantsTable[],MATCH(AnimalGraphingTable[[#This Row],[Object]],SetupConstantsTable[Object],0),MATCH("X"&amp;AnimalGraphingTable[[#This Row],[Version]],SetupConstantsTable[#Headers],0))</f>
        <v>42</v>
      </c>
      <c r="I25">
        <f>INDEX(SetupConstantsTable[],MATCH(AnimalGraphingTable[[#This Row],[Object]],SetupConstantsTable[Object],0),MATCH("Y"&amp;AnimalGraphingTable[[#This Row],[Version]],SetupConstantsTable[#Headers],0))</f>
        <v>9</v>
      </c>
      <c r="J25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-11</v>
      </c>
      <c r="K25">
        <f>AnimalGraphingTable[[#This Row],[Velocity at 0]]*NetTime+AnimalGraphingTable[[#This Row],[Starting position]]</f>
        <v>42</v>
      </c>
      <c r="L25">
        <f>IF(AnimalGraphingTable[[#This Row],[Calculated position]]&gt;0,0,ROUNDUP(-AnimalGraphingTable[[#This Row],[Calculated position]]/AnimalGraphingTable[[#This Row],[Cycle position]],0))</f>
        <v>0</v>
      </c>
      <c r="M25">
        <f>AnimalGraphingTable[[#This Row],[Offset multiplier]]*AnimalGraphingTable[[#This Row],[Cycle position]]</f>
        <v>0</v>
      </c>
      <c r="N25">
        <f>AnimalGraphingTable[[#This Row],[Calculated position]]+AnimalGraphingTable[[#This Row],[Position offset]]</f>
        <v>42</v>
      </c>
      <c r="O25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9</v>
      </c>
      <c r="P25">
        <f>AnimalGraphingTable[[#This Row],[Starting Z depth]]</f>
        <v>-11</v>
      </c>
      <c r="Q25">
        <f>RADIANS(AnimalGraphingTable[[#This Row],[Cycle position]]+AnimalGraphingTable[[#This Row],[Starting Y lane]]-Setup!$G$25+AnimalGraphingTable[[#This Row],[Offset multiplier]]+StartingTime)*100000</f>
        <v>77768288.029145122</v>
      </c>
      <c r="R25">
        <f>(AnimalGraphingTable[[#This Row],[X]]-Setup!F$25)/Setup!F$26-0.5</f>
        <v>-0.06</v>
      </c>
      <c r="S25">
        <f>(AnimalGraphingTable[[#This Row],[Y]]-Setup!G$25)/Setup!G$26-0.5</f>
        <v>0.30000000000000004</v>
      </c>
      <c r="T25">
        <f>(AnimalGraphingTable[[#This Row],[Z]]-Setup!H$25)/Setup!H$26-0.5</f>
        <v>-4.9999999999999989E-2</v>
      </c>
      <c r="U25" t="e">
        <f>IF(AnimalGraphingTable[[#This Row],[Hidden]],NA(),SUMPRODUCT(AnimalGraphingTable[[#This Row],[Norm X]:[Norm Z]],Chart_XRotationVals))</f>
        <v>#N/A</v>
      </c>
      <c r="V25">
        <f>SUMPRODUCT(AnimalGraphingTable[[#This Row],[Norm X]:[Norm Z]],Chart_YRotationVals)</f>
        <v>2.5105898795504105E-2</v>
      </c>
      <c r="W25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5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5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5">
        <f>SQRT(AnimalGraphingTable[[#This Row],[X dist]]+AnimalGraphingTable[[#This Row],[Y dist]]+AnimalGraphingTable[[#This Row],[Z dist]])</f>
        <v>21.937410968480304</v>
      </c>
      <c r="AA25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400</v>
      </c>
      <c r="AB25">
        <f>(AnimalGraphingTable[[#This Row],[Y]]-VLOOKUP(AnimalGraphingTable[[#This Row],[Closest sphere to Shark]],SharkBubbleTable[],6,0))^2</f>
        <v>81</v>
      </c>
      <c r="AC25">
        <f>(AnimalGraphingTable[[#This Row],[Z]]-VLOOKUP(AnimalGraphingTable[[#This Row],[Closest sphere to Shark]],SharkBubbleTable[],7,0))^2</f>
        <v>0.25</v>
      </c>
      <c r="AD25">
        <f>IF(AnimalGraphingTable[[#This Row],[Top/Bottom]]="Below Shark",AnimalGraphingTable[[#This Row],[Offset multiplier]]+IF(AnimalGraphingTable[[#This Row],[X]]&lt;50,1,0),0)</f>
        <v>0</v>
      </c>
    </row>
    <row r="26" spans="1:30">
      <c r="A26" t="s">
        <v>79</v>
      </c>
      <c r="B26" t="str">
        <f>AnimalGraphingTable[[#This Row],[Object]]&amp;AnimalGraphingTable[[#This Row],[Version]]&amp;LEFT(AnimalGraphingTable[[#This Row],[Top/Bottom]],1)</f>
        <v>F2A</v>
      </c>
      <c r="C26" t="str">
        <f>VLOOKUP(AnimalGraphingTable[[#This Row],[Object]],SetupConstantsTable[],2,0)&amp;IF(AnimalGraphingTable[[#This Row],[Top/Bottom]]="Shadow","-"&amp;AnimalGraphingTable[[#This Row],[Top/Bottom]],"")</f>
        <v>Turtle</v>
      </c>
      <c r="D26" t="s">
        <v>84</v>
      </c>
      <c r="E26">
        <v>2</v>
      </c>
      <c r="F26">
        <f>INDEX(SetupConstantsTable[],MATCH(AnimalGraphingTable[[#This Row],[Object]],SetupConstantsTable[Object],0),MATCH('Animal Graphing'!F$2,SetupConstantsTable[#Headers],0))</f>
        <v>-2.5</v>
      </c>
      <c r="G26">
        <f>INDEX(SetupConstantsTable[],MATCH(AnimalGraphingTable[[#This Row],[Object]],SetupConstantsTable[Object],0),MATCH('Animal Graphing'!G$2,SetupConstantsTable[#Headers],0))</f>
        <v>140</v>
      </c>
      <c r="H26">
        <f>INDEX(SetupConstantsTable[],MATCH(AnimalGraphingTable[[#This Row],[Object]],SetupConstantsTable[Object],0),MATCH("X"&amp;AnimalGraphingTable[[#This Row],[Version]],SetupConstantsTable[#Headers],0))</f>
        <v>97</v>
      </c>
      <c r="I26">
        <f>INDEX(SetupConstantsTable[],MATCH(AnimalGraphingTable[[#This Row],[Object]],SetupConstantsTable[Object],0),MATCH("Y"&amp;AnimalGraphingTable[[#This Row],[Version]],SetupConstantsTable[#Headers],0))</f>
        <v>7</v>
      </c>
      <c r="J26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-12</v>
      </c>
      <c r="K26">
        <f>AnimalGraphingTable[[#This Row],[Velocity at 0]]*NetTime+AnimalGraphingTable[[#This Row],[Starting position]]</f>
        <v>97</v>
      </c>
      <c r="L26">
        <f>IF(AnimalGraphingTable[[#This Row],[Calculated position]]&gt;0,0,ROUNDUP(-AnimalGraphingTable[[#This Row],[Calculated position]]/AnimalGraphingTable[[#This Row],[Cycle position]],0))</f>
        <v>0</v>
      </c>
      <c r="M26">
        <f>AnimalGraphingTable[[#This Row],[Offset multiplier]]*AnimalGraphingTable[[#This Row],[Cycle position]]</f>
        <v>0</v>
      </c>
      <c r="N26">
        <f>AnimalGraphingTable[[#This Row],[Calculated position]]+AnimalGraphingTable[[#This Row],[Position offset]]</f>
        <v>97</v>
      </c>
      <c r="O26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7</v>
      </c>
      <c r="P26">
        <f>AnimalGraphingTable[[#This Row],[Starting Z depth]]</f>
        <v>-12</v>
      </c>
      <c r="Q26">
        <f>RADIANS(AnimalGraphingTable[[#This Row],[Cycle position]]+AnimalGraphingTable[[#This Row],[Starting Y lane]]-Setup!$G$25+AnimalGraphingTable[[#This Row],[Offset multiplier]]+StartingTime)*100000</f>
        <v>77764797.370641127</v>
      </c>
      <c r="R26">
        <f>(AnimalGraphingTable[[#This Row],[X]]-Setup!F$25)/Setup!F$26-0.5</f>
        <v>1.04</v>
      </c>
      <c r="S26">
        <f>(AnimalGraphingTable[[#This Row],[Y]]-Setup!G$25)/Setup!G$26-0.5</f>
        <v>0.23333333333333328</v>
      </c>
      <c r="T26">
        <f>(AnimalGraphingTable[[#This Row],[Z]]-Setup!H$25)/Setup!H$26-0.5</f>
        <v>-9.9999999999999978E-2</v>
      </c>
      <c r="U26" t="e">
        <f>IF(AnimalGraphingTable[[#This Row],[Hidden]],NA(),SUMPRODUCT(AnimalGraphingTable[[#This Row],[Norm X]:[Norm Z]],Chart_XRotationVals))</f>
        <v>#N/A</v>
      </c>
      <c r="V26">
        <f>SUMPRODUCT(AnimalGraphingTable[[#This Row],[Norm X]:[Norm Z]],Chart_YRotationVals)</f>
        <v>0.38255198474868551</v>
      </c>
      <c r="W26" t="b">
        <f>OR(AND(AnimalGraphingTable[[#This Row],[Top/Bottom]]="Above Shark",AnimalGraphingTable[[#This Row],[Z]]&lt;Zposition),AND(AnimalGraphingTable[[#This Row],[Top/Bottom]]="Below Shark",AnimalGraphingTable[[#This Row],[Z]]&gt;Zposition))</f>
        <v>1</v>
      </c>
      <c r="X26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6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6">
        <f>SQRT(AnimalGraphingTable[[#This Row],[X dist]]+AnimalGraphingTable[[#This Row],[Y dist]]+AnimalGraphingTable[[#This Row],[Z dist]])</f>
        <v>75.340891951184119</v>
      </c>
      <c r="AA26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5625</v>
      </c>
      <c r="AB26">
        <f>(AnimalGraphingTable[[#This Row],[Y]]-VLOOKUP(AnimalGraphingTable[[#This Row],[Closest sphere to Shark]],SharkBubbleTable[],6,0))^2</f>
        <v>49</v>
      </c>
      <c r="AC26">
        <f>(AnimalGraphingTable[[#This Row],[Z]]-VLOOKUP(AnimalGraphingTable[[#This Row],[Closest sphere to Shark]],SharkBubbleTable[],7,0))^2</f>
        <v>2.25</v>
      </c>
      <c r="AD26">
        <f>IF(AnimalGraphingTable[[#This Row],[Top/Bottom]]="Below Shark",AnimalGraphingTable[[#This Row],[Offset multiplier]]+IF(AnimalGraphingTable[[#This Row],[X]]&lt;50,1,0),0)</f>
        <v>0</v>
      </c>
    </row>
    <row r="27" spans="1:30">
      <c r="A27" t="s">
        <v>80</v>
      </c>
      <c r="B27" t="str">
        <f>AnimalGraphingTable[[#This Row],[Object]]&amp;AnimalGraphingTable[[#This Row],[Version]]&amp;LEFT(AnimalGraphingTable[[#This Row],[Top/Bottom]],1)</f>
        <v>D1A</v>
      </c>
      <c r="C27" t="str">
        <f>VLOOKUP(AnimalGraphingTable[[#This Row],[Object]],SetupConstantsTable[],2,0)&amp;IF(AnimalGraphingTable[[#This Row],[Top/Bottom]]="Shadow","-"&amp;AnimalGraphingTable[[#This Row],[Top/Bottom]],"")</f>
        <v>Jellyfish</v>
      </c>
      <c r="D27" t="s">
        <v>84</v>
      </c>
      <c r="E27">
        <v>1</v>
      </c>
      <c r="F27">
        <f>INDEX(SetupConstantsTable[],MATCH(AnimalGraphingTable[[#This Row],[Object]],SetupConstantsTable[Object],0),MATCH('Animal Graphing'!F$2,SetupConstantsTable[#Headers],0))</f>
        <v>-2.5</v>
      </c>
      <c r="G27">
        <f>INDEX(SetupConstantsTable[],MATCH(AnimalGraphingTable[[#This Row],[Object]],SetupConstantsTable[Object],0),MATCH('Animal Graphing'!G$2,SetupConstantsTable[#Headers],0))</f>
        <v>165</v>
      </c>
      <c r="H27">
        <f>INDEX(SetupConstantsTable[],MATCH(AnimalGraphingTable[[#This Row],[Object]],SetupConstantsTable[Object],0),MATCH("X"&amp;AnimalGraphingTable[[#This Row],[Version]],SetupConstantsTable[#Headers],0))</f>
        <v>50</v>
      </c>
      <c r="I27">
        <f>INDEX(SetupConstantsTable[],MATCH(AnimalGraphingTable[[#This Row],[Object]],SetupConstantsTable[Object],0),MATCH("Y"&amp;AnimalGraphingTable[[#This Row],[Version]],SetupConstantsTable[#Headers],0))</f>
        <v>9</v>
      </c>
      <c r="J27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-10</v>
      </c>
      <c r="K27">
        <f>AnimalGraphingTable[[#This Row],[Velocity at 0]]*NetTime+AnimalGraphingTable[[#This Row],[Starting position]]</f>
        <v>50</v>
      </c>
      <c r="L27">
        <f>IF(AnimalGraphingTable[[#This Row],[Calculated position]]&gt;0,0,ROUNDUP(-AnimalGraphingTable[[#This Row],[Calculated position]]/AnimalGraphingTable[[#This Row],[Cycle position]],0))</f>
        <v>0</v>
      </c>
      <c r="M27">
        <f>AnimalGraphingTable[[#This Row],[Offset multiplier]]*AnimalGraphingTable[[#This Row],[Cycle position]]</f>
        <v>0</v>
      </c>
      <c r="N27">
        <f>AnimalGraphingTable[[#This Row],[Calculated position]]+AnimalGraphingTable[[#This Row],[Position offset]]</f>
        <v>50</v>
      </c>
      <c r="O27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9</v>
      </c>
      <c r="P27">
        <f>AnimalGraphingTable[[#This Row],[Starting Z depth]]</f>
        <v>-10</v>
      </c>
      <c r="Q27">
        <f>RADIANS(AnimalGraphingTable[[#This Row],[Cycle position]]+AnimalGraphingTable[[#This Row],[Starting Y lane]]-Setup!$G$25+AnimalGraphingTable[[#This Row],[Offset multiplier]]+StartingTime)*100000</f>
        <v>77811921.260444984</v>
      </c>
      <c r="R27">
        <f>(AnimalGraphingTable[[#This Row],[X]]-Setup!F$25)/Setup!F$26-0.5</f>
        <v>9.9999999999999978E-2</v>
      </c>
      <c r="S27">
        <f>(AnimalGraphingTable[[#This Row],[Y]]-Setup!G$25)/Setup!G$26-0.5</f>
        <v>0.30000000000000004</v>
      </c>
      <c r="T27">
        <f>(AnimalGraphingTable[[#This Row],[Z]]-Setup!H$25)/Setup!H$26-0.5</f>
        <v>0</v>
      </c>
      <c r="U27">
        <f>IF(AnimalGraphingTable[[#This Row],[Hidden]],NA(),SUMPRODUCT(AnimalGraphingTable[[#This Row],[Norm X]:[Norm Z]],Chart_XRotationVals))</f>
        <v>-5.656854249492381E-2</v>
      </c>
      <c r="V27">
        <f>SUMPRODUCT(AnimalGraphingTable[[#This Row],[Norm X]:[Norm Z]],Chart_YRotationVals)</f>
        <v>9.8994949366116664E-2</v>
      </c>
      <c r="W27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27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7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7">
        <f>SQRT(AnimalGraphingTable[[#This Row],[X dist]]+AnimalGraphingTable[[#This Row],[Y dist]]+AnimalGraphingTable[[#This Row],[Z dist]])</f>
        <v>29.415132160165456</v>
      </c>
      <c r="AA27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784</v>
      </c>
      <c r="AB27">
        <f>(AnimalGraphingTable[[#This Row],[Y]]-VLOOKUP(AnimalGraphingTable[[#This Row],[Closest sphere to Shark]],SharkBubbleTable[],6,0))^2</f>
        <v>81</v>
      </c>
      <c r="AC27">
        <f>(AnimalGraphingTable[[#This Row],[Z]]-VLOOKUP(AnimalGraphingTable[[#This Row],[Closest sphere to Shark]],SharkBubbleTable[],7,0))^2</f>
        <v>0.25</v>
      </c>
      <c r="AD27">
        <f>IF(AnimalGraphingTable[[#This Row],[Top/Bottom]]="Below Shark",AnimalGraphingTable[[#This Row],[Offset multiplier]]+IF(AnimalGraphingTable[[#This Row],[X]]&lt;50,1,0),0)</f>
        <v>0</v>
      </c>
    </row>
    <row r="28" spans="1:30">
      <c r="A28" t="s">
        <v>80</v>
      </c>
      <c r="B28" t="str">
        <f>AnimalGraphingTable[[#This Row],[Object]]&amp;AnimalGraphingTable[[#This Row],[Version]]&amp;LEFT(AnimalGraphingTable[[#This Row],[Top/Bottom]],1)</f>
        <v>D2A</v>
      </c>
      <c r="C28" t="str">
        <f>VLOOKUP(AnimalGraphingTable[[#This Row],[Object]],SetupConstantsTable[],2,0)&amp;IF(AnimalGraphingTable[[#This Row],[Top/Bottom]]="Shadow","-"&amp;AnimalGraphingTable[[#This Row],[Top/Bottom]],"")</f>
        <v>Jellyfish</v>
      </c>
      <c r="D28" t="s">
        <v>84</v>
      </c>
      <c r="E28">
        <v>2</v>
      </c>
      <c r="F28">
        <f>INDEX(SetupConstantsTable[],MATCH(AnimalGraphingTable[[#This Row],[Object]],SetupConstantsTable[Object],0),MATCH('Animal Graphing'!F$2,SetupConstantsTable[#Headers],0))</f>
        <v>-2.5</v>
      </c>
      <c r="G28">
        <f>INDEX(SetupConstantsTable[],MATCH(AnimalGraphingTable[[#This Row],[Object]],SetupConstantsTable[Object],0),MATCH('Animal Graphing'!G$2,SetupConstantsTable[#Headers],0))</f>
        <v>165</v>
      </c>
      <c r="H28">
        <f>INDEX(SetupConstantsTable[],MATCH(AnimalGraphingTable[[#This Row],[Object]],SetupConstantsTable[Object],0),MATCH("X"&amp;AnimalGraphingTable[[#This Row],[Version]],SetupConstantsTable[#Headers],0))</f>
        <v>99</v>
      </c>
      <c r="I28">
        <f>INDEX(SetupConstantsTable[],MATCH(AnimalGraphingTable[[#This Row],[Object]],SetupConstantsTable[Object],0),MATCH("Y"&amp;AnimalGraphingTable[[#This Row],[Version]],SetupConstantsTable[#Headers],0))</f>
        <v>6</v>
      </c>
      <c r="J28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-9</v>
      </c>
      <c r="K28">
        <f>AnimalGraphingTable[[#This Row],[Velocity at 0]]*NetTime+AnimalGraphingTable[[#This Row],[Starting position]]</f>
        <v>99</v>
      </c>
      <c r="L28">
        <f>IF(AnimalGraphingTable[[#This Row],[Calculated position]]&gt;0,0,ROUNDUP(-AnimalGraphingTable[[#This Row],[Calculated position]]/AnimalGraphingTable[[#This Row],[Cycle position]],0))</f>
        <v>0</v>
      </c>
      <c r="M28">
        <f>AnimalGraphingTable[[#This Row],[Offset multiplier]]*AnimalGraphingTable[[#This Row],[Cycle position]]</f>
        <v>0</v>
      </c>
      <c r="N28">
        <f>AnimalGraphingTable[[#This Row],[Calculated position]]+AnimalGraphingTable[[#This Row],[Position offset]]</f>
        <v>99</v>
      </c>
      <c r="O28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6</v>
      </c>
      <c r="P28">
        <f>AnimalGraphingTable[[#This Row],[Starting Z depth]]</f>
        <v>-9</v>
      </c>
      <c r="Q28">
        <f>RADIANS(AnimalGraphingTable[[#This Row],[Cycle position]]+AnimalGraphingTable[[#This Row],[Starting Y lane]]-Setup!$G$25+AnimalGraphingTable[[#This Row],[Offset multiplier]]+StartingTime)*100000</f>
        <v>77806685.272688985</v>
      </c>
      <c r="R28">
        <f>(AnimalGraphingTable[[#This Row],[X]]-Setup!F$25)/Setup!F$26-0.5</f>
        <v>1.08</v>
      </c>
      <c r="S28">
        <f>(AnimalGraphingTable[[#This Row],[Y]]-Setup!G$25)/Setup!G$26-0.5</f>
        <v>0.19999999999999996</v>
      </c>
      <c r="T28">
        <f>(AnimalGraphingTable[[#This Row],[Z]]-Setup!H$25)/Setup!H$26-0.5</f>
        <v>5.0000000000000044E-2</v>
      </c>
      <c r="U28">
        <f>IF(AnimalGraphingTable[[#This Row],[Hidden]],NA(),SUMPRODUCT(AnimalGraphingTable[[#This Row],[Norm X]:[Norm Z]],Chart_XRotationVals))</f>
        <v>0.67882250993908577</v>
      </c>
      <c r="V28">
        <f>SUMPRODUCT(AnimalGraphingTable[[#This Row],[Norm X]:[Norm Z]],Chart_YRotationVals)</f>
        <v>0.44158457678761737</v>
      </c>
      <c r="W28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28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8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8">
        <f>SQRT(AnimalGraphingTable[[#This Row],[X dist]]+AnimalGraphingTable[[#This Row],[Y dist]]+AnimalGraphingTable[[#This Row],[Z dist]])</f>
        <v>77.247977319797826</v>
      </c>
      <c r="AA28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5929</v>
      </c>
      <c r="AB28">
        <f>(AnimalGraphingTable[[#This Row],[Y]]-VLOOKUP(AnimalGraphingTable[[#This Row],[Closest sphere to Shark]],SharkBubbleTable[],6,0))^2</f>
        <v>36</v>
      </c>
      <c r="AC28">
        <f>(AnimalGraphingTable[[#This Row],[Z]]-VLOOKUP(AnimalGraphingTable[[#This Row],[Closest sphere to Shark]],SharkBubbleTable[],7,0))^2</f>
        <v>2.25</v>
      </c>
      <c r="AD28">
        <f>IF(AnimalGraphingTable[[#This Row],[Top/Bottom]]="Below Shark",AnimalGraphingTable[[#This Row],[Offset multiplier]]+IF(AnimalGraphingTable[[#This Row],[X]]&lt;50,1,0),0)</f>
        <v>0</v>
      </c>
    </row>
    <row r="29" spans="1:30">
      <c r="A29" t="s">
        <v>81</v>
      </c>
      <c r="B29" t="str">
        <f>AnimalGraphingTable[[#This Row],[Object]]&amp;AnimalGraphingTable[[#This Row],[Version]]&amp;LEFT(AnimalGraphingTable[[#This Row],[Top/Bottom]],1)</f>
        <v>C1A</v>
      </c>
      <c r="C29" t="str">
        <f>VLOOKUP(AnimalGraphingTable[[#This Row],[Object]],SetupConstantsTable[],2,0)&amp;IF(AnimalGraphingTable[[#This Row],[Top/Bottom]]="Shadow","-"&amp;AnimalGraphingTable[[#This Row],[Top/Bottom]],"")</f>
        <v>Orca</v>
      </c>
      <c r="D29" t="s">
        <v>84</v>
      </c>
      <c r="E29">
        <v>1</v>
      </c>
      <c r="F29">
        <f>INDEX(SetupConstantsTable[],MATCH(AnimalGraphingTable[[#This Row],[Object]],SetupConstantsTable[Object],0),MATCH('Animal Graphing'!F$2,SetupConstantsTable[#Headers],0))</f>
        <v>-5</v>
      </c>
      <c r="G29">
        <f>INDEX(SetupConstantsTable[],MATCH(AnimalGraphingTable[[#This Row],[Object]],SetupConstantsTable[Object],0),MATCH('Animal Graphing'!G$2,SetupConstantsTable[#Headers],0))</f>
        <v>260</v>
      </c>
      <c r="H29">
        <f>INDEX(SetupConstantsTable[],MATCH(AnimalGraphingTable[[#This Row],[Object]],SetupConstantsTable[Object],0),MATCH("X"&amp;AnimalGraphingTable[[#This Row],[Version]],SetupConstantsTable[#Headers],0))</f>
        <v>67</v>
      </c>
      <c r="I29">
        <f>INDEX(SetupConstantsTable[],MATCH(AnimalGraphingTable[[#This Row],[Object]],SetupConstantsTable[Object],0),MATCH("Y"&amp;AnimalGraphingTable[[#This Row],[Version]],SetupConstantsTable[#Headers],0))</f>
        <v>-7</v>
      </c>
      <c r="J29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-6</v>
      </c>
      <c r="K29">
        <f>AnimalGraphingTable[[#This Row],[Velocity at 0]]*NetTime+AnimalGraphingTable[[#This Row],[Starting position]]</f>
        <v>67</v>
      </c>
      <c r="L29">
        <f>IF(AnimalGraphingTable[[#This Row],[Calculated position]]&gt;0,0,ROUNDUP(-AnimalGraphingTable[[#This Row],[Calculated position]]/AnimalGraphingTable[[#This Row],[Cycle position]],0))</f>
        <v>0</v>
      </c>
      <c r="M29">
        <f>AnimalGraphingTable[[#This Row],[Offset multiplier]]*AnimalGraphingTable[[#This Row],[Cycle position]]</f>
        <v>0</v>
      </c>
      <c r="N29">
        <f>AnimalGraphingTable[[#This Row],[Calculated position]]+AnimalGraphingTable[[#This Row],[Position offset]]</f>
        <v>67</v>
      </c>
      <c r="O29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-7</v>
      </c>
      <c r="P29">
        <f>AnimalGraphingTable[[#This Row],[Starting Z depth]]</f>
        <v>-6</v>
      </c>
      <c r="Q29">
        <f>RADIANS(AnimalGraphingTable[[#This Row],[Cycle position]]+AnimalGraphingTable[[#This Row],[Starting Y lane]]-Setup!$G$25+AnimalGraphingTable[[#This Row],[Offset multiplier]]+StartingTime)*100000</f>
        <v>77949802.27135253</v>
      </c>
      <c r="R29">
        <f>(AnimalGraphingTable[[#This Row],[X]]-Setup!F$25)/Setup!F$26-0.5</f>
        <v>0.43999999999999995</v>
      </c>
      <c r="S29">
        <f>(AnimalGraphingTable[[#This Row],[Y]]-Setup!G$25)/Setup!G$26-0.5</f>
        <v>-0.23333333333333334</v>
      </c>
      <c r="T29">
        <f>(AnimalGraphingTable[[#This Row],[Z]]-Setup!H$25)/Setup!H$26-0.5</f>
        <v>0.19999999999999996</v>
      </c>
      <c r="U29">
        <f>IF(AnimalGraphingTable[[#This Row],[Hidden]],NA(),SUMPRODUCT(AnimalGraphingTable[[#This Row],[Norm X]:[Norm Z]],Chart_XRotationVals))</f>
        <v>0.41012193308819755</v>
      </c>
      <c r="V29">
        <f>SUMPRODUCT(AnimalGraphingTable[[#This Row],[Norm X]:[Norm Z]],Chart_YRotationVals)</f>
        <v>0.17534804948073718</v>
      </c>
      <c r="W29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29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29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29">
        <f>SQRT(AnimalGraphingTable[[#This Row],[X dist]]+AnimalGraphingTable[[#This Row],[Y dist]]+AnimalGraphingTable[[#This Row],[Z dist]])</f>
        <v>41.835989291517897</v>
      </c>
      <c r="AA29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1681</v>
      </c>
      <c r="AB29">
        <f>(AnimalGraphingTable[[#This Row],[Y]]-VLOOKUP(AnimalGraphingTable[[#This Row],[Closest sphere to Shark]],SharkBubbleTable[],6,0))^2</f>
        <v>49</v>
      </c>
      <c r="AC29">
        <f>(AnimalGraphingTable[[#This Row],[Z]]-VLOOKUP(AnimalGraphingTable[[#This Row],[Closest sphere to Shark]],SharkBubbleTable[],7,0))^2</f>
        <v>20.25</v>
      </c>
      <c r="AD29">
        <f>IF(AnimalGraphingTable[[#This Row],[Top/Bottom]]="Below Shark",AnimalGraphingTable[[#This Row],[Offset multiplier]]+IF(AnimalGraphingTable[[#This Row],[X]]&lt;50,1,0),0)</f>
        <v>0</v>
      </c>
    </row>
    <row r="30" spans="1:30">
      <c r="A30" t="s">
        <v>81</v>
      </c>
      <c r="B30" t="str">
        <f>AnimalGraphingTable[[#This Row],[Object]]&amp;AnimalGraphingTable[[#This Row],[Version]]&amp;LEFT(AnimalGraphingTable[[#This Row],[Top/Bottom]],1)</f>
        <v>C2A</v>
      </c>
      <c r="C30" t="str">
        <f>VLOOKUP(AnimalGraphingTable[[#This Row],[Object]],SetupConstantsTable[],2,0)&amp;IF(AnimalGraphingTable[[#This Row],[Top/Bottom]]="Shadow","-"&amp;AnimalGraphingTable[[#This Row],[Top/Bottom]],"")</f>
        <v>Orca</v>
      </c>
      <c r="D30" t="s">
        <v>84</v>
      </c>
      <c r="E30">
        <v>2</v>
      </c>
      <c r="F30">
        <f>INDEX(SetupConstantsTable[],MATCH(AnimalGraphingTable[[#This Row],[Object]],SetupConstantsTable[Object],0),MATCH('Animal Graphing'!F$2,SetupConstantsTable[#Headers],0))</f>
        <v>-5</v>
      </c>
      <c r="G30">
        <f>INDEX(SetupConstantsTable[],MATCH(AnimalGraphingTable[[#This Row],[Object]],SetupConstantsTable[Object],0),MATCH('Animal Graphing'!G$2,SetupConstantsTable[#Headers],0))</f>
        <v>260</v>
      </c>
      <c r="H30">
        <f>INDEX(SetupConstantsTable[],MATCH(AnimalGraphingTable[[#This Row],[Object]],SetupConstantsTable[Object],0),MATCH("X"&amp;AnimalGraphingTable[[#This Row],[Version]],SetupConstantsTable[#Headers],0))</f>
        <v>195</v>
      </c>
      <c r="I30">
        <f>INDEX(SetupConstantsTable[],MATCH(AnimalGraphingTable[[#This Row],[Object]],SetupConstantsTable[Object],0),MATCH("Y"&amp;AnimalGraphingTable[[#This Row],[Version]],SetupConstantsTable[#Headers],0))</f>
        <v>-1</v>
      </c>
      <c r="J30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-7</v>
      </c>
      <c r="K30">
        <f>AnimalGraphingTable[[#This Row],[Velocity at 0]]*NetTime+AnimalGraphingTable[[#This Row],[Starting position]]</f>
        <v>195</v>
      </c>
      <c r="L30">
        <f>IF(AnimalGraphingTable[[#This Row],[Calculated position]]&gt;0,0,ROUNDUP(-AnimalGraphingTable[[#This Row],[Calculated position]]/AnimalGraphingTable[[#This Row],[Cycle position]],0))</f>
        <v>0</v>
      </c>
      <c r="M30">
        <f>AnimalGraphingTable[[#This Row],[Offset multiplier]]*AnimalGraphingTable[[#This Row],[Cycle position]]</f>
        <v>0</v>
      </c>
      <c r="N30">
        <f>AnimalGraphingTable[[#This Row],[Calculated position]]+AnimalGraphingTable[[#This Row],[Position offset]]</f>
        <v>195</v>
      </c>
      <c r="O30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-1</v>
      </c>
      <c r="P30">
        <f>AnimalGraphingTable[[#This Row],[Starting Z depth]]</f>
        <v>-7</v>
      </c>
      <c r="Q30">
        <f>RADIANS(AnimalGraphingTable[[#This Row],[Cycle position]]+AnimalGraphingTable[[#This Row],[Starting Y lane]]-Setup!$G$25+AnimalGraphingTable[[#This Row],[Offset multiplier]]+StartingTime)*100000</f>
        <v>77960274.246864498</v>
      </c>
      <c r="R30">
        <f>(AnimalGraphingTable[[#This Row],[X]]-Setup!F$25)/Setup!F$26-0.5</f>
        <v>3</v>
      </c>
      <c r="S30">
        <f>(AnimalGraphingTable[[#This Row],[Y]]-Setup!G$25)/Setup!G$26-0.5</f>
        <v>-3.3333333333333326E-2</v>
      </c>
      <c r="T30">
        <f>(AnimalGraphingTable[[#This Row],[Z]]-Setup!H$25)/Setup!H$26-0.5</f>
        <v>0.15000000000000002</v>
      </c>
      <c r="U30">
        <f>IF(AnimalGraphingTable[[#This Row],[Hidden]],NA(),SUMPRODUCT(AnimalGraphingTable[[#This Row],[Norm X]:[Norm Z]],Chart_XRotationVals))</f>
        <v>2.1354624791833738</v>
      </c>
      <c r="V30">
        <f>SUMPRODUCT(AnimalGraphingTable[[#This Row],[Norm X]:[Norm Z]],Chart_YRotationVals)</f>
        <v>1.1055506281950223</v>
      </c>
      <c r="W30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30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30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30">
        <f>SQRT(AnimalGraphingTable[[#This Row],[X dist]]+AnimalGraphingTable[[#This Row],[Y dist]]+AnimalGraphingTable[[#This Row],[Z dist]])</f>
        <v>169.03919663793957</v>
      </c>
      <c r="AA30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28561</v>
      </c>
      <c r="AB30">
        <f>(AnimalGraphingTable[[#This Row],[Y]]-VLOOKUP(AnimalGraphingTable[[#This Row],[Closest sphere to Shark]],SharkBubbleTable[],6,0))^2</f>
        <v>1</v>
      </c>
      <c r="AC30">
        <f>(AnimalGraphingTable[[#This Row],[Z]]-VLOOKUP(AnimalGraphingTable[[#This Row],[Closest sphere to Shark]],SharkBubbleTable[],7,0))^2</f>
        <v>12.25</v>
      </c>
      <c r="AD30">
        <f>IF(AnimalGraphingTable[[#This Row],[Top/Bottom]]="Below Shark",AnimalGraphingTable[[#This Row],[Offset multiplier]]+IF(AnimalGraphingTable[[#This Row],[X]]&lt;50,1,0),0)</f>
        <v>0</v>
      </c>
    </row>
    <row r="31" spans="1:30">
      <c r="A31" t="s">
        <v>82</v>
      </c>
      <c r="B31" t="str">
        <f>AnimalGraphingTable[[#This Row],[Object]]&amp;AnimalGraphingTable[[#This Row],[Version]]&amp;LEFT(AnimalGraphingTable[[#This Row],[Top/Bottom]],1)</f>
        <v>B1A</v>
      </c>
      <c r="C31" t="str">
        <f>VLOOKUP(AnimalGraphingTable[[#This Row],[Object]],SetupConstantsTable[],2,0)&amp;IF(AnimalGraphingTable[[#This Row],[Top/Bottom]]="Shadow","-"&amp;AnimalGraphingTable[[#This Row],[Top/Bottom]],"")</f>
        <v>Sting Ray</v>
      </c>
      <c r="D31" t="s">
        <v>84</v>
      </c>
      <c r="E31">
        <v>1</v>
      </c>
      <c r="F31">
        <f>INDEX(SetupConstantsTable[],MATCH(AnimalGraphingTable[[#This Row],[Object]],SetupConstantsTable[Object],0),MATCH('Animal Graphing'!F$2,SetupConstantsTable[#Headers],0))</f>
        <v>-3.5</v>
      </c>
      <c r="G31">
        <f>INDEX(SetupConstantsTable[],MATCH(AnimalGraphingTable[[#This Row],[Object]],SetupConstantsTable[Object],0),MATCH('Animal Graphing'!G$2,SetupConstantsTable[#Headers],0))</f>
        <v>110</v>
      </c>
      <c r="H31">
        <f>INDEX(SetupConstantsTable[],MATCH(AnimalGraphingTable[[#This Row],[Object]],SetupConstantsTable[Object],0),MATCH("X"&amp;AnimalGraphingTable[[#This Row],[Version]],SetupConstantsTable[#Headers],0))</f>
        <v>25</v>
      </c>
      <c r="I31">
        <f>INDEX(SetupConstantsTable[],MATCH(AnimalGraphingTable[[#This Row],[Object]],SetupConstantsTable[Object],0),MATCH("Y"&amp;AnimalGraphingTable[[#This Row],[Version]],SetupConstantsTable[#Headers],0))</f>
        <v>6</v>
      </c>
      <c r="J31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-3</v>
      </c>
      <c r="K31">
        <f>AnimalGraphingTable[[#This Row],[Velocity at 0]]*NetTime+AnimalGraphingTable[[#This Row],[Starting position]]</f>
        <v>25</v>
      </c>
      <c r="L31">
        <f>IF(AnimalGraphingTable[[#This Row],[Calculated position]]&gt;0,0,ROUNDUP(-AnimalGraphingTable[[#This Row],[Calculated position]]/AnimalGraphingTable[[#This Row],[Cycle position]],0))</f>
        <v>0</v>
      </c>
      <c r="M31">
        <f>AnimalGraphingTable[[#This Row],[Offset multiplier]]*AnimalGraphingTable[[#This Row],[Cycle position]]</f>
        <v>0</v>
      </c>
      <c r="N31">
        <f>AnimalGraphingTable[[#This Row],[Calculated position]]+AnimalGraphingTable[[#This Row],[Position offset]]</f>
        <v>25</v>
      </c>
      <c r="O31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6</v>
      </c>
      <c r="P31">
        <f>AnimalGraphingTable[[#This Row],[Starting Z depth]]</f>
        <v>-3</v>
      </c>
      <c r="Q31">
        <f>RADIANS(AnimalGraphingTable[[#This Row],[Cycle position]]+AnimalGraphingTable[[#This Row],[Starting Y lane]]-Setup!$G$25+AnimalGraphingTable[[#This Row],[Offset multiplier]]+StartingTime)*100000</f>
        <v>77710692.163829297</v>
      </c>
      <c r="R31">
        <f>(AnimalGraphingTable[[#This Row],[X]]-Setup!F$25)/Setup!F$26-0.5</f>
        <v>-0.4</v>
      </c>
      <c r="S31">
        <f>(AnimalGraphingTable[[#This Row],[Y]]-Setup!G$25)/Setup!G$26-0.5</f>
        <v>0.19999999999999996</v>
      </c>
      <c r="T31">
        <f>(AnimalGraphingTable[[#This Row],[Z]]-Setup!H$25)/Setup!H$26-0.5</f>
        <v>0.35</v>
      </c>
      <c r="U31">
        <f>IF(AnimalGraphingTable[[#This Row],[Hidden]],NA(),SUMPRODUCT(AnimalGraphingTable[[#This Row],[Norm X]:[Norm Z]],Chart_XRotationVals))</f>
        <v>-0.36769552621700474</v>
      </c>
      <c r="V31">
        <f>SUMPRODUCT(AnimalGraphingTable[[#This Row],[Norm X]:[Norm Z]],Chart_YRotationVals)</f>
        <v>2.224860716370472E-2</v>
      </c>
      <c r="W31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31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31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31">
        <f>SQRT(AnimalGraphingTable[[#This Row],[X dist]]+AnimalGraphingTable[[#This Row],[Y dist]]+AnimalGraphingTable[[#This Row],[Z dist]])</f>
        <v>10.404326023342406</v>
      </c>
      <c r="AA31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16</v>
      </c>
      <c r="AB31">
        <f>(AnimalGraphingTable[[#This Row],[Y]]-VLOOKUP(AnimalGraphingTable[[#This Row],[Closest sphere to Shark]],SharkBubbleTable[],6,0))^2</f>
        <v>36</v>
      </c>
      <c r="AC31">
        <f>(AnimalGraphingTable[[#This Row],[Z]]-VLOOKUP(AnimalGraphingTable[[#This Row],[Closest sphere to Shark]],SharkBubbleTable[],7,0))^2</f>
        <v>56.25</v>
      </c>
      <c r="AD31">
        <f>IF(AnimalGraphingTable[[#This Row],[Top/Bottom]]="Below Shark",AnimalGraphingTable[[#This Row],[Offset multiplier]]+IF(AnimalGraphingTable[[#This Row],[X]]&lt;50,1,0),0)</f>
        <v>0</v>
      </c>
    </row>
    <row r="32" spans="1:30">
      <c r="A32" t="s">
        <v>82</v>
      </c>
      <c r="B32" t="str">
        <f>AnimalGraphingTable[[#This Row],[Object]]&amp;AnimalGraphingTable[[#This Row],[Version]]&amp;LEFT(AnimalGraphingTable[[#This Row],[Top/Bottom]],1)</f>
        <v>B2A</v>
      </c>
      <c r="C32" t="str">
        <f>VLOOKUP(AnimalGraphingTable[[#This Row],[Object]],SetupConstantsTable[],2,0)&amp;IF(AnimalGraphingTable[[#This Row],[Top/Bottom]]="Shadow","-"&amp;AnimalGraphingTable[[#This Row],[Top/Bottom]],"")</f>
        <v>Sting Ray</v>
      </c>
      <c r="D32" t="s">
        <v>84</v>
      </c>
      <c r="E32">
        <v>2</v>
      </c>
      <c r="F32">
        <f>INDEX(SetupConstantsTable[],MATCH(AnimalGraphingTable[[#This Row],[Object]],SetupConstantsTable[Object],0),MATCH('Animal Graphing'!F$2,SetupConstantsTable[#Headers],0))</f>
        <v>-3.5</v>
      </c>
      <c r="G32">
        <f>INDEX(SetupConstantsTable[],MATCH(AnimalGraphingTable[[#This Row],[Object]],SetupConstantsTable[Object],0),MATCH('Animal Graphing'!G$2,SetupConstantsTable[#Headers],0))</f>
        <v>110</v>
      </c>
      <c r="H32">
        <f>INDEX(SetupConstantsTable[],MATCH(AnimalGraphingTable[[#This Row],[Object]],SetupConstantsTable[Object],0),MATCH("X"&amp;AnimalGraphingTable[[#This Row],[Version]],SetupConstantsTable[#Headers],0))</f>
        <v>78</v>
      </c>
      <c r="I32">
        <f>INDEX(SetupConstantsTable[],MATCH(AnimalGraphingTable[[#This Row],[Object]],SetupConstantsTable[Object],0),MATCH("Y"&amp;AnimalGraphingTable[[#This Row],[Version]],SetupConstantsTable[#Headers],0))</f>
        <v>10</v>
      </c>
      <c r="J32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-4</v>
      </c>
      <c r="K32">
        <f>AnimalGraphingTable[[#This Row],[Velocity at 0]]*NetTime+AnimalGraphingTable[[#This Row],[Starting position]]</f>
        <v>78</v>
      </c>
      <c r="L32">
        <f>IF(AnimalGraphingTable[[#This Row],[Calculated position]]&gt;0,0,ROUNDUP(-AnimalGraphingTable[[#This Row],[Calculated position]]/AnimalGraphingTable[[#This Row],[Cycle position]],0))</f>
        <v>0</v>
      </c>
      <c r="M32">
        <f>AnimalGraphingTable[[#This Row],[Offset multiplier]]*AnimalGraphingTable[[#This Row],[Cycle position]]</f>
        <v>0</v>
      </c>
      <c r="N32">
        <f>AnimalGraphingTable[[#This Row],[Calculated position]]+AnimalGraphingTable[[#This Row],[Position offset]]</f>
        <v>78</v>
      </c>
      <c r="O32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10</v>
      </c>
      <c r="P32">
        <f>AnimalGraphingTable[[#This Row],[Starting Z depth]]</f>
        <v>-4</v>
      </c>
      <c r="Q32">
        <f>RADIANS(AnimalGraphingTable[[#This Row],[Cycle position]]+AnimalGraphingTable[[#This Row],[Starting Y lane]]-Setup!$G$25+AnimalGraphingTable[[#This Row],[Offset multiplier]]+StartingTime)*100000</f>
        <v>77717673.480837271</v>
      </c>
      <c r="R32">
        <f>(AnimalGraphingTable[[#This Row],[X]]-Setup!F$25)/Setup!F$26-0.5</f>
        <v>0.65999999999999992</v>
      </c>
      <c r="S32">
        <f>(AnimalGraphingTable[[#This Row],[Y]]-Setup!G$25)/Setup!G$26-0.5</f>
        <v>0.33333333333333337</v>
      </c>
      <c r="T32">
        <f>(AnimalGraphingTable[[#This Row],[Z]]-Setup!H$25)/Setup!H$26-0.5</f>
        <v>0.30000000000000004</v>
      </c>
      <c r="U32">
        <f>IF(AnimalGraphingTable[[#This Row],[Hidden]],NA(),SUMPRODUCT(AnimalGraphingTable[[#This Row],[Norm X]:[Norm Z]],Chart_XRotationVals))</f>
        <v>0.32526911934581182</v>
      </c>
      <c r="V32">
        <f>SUMPRODUCT(AnimalGraphingTable[[#This Row],[Norm X]:[Norm Z]],Chart_YRotationVals)</f>
        <v>0.40797896436434805</v>
      </c>
      <c r="W32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32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32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32">
        <f>SQRT(AnimalGraphingTable[[#This Row],[X dist]]+AnimalGraphingTable[[#This Row],[Y dist]]+AnimalGraphingTable[[#This Row],[Z dist]])</f>
        <v>58.23443998185266</v>
      </c>
      <c r="AA32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3249</v>
      </c>
      <c r="AB32">
        <f>(AnimalGraphingTable[[#This Row],[Y]]-VLOOKUP(AnimalGraphingTable[[#This Row],[Closest sphere to Shark]],SharkBubbleTable[],6,0))^2</f>
        <v>100</v>
      </c>
      <c r="AC32">
        <f>(AnimalGraphingTable[[#This Row],[Z]]-VLOOKUP(AnimalGraphingTable[[#This Row],[Closest sphere to Shark]],SharkBubbleTable[],7,0))^2</f>
        <v>42.25</v>
      </c>
      <c r="AD32">
        <f>IF(AnimalGraphingTable[[#This Row],[Top/Bottom]]="Below Shark",AnimalGraphingTable[[#This Row],[Offset multiplier]]+IF(AnimalGraphingTable[[#This Row],[X]]&lt;50,1,0),0)</f>
        <v>0</v>
      </c>
    </row>
    <row r="33" spans="1:30">
      <c r="A33" t="s">
        <v>83</v>
      </c>
      <c r="B33" t="str">
        <f>AnimalGraphingTable[[#This Row],[Object]]&amp;AnimalGraphingTable[[#This Row],[Version]]&amp;LEFT(AnimalGraphingTable[[#This Row],[Top/Bottom]],1)</f>
        <v>A1A</v>
      </c>
      <c r="C33" t="str">
        <f>VLOOKUP(AnimalGraphingTable[[#This Row],[Object]],SetupConstantsTable[],2,0)&amp;IF(AnimalGraphingTable[[#This Row],[Top/Bottom]]="Shadow","-"&amp;AnimalGraphingTable[[#This Row],[Top/Bottom]],"")</f>
        <v>Dolphin</v>
      </c>
      <c r="D33" t="s">
        <v>84</v>
      </c>
      <c r="E33">
        <v>1</v>
      </c>
      <c r="F33">
        <f>INDEX(SetupConstantsTable[],MATCH(AnimalGraphingTable[[#This Row],[Object]],SetupConstantsTable[Object],0),MATCH('Animal Graphing'!F$2,SetupConstantsTable[#Headers],0))</f>
        <v>-6</v>
      </c>
      <c r="G33">
        <f>INDEX(SetupConstantsTable[],MATCH(AnimalGraphingTable[[#This Row],[Object]],SetupConstantsTable[Object],0),MATCH('Animal Graphing'!G$2,SetupConstantsTable[#Headers],0))</f>
        <v>150</v>
      </c>
      <c r="H33">
        <f>INDEX(SetupConstantsTable[],MATCH(AnimalGraphingTable[[#This Row],[Object]],SetupConstantsTable[Object],0),MATCH("X"&amp;AnimalGraphingTable[[#This Row],[Version]],SetupConstantsTable[#Headers],0))</f>
        <v>30</v>
      </c>
      <c r="I33">
        <f>INDEX(SetupConstantsTable[],MATCH(AnimalGraphingTable[[#This Row],[Object]],SetupConstantsTable[Object],0),MATCH("Y"&amp;AnimalGraphingTable[[#This Row],[Version]],SetupConstantsTable[#Headers],0))</f>
        <v>-3</v>
      </c>
      <c r="J33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-1</v>
      </c>
      <c r="K33">
        <f>AnimalGraphingTable[[#This Row],[Velocity at 0]]*NetTime+AnimalGraphingTable[[#This Row],[Starting position]]</f>
        <v>30</v>
      </c>
      <c r="L33">
        <f>IF(AnimalGraphingTable[[#This Row],[Calculated position]]&gt;0,0,ROUNDUP(-AnimalGraphingTable[[#This Row],[Calculated position]]/AnimalGraphingTable[[#This Row],[Cycle position]],0))</f>
        <v>0</v>
      </c>
      <c r="M33">
        <f>AnimalGraphingTable[[#This Row],[Offset multiplier]]*AnimalGraphingTable[[#This Row],[Cycle position]]</f>
        <v>0</v>
      </c>
      <c r="N33">
        <f>AnimalGraphingTable[[#This Row],[Calculated position]]+AnimalGraphingTable[[#This Row],[Position offset]]</f>
        <v>30</v>
      </c>
      <c r="O33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-3</v>
      </c>
      <c r="P33">
        <f>AnimalGraphingTable[[#This Row],[Starting Z depth]]</f>
        <v>-1</v>
      </c>
      <c r="Q33">
        <f>RADIANS(AnimalGraphingTable[[#This Row],[Cycle position]]+AnimalGraphingTable[[#This Row],[Starting Y lane]]-Setup!$G$25+AnimalGraphingTable[[#This Row],[Offset multiplier]]+StartingTime)*100000</f>
        <v>77764797.370641127</v>
      </c>
      <c r="R33">
        <f>(AnimalGraphingTable[[#This Row],[X]]-Setup!F$25)/Setup!F$26-0.5</f>
        <v>-0.3</v>
      </c>
      <c r="S33">
        <f>(AnimalGraphingTable[[#This Row],[Y]]-Setup!G$25)/Setup!G$26-0.5</f>
        <v>-9.9999999999999978E-2</v>
      </c>
      <c r="T33">
        <f>(AnimalGraphingTable[[#This Row],[Z]]-Setup!H$25)/Setup!H$26-0.5</f>
        <v>0.44999999999999996</v>
      </c>
      <c r="U33">
        <f>IF(AnimalGraphingTable[[#This Row],[Hidden]],NA(),SUMPRODUCT(AnimalGraphingTable[[#This Row],[Norm X]:[Norm Z]],Chart_XRotationVals))</f>
        <v>-0.16970562748477142</v>
      </c>
      <c r="V33">
        <f>SUMPRODUCT(AnimalGraphingTable[[#This Row],[Norm X]:[Norm Z]],Chart_YRotationVals)</f>
        <v>2.8605352067620382E-2</v>
      </c>
      <c r="W33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33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33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33">
        <f>SQRT(AnimalGraphingTable[[#This Row],[X dist]]+AnimalGraphingTable[[#This Row],[Y dist]]+AnimalGraphingTable[[#This Row],[Z dist]])</f>
        <v>11.629703349613008</v>
      </c>
      <c r="AA33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36</v>
      </c>
      <c r="AB33">
        <f>(AnimalGraphingTable[[#This Row],[Y]]-VLOOKUP(AnimalGraphingTable[[#This Row],[Closest sphere to Shark]],SharkBubbleTable[],6,0))^2</f>
        <v>9</v>
      </c>
      <c r="AC33">
        <f>(AnimalGraphingTable[[#This Row],[Z]]-VLOOKUP(AnimalGraphingTable[[#This Row],[Closest sphere to Shark]],SharkBubbleTable[],7,0))^2</f>
        <v>90.25</v>
      </c>
      <c r="AD33">
        <f>IF(AnimalGraphingTable[[#This Row],[Top/Bottom]]="Below Shark",AnimalGraphingTable[[#This Row],[Offset multiplier]]+IF(AnimalGraphingTable[[#This Row],[X]]&lt;50,1,0),0)</f>
        <v>0</v>
      </c>
    </row>
    <row r="34" spans="1:30">
      <c r="A34" t="s">
        <v>83</v>
      </c>
      <c r="B34" t="str">
        <f>AnimalGraphingTable[[#This Row],[Object]]&amp;AnimalGraphingTable[[#This Row],[Version]]&amp;LEFT(AnimalGraphingTable[[#This Row],[Top/Bottom]],1)</f>
        <v>A2A</v>
      </c>
      <c r="C34" t="str">
        <f>VLOOKUP(AnimalGraphingTable[[#This Row],[Object]],SetupConstantsTable[],2,0)&amp;IF(AnimalGraphingTable[[#This Row],[Top/Bottom]]="Shadow","-"&amp;AnimalGraphingTable[[#This Row],[Top/Bottom]],"")</f>
        <v>Dolphin</v>
      </c>
      <c r="D34" t="s">
        <v>84</v>
      </c>
      <c r="E34">
        <v>2</v>
      </c>
      <c r="F34">
        <f>INDEX(SetupConstantsTable[],MATCH(AnimalGraphingTable[[#This Row],[Object]],SetupConstantsTable[Object],0),MATCH('Animal Graphing'!F$2,SetupConstantsTable[#Headers],0))</f>
        <v>-6</v>
      </c>
      <c r="G34">
        <f>INDEX(SetupConstantsTable[],MATCH(AnimalGraphingTable[[#This Row],[Object]],SetupConstantsTable[Object],0),MATCH('Animal Graphing'!G$2,SetupConstantsTable[#Headers],0))</f>
        <v>150</v>
      </c>
      <c r="H34">
        <f>INDEX(SetupConstantsTable[],MATCH(AnimalGraphingTable[[#This Row],[Object]],SetupConstantsTable[Object],0),MATCH("X"&amp;AnimalGraphingTable[[#This Row],[Version]],SetupConstantsTable[#Headers],0))</f>
        <v>105</v>
      </c>
      <c r="I34">
        <f>INDEX(SetupConstantsTable[],MATCH(AnimalGraphingTable[[#This Row],[Object]],SetupConstantsTable[Object],0),MATCH("Y"&amp;AnimalGraphingTable[[#This Row],[Version]],SetupConstantsTable[#Headers],0))</f>
        <v>-7</v>
      </c>
      <c r="J34">
        <f>IF(AnimalGraphingTable[[#This Row],[Top/Bottom]]="Shadow",Setup!$H$25,INDEX(SetupConstantsTable[],MATCH(AnimalGraphingTable[[#This Row],[Object]],SetupConstantsTable[Object],0),MATCH("Z"&amp;AnimalGraphingTable[[#This Row],[Version]],SetupConstantsTable[#Headers],0)))</f>
        <v>-2</v>
      </c>
      <c r="K34">
        <f>AnimalGraphingTable[[#This Row],[Velocity at 0]]*NetTime+AnimalGraphingTable[[#This Row],[Starting position]]</f>
        <v>105</v>
      </c>
      <c r="L34">
        <f>IF(AnimalGraphingTable[[#This Row],[Calculated position]]&gt;0,0,ROUNDUP(-AnimalGraphingTable[[#This Row],[Calculated position]]/AnimalGraphingTable[[#This Row],[Cycle position]],0))</f>
        <v>0</v>
      </c>
      <c r="M34">
        <f>AnimalGraphingTable[[#This Row],[Offset multiplier]]*AnimalGraphingTable[[#This Row],[Cycle position]]</f>
        <v>0</v>
      </c>
      <c r="N34">
        <f>AnimalGraphingTable[[#This Row],[Calculated position]]+AnimalGraphingTable[[#This Row],[Position offset]]</f>
        <v>105</v>
      </c>
      <c r="O34">
        <f>IF(AnimalGraphingTable[[#This Row],[Offset multiplier]]=0,AnimalGraphingTable[[#This Row],[Starting Y lane]],MOD(ROUND(0.9*(ROUND(AnimalGraphingTable[[#This Row],[y lane randomizer]],0)-ROUNDDOWN(AnimalGraphingTable[[#This Row],[y lane randomizer]],-2)),0),22)+Yframe_min+4)</f>
        <v>-7</v>
      </c>
      <c r="P34">
        <f>AnimalGraphingTable[[#This Row],[Starting Z depth]]</f>
        <v>-2</v>
      </c>
      <c r="Q34">
        <f>RADIANS(AnimalGraphingTable[[#This Row],[Cycle position]]+AnimalGraphingTable[[#This Row],[Starting Y lane]]-Setup!$G$25+AnimalGraphingTable[[#This Row],[Offset multiplier]]+StartingTime)*100000</f>
        <v>77757816.053633139</v>
      </c>
      <c r="R34">
        <f>(AnimalGraphingTable[[#This Row],[X]]-Setup!F$25)/Setup!F$26-0.5</f>
        <v>1.2</v>
      </c>
      <c r="S34">
        <f>(AnimalGraphingTable[[#This Row],[Y]]-Setup!G$25)/Setup!G$26-0.5</f>
        <v>-0.23333333333333334</v>
      </c>
      <c r="T34">
        <f>(AnimalGraphingTable[[#This Row],[Z]]-Setup!H$25)/Setup!H$26-0.5</f>
        <v>0.4</v>
      </c>
      <c r="U34">
        <f>IF(AnimalGraphingTable[[#This Row],[Hidden]],NA(),SUMPRODUCT(AnimalGraphingTable[[#This Row],[Norm X]:[Norm Z]],Chart_XRotationVals))</f>
        <v>0.94752308678997366</v>
      </c>
      <c r="V34">
        <f>SUMPRODUCT(AnimalGraphingTable[[#This Row],[Norm X]:[Norm Z]],Chart_YRotationVals)</f>
        <v>0.51333065863438043</v>
      </c>
      <c r="W34" t="b">
        <f>OR(AND(AnimalGraphingTable[[#This Row],[Top/Bottom]]="Above Shark",AnimalGraphingTable[[#This Row],[Z]]&lt;Zposition),AND(AnimalGraphingTable[[#This Row],[Top/Bottom]]="Below Shark",AnimalGraphingTable[[#This Row],[Z]]&gt;Zposition))</f>
        <v>0</v>
      </c>
      <c r="X34" t="str">
        <f>_xlfn.SWITCH(TRUE(),(AnimalGraphingTable[[#This Row],[X]]+VLOOKUP(AnimalGraphingTable[[#This Row],[Object]],SetupConstantsTable[],4,0))&gt;Xposition+VLOOKUP("Shark",SetupConstantsTable[],4,0),"Head",(AnimalGraphingTable[[#This Row],[X]]+VLOOKUP(AnimalGraphingTable[[#This Row],[Object]],SetupConstantsTable[],5,0))&lt;Xposition+VLOOKUP("Shark",SetupConstantsTable[],5,0),"Tail","Mid")</f>
        <v>Head</v>
      </c>
      <c r="Y34" t="b">
        <f>INDEX(SetupConstantsTable[],MATCH(AnimalGraphingTable[[#This Row],[Object]],SetupConstantsTable[Object],0),MATCH(AnimalGraphingTable[[#This Row],[Closest sphere to Shark]],SetupConstantsTable[#Headers],0))+INDEX(SetupConstantsTable[],MATCH("Shark",SetupConstantsTable[Object],0),MATCH(AnimalGraphingTable[[#This Row],[Closest sphere to Shark]],SetupConstantsTable[#Headers],0))&gt;AnimalGraphingTable[[#This Row],[Separation]]</f>
        <v>0</v>
      </c>
      <c r="Z34">
        <f>SQRT(AnimalGraphingTable[[#This Row],[X dist]]+AnimalGraphingTable[[#This Row],[Y dist]]+AnimalGraphingTable[[#This Row],[Z dist]])</f>
        <v>81.745030429990052</v>
      </c>
      <c r="AA34">
        <f>(_xlfn.IFS(AnimalGraphingTable[[#This Row],[Closest sphere to Shark]]="Head",VLOOKUP(AnimalGraphingTable[[#This Row],[Object]],SetupConstantsTable[],4,0),AnimalGraphingTable[[#This Row],[Closest sphere to Shark]]="Tail",VLOOKUP(AnimalGraphingTable[[#This Row],[Object]],SetupConstantsTable[],5,0),AnimalGraphingTable[[#This Row],[Closest sphere to Shark]]="Mid",0)+AnimalGraphingTable[[#This Row],[X]]-VLOOKUP(AnimalGraphingTable[[#This Row],[Closest sphere to Shark]],SharkBubbleTable[],5,0))^2</f>
        <v>6561</v>
      </c>
      <c r="AB34">
        <f>(AnimalGraphingTable[[#This Row],[Y]]-VLOOKUP(AnimalGraphingTable[[#This Row],[Closest sphere to Shark]],SharkBubbleTable[],6,0))^2</f>
        <v>49</v>
      </c>
      <c r="AC34">
        <f>(AnimalGraphingTable[[#This Row],[Z]]-VLOOKUP(AnimalGraphingTable[[#This Row],[Closest sphere to Shark]],SharkBubbleTable[],7,0))^2</f>
        <v>72.25</v>
      </c>
      <c r="AD34">
        <f>IF(AnimalGraphingTable[[#This Row],[Top/Bottom]]="Below Shark",AnimalGraphingTable[[#This Row],[Offset multiplier]]+IF(AnimalGraphingTable[[#This Row],[X]]&lt;50,1,0),0)</f>
        <v>0</v>
      </c>
    </row>
    <row r="42" spans="1:30">
      <c r="T42" t="s">
        <v>85</v>
      </c>
      <c r="U42" t="s">
        <v>86</v>
      </c>
      <c r="V42" t="s">
        <v>63</v>
      </c>
      <c r="W42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83D2A-1FC9-43D0-873D-25C808C26085}">
  <sheetPr codeName="Sheet8"/>
  <dimension ref="B2:I25"/>
  <sheetViews>
    <sheetView workbookViewId="0">
      <selection activeCell="I14" sqref="I14"/>
    </sheetView>
  </sheetViews>
  <sheetFormatPr defaultRowHeight="15"/>
  <cols>
    <col min="2" max="2" width="22" customWidth="1"/>
    <col min="3" max="3" width="18.42578125" customWidth="1"/>
    <col min="4" max="5" width="9.140625" customWidth="1"/>
    <col min="6" max="7" width="9" customWidth="1"/>
    <col min="8" max="9" width="9.85546875" customWidth="1"/>
  </cols>
  <sheetData>
    <row r="2" spans="2:9">
      <c r="B2" t="s">
        <v>50</v>
      </c>
      <c r="C2" t="s">
        <v>52</v>
      </c>
      <c r="D2" t="s">
        <v>54</v>
      </c>
      <c r="E2" t="s">
        <v>5</v>
      </c>
      <c r="F2" t="s">
        <v>6</v>
      </c>
      <c r="G2" t="s">
        <v>7</v>
      </c>
      <c r="H2" t="s">
        <v>65</v>
      </c>
      <c r="I2" t="s">
        <v>66</v>
      </c>
    </row>
    <row r="3" spans="2:9">
      <c r="B3" t="s">
        <v>88</v>
      </c>
      <c r="C3" t="str">
        <f>IFERROR(VLOOKUP(AnimalShadows[[#This Row],[Object]],SetupConstantsTable[],2,0)&amp;"-Shadow",AnimalShadows[[#This Row],[Object]])</f>
        <v>Shadow;Yaw-1</v>
      </c>
      <c r="D3">
        <v>-1</v>
      </c>
      <c r="E3" t="e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#N/A</v>
      </c>
      <c r="F3">
        <f>IFERROR(INDEX(AnimalGraphingTable[],MATCH(AnimalShadows[[#This Row],[Object]]&amp;AnimalShadows[[#This Row],[Version]]&amp;"A",AnimalGraphingTable[ReferenceID],0),MATCH(F$2,AnimalGraphingTable[#Headers],0)),(Yposition-Setup!$G$25)/Setup!$G$26-0.5)</f>
        <v>0</v>
      </c>
      <c r="G3">
        <f>-0.5</f>
        <v>-0.5</v>
      </c>
      <c r="H3" t="e">
        <f>SUMPRODUCT(AnimalShadows[[#This Row],[Norm X]:[Norm Z]],Chart_XRotationVals)</f>
        <v>#N/A</v>
      </c>
      <c r="I3" t="e">
        <f>SUMPRODUCT(AnimalShadows[[#This Row],[Norm X]:[Norm Z]],Chart_YRotationVals)</f>
        <v>#N/A</v>
      </c>
    </row>
    <row r="4" spans="2:9">
      <c r="B4" t="s">
        <v>89</v>
      </c>
      <c r="C4" t="str">
        <f>IFERROR(VLOOKUP(AnimalShadows[[#This Row],[Object]],SetupConstantsTable[],2,0)&amp;"-Shadow",AnimalShadows[[#This Row],[Object]])</f>
        <v>Shadow;Yaw0</v>
      </c>
      <c r="D4">
        <v>0</v>
      </c>
      <c r="E4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-0.5</v>
      </c>
      <c r="F4">
        <f>IFERROR(INDEX(AnimalGraphingTable[],MATCH(AnimalShadows[[#This Row],[Object]]&amp;AnimalShadows[[#This Row],[Version]]&amp;"A",AnimalGraphingTable[ReferenceID],0),MATCH(F$2,AnimalGraphingTable[#Headers],0)),(Yposition-Setup!$G$25)/Setup!$G$26-0.5)</f>
        <v>0</v>
      </c>
      <c r="G4">
        <f>-0.5</f>
        <v>-0.5</v>
      </c>
      <c r="H4">
        <f>SUMPRODUCT(AnimalShadows[[#This Row],[Norm X]:[Norm Z]],Chart_XRotationVals)</f>
        <v>-0.35355339059327379</v>
      </c>
      <c r="I4">
        <f>SUMPRODUCT(AnimalShadows[[#This Row],[Norm X]:[Norm Z]],Chart_YRotationVals)</f>
        <v>-0.34998177605352465</v>
      </c>
    </row>
    <row r="5" spans="2:9">
      <c r="B5" t="s">
        <v>90</v>
      </c>
      <c r="C5" t="str">
        <f>IFERROR(VLOOKUP(AnimalShadows[[#This Row],[Object]],SetupConstantsTable[],2,0)&amp;"-Shadow",AnimalShadows[[#This Row],[Object]])</f>
        <v>Shadow;Yaw1</v>
      </c>
      <c r="D5">
        <v>1</v>
      </c>
      <c r="E5" t="e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#N/A</v>
      </c>
      <c r="F5">
        <f>IFERROR(INDEX(AnimalGraphingTable[],MATCH(AnimalShadows[[#This Row],[Object]]&amp;AnimalShadows[[#This Row],[Version]]&amp;"A",AnimalGraphingTable[ReferenceID],0),MATCH(F$2,AnimalGraphingTable[#Headers],0)),(Yposition-Setup!$G$25)/Setup!$G$26-0.5)</f>
        <v>0</v>
      </c>
      <c r="G5">
        <f>-0.5</f>
        <v>-0.5</v>
      </c>
      <c r="H5" t="e">
        <f>SUMPRODUCT(AnimalShadows[[#This Row],[Norm X]:[Norm Z]],Chart_XRotationVals)</f>
        <v>#N/A</v>
      </c>
      <c r="I5" t="e">
        <f>SUMPRODUCT(AnimalShadows[[#This Row],[Norm X]:[Norm Z]],Chart_YRotationVals)</f>
        <v>#N/A</v>
      </c>
    </row>
    <row r="6" spans="2:9">
      <c r="B6" t="s">
        <v>75</v>
      </c>
      <c r="C6" t="str">
        <f>IFERROR(VLOOKUP(AnimalShadows[[#This Row],[Object]],SetupConstantsTable[],2,0)&amp;"-Shadow",AnimalShadows[[#This Row],[Object]])</f>
        <v>Crab-Shadow</v>
      </c>
      <c r="D6">
        <v>1</v>
      </c>
      <c r="E6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7.999999999999996E-2</v>
      </c>
      <c r="F6">
        <f>IFERROR(INDEX(AnimalGraphingTable[],MATCH(AnimalShadows[[#This Row],[Object]]&amp;AnimalShadows[[#This Row],[Version]]&amp;"A",AnimalGraphingTable[ReferenceID],0),MATCH(F$2,AnimalGraphingTable[#Headers],0)),(Yposition-Setup!$G$25)/Setup!$G$26-0.5)</f>
        <v>-0.33333333333333337</v>
      </c>
      <c r="G6">
        <f t="shared" ref="G6:G20" si="0">-0.5</f>
        <v>-0.5</v>
      </c>
      <c r="H6">
        <f>SUMPRODUCT(AnimalShadows[[#This Row],[Norm X]:[Norm Z]],Chart_XRotationVals)</f>
        <v>0.19798989873223327</v>
      </c>
      <c r="I6">
        <f>SUMPRODUCT(AnimalShadows[[#This Row],[Norm X]:[Norm Z]],Chart_YRotationVals)</f>
        <v>-0.21563148762808063</v>
      </c>
    </row>
    <row r="7" spans="2:9">
      <c r="B7" t="s">
        <v>75</v>
      </c>
      <c r="C7" t="str">
        <f>IFERROR(VLOOKUP(AnimalShadows[[#This Row],[Object]],SetupConstantsTable[],2,0)&amp;"-Shadow",AnimalShadows[[#This Row],[Object]])</f>
        <v>Crab-Shadow</v>
      </c>
      <c r="D7">
        <v>2</v>
      </c>
      <c r="E7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1.24</v>
      </c>
      <c r="F7">
        <f>IFERROR(INDEX(AnimalGraphingTable[],MATCH(AnimalShadows[[#This Row],[Object]]&amp;AnimalShadows[[#This Row],[Version]]&amp;"A",AnimalGraphingTable[ReferenceID],0),MATCH(F$2,AnimalGraphingTable[#Headers],0)),(Yposition-Setup!$G$25)/Setup!$G$26-0.5)</f>
        <v>-0.26666666666666666</v>
      </c>
      <c r="G7">
        <f t="shared" si="0"/>
        <v>-0.5</v>
      </c>
      <c r="H7">
        <f>SUMPRODUCT(AnimalShadows[[#This Row],[Norm X]:[Norm Z]],Chart_XRotationVals)</f>
        <v>0.98994949366116658</v>
      </c>
      <c r="I7">
        <f>SUMPRODUCT(AnimalShadows[[#This Row],[Norm X]:[Norm Z]],Chart_YRotationVals)</f>
        <v>0.20863258108384791</v>
      </c>
    </row>
    <row r="8" spans="2:9">
      <c r="B8" t="s">
        <v>77</v>
      </c>
      <c r="C8" t="str">
        <f>IFERROR(VLOOKUP(AnimalShadows[[#This Row],[Object]],SetupConstantsTable[],2,0)&amp;"-Shadow",AnimalShadows[[#This Row],[Object]])</f>
        <v>Octopus-Shadow</v>
      </c>
      <c r="D8">
        <v>1</v>
      </c>
      <c r="E8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-0.12</v>
      </c>
      <c r="F8">
        <f>IFERROR(INDEX(AnimalGraphingTable[],MATCH(AnimalShadows[[#This Row],[Object]]&amp;AnimalShadows[[#This Row],[Version]]&amp;"A",AnimalGraphingTable[ReferenceID],0),MATCH(F$2,AnimalGraphingTable[#Headers],0)),(Yposition-Setup!$G$25)/Setup!$G$26-0.5)</f>
        <v>-0.2</v>
      </c>
      <c r="G8">
        <f t="shared" si="0"/>
        <v>-0.5</v>
      </c>
      <c r="H8">
        <f>SUMPRODUCT(AnimalShadows[[#This Row],[Norm X]:[Norm Z]],Chart_XRotationVals)</f>
        <v>-1.3877787807814457E-17</v>
      </c>
      <c r="I8">
        <f>SUMPRODUCT(AnimalShadows[[#This Row],[Norm X]:[Norm Z]],Chart_YRotationVals)</f>
        <v>-0.25805789449927347</v>
      </c>
    </row>
    <row r="9" spans="2:9">
      <c r="B9" t="s">
        <v>77</v>
      </c>
      <c r="C9" t="str">
        <f>IFERROR(VLOOKUP(AnimalShadows[[#This Row],[Object]],SetupConstantsTable[],2,0)&amp;"-Shadow",AnimalShadows[[#This Row],[Object]])</f>
        <v>Octopus-Shadow</v>
      </c>
      <c r="D9">
        <v>2</v>
      </c>
      <c r="E9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1.06</v>
      </c>
      <c r="F9">
        <f>IFERROR(INDEX(AnimalGraphingTable[],MATCH(AnimalShadows[[#This Row],[Object]]&amp;AnimalShadows[[#This Row],[Version]]&amp;"A",AnimalGraphingTable[ReferenceID],0),MATCH(F$2,AnimalGraphingTable[#Headers],0)),(Yposition-Setup!$G$25)/Setup!$G$26-0.5)</f>
        <v>3.3333333333333326E-2</v>
      </c>
      <c r="G9">
        <f t="shared" si="0"/>
        <v>-0.5</v>
      </c>
      <c r="H9">
        <f>SUMPRODUCT(AnimalShadows[[#This Row],[Norm X]:[Norm Z]],Chart_XRotationVals)</f>
        <v>0.7353910524340096</v>
      </c>
      <c r="I9">
        <f>SUMPRODUCT(AnimalShadows[[#This Row],[Norm X]:[Norm Z]],Chart_YRotationVals)</f>
        <v>0.20863258108384797</v>
      </c>
    </row>
    <row r="10" spans="2:9">
      <c r="B10" t="s">
        <v>78</v>
      </c>
      <c r="C10" t="str">
        <f>IFERROR(VLOOKUP(AnimalShadows[[#This Row],[Object]],SetupConstantsTable[],2,0)&amp;"-Shadow",AnimalShadows[[#This Row],[Object]])</f>
        <v>Hammerhead-Shadow</v>
      </c>
      <c r="D10">
        <v>1</v>
      </c>
      <c r="E10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0.8600000000000001</v>
      </c>
      <c r="F10">
        <f>IFERROR(INDEX(AnimalGraphingTable[],MATCH(AnimalShadows[[#This Row],[Object]]&amp;AnimalShadows[[#This Row],[Version]]&amp;"A",AnimalGraphingTable[ReferenceID],0),MATCH(F$2,AnimalGraphingTable[#Headers],0)),(Yposition-Setup!$G$25)/Setup!$G$26-0.5)</f>
        <v>0.26666666666666672</v>
      </c>
      <c r="G10">
        <f t="shared" si="0"/>
        <v>-0.5</v>
      </c>
      <c r="H10">
        <f>SUMPRODUCT(AnimalShadows[[#This Row],[Norm X]:[Norm Z]],Chart_XRotationVals)</f>
        <v>0.49497474683058335</v>
      </c>
      <c r="I10">
        <f>SUMPRODUCT(AnimalShadows[[#This Row],[Norm X]:[Norm Z]],Chart_YRotationVals)</f>
        <v>0.18741937764825156</v>
      </c>
    </row>
    <row r="11" spans="2:9">
      <c r="B11" t="s">
        <v>78</v>
      </c>
      <c r="C11" t="str">
        <f>IFERROR(VLOOKUP(AnimalShadows[[#This Row],[Object]],SetupConstantsTable[],2,0)&amp;"-Shadow",AnimalShadows[[#This Row],[Object]])</f>
        <v>Hammerhead-Shadow</v>
      </c>
      <c r="D11">
        <v>2</v>
      </c>
      <c r="E11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2.34</v>
      </c>
      <c r="F11">
        <f>IFERROR(INDEX(AnimalGraphingTable[],MATCH(AnimalShadows[[#This Row],[Object]]&amp;AnimalShadows[[#This Row],[Version]]&amp;"A",AnimalGraphingTable[ReferenceID],0),MATCH(F$2,AnimalGraphingTable[#Headers],0)),(Yposition-Setup!$G$25)/Setup!$G$26-0.5)</f>
        <v>-0.13333333333333336</v>
      </c>
      <c r="G11">
        <f t="shared" si="0"/>
        <v>-0.5</v>
      </c>
      <c r="H11">
        <f>SUMPRODUCT(AnimalShadows[[#This Row],[Norm X]:[Norm Z]],Chart_XRotationVals)</f>
        <v>1.7111984104714451</v>
      </c>
      <c r="I11">
        <f>SUMPRODUCT(AnimalShadows[[#This Row],[Norm X]:[Norm Z]],Chart_YRotationVals)</f>
        <v>0.62582558198391092</v>
      </c>
    </row>
    <row r="12" spans="2:9">
      <c r="B12" t="s">
        <v>91</v>
      </c>
      <c r="C12" t="str">
        <f>IFERROR(VLOOKUP(AnimalShadows[[#This Row],[Object]],SetupConstantsTable[],2,0)&amp;"-Shadow",AnimalShadows[[#This Row],[Object]])</f>
        <v>Seahorse-Shadow</v>
      </c>
      <c r="D12">
        <v>1</v>
      </c>
    </row>
    <row r="13" spans="2:9">
      <c r="B13" t="s">
        <v>91</v>
      </c>
      <c r="C13" t="str">
        <f>IFERROR(VLOOKUP(AnimalShadows[[#This Row],[Object]],SetupConstantsTable[],2,0)&amp;"-Shadow",AnimalShadows[[#This Row],[Object]])</f>
        <v>Seahorse-Shadow</v>
      </c>
      <c r="D13">
        <v>2</v>
      </c>
    </row>
    <row r="14" spans="2:9">
      <c r="B14" t="s">
        <v>79</v>
      </c>
      <c r="C14" t="str">
        <f>IFERROR(VLOOKUP(AnimalShadows[[#This Row],[Object]],SetupConstantsTable[],2,0)&amp;"-Shadow",AnimalShadows[[#This Row],[Object]])</f>
        <v>Turtle-Shadow</v>
      </c>
      <c r="D14">
        <v>1</v>
      </c>
      <c r="E14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-0.06</v>
      </c>
      <c r="F14">
        <f>IFERROR(INDEX(AnimalGraphingTable[],MATCH(AnimalShadows[[#This Row],[Object]]&amp;AnimalShadows[[#This Row],[Version]]&amp;"A",AnimalGraphingTable[ReferenceID],0),MATCH(F$2,AnimalGraphingTable[#Headers],0)),(Yposition-Setup!$G$25)/Setup!$G$26-0.5)</f>
        <v>0.30000000000000004</v>
      </c>
      <c r="G14">
        <f t="shared" si="0"/>
        <v>-0.5</v>
      </c>
      <c r="H14">
        <f>SUMPRODUCT(AnimalShadows[[#This Row],[Norm X]:[Norm Z]],Chart_XRotationVals)</f>
        <v>-0.16970562748477142</v>
      </c>
      <c r="I14">
        <f>SUMPRODUCT(AnimalShadows[[#This Row],[Norm X]:[Norm Z]],Chart_YRotationVals)</f>
        <v>-0.13077867388569486</v>
      </c>
    </row>
    <row r="15" spans="2:9">
      <c r="B15" t="s">
        <v>79</v>
      </c>
      <c r="C15" t="str">
        <f>IFERROR(VLOOKUP(AnimalShadows[[#This Row],[Object]],SetupConstantsTable[],2,0)&amp;"-Shadow",AnimalShadows[[#This Row],[Object]])</f>
        <v>Turtle-Shadow</v>
      </c>
      <c r="D15">
        <v>2</v>
      </c>
      <c r="E15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1.04</v>
      </c>
      <c r="F15">
        <f>IFERROR(INDEX(AnimalGraphingTable[],MATCH(AnimalShadows[[#This Row],[Object]]&amp;AnimalShadows[[#This Row],[Version]]&amp;"A",AnimalGraphingTable[ReferenceID],0),MATCH(F$2,AnimalGraphingTable[#Headers],0)),(Yposition-Setup!$G$25)/Setup!$G$26-0.5)</f>
        <v>0.23333333333333328</v>
      </c>
      <c r="G15">
        <f t="shared" si="0"/>
        <v>-0.5</v>
      </c>
      <c r="H15">
        <f>SUMPRODUCT(AnimalShadows[[#This Row],[Norm X]:[Norm Z]],Chart_XRotationVals)</f>
        <v>0.63639610306789285</v>
      </c>
      <c r="I15">
        <f>SUMPRODUCT(AnimalShadows[[#This Row],[Norm X]:[Norm Z]],Chart_YRotationVals)</f>
        <v>0.24398792014317533</v>
      </c>
    </row>
    <row r="16" spans="2:9">
      <c r="B16" t="s">
        <v>92</v>
      </c>
      <c r="C16" t="str">
        <f>IFERROR(VLOOKUP(AnimalShadows[[#This Row],[Object]],SetupConstantsTable[],2,0)&amp;"-Shadow",AnimalShadows[[#This Row],[Object]])</f>
        <v>Whale-Shadow</v>
      </c>
      <c r="D16">
        <v>1</v>
      </c>
    </row>
    <row r="17" spans="2:9">
      <c r="B17" t="s">
        <v>92</v>
      </c>
      <c r="C17" t="str">
        <f>IFERROR(VLOOKUP(AnimalShadows[[#This Row],[Object]],SetupConstantsTable[],2,0)&amp;"-Shadow",AnimalShadows[[#This Row],[Object]])</f>
        <v>Whale-Shadow</v>
      </c>
      <c r="D17">
        <v>2</v>
      </c>
    </row>
    <row r="18" spans="2:9">
      <c r="B18" t="s">
        <v>80</v>
      </c>
      <c r="C18" t="str">
        <f>IFERROR(VLOOKUP(AnimalShadows[[#This Row],[Object]],SetupConstantsTable[],2,0)&amp;"-Shadow",AnimalShadows[[#This Row],[Object]])</f>
        <v>Jellyfish-Shadow</v>
      </c>
      <c r="D18">
        <v>1</v>
      </c>
      <c r="E18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9.9999999999999978E-2</v>
      </c>
      <c r="F18">
        <f>IFERROR(INDEX(AnimalGraphingTable[],MATCH(AnimalShadows[[#This Row],[Object]]&amp;AnimalShadows[[#This Row],[Version]]&amp;"A",AnimalGraphingTable[ReferenceID],0),MATCH(F$2,AnimalGraphingTable[#Headers],0)),(Yposition-Setup!$G$25)/Setup!$G$26-0.5)</f>
        <v>0.30000000000000004</v>
      </c>
      <c r="G18">
        <f t="shared" si="0"/>
        <v>-0.5</v>
      </c>
      <c r="H18">
        <f>SUMPRODUCT(AnimalShadows[[#This Row],[Norm X]:[Norm Z]],Chart_XRotationVals)</f>
        <v>-5.656854249492381E-2</v>
      </c>
      <c r="I18">
        <f>SUMPRODUCT(AnimalShadows[[#This Row],[Norm X]:[Norm Z]],Chart_YRotationVals)</f>
        <v>-7.4210131390771067E-2</v>
      </c>
    </row>
    <row r="19" spans="2:9">
      <c r="B19" t="s">
        <v>80</v>
      </c>
      <c r="C19" t="str">
        <f>IFERROR(VLOOKUP(AnimalShadows[[#This Row],[Object]],SetupConstantsTable[],2,0)&amp;"-Shadow",AnimalShadows[[#This Row],[Object]])</f>
        <v>Jellyfish-Shadow</v>
      </c>
      <c r="D19">
        <v>2</v>
      </c>
      <c r="E19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1.08</v>
      </c>
      <c r="F19">
        <f>IFERROR(INDEX(AnimalGraphingTable[],MATCH(AnimalShadows[[#This Row],[Object]]&amp;AnimalShadows[[#This Row],[Version]]&amp;"A",AnimalGraphingTable[ReferenceID],0),MATCH(F$2,AnimalGraphingTable[#Headers],0)),(Yposition-Setup!$G$25)/Setup!$G$26-0.5)</f>
        <v>0.19999999999999996</v>
      </c>
      <c r="G19">
        <f t="shared" si="0"/>
        <v>-0.5</v>
      </c>
      <c r="H19">
        <f>SUMPRODUCT(AnimalShadows[[#This Row],[Norm X]:[Norm Z]],Chart_XRotationVals)</f>
        <v>0.67882250993908577</v>
      </c>
      <c r="I19">
        <f>SUMPRODUCT(AnimalShadows[[#This Row],[Norm X]:[Norm Z]],Chart_YRotationVals)</f>
        <v>0.25105898795504084</v>
      </c>
    </row>
    <row r="20" spans="2:9">
      <c r="B20" t="s">
        <v>81</v>
      </c>
      <c r="C20" t="str">
        <f>IFERROR(VLOOKUP(AnimalShadows[[#This Row],[Object]],SetupConstantsTable[],2,0)&amp;"-Shadow",AnimalShadows[[#This Row],[Object]])</f>
        <v>Orca-Shadow</v>
      </c>
      <c r="D20">
        <v>1</v>
      </c>
      <c r="E20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0.43999999999999995</v>
      </c>
      <c r="F20">
        <f>IFERROR(INDEX(AnimalGraphingTable[],MATCH(AnimalShadows[[#This Row],[Object]]&amp;AnimalShadows[[#This Row],[Version]]&amp;"A",AnimalGraphingTable[ReferenceID],0),MATCH(F$2,AnimalGraphingTable[#Headers],0)),(Yposition-Setup!$G$25)/Setup!$G$26-0.5)</f>
        <v>-0.23333333333333334</v>
      </c>
      <c r="G20">
        <f t="shared" si="0"/>
        <v>-0.5</v>
      </c>
      <c r="H20">
        <f>SUMPRODUCT(AnimalShadows[[#This Row],[Norm X]:[Norm Z]],Chart_XRotationVals)</f>
        <v>0.41012193308819755</v>
      </c>
      <c r="I20">
        <f>SUMPRODUCT(AnimalShadows[[#This Row],[Norm X]:[Norm Z]],Chart_YRotationVals)</f>
        <v>-6.7139063578905617E-2</v>
      </c>
    </row>
    <row r="21" spans="2:9">
      <c r="B21" t="s">
        <v>81</v>
      </c>
      <c r="C21" t="str">
        <f>IFERROR(VLOOKUP(AnimalShadows[[#This Row],[Object]],SetupConstantsTable[],2,0)&amp;"-Shadow",AnimalShadows[[#This Row],[Object]])</f>
        <v>Orca-Shadow</v>
      </c>
      <c r="D21">
        <v>2</v>
      </c>
      <c r="E21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3</v>
      </c>
      <c r="F21">
        <f>IFERROR(INDEX(AnimalGraphingTable[],MATCH(AnimalShadows[[#This Row],[Object]]&amp;AnimalShadows[[#This Row],[Version]]&amp;"A",AnimalGraphingTable[ReferenceID],0),MATCH(F$2,AnimalGraphingTable[#Headers],0)),(Yposition-Setup!$G$25)/Setup!$G$26-0.5)</f>
        <v>-3.3333333333333326E-2</v>
      </c>
      <c r="G21">
        <f>-0.5</f>
        <v>-0.5</v>
      </c>
      <c r="H21">
        <f>SUMPRODUCT(AnimalShadows[[#This Row],[Norm X]:[Norm Z]],Chart_XRotationVals)</f>
        <v>2.1354624791833738</v>
      </c>
      <c r="I21">
        <f>SUMPRODUCT(AnimalShadows[[#This Row],[Norm X]:[Norm Z]],Chart_YRotationVals)</f>
        <v>0.88038402321106823</v>
      </c>
    </row>
    <row r="22" spans="2:9">
      <c r="B22" t="s">
        <v>82</v>
      </c>
      <c r="C22" t="str">
        <f>IFERROR(VLOOKUP(AnimalShadows[[#This Row],[Object]],SetupConstantsTable[],2,0)&amp;"-Shadow",AnimalShadows[[#This Row],[Object]])</f>
        <v>Sting Ray-Shadow</v>
      </c>
      <c r="D22">
        <v>1</v>
      </c>
      <c r="E22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-0.4</v>
      </c>
      <c r="F22">
        <f>IFERROR(INDEX(AnimalGraphingTable[],MATCH(AnimalShadows[[#This Row],[Object]]&amp;AnimalShadows[[#This Row],[Version]]&amp;"A",AnimalGraphingTable[ReferenceID],0),MATCH(F$2,AnimalGraphingTable[#Headers],0)),(Yposition-Setup!$G$25)/Setup!$G$26-0.5)</f>
        <v>0.19999999999999996</v>
      </c>
      <c r="G22">
        <f>-0.5</f>
        <v>-0.5</v>
      </c>
      <c r="H22">
        <f>SUMPRODUCT(AnimalShadows[[#This Row],[Norm X]:[Norm Z]],Chart_XRotationVals)</f>
        <v>-0.36769552621700474</v>
      </c>
      <c r="I22">
        <f>SUMPRODUCT(AnimalShadows[[#This Row],[Norm X]:[Norm Z]],Chart_YRotationVals)</f>
        <v>-0.27220003012300442</v>
      </c>
    </row>
    <row r="23" spans="2:9">
      <c r="B23" t="s">
        <v>82</v>
      </c>
      <c r="C23" t="str">
        <f>IFERROR(VLOOKUP(AnimalShadows[[#This Row],[Object]],SetupConstantsTable[],2,0)&amp;"-Shadow",AnimalShadows[[#This Row],[Object]])</f>
        <v>Sting Ray-Shadow</v>
      </c>
      <c r="D23">
        <v>2</v>
      </c>
      <c r="E23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0.65999999999999992</v>
      </c>
      <c r="F23">
        <f>IFERROR(INDEX(AnimalGraphingTable[],MATCH(AnimalShadows[[#This Row],[Object]]&amp;AnimalShadows[[#This Row],[Version]]&amp;"A",AnimalGraphingTable[ReferenceID],0),MATCH(F$2,AnimalGraphingTable[#Headers],0)),(Yposition-Setup!$G$25)/Setup!$G$26-0.5)</f>
        <v>0.33333333333333337</v>
      </c>
      <c r="G23">
        <f>-0.5</f>
        <v>-0.5</v>
      </c>
      <c r="H23">
        <f>SUMPRODUCT(AnimalShadows[[#This Row],[Norm X]:[Norm Z]],Chart_XRotationVals)</f>
        <v>0.32526911934581182</v>
      </c>
      <c r="I23">
        <f>SUMPRODUCT(AnimalShadows[[#This Row],[Norm X]:[Norm Z]],Chart_YRotationVals)</f>
        <v>0.13085083515332768</v>
      </c>
    </row>
    <row r="24" spans="2:9">
      <c r="B24" t="s">
        <v>83</v>
      </c>
      <c r="C24" t="str">
        <f>IFERROR(VLOOKUP(AnimalShadows[[#This Row],[Object]],SetupConstantsTable[],2,0)&amp;"-Shadow",AnimalShadows[[#This Row],[Object]])</f>
        <v>Dolphin-Shadow</v>
      </c>
      <c r="D24">
        <v>1</v>
      </c>
      <c r="E24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-0.3</v>
      </c>
      <c r="F24">
        <f>IFERROR(INDEX(AnimalGraphingTable[],MATCH(AnimalShadows[[#This Row],[Object]]&amp;AnimalShadows[[#This Row],[Version]]&amp;"A",AnimalGraphingTable[ReferenceID],0),MATCH(F$2,AnimalGraphingTable[#Headers],0)),(Yposition-Setup!$G$25)/Setup!$G$26-0.5)</f>
        <v>-9.9999999999999978E-2</v>
      </c>
      <c r="G24">
        <f>-0.5</f>
        <v>-0.5</v>
      </c>
      <c r="H24">
        <f>SUMPRODUCT(AnimalShadows[[#This Row],[Norm X]:[Norm Z]],Chart_XRotationVals)</f>
        <v>-0.16970562748477142</v>
      </c>
      <c r="I24">
        <f>SUMPRODUCT(AnimalShadows[[#This Row],[Norm X]:[Norm Z]],Chart_YRotationVals)</f>
        <v>-0.30048430137046628</v>
      </c>
    </row>
    <row r="25" spans="2:9">
      <c r="B25" t="s">
        <v>83</v>
      </c>
      <c r="C25" t="str">
        <f>IFERROR(VLOOKUP(AnimalShadows[[#This Row],[Object]],SetupConstantsTable[],2,0)&amp;"-Shadow",AnimalShadows[[#This Row],[Object]])</f>
        <v>Dolphin-Shadow</v>
      </c>
      <c r="D25">
        <v>2</v>
      </c>
      <c r="E25">
        <f>IFERROR(INDEX(AnimalGraphingTable[],MATCH(AnimalShadows[[#This Row],[Object]]&amp;AnimalShadows[[#This Row],[Version]]&amp;"A",AnimalGraphingTable[ReferenceID],0),MATCH(E$2,AnimalGraphingTable[#Headers],0)),IF(AnimalShadows[[#This Row],[Version]]=Yaw,(Xposition-Setup!$F$25)/Setup!$F$26-0.5,NA()))</f>
        <v>1.2</v>
      </c>
      <c r="F25">
        <f>IFERROR(INDEX(AnimalGraphingTable[],MATCH(AnimalShadows[[#This Row],[Object]]&amp;AnimalShadows[[#This Row],[Version]]&amp;"A",AnimalGraphingTable[ReferenceID],0),MATCH(F$2,AnimalGraphingTable[#Headers],0)),(Yposition-Setup!$G$25)/Setup!$G$26-0.5)</f>
        <v>-0.23333333333333334</v>
      </c>
      <c r="G25">
        <f>-0.5</f>
        <v>-0.5</v>
      </c>
      <c r="H25">
        <f>SUMPRODUCT(AnimalShadows[[#This Row],[Norm X]:[Norm Z]],Chart_XRotationVals)</f>
        <v>0.94752308678997366</v>
      </c>
      <c r="I25">
        <f>SUMPRODUCT(AnimalShadows[[#This Row],[Norm X]:[Norm Z]],Chart_YRotationVals)</f>
        <v>0.20156151327198246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071E6-B6D4-434A-BFB2-CD267C5AFF48}">
  <sheetPr codeName="Sheet9"/>
  <dimension ref="B2:M46"/>
  <sheetViews>
    <sheetView workbookViewId="0">
      <selection activeCell="E36" sqref="E36"/>
    </sheetView>
  </sheetViews>
  <sheetFormatPr defaultRowHeight="15"/>
  <cols>
    <col min="2" max="2" width="21.140625" customWidth="1"/>
    <col min="3" max="3" width="17" bestFit="1" customWidth="1"/>
    <col min="4" max="4" width="19.28515625" bestFit="1" customWidth="1"/>
    <col min="5" max="5" width="16.85546875" bestFit="1" customWidth="1"/>
    <col min="6" max="6" width="6.5703125" customWidth="1"/>
    <col min="7" max="7" width="6" customWidth="1"/>
    <col min="8" max="8" width="4.140625" bestFit="1" customWidth="1"/>
    <col min="9" max="9" width="9.42578125" bestFit="1" customWidth="1"/>
    <col min="10" max="11" width="9.28515625" bestFit="1" customWidth="1"/>
    <col min="12" max="13" width="10.140625" bestFit="1" customWidth="1"/>
  </cols>
  <sheetData>
    <row r="2" spans="2:13">
      <c r="B2" t="s">
        <v>93</v>
      </c>
      <c r="C2">
        <f>Setup!$G$25+Setup!$G$26</f>
        <v>15</v>
      </c>
    </row>
    <row r="3" spans="2:13">
      <c r="B3" t="s">
        <v>94</v>
      </c>
      <c r="C3">
        <f>Setup!$H$25</f>
        <v>-20</v>
      </c>
    </row>
    <row r="4" spans="2:13">
      <c r="B4" t="s">
        <v>95</v>
      </c>
      <c r="C4">
        <v>195.59999999999997</v>
      </c>
    </row>
    <row r="5" spans="2:13">
      <c r="B5" t="s">
        <v>96</v>
      </c>
      <c r="C5">
        <v>0</v>
      </c>
    </row>
    <row r="6" spans="2:13">
      <c r="B6" t="s">
        <v>97</v>
      </c>
      <c r="C6">
        <v>-2</v>
      </c>
    </row>
    <row r="8" spans="2:13">
      <c r="B8" t="s">
        <v>54</v>
      </c>
      <c r="C8" t="s">
        <v>57</v>
      </c>
      <c r="D8" t="s">
        <v>60</v>
      </c>
      <c r="E8" t="s">
        <v>61</v>
      </c>
      <c r="F8" t="s">
        <v>8</v>
      </c>
      <c r="G8" t="s">
        <v>9</v>
      </c>
      <c r="H8" t="s">
        <v>63</v>
      </c>
      <c r="I8" t="s">
        <v>5</v>
      </c>
      <c r="J8" t="s">
        <v>6</v>
      </c>
      <c r="K8" t="s">
        <v>7</v>
      </c>
      <c r="L8" t="s">
        <v>65</v>
      </c>
      <c r="M8" t="s">
        <v>66</v>
      </c>
    </row>
    <row r="9" spans="2:13">
      <c r="B9" t="s">
        <v>98</v>
      </c>
      <c r="C9">
        <v>20</v>
      </c>
      <c r="D9">
        <f>0.5*BackgroundAcceleration*NetTime^2+BackgroundVelocity*NetTime+BackgroundGraphingTable[[#This Row],[Starting position]]</f>
        <v>20</v>
      </c>
      <c r="E9">
        <f>IF(BackgroundGraphingTable[[#This Row],[Calculated position]]&gt;0,0,ROUNDUP(-BackgroundGraphingTable[[#This Row],[Calculated position]]/BackgroundCycle,0))</f>
        <v>0</v>
      </c>
      <c r="F9">
        <f>BackgroundGraphingTable[[#This Row],[Offset multiplier]]*BackgroundCycle+BackgroundGraphingTable[[#This Row],[Calculated position]]</f>
        <v>20</v>
      </c>
      <c r="G9">
        <v>2</v>
      </c>
      <c r="H9">
        <f t="shared" ref="H9:H39" si="0">-20</f>
        <v>-20</v>
      </c>
      <c r="I9">
        <f>(BackgroundGraphingTable[[#This Row],[X]]-Xframe_min)/Xframe_range-0.5</f>
        <v>-0.5</v>
      </c>
      <c r="J9">
        <f>(BackgroundGraphingTable[[#This Row],[Y]]-Yframe_min)/Yframe_range-0.5</f>
        <v>6.6666666666666652E-2</v>
      </c>
      <c r="K9">
        <f>(BackgroundGraphingTable[[#This Row],[Z]]-Zframe_min)/Zframe_range-0.5</f>
        <v>-0.5</v>
      </c>
      <c r="L9">
        <f>SUMPRODUCT(BackgroundGraphingTable[[#This Row],[Norm X]:[Norm Z]],Chart_XRotationVals)</f>
        <v>-0.3818376618407357</v>
      </c>
      <c r="M9">
        <f>SUMPRODUCT(BackgroundGraphingTable[[#This Row],[Norm X]:[Norm Z]],Chart_YRotationVals)</f>
        <v>-0.33583964042979364</v>
      </c>
    </row>
    <row r="10" spans="2:13">
      <c r="B10" t="s">
        <v>99</v>
      </c>
      <c r="C10">
        <v>113</v>
      </c>
      <c r="D10">
        <f>0.5*BackgroundAcceleration*NetTime^2+BackgroundVelocity*NetTime+BackgroundGraphingTable[[#This Row],[Starting position]]</f>
        <v>113</v>
      </c>
      <c r="E10">
        <f>IF(BackgroundGraphingTable[[#This Row],[Calculated position]]&gt;0,0,ROUNDUP(-BackgroundGraphingTable[[#This Row],[Calculated position]]/BackgroundCycle,0))</f>
        <v>0</v>
      </c>
      <c r="F10">
        <f>BackgroundGraphingTable[[#This Row],[Offset multiplier]]*BackgroundCycle+BackgroundGraphingTable[[#This Row],[Calculated position]]</f>
        <v>113</v>
      </c>
      <c r="G10">
        <v>2</v>
      </c>
      <c r="H10">
        <f t="shared" si="0"/>
        <v>-20</v>
      </c>
      <c r="I10">
        <f>(BackgroundGraphingTable[[#This Row],[X]]-Xframe_min)/Xframe_range-0.5</f>
        <v>1.36</v>
      </c>
      <c r="J10">
        <f>(BackgroundGraphingTable[[#This Row],[Y]]-Yframe_min)/Yframe_range-0.5</f>
        <v>6.6666666666666652E-2</v>
      </c>
      <c r="K10">
        <f>(BackgroundGraphingTable[[#This Row],[Z]]-Zframe_min)/Zframe_range-0.5</f>
        <v>-0.5</v>
      </c>
      <c r="L10">
        <f>SUMPRODUCT(BackgroundGraphingTable[[#This Row],[Norm X]:[Norm Z]],Chart_XRotationVals)</f>
        <v>0.93338095116624287</v>
      </c>
      <c r="M10">
        <f>SUMPRODUCT(BackgroundGraphingTable[[#This Row],[Norm X]:[Norm Z]],Chart_YRotationVals)</f>
        <v>0.32176966607369561</v>
      </c>
    </row>
    <row r="11" spans="2:13">
      <c r="B11" t="s">
        <v>100</v>
      </c>
      <c r="C11">
        <v>182</v>
      </c>
      <c r="D11">
        <f>0.5*BackgroundAcceleration*NetTime^2+BackgroundVelocity*NetTime+BackgroundGraphingTable[[#This Row],[Starting position]]</f>
        <v>182</v>
      </c>
      <c r="E11">
        <f>IF(BackgroundGraphingTable[[#This Row],[Calculated position]]&gt;0,0,ROUNDUP(-BackgroundGraphingTable[[#This Row],[Calculated position]]/BackgroundCycle,0))</f>
        <v>0</v>
      </c>
      <c r="F11">
        <f>BackgroundGraphingTable[[#This Row],[Offset multiplier]]*BackgroundCycle+BackgroundGraphingTable[[#This Row],[Calculated position]]</f>
        <v>182</v>
      </c>
      <c r="G11">
        <v>-4</v>
      </c>
      <c r="H11">
        <f>-20</f>
        <v>-20</v>
      </c>
      <c r="I11">
        <f>(BackgroundGraphingTable[[#This Row],[X]]-Xframe_min)/Xframe_range-0.5</f>
        <v>2.74</v>
      </c>
      <c r="J11">
        <f>(BackgroundGraphingTable[[#This Row],[Y]]-Yframe_min)/Yframe_range-0.5</f>
        <v>-0.13333333333333336</v>
      </c>
      <c r="K11">
        <f>(BackgroundGraphingTable[[#This Row],[Z]]-Zframe_min)/Zframe_range-0.5</f>
        <v>-0.5</v>
      </c>
      <c r="L11">
        <f>SUMPRODUCT(BackgroundGraphingTable[[#This Row],[Norm X]:[Norm Z]],Chart_XRotationVals)</f>
        <v>1.9940411229460644</v>
      </c>
      <c r="M11">
        <f>SUMPRODUCT(BackgroundGraphingTable[[#This Row],[Norm X]:[Norm Z]],Chart_YRotationVals)</f>
        <v>0.76724693822122059</v>
      </c>
    </row>
    <row r="12" spans="2:13">
      <c r="B12" t="s">
        <v>101</v>
      </c>
      <c r="C12">
        <v>43</v>
      </c>
      <c r="D12">
        <f>0.5*BackgroundAcceleration*NetTime^2+BackgroundVelocity*NetTime+BackgroundGraphingTable[[#This Row],[Starting position]]</f>
        <v>43</v>
      </c>
      <c r="E12">
        <f>IF(BackgroundGraphingTable[[#This Row],[Calculated position]]&gt;0,0,ROUNDUP(-BackgroundGraphingTable[[#This Row],[Calculated position]]/BackgroundCycle,0))</f>
        <v>0</v>
      </c>
      <c r="F12">
        <f>BackgroundGraphingTable[[#This Row],[Offset multiplier]]*BackgroundCycle+BackgroundGraphingTable[[#This Row],[Calculated position]]</f>
        <v>43</v>
      </c>
      <c r="G12">
        <v>8</v>
      </c>
      <c r="H12">
        <f t="shared" si="0"/>
        <v>-20</v>
      </c>
      <c r="I12">
        <f>(BackgroundGraphingTable[[#This Row],[X]]-Xframe_min)/Xframe_range-0.5</f>
        <v>-3.999999999999998E-2</v>
      </c>
      <c r="J12">
        <f>(BackgroundGraphingTable[[#This Row],[Y]]-Yframe_min)/Yframe_range-0.5</f>
        <v>0.26666666666666672</v>
      </c>
      <c r="K12">
        <f>(BackgroundGraphingTable[[#This Row],[Z]]-Zframe_min)/Zframe_range-0.5</f>
        <v>-0.5</v>
      </c>
      <c r="L12">
        <f>SUMPRODUCT(BackgroundGraphingTable[[#This Row],[Norm X]:[Norm Z]],Chart_XRotationVals)</f>
        <v>-0.1414213562373095</v>
      </c>
      <c r="M12">
        <f>SUMPRODUCT(BackgroundGraphingTable[[#This Row],[Norm X]:[Norm Z]],Chart_YRotationVals)</f>
        <v>-0.13077867388569483</v>
      </c>
    </row>
    <row r="13" spans="2:13">
      <c r="B13" t="s">
        <v>102</v>
      </c>
      <c r="C13">
        <v>66</v>
      </c>
      <c r="D13">
        <f>0.5*BackgroundAcceleration*NetTime^2+BackgroundVelocity*NetTime+BackgroundGraphingTable[[#This Row],[Starting position]]</f>
        <v>66</v>
      </c>
      <c r="E13">
        <f>IF(BackgroundGraphingTable[[#This Row],[Calculated position]]&gt;0,0,ROUNDUP(-BackgroundGraphingTable[[#This Row],[Calculated position]]/BackgroundCycle,0))</f>
        <v>0</v>
      </c>
      <c r="F13">
        <f>BackgroundGraphingTable[[#This Row],[Offset multiplier]]*BackgroundCycle+BackgroundGraphingTable[[#This Row],[Calculated position]]</f>
        <v>66</v>
      </c>
      <c r="G13">
        <v>7</v>
      </c>
      <c r="H13">
        <f t="shared" si="0"/>
        <v>-20</v>
      </c>
      <c r="I13">
        <f>(BackgroundGraphingTable[[#This Row],[X]]-Xframe_min)/Xframe_range-0.5</f>
        <v>0.42000000000000004</v>
      </c>
      <c r="J13">
        <f>(BackgroundGraphingTable[[#This Row],[Y]]-Yframe_min)/Yframe_range-0.5</f>
        <v>0.23333333333333328</v>
      </c>
      <c r="K13">
        <f>(BackgroundGraphingTable[[#This Row],[Z]]-Zframe_min)/Zframe_range-0.5</f>
        <v>-0.5</v>
      </c>
      <c r="L13">
        <f>SUMPRODUCT(BackgroundGraphingTable[[#This Row],[Norm X]:[Norm Z]],Chart_XRotationVals)</f>
        <v>0.19798989873223338</v>
      </c>
      <c r="M13">
        <f>SUMPRODUCT(BackgroundGraphingTable[[#This Row],[Norm X]:[Norm Z]],Chart_YRotationVals)</f>
        <v>2.4784817975345597E-2</v>
      </c>
    </row>
    <row r="14" spans="2:13">
      <c r="B14" t="s">
        <v>103</v>
      </c>
      <c r="C14">
        <v>192</v>
      </c>
      <c r="D14">
        <f>0.5*BackgroundAcceleration*NetTime^2+BackgroundVelocity*NetTime+BackgroundGraphingTable[[#This Row],[Starting position]]</f>
        <v>192</v>
      </c>
      <c r="E14">
        <f>IF(BackgroundGraphingTable[[#This Row],[Calculated position]]&gt;0,0,ROUNDUP(-BackgroundGraphingTable[[#This Row],[Calculated position]]/BackgroundCycle,0))</f>
        <v>0</v>
      </c>
      <c r="F14">
        <f>BackgroundGraphingTable[[#This Row],[Offset multiplier]]*BackgroundCycle+BackgroundGraphingTable[[#This Row],[Calculated position]]</f>
        <v>192</v>
      </c>
      <c r="G14">
        <v>-6</v>
      </c>
      <c r="H14">
        <f t="shared" si="0"/>
        <v>-20</v>
      </c>
      <c r="I14">
        <f>(BackgroundGraphingTable[[#This Row],[X]]-Xframe_min)/Xframe_range-0.5</f>
        <v>2.94</v>
      </c>
      <c r="J14">
        <f>(BackgroundGraphingTable[[#This Row],[Y]]-Yframe_min)/Yframe_range-0.5</f>
        <v>-0.2</v>
      </c>
      <c r="K14">
        <f>(BackgroundGraphingTable[[#This Row],[Z]]-Zframe_min)/Zframe_range-0.5</f>
        <v>-0.5</v>
      </c>
      <c r="L14">
        <f>SUMPRODUCT(BackgroundGraphingTable[[#This Row],[Norm X]:[Norm Z]],Chart_XRotationVals)</f>
        <v>2.1637467504308354</v>
      </c>
      <c r="M14">
        <f>SUMPRODUCT(BackgroundGraphingTable[[#This Row],[Norm X]:[Norm Z]],Chart_YRotationVals)</f>
        <v>0.82381548071614441</v>
      </c>
    </row>
    <row r="15" spans="2:13">
      <c r="B15" t="s">
        <v>104</v>
      </c>
      <c r="C15">
        <v>60</v>
      </c>
      <c r="D15">
        <f>0.5*BackgroundAcceleration*NetTime^2+BackgroundVelocity*NetTime+BackgroundGraphingTable[[#This Row],[Starting position]]</f>
        <v>60</v>
      </c>
      <c r="E15">
        <f>IF(BackgroundGraphingTable[[#This Row],[Calculated position]]&gt;0,0,ROUNDUP(-BackgroundGraphingTable[[#This Row],[Calculated position]]/BackgroundCycle,0))</f>
        <v>0</v>
      </c>
      <c r="F15">
        <f>BackgroundGraphingTable[[#This Row],[Offset multiplier]]*BackgroundCycle+BackgroundGraphingTable[[#This Row],[Calculated position]]</f>
        <v>60</v>
      </c>
      <c r="G15">
        <v>-3</v>
      </c>
      <c r="H15">
        <f t="shared" ref="H15:H17" si="1">-20</f>
        <v>-20</v>
      </c>
      <c r="I15">
        <f>(BackgroundGraphingTable[[#This Row],[X]]-Xframe_min)/Xframe_range-0.5</f>
        <v>0.30000000000000004</v>
      </c>
      <c r="J15">
        <f>(BackgroundGraphingTable[[#This Row],[Y]]-Yframe_min)/Yframe_range-0.5</f>
        <v>-9.9999999999999978E-2</v>
      </c>
      <c r="K15">
        <f>(BackgroundGraphingTable[[#This Row],[Z]]-Zframe_min)/Zframe_range-0.5</f>
        <v>-0.5</v>
      </c>
      <c r="L15">
        <f>SUMPRODUCT(BackgroundGraphingTable[[#This Row],[Norm X]:[Norm Z]],Chart_XRotationVals)</f>
        <v>0.25455844122715715</v>
      </c>
      <c r="M15">
        <f>SUMPRODUCT(BackgroundGraphingTable[[#This Row],[Norm X]:[Norm Z]],Chart_YRotationVals)</f>
        <v>-8.8352267014501995E-2</v>
      </c>
    </row>
    <row r="16" spans="2:13">
      <c r="B16" t="s">
        <v>105</v>
      </c>
      <c r="C16">
        <v>127</v>
      </c>
      <c r="D16">
        <f>0.5*BackgroundAcceleration*NetTime^2+BackgroundVelocity*NetTime+BackgroundGraphingTable[[#This Row],[Starting position]]</f>
        <v>127</v>
      </c>
      <c r="E16">
        <f>IF(BackgroundGraphingTable[[#This Row],[Calculated position]]&gt;0,0,ROUNDUP(-BackgroundGraphingTable[[#This Row],[Calculated position]]/BackgroundCycle,0))</f>
        <v>0</v>
      </c>
      <c r="F16">
        <f>BackgroundGraphingTable[[#This Row],[Offset multiplier]]*BackgroundCycle+BackgroundGraphingTable[[#This Row],[Calculated position]]</f>
        <v>127</v>
      </c>
      <c r="G16">
        <v>0</v>
      </c>
      <c r="H16">
        <f t="shared" si="1"/>
        <v>-20</v>
      </c>
      <c r="I16">
        <f>(BackgroundGraphingTable[[#This Row],[X]]-Xframe_min)/Xframe_range-0.5</f>
        <v>1.6400000000000001</v>
      </c>
      <c r="J16">
        <f>(BackgroundGraphingTable[[#This Row],[Y]]-Yframe_min)/Yframe_range-0.5</f>
        <v>0</v>
      </c>
      <c r="K16">
        <f>(BackgroundGraphingTable[[#This Row],[Z]]-Zframe_min)/Zframe_range-0.5</f>
        <v>-0.5</v>
      </c>
      <c r="L16">
        <f>SUMPRODUCT(BackgroundGraphingTable[[#This Row],[Norm X]:[Norm Z]],Chart_XRotationVals)</f>
        <v>1.1596551211459381</v>
      </c>
      <c r="M16">
        <f>SUMPRODUCT(BackgroundGraphingTable[[#This Row],[Norm X]:[Norm Z]],Chart_YRotationVals)</f>
        <v>0.40662247981608129</v>
      </c>
    </row>
    <row r="17" spans="2:13">
      <c r="B17" t="s">
        <v>106</v>
      </c>
      <c r="C17">
        <v>144</v>
      </c>
      <c r="D17">
        <f>0.5*BackgroundAcceleration*NetTime^2+BackgroundVelocity*NetTime+BackgroundGraphingTable[[#This Row],[Starting position]]</f>
        <v>144</v>
      </c>
      <c r="E17">
        <f>IF(BackgroundGraphingTable[[#This Row],[Calculated position]]&gt;0,0,ROUNDUP(-BackgroundGraphingTable[[#This Row],[Calculated position]]/BackgroundCycle,0))</f>
        <v>0</v>
      </c>
      <c r="F17">
        <f>BackgroundGraphingTable[[#This Row],[Offset multiplier]]*BackgroundCycle+BackgroundGraphingTable[[#This Row],[Calculated position]]</f>
        <v>144</v>
      </c>
      <c r="G17">
        <v>-9</v>
      </c>
      <c r="H17">
        <f t="shared" si="1"/>
        <v>-20</v>
      </c>
      <c r="I17">
        <f>(BackgroundGraphingTable[[#This Row],[X]]-Xframe_min)/Xframe_range-0.5</f>
        <v>1.98</v>
      </c>
      <c r="J17">
        <f>(BackgroundGraphingTable[[#This Row],[Y]]-Yframe_min)/Yframe_range-0.5</f>
        <v>-0.3</v>
      </c>
      <c r="K17">
        <f>(BackgroundGraphingTable[[#This Row],[Z]]-Zframe_min)/Zframe_range-0.5</f>
        <v>-0.5</v>
      </c>
      <c r="L17">
        <f>SUMPRODUCT(BackgroundGraphingTable[[#This Row],[Norm X]:[Norm Z]],Chart_XRotationVals)</f>
        <v>1.5273506473629426</v>
      </c>
      <c r="M17">
        <f>SUMPRODUCT(BackgroundGraphingTable[[#This Row],[Norm X]:[Norm Z]],Chart_YRotationVals)</f>
        <v>0.46319102231100501</v>
      </c>
    </row>
    <row r="18" spans="2:13">
      <c r="B18" t="s">
        <v>107</v>
      </c>
      <c r="C18">
        <v>168</v>
      </c>
      <c r="D18">
        <f>0.5*BackgroundAcceleration*NetTime^2+BackgroundVelocity*NetTime+BackgroundGraphingTable[[#This Row],[Starting position]]</f>
        <v>168</v>
      </c>
      <c r="E18">
        <f>IF(BackgroundGraphingTable[[#This Row],[Calculated position]]&gt;0,0,ROUNDUP(-BackgroundGraphingTable[[#This Row],[Calculated position]]/BackgroundCycle,0))</f>
        <v>0</v>
      </c>
      <c r="F18">
        <f>BackgroundGraphingTable[[#This Row],[Offset multiplier]]*BackgroundCycle+BackgroundGraphingTable[[#This Row],[Calculated position]]</f>
        <v>168</v>
      </c>
      <c r="G18">
        <v>6</v>
      </c>
      <c r="H18">
        <f t="shared" si="0"/>
        <v>-20</v>
      </c>
      <c r="I18">
        <f>(BackgroundGraphingTable[[#This Row],[X]]-Xframe_min)/Xframe_range-0.5</f>
        <v>2.46</v>
      </c>
      <c r="J18">
        <f>(BackgroundGraphingTable[[#This Row],[Y]]-Yframe_min)/Yframe_range-0.5</f>
        <v>0.19999999999999996</v>
      </c>
      <c r="K18">
        <f>(BackgroundGraphingTable[[#This Row],[Z]]-Zframe_min)/Zframe_range-0.5</f>
        <v>-0.5</v>
      </c>
      <c r="L18">
        <f>SUMPRODUCT(BackgroundGraphingTable[[#This Row],[Norm X]:[Norm Z]],Chart_XRotationVals)</f>
        <v>1.6546298679765215</v>
      </c>
      <c r="M18">
        <f>SUMPRODUCT(BackgroundGraphingTable[[#This Row],[Norm X]:[Norm Z]],Chart_YRotationVals)</f>
        <v>0.73896266697375856</v>
      </c>
    </row>
    <row r="19" spans="2:13">
      <c r="B19" t="s">
        <v>108</v>
      </c>
      <c r="C19">
        <v>31</v>
      </c>
      <c r="D19">
        <f>0.5*BackgroundAcceleration*NetTime^2+BackgroundVelocity*NetTime+BackgroundGraphingTable[[#This Row],[Starting position]]</f>
        <v>31</v>
      </c>
      <c r="E19">
        <f>IF(BackgroundGraphingTable[[#This Row],[Calculated position]]&gt;0,0,ROUNDUP(-BackgroundGraphingTable[[#This Row],[Calculated position]]/BackgroundCycle,0))</f>
        <v>0</v>
      </c>
      <c r="F19">
        <f>BackgroundGraphingTable[[#This Row],[Offset multiplier]]*BackgroundCycle+BackgroundGraphingTable[[#This Row],[Calculated position]]</f>
        <v>31</v>
      </c>
      <c r="G19">
        <v>4</v>
      </c>
      <c r="H19">
        <f t="shared" si="0"/>
        <v>-20</v>
      </c>
      <c r="I19">
        <f>(BackgroundGraphingTable[[#This Row],[X]]-Xframe_min)/Xframe_range-0.5</f>
        <v>-0.28000000000000003</v>
      </c>
      <c r="J19">
        <f>(BackgroundGraphingTable[[#This Row],[Y]]-Yframe_min)/Yframe_range-0.5</f>
        <v>0.1333333333333333</v>
      </c>
      <c r="K19">
        <f>(BackgroundGraphingTable[[#This Row],[Z]]-Zframe_min)/Zframe_range-0.5</f>
        <v>-0.5</v>
      </c>
      <c r="L19">
        <f>SUMPRODUCT(BackgroundGraphingTable[[#This Row],[Norm X]:[Norm Z]],Chart_XRotationVals)</f>
        <v>-0.2545584412271571</v>
      </c>
      <c r="M19">
        <f>SUMPRODUCT(BackgroundGraphingTable[[#This Row],[Norm X]:[Norm Z]],Chart_YRotationVals)</f>
        <v>-0.24391575887554251</v>
      </c>
    </row>
    <row r="20" spans="2:13">
      <c r="B20" t="s">
        <v>109</v>
      </c>
      <c r="C20">
        <v>95</v>
      </c>
      <c r="D20">
        <f>0.5*BackgroundAcceleration*NetTime^2+BackgroundVelocity*NetTime+BackgroundGraphingTable[[#This Row],[Starting position]]</f>
        <v>95</v>
      </c>
      <c r="E20">
        <f>IF(BackgroundGraphingTable[[#This Row],[Calculated position]]&gt;0,0,ROUNDUP(-BackgroundGraphingTable[[#This Row],[Calculated position]]/BackgroundCycle,0))</f>
        <v>0</v>
      </c>
      <c r="F20">
        <f>BackgroundGraphingTable[[#This Row],[Offset multiplier]]*BackgroundCycle+BackgroundGraphingTable[[#This Row],[Calculated position]]</f>
        <v>95</v>
      </c>
      <c r="G20">
        <v>-5</v>
      </c>
      <c r="H20">
        <f t="shared" si="0"/>
        <v>-20</v>
      </c>
      <c r="I20">
        <f>(BackgroundGraphingTable[[#This Row],[X]]-Xframe_min)/Xframe_range-0.5</f>
        <v>1</v>
      </c>
      <c r="J20">
        <f>(BackgroundGraphingTable[[#This Row],[Y]]-Yframe_min)/Yframe_range-0.5</f>
        <v>-0.16666666666666669</v>
      </c>
      <c r="K20">
        <f>(BackgroundGraphingTable[[#This Row],[Z]]-Zframe_min)/Zframe_range-0.5</f>
        <v>-0.5</v>
      </c>
      <c r="L20">
        <f>SUMPRODUCT(BackgroundGraphingTable[[#This Row],[Norm X]:[Norm Z]],Chart_XRotationVals)</f>
        <v>0.7778174593052023</v>
      </c>
      <c r="M20">
        <f>SUMPRODUCT(BackgroundGraphingTable[[#This Row],[Norm X]:[Norm Z]],Chart_YRotationVals)</f>
        <v>0.14499297077705869</v>
      </c>
    </row>
    <row r="21" spans="2:13">
      <c r="B21" t="s">
        <v>110</v>
      </c>
      <c r="C21">
        <v>173</v>
      </c>
      <c r="D21">
        <f>0.5*BackgroundAcceleration*NetTime^2+BackgroundVelocity*NetTime+BackgroundGraphingTable[[#This Row],[Starting position]]</f>
        <v>173</v>
      </c>
      <c r="E21">
        <f>IF(BackgroundGraphingTable[[#This Row],[Calculated position]]&gt;0,0,ROUNDUP(-BackgroundGraphingTable[[#This Row],[Calculated position]]/BackgroundCycle,0))</f>
        <v>0</v>
      </c>
      <c r="F21">
        <f>BackgroundGraphingTable[[#This Row],[Offset multiplier]]*BackgroundCycle+BackgroundGraphingTable[[#This Row],[Calculated position]]</f>
        <v>173</v>
      </c>
      <c r="G21">
        <v>0</v>
      </c>
      <c r="H21">
        <f t="shared" si="0"/>
        <v>-20</v>
      </c>
      <c r="I21">
        <f>(BackgroundGraphingTable[[#This Row],[X]]-Xframe_min)/Xframe_range-0.5</f>
        <v>2.56</v>
      </c>
      <c r="J21">
        <f>(BackgroundGraphingTable[[#This Row],[Y]]-Yframe_min)/Yframe_range-0.5</f>
        <v>0</v>
      </c>
      <c r="K21">
        <f>(BackgroundGraphingTable[[#This Row],[Z]]-Zframe_min)/Zframe_range-0.5</f>
        <v>-0.5</v>
      </c>
      <c r="L21">
        <f>SUMPRODUCT(BackgroundGraphingTable[[#This Row],[Norm X]:[Norm Z]],Chart_XRotationVals)</f>
        <v>1.8101933598375619</v>
      </c>
      <c r="M21">
        <f>SUMPRODUCT(BackgroundGraphingTable[[#This Row],[Norm X]:[Norm Z]],Chart_YRotationVals)</f>
        <v>0.73189159916189328</v>
      </c>
    </row>
    <row r="22" spans="2:13">
      <c r="B22" t="s">
        <v>111</v>
      </c>
      <c r="C22">
        <v>51</v>
      </c>
      <c r="D22">
        <f>0.5*BackgroundAcceleration*NetTime^2+BackgroundVelocity*NetTime+BackgroundGraphingTable[[#This Row],[Starting position]]</f>
        <v>51</v>
      </c>
      <c r="E22">
        <f>IF(BackgroundGraphingTable[[#This Row],[Calculated position]]&gt;0,0,ROUNDUP(-BackgroundGraphingTable[[#This Row],[Calculated position]]/BackgroundCycle,0))</f>
        <v>0</v>
      </c>
      <c r="F22">
        <f>BackgroundGraphingTable[[#This Row],[Offset multiplier]]*BackgroundCycle+BackgroundGraphingTable[[#This Row],[Calculated position]]</f>
        <v>51</v>
      </c>
      <c r="G22">
        <v>-7</v>
      </c>
      <c r="H22">
        <f t="shared" si="0"/>
        <v>-20</v>
      </c>
      <c r="I22">
        <f>(BackgroundGraphingTable[[#This Row],[X]]-Xframe_min)/Xframe_range-0.5</f>
        <v>0.12</v>
      </c>
      <c r="J22">
        <f>(BackgroundGraphingTable[[#This Row],[Y]]-Yframe_min)/Yframe_range-0.5</f>
        <v>-0.23333333333333334</v>
      </c>
      <c r="K22">
        <f>(BackgroundGraphingTable[[#This Row],[Z]]-Zframe_min)/Zframe_range-0.5</f>
        <v>-0.5</v>
      </c>
      <c r="L22">
        <f>SUMPRODUCT(BackgroundGraphingTable[[#This Row],[Norm X]:[Norm Z]],Chart_XRotationVals)</f>
        <v>0.18384776310850234</v>
      </c>
      <c r="M22">
        <f>SUMPRODUCT(BackgroundGraphingTable[[#This Row],[Norm X]:[Norm Z]],Chart_YRotationVals)</f>
        <v>-0.18027614856875321</v>
      </c>
    </row>
    <row r="23" spans="2:13">
      <c r="B23" t="s">
        <v>112</v>
      </c>
      <c r="C23">
        <v>112</v>
      </c>
      <c r="D23">
        <f>0.5*BackgroundAcceleration*NetTime^2+BackgroundVelocity*NetTime+BackgroundGraphingTable[[#This Row],[Starting position]]</f>
        <v>112</v>
      </c>
      <c r="E23">
        <f>IF(BackgroundGraphingTable[[#This Row],[Calculated position]]&gt;0,0,ROUNDUP(-BackgroundGraphingTable[[#This Row],[Calculated position]]/BackgroundCycle,0))</f>
        <v>0</v>
      </c>
      <c r="F23">
        <f>BackgroundGraphingTable[[#This Row],[Offset multiplier]]*BackgroundCycle+BackgroundGraphingTable[[#This Row],[Calculated position]]</f>
        <v>112</v>
      </c>
      <c r="G23">
        <v>-4</v>
      </c>
      <c r="H23">
        <f t="shared" si="0"/>
        <v>-20</v>
      </c>
      <c r="I23">
        <f>(BackgroundGraphingTable[[#This Row],[X]]-Xframe_min)/Xframe_range-0.5</f>
        <v>1.34</v>
      </c>
      <c r="J23">
        <f>(BackgroundGraphingTable[[#This Row],[Y]]-Yframe_min)/Yframe_range-0.5</f>
        <v>-0.13333333333333336</v>
      </c>
      <c r="K23">
        <f>(BackgroundGraphingTable[[#This Row],[Z]]-Zframe_min)/Zframe_range-0.5</f>
        <v>-0.5</v>
      </c>
      <c r="L23">
        <f>SUMPRODUCT(BackgroundGraphingTable[[#This Row],[Norm X]:[Norm Z]],Chart_XRotationVals)</f>
        <v>1.0040916292848976</v>
      </c>
      <c r="M23">
        <f>SUMPRODUCT(BackgroundGraphingTable[[#This Row],[Norm X]:[Norm Z]],Chart_YRotationVals)</f>
        <v>0.27227219139063724</v>
      </c>
    </row>
    <row r="24" spans="2:13">
      <c r="B24" t="s">
        <v>113</v>
      </c>
      <c r="C24">
        <v>160</v>
      </c>
      <c r="D24">
        <f>0.5*BackgroundAcceleration*NetTime^2+BackgroundVelocity*NetTime+BackgroundGraphingTable[[#This Row],[Starting position]]</f>
        <v>160</v>
      </c>
      <c r="E24">
        <f>IF(BackgroundGraphingTable[[#This Row],[Calculated position]]&gt;0,0,ROUNDUP(-BackgroundGraphingTable[[#This Row],[Calculated position]]/BackgroundCycle,0))</f>
        <v>0</v>
      </c>
      <c r="F24">
        <f>BackgroundGraphingTable[[#This Row],[Offset multiplier]]*BackgroundCycle+BackgroundGraphingTable[[#This Row],[Calculated position]]</f>
        <v>160</v>
      </c>
      <c r="G24">
        <v>-3</v>
      </c>
      <c r="H24">
        <f t="shared" si="0"/>
        <v>-20</v>
      </c>
      <c r="I24">
        <f>(BackgroundGraphingTable[[#This Row],[X]]-Xframe_min)/Xframe_range-0.5</f>
        <v>2.2999999999999998</v>
      </c>
      <c r="J24">
        <f>(BackgroundGraphingTable[[#This Row],[Y]]-Yframe_min)/Yframe_range-0.5</f>
        <v>-9.9999999999999978E-2</v>
      </c>
      <c r="K24">
        <f>(BackgroundGraphingTable[[#This Row],[Z]]-Zframe_min)/Zframe_range-0.5</f>
        <v>-0.5</v>
      </c>
      <c r="L24">
        <f>SUMPRODUCT(BackgroundGraphingTable[[#This Row],[Norm X]:[Norm Z]],Chart_XRotationVals)</f>
        <v>1.668772003600252</v>
      </c>
      <c r="M24">
        <f>SUMPRODUCT(BackgroundGraphingTable[[#This Row],[Norm X]:[Norm Z]],Chart_YRotationVals)</f>
        <v>0.61875451417204541</v>
      </c>
    </row>
    <row r="25" spans="2:13">
      <c r="B25" t="s">
        <v>114</v>
      </c>
      <c r="C25">
        <v>60</v>
      </c>
      <c r="D25">
        <f>0.5*BackgroundAcceleration*NetTime^2+BackgroundVelocity*NetTime+BackgroundGraphingTable[[#This Row],[Starting position]]</f>
        <v>60</v>
      </c>
      <c r="E25">
        <f>IF(BackgroundGraphingTable[[#This Row],[Calculated position]]&gt;0,0,ROUNDUP(-BackgroundGraphingTable[[#This Row],[Calculated position]]/BackgroundCycle,0))</f>
        <v>0</v>
      </c>
      <c r="F25">
        <f>BackgroundGraphingTable[[#This Row],[Offset multiplier]]*BackgroundCycle+BackgroundGraphingTable[[#This Row],[Calculated position]]</f>
        <v>60</v>
      </c>
      <c r="G25">
        <v>4</v>
      </c>
      <c r="H25">
        <f t="shared" si="0"/>
        <v>-20</v>
      </c>
      <c r="I25">
        <f>(BackgroundGraphingTable[[#This Row],[X]]-Xframe_min)/Xframe_range-0.5</f>
        <v>0.30000000000000004</v>
      </c>
      <c r="J25">
        <f>(BackgroundGraphingTable[[#This Row],[Y]]-Yframe_min)/Yframe_range-0.5</f>
        <v>0.1333333333333333</v>
      </c>
      <c r="K25">
        <f>(BackgroundGraphingTable[[#This Row],[Z]]-Zframe_min)/Zframe_range-0.5</f>
        <v>-0.5</v>
      </c>
      <c r="L25">
        <f>SUMPRODUCT(BackgroundGraphingTable[[#This Row],[Norm X]:[Norm Z]],Chart_XRotationVals)</f>
        <v>0.15556349186104051</v>
      </c>
      <c r="M25">
        <f>SUMPRODUCT(BackgroundGraphingTable[[#This Row],[Norm X]:[Norm Z]],Chart_YRotationVals)</f>
        <v>-3.8854792331443677E-2</v>
      </c>
    </row>
    <row r="26" spans="2:13">
      <c r="B26" t="s">
        <v>115</v>
      </c>
      <c r="C26">
        <v>135</v>
      </c>
      <c r="D26">
        <f>0.5*BackgroundAcceleration*NetTime^2+BackgroundVelocity*NetTime+BackgroundGraphingTable[[#This Row],[Starting position]]</f>
        <v>135</v>
      </c>
      <c r="E26">
        <f>IF(BackgroundGraphingTable[[#This Row],[Calculated position]]&gt;0,0,ROUNDUP(-BackgroundGraphingTable[[#This Row],[Calculated position]]/BackgroundCycle,0))</f>
        <v>0</v>
      </c>
      <c r="F26">
        <f>BackgroundGraphingTable[[#This Row],[Offset multiplier]]*BackgroundCycle+BackgroundGraphingTable[[#This Row],[Calculated position]]</f>
        <v>135</v>
      </c>
      <c r="G26">
        <v>2</v>
      </c>
      <c r="H26">
        <f t="shared" si="0"/>
        <v>-20</v>
      </c>
      <c r="I26">
        <f>(BackgroundGraphingTable[[#This Row],[X]]-Xframe_min)/Xframe_range-0.5</f>
        <v>1.7999999999999998</v>
      </c>
      <c r="J26">
        <f>(BackgroundGraphingTable[[#This Row],[Y]]-Yframe_min)/Yframe_range-0.5</f>
        <v>6.6666666666666652E-2</v>
      </c>
      <c r="K26">
        <f>(BackgroundGraphingTable[[#This Row],[Z]]-Zframe_min)/Zframe_range-0.5</f>
        <v>-0.5</v>
      </c>
      <c r="L26">
        <f>SUMPRODUCT(BackgroundGraphingTable[[#This Row],[Norm X]:[Norm Z]],Chart_XRotationVals)</f>
        <v>1.2445079348883237</v>
      </c>
      <c r="M26">
        <f>SUMPRODUCT(BackgroundGraphingTable[[#This Row],[Norm X]:[Norm Z]],Chart_YRotationVals)</f>
        <v>0.47733315793473591</v>
      </c>
    </row>
    <row r="27" spans="2:13">
      <c r="B27" t="s">
        <v>116</v>
      </c>
      <c r="C27">
        <v>5</v>
      </c>
      <c r="D27">
        <f>0.5*BackgroundAcceleration*NetTime^2+BackgroundVelocity*NetTime+BackgroundGraphingTable[[#This Row],[Starting position]]</f>
        <v>5</v>
      </c>
      <c r="E27">
        <f>IF(BackgroundGraphingTable[[#This Row],[Calculated position]]&gt;0,0,ROUNDUP(-BackgroundGraphingTable[[#This Row],[Calculated position]]/BackgroundCycle,0))</f>
        <v>0</v>
      </c>
      <c r="F27">
        <f>BackgroundGraphingTable[[#This Row],[Offset multiplier]]*BackgroundCycle+BackgroundGraphingTable[[#This Row],[Calculated position]]</f>
        <v>5</v>
      </c>
      <c r="G27">
        <v>0</v>
      </c>
      <c r="H27">
        <f>-20</f>
        <v>-20</v>
      </c>
      <c r="I27">
        <f>(BackgroundGraphingTable[[#This Row],[X]]-Xframe_min)/Xframe_range-0.5</f>
        <v>-0.8</v>
      </c>
      <c r="J27">
        <f>(BackgroundGraphingTable[[#This Row],[Y]]-Yframe_min)/Yframe_range-0.5</f>
        <v>0</v>
      </c>
      <c r="K27">
        <f>(BackgroundGraphingTable[[#This Row],[Z]]-Zframe_min)/Zframe_range-0.5</f>
        <v>-0.5</v>
      </c>
      <c r="L27">
        <f>SUMPRODUCT(BackgroundGraphingTable[[#This Row],[Norm X]:[Norm Z]],Chart_XRotationVals)</f>
        <v>-0.56568542494923812</v>
      </c>
      <c r="M27">
        <f>SUMPRODUCT(BackgroundGraphingTable[[#This Row],[Norm X]:[Norm Z]],Chart_YRotationVals)</f>
        <v>-0.45604779323150679</v>
      </c>
    </row>
    <row r="28" spans="2:13">
      <c r="B28" t="s">
        <v>117</v>
      </c>
      <c r="C28">
        <v>30</v>
      </c>
      <c r="D28">
        <f>0.5*BackgroundAcceleration*NetTime^2+BackgroundVelocity*NetTime+BackgroundGraphingTable[[#This Row],[Starting position]]</f>
        <v>30</v>
      </c>
      <c r="E28">
        <f>IF(BackgroundGraphingTable[[#This Row],[Calculated position]]&gt;0,0,ROUNDUP(-BackgroundGraphingTable[[#This Row],[Calculated position]]/BackgroundCycle,0))</f>
        <v>0</v>
      </c>
      <c r="F28">
        <f>BackgroundGraphingTable[[#This Row],[Offset multiplier]]*BackgroundCycle+BackgroundGraphingTable[[#This Row],[Calculated position]]</f>
        <v>30</v>
      </c>
      <c r="G28">
        <v>-4</v>
      </c>
      <c r="H28">
        <f t="shared" si="0"/>
        <v>-20</v>
      </c>
      <c r="I28">
        <f>(BackgroundGraphingTable[[#This Row],[X]]-Xframe_min)/Xframe_range-0.5</f>
        <v>-0.3</v>
      </c>
      <c r="J28">
        <f>(BackgroundGraphingTable[[#This Row],[Y]]-Yframe_min)/Yframe_range-0.5</f>
        <v>-0.13333333333333336</v>
      </c>
      <c r="K28">
        <f>(BackgroundGraphingTable[[#This Row],[Z]]-Zframe_min)/Zframe_range-0.5</f>
        <v>-0.5</v>
      </c>
      <c r="L28">
        <f>SUMPRODUCT(BackgroundGraphingTable[[#This Row],[Norm X]:[Norm Z]],Chart_XRotationVals)</f>
        <v>-0.15556349186104046</v>
      </c>
      <c r="M28">
        <f>SUMPRODUCT(BackgroundGraphingTable[[#This Row],[Norm X]:[Norm Z]],Chart_YRotationVals)</f>
        <v>-0.30755536918233178</v>
      </c>
    </row>
    <row r="29" spans="2:13">
      <c r="B29" t="s">
        <v>118</v>
      </c>
      <c r="C29">
        <v>175</v>
      </c>
      <c r="D29">
        <f>0.5*BackgroundAcceleration*NetTime^2+BackgroundVelocity*NetTime+BackgroundGraphingTable[[#This Row],[Starting position]]</f>
        <v>175</v>
      </c>
      <c r="E29">
        <f>IF(BackgroundGraphingTable[[#This Row],[Calculated position]]&gt;0,0,ROUNDUP(-BackgroundGraphingTable[[#This Row],[Calculated position]]/BackgroundCycle,0))</f>
        <v>0</v>
      </c>
      <c r="F29">
        <f>BackgroundGraphingTable[[#This Row],[Offset multiplier]]*BackgroundCycle+BackgroundGraphingTable[[#This Row],[Calculated position]]</f>
        <v>175</v>
      </c>
      <c r="G29">
        <v>3</v>
      </c>
      <c r="H29">
        <f t="shared" si="0"/>
        <v>-20</v>
      </c>
      <c r="I29">
        <f>(BackgroundGraphingTable[[#This Row],[X]]-Xframe_min)/Xframe_range-0.5</f>
        <v>2.6</v>
      </c>
      <c r="J29">
        <f>(BackgroundGraphingTable[[#This Row],[Y]]-Yframe_min)/Yframe_range-0.5</f>
        <v>9.9999999999999978E-2</v>
      </c>
      <c r="K29">
        <f>(BackgroundGraphingTable[[#This Row],[Z]]-Zframe_min)/Zframe_range-0.5</f>
        <v>-0.5</v>
      </c>
      <c r="L29">
        <f>SUMPRODUCT(BackgroundGraphingTable[[#This Row],[Norm X]:[Norm Z]],Chart_XRotationVals)</f>
        <v>1.7960512242138309</v>
      </c>
      <c r="M29">
        <f>SUMPRODUCT(BackgroundGraphingTable[[#This Row],[Norm X]:[Norm Z]],Chart_YRotationVals)</f>
        <v>0.76724693822122059</v>
      </c>
    </row>
    <row r="30" spans="2:13">
      <c r="B30" t="s">
        <v>119</v>
      </c>
      <c r="C30">
        <v>90</v>
      </c>
      <c r="D30">
        <f>0.5*BackgroundAcceleration*NetTime^2+BackgroundVelocity*NetTime+BackgroundGraphingTable[[#This Row],[Starting position]]</f>
        <v>90</v>
      </c>
      <c r="E30">
        <f>IF(BackgroundGraphingTable[[#This Row],[Calculated position]]&gt;0,0,ROUNDUP(-BackgroundGraphingTable[[#This Row],[Calculated position]]/BackgroundCycle,0))</f>
        <v>0</v>
      </c>
      <c r="F30">
        <f>BackgroundGraphingTable[[#This Row],[Offset multiplier]]*BackgroundCycle+BackgroundGraphingTable[[#This Row],[Calculated position]]</f>
        <v>90</v>
      </c>
      <c r="G30">
        <v>4</v>
      </c>
      <c r="H30">
        <f>-20</f>
        <v>-20</v>
      </c>
      <c r="I30">
        <f>(BackgroundGraphingTable[[#This Row],[X]]-Xframe_min)/Xframe_range-0.5</f>
        <v>0.89999999999999991</v>
      </c>
      <c r="J30">
        <f>(BackgroundGraphingTable[[#This Row],[Y]]-Yframe_min)/Yframe_range-0.5</f>
        <v>0.1333333333333333</v>
      </c>
      <c r="K30">
        <f>(BackgroundGraphingTable[[#This Row],[Z]]-Zframe_min)/Zframe_range-0.5</f>
        <v>-0.5</v>
      </c>
      <c r="L30">
        <f>SUMPRODUCT(BackgroundGraphingTable[[#This Row],[Norm X]:[Norm Z]],Chart_XRotationVals)</f>
        <v>0.57982756057296891</v>
      </c>
      <c r="M30">
        <f>SUMPRODUCT(BackgroundGraphingTable[[#This Row],[Norm X]:[Norm Z]],Chart_YRotationVals)</f>
        <v>0.17327724202452055</v>
      </c>
    </row>
    <row r="31" spans="2:13">
      <c r="B31" t="s">
        <v>120</v>
      </c>
      <c r="C31">
        <v>80</v>
      </c>
      <c r="D31">
        <f>0.5*BackgroundAcceleration*NetTime^2+BackgroundVelocity*NetTime+BackgroundGraphingTable[[#This Row],[Starting position]]</f>
        <v>80</v>
      </c>
      <c r="E31">
        <f>IF(BackgroundGraphingTable[[#This Row],[Calculated position]]&gt;0,0,ROUNDUP(-BackgroundGraphingTable[[#This Row],[Calculated position]]/BackgroundCycle,0))</f>
        <v>0</v>
      </c>
      <c r="F31">
        <f>BackgroundGraphingTable[[#This Row],[Offset multiplier]]*BackgroundCycle+BackgroundGraphingTable[[#This Row],[Calculated position]]</f>
        <v>80</v>
      </c>
      <c r="G31">
        <v>-5</v>
      </c>
      <c r="H31">
        <f t="shared" si="0"/>
        <v>-20</v>
      </c>
      <c r="I31">
        <f>(BackgroundGraphingTable[[#This Row],[X]]-Xframe_min)/Xframe_range-0.5</f>
        <v>0.7</v>
      </c>
      <c r="J31">
        <f>(BackgroundGraphingTable[[#This Row],[Y]]-Yframe_min)/Yframe_range-0.5</f>
        <v>-0.16666666666666669</v>
      </c>
      <c r="K31">
        <f>(BackgroundGraphingTable[[#This Row],[Z]]-Zframe_min)/Zframe_range-0.5</f>
        <v>-0.5</v>
      </c>
      <c r="L31">
        <f>SUMPRODUCT(BackgroundGraphingTable[[#This Row],[Norm X]:[Norm Z]],Chart_XRotationVals)</f>
        <v>0.56568542494923801</v>
      </c>
      <c r="M31">
        <f>SUMPRODUCT(BackgroundGraphingTable[[#This Row],[Norm X]:[Norm Z]],Chart_YRotationVals)</f>
        <v>3.8926953599076525E-2</v>
      </c>
    </row>
    <row r="32" spans="2:13">
      <c r="B32" t="s">
        <v>121</v>
      </c>
      <c r="C32">
        <v>155</v>
      </c>
      <c r="D32">
        <f>0.5*BackgroundAcceleration*NetTime^2+BackgroundVelocity*NetTime+BackgroundGraphingTable[[#This Row],[Starting position]]</f>
        <v>155</v>
      </c>
      <c r="E32">
        <f>IF(BackgroundGraphingTable[[#This Row],[Calculated position]]&gt;0,0,ROUNDUP(-BackgroundGraphingTable[[#This Row],[Calculated position]]/BackgroundCycle,0))</f>
        <v>0</v>
      </c>
      <c r="F32">
        <f>BackgroundGraphingTable[[#This Row],[Offset multiplier]]*BackgroundCycle+BackgroundGraphingTable[[#This Row],[Calculated position]]</f>
        <v>155</v>
      </c>
      <c r="G32">
        <v>5</v>
      </c>
      <c r="H32">
        <f t="shared" si="0"/>
        <v>-20</v>
      </c>
      <c r="I32">
        <f>(BackgroundGraphingTable[[#This Row],[X]]-Xframe_min)/Xframe_range-0.5</f>
        <v>2.2000000000000002</v>
      </c>
      <c r="J32">
        <f>(BackgroundGraphingTable[[#This Row],[Y]]-Yframe_min)/Yframe_range-0.5</f>
        <v>0.16666666666666663</v>
      </c>
      <c r="K32">
        <f>(BackgroundGraphingTable[[#This Row],[Z]]-Zframe_min)/Zframe_range-0.5</f>
        <v>-0.5</v>
      </c>
      <c r="L32">
        <f>SUMPRODUCT(BackgroundGraphingTable[[#This Row],[Norm X]:[Norm Z]],Chart_XRotationVals)</f>
        <v>1.48492424049175</v>
      </c>
      <c r="M32">
        <f>SUMPRODUCT(BackgroundGraphingTable[[#This Row],[Norm X]:[Norm Z]],Chart_YRotationVals)</f>
        <v>0.63996771760764215</v>
      </c>
    </row>
    <row r="33" spans="2:13">
      <c r="B33" t="s">
        <v>122</v>
      </c>
      <c r="C33">
        <v>130</v>
      </c>
      <c r="D33">
        <f>0.5*BackgroundAcceleration*NetTime^2+BackgroundVelocity*NetTime+BackgroundGraphingTable[[#This Row],[Starting position]]</f>
        <v>130</v>
      </c>
      <c r="E33">
        <f>IF(BackgroundGraphingTable[[#This Row],[Calculated position]]&gt;0,0,ROUNDUP(-BackgroundGraphingTable[[#This Row],[Calculated position]]/BackgroundCycle,0))</f>
        <v>0</v>
      </c>
      <c r="F33">
        <f>BackgroundGraphingTable[[#This Row],[Offset multiplier]]*BackgroundCycle+BackgroundGraphingTable[[#This Row],[Calculated position]]</f>
        <v>130</v>
      </c>
      <c r="G33">
        <v>-4</v>
      </c>
      <c r="H33">
        <f>-20</f>
        <v>-20</v>
      </c>
      <c r="I33">
        <f>(BackgroundGraphingTable[[#This Row],[X]]-Xframe_min)/Xframe_range-0.5</f>
        <v>1.7000000000000002</v>
      </c>
      <c r="J33">
        <f>(BackgroundGraphingTable[[#This Row],[Y]]-Yframe_min)/Yframe_range-0.5</f>
        <v>-0.13333333333333336</v>
      </c>
      <c r="K33">
        <f>(BackgroundGraphingTable[[#This Row],[Z]]-Zframe_min)/Zframe_range-0.5</f>
        <v>-0.5</v>
      </c>
      <c r="L33">
        <f>SUMPRODUCT(BackgroundGraphingTable[[#This Row],[Norm X]:[Norm Z]],Chart_XRotationVals)</f>
        <v>1.2586500705120549</v>
      </c>
      <c r="M33">
        <f>SUMPRODUCT(BackgroundGraphingTable[[#This Row],[Norm X]:[Norm Z]],Chart_YRotationVals)</f>
        <v>0.3995514120042159</v>
      </c>
    </row>
    <row r="34" spans="2:13">
      <c r="B34" t="s">
        <v>123</v>
      </c>
      <c r="C34">
        <v>5</v>
      </c>
      <c r="D34">
        <f>0.5*BackgroundAcceleration*NetTime^2+BackgroundVelocity*NetTime+BackgroundGraphingTable[[#This Row],[Starting position]]</f>
        <v>5</v>
      </c>
      <c r="E34">
        <f>IF(BackgroundGraphingTable[[#This Row],[Calculated position]]&gt;0,0,ROUNDUP(-BackgroundGraphingTable[[#This Row],[Calculated position]]/BackgroundCycle,0))</f>
        <v>0</v>
      </c>
      <c r="F34">
        <f>BackgroundGraphingTable[[#This Row],[Offset multiplier]]*BackgroundCycle+BackgroundGraphingTable[[#This Row],[Calculated position]]</f>
        <v>5</v>
      </c>
      <c r="G34">
        <v>-6</v>
      </c>
      <c r="H34">
        <f t="shared" si="0"/>
        <v>-20</v>
      </c>
      <c r="I34">
        <f>(BackgroundGraphingTable[[#This Row],[X]]-Xframe_min)/Xframe_range-0.5</f>
        <v>-0.8</v>
      </c>
      <c r="J34">
        <f>(BackgroundGraphingTable[[#This Row],[Y]]-Yframe_min)/Yframe_range-0.5</f>
        <v>-0.2</v>
      </c>
      <c r="K34">
        <f>(BackgroundGraphingTable[[#This Row],[Z]]-Zframe_min)/Zframe_range-0.5</f>
        <v>-0.5</v>
      </c>
      <c r="L34">
        <f>SUMPRODUCT(BackgroundGraphingTable[[#This Row],[Norm X]:[Norm Z]],Chart_XRotationVals)</f>
        <v>-0.48083261120685244</v>
      </c>
      <c r="M34">
        <f>SUMPRODUCT(BackgroundGraphingTable[[#This Row],[Norm X]:[Norm Z]],Chart_YRotationVals)</f>
        <v>-0.49847420010269966</v>
      </c>
    </row>
    <row r="35" spans="2:13">
      <c r="B35" t="s">
        <v>124</v>
      </c>
      <c r="C35">
        <v>104</v>
      </c>
      <c r="D35">
        <f>0.5*BackgroundAcceleration*NetTime^2+BackgroundVelocity*NetTime+BackgroundGraphingTable[[#This Row],[Starting position]]</f>
        <v>104</v>
      </c>
      <c r="E35">
        <f>IF(BackgroundGraphingTable[[#This Row],[Calculated position]]&gt;0,0,ROUNDUP(-BackgroundGraphingTable[[#This Row],[Calculated position]]/BackgroundCycle,0))</f>
        <v>0</v>
      </c>
      <c r="F35">
        <f>BackgroundGraphingTable[[#This Row],[Offset multiplier]]*BackgroundCycle+BackgroundGraphingTable[[#This Row],[Calculated position]]</f>
        <v>104</v>
      </c>
      <c r="G35">
        <v>5</v>
      </c>
      <c r="H35">
        <f t="shared" si="0"/>
        <v>-20</v>
      </c>
      <c r="I35">
        <f>(BackgroundGraphingTable[[#This Row],[X]]-Xframe_min)/Xframe_range-0.5</f>
        <v>1.18</v>
      </c>
      <c r="J35">
        <f>(BackgroundGraphingTable[[#This Row],[Y]]-Yframe_min)/Yframe_range-0.5</f>
        <v>0.16666666666666663</v>
      </c>
      <c r="K35">
        <f>(BackgroundGraphingTable[[#This Row],[Z]]-Zframe_min)/Zframe_range-0.5</f>
        <v>-0.5</v>
      </c>
      <c r="L35">
        <f>SUMPRODUCT(BackgroundGraphingTable[[#This Row],[Norm X]:[Norm Z]],Chart_XRotationVals)</f>
        <v>0.7636753236814714</v>
      </c>
      <c r="M35">
        <f>SUMPRODUCT(BackgroundGraphingTable[[#This Row],[Norm X]:[Norm Z]],Chart_YRotationVals)</f>
        <v>0.27934325920250269</v>
      </c>
    </row>
    <row r="36" spans="2:13">
      <c r="B36" t="s">
        <v>125</v>
      </c>
      <c r="C36">
        <v>22</v>
      </c>
      <c r="D36">
        <f>0.5*BackgroundAcceleration*NetTime^2+BackgroundVelocity*NetTime+BackgroundGraphingTable[[#This Row],[Starting position]]</f>
        <v>22</v>
      </c>
      <c r="E36">
        <f>IF(BackgroundGraphingTable[[#This Row],[Calculated position]]&gt;0,0,ROUNDUP(-BackgroundGraphingTable[[#This Row],[Calculated position]]/BackgroundCycle,0))</f>
        <v>0</v>
      </c>
      <c r="F36">
        <f>BackgroundGraphingTable[[#This Row],[Offset multiplier]]*BackgroundCycle+BackgroundGraphingTable[[#This Row],[Calculated position]]</f>
        <v>22</v>
      </c>
      <c r="G36">
        <v>-1</v>
      </c>
      <c r="H36">
        <f t="shared" si="0"/>
        <v>-20</v>
      </c>
      <c r="I36">
        <f>(BackgroundGraphingTable[[#This Row],[X]]-Xframe_min)/Xframe_range-0.5</f>
        <v>-0.46</v>
      </c>
      <c r="J36">
        <f>(BackgroundGraphingTable[[#This Row],[Y]]-Yframe_min)/Yframe_range-0.5</f>
        <v>-3.3333333333333326E-2</v>
      </c>
      <c r="K36">
        <f>(BackgroundGraphingTable[[#This Row],[Z]]-Zframe_min)/Zframe_range-0.5</f>
        <v>-0.5</v>
      </c>
      <c r="L36">
        <f>SUMPRODUCT(BackgroundGraphingTable[[#This Row],[Norm X]:[Norm Z]],Chart_XRotationVals)</f>
        <v>-0.31112698372208092</v>
      </c>
      <c r="M36">
        <f>SUMPRODUCT(BackgroundGraphingTable[[#This Row],[Norm X]:[Norm Z]],Chart_YRotationVals)</f>
        <v>-0.34291070824165915</v>
      </c>
    </row>
    <row r="37" spans="2:13">
      <c r="B37" t="s">
        <v>126</v>
      </c>
      <c r="C37">
        <v>83</v>
      </c>
      <c r="D37">
        <f>0.5*BackgroundAcceleration*NetTime^2+BackgroundVelocity*NetTime+BackgroundGraphingTable[[#This Row],[Starting position]]</f>
        <v>83</v>
      </c>
      <c r="E37">
        <f>IF(BackgroundGraphingTable[[#This Row],[Calculated position]]&gt;0,0,ROUNDUP(-BackgroundGraphingTable[[#This Row],[Calculated position]]/BackgroundCycle,0))</f>
        <v>0</v>
      </c>
      <c r="F37">
        <f>BackgroundGraphingTable[[#This Row],[Offset multiplier]]*BackgroundCycle+BackgroundGraphingTable[[#This Row],[Calculated position]]</f>
        <v>83</v>
      </c>
      <c r="G37">
        <v>9</v>
      </c>
      <c r="H37">
        <f t="shared" si="0"/>
        <v>-20</v>
      </c>
      <c r="I37">
        <f>(BackgroundGraphingTable[[#This Row],[X]]-Xframe_min)/Xframe_range-0.5</f>
        <v>0.76</v>
      </c>
      <c r="J37">
        <f>(BackgroundGraphingTable[[#This Row],[Y]]-Yframe_min)/Yframe_range-0.5</f>
        <v>0.30000000000000004</v>
      </c>
      <c r="K37">
        <f>(BackgroundGraphingTable[[#This Row],[Z]]-Zframe_min)/Zframe_range-0.5</f>
        <v>-0.5</v>
      </c>
      <c r="L37">
        <f>SUMPRODUCT(BackgroundGraphingTable[[#This Row],[Norm X]:[Norm Z]],Chart_XRotationVals)</f>
        <v>0.41012193308819767</v>
      </c>
      <c r="M37">
        <f>SUMPRODUCT(BackgroundGraphingTable[[#This Row],[Norm X]:[Norm Z]],Chart_YRotationVals)</f>
        <v>0.15913510640078971</v>
      </c>
    </row>
    <row r="38" spans="2:13">
      <c r="B38" t="s">
        <v>127</v>
      </c>
      <c r="C38">
        <v>127</v>
      </c>
      <c r="D38">
        <f>0.5*BackgroundAcceleration*NetTime^2+BackgroundVelocity*NetTime+BackgroundGraphingTable[[#This Row],[Starting position]]</f>
        <v>127</v>
      </c>
      <c r="E38">
        <f>IF(BackgroundGraphingTable[[#This Row],[Calculated position]]&gt;0,0,ROUNDUP(-BackgroundGraphingTable[[#This Row],[Calculated position]]/BackgroundCycle,0))</f>
        <v>0</v>
      </c>
      <c r="F38">
        <f>BackgroundGraphingTable[[#This Row],[Offset multiplier]]*BackgroundCycle+BackgroundGraphingTable[[#This Row],[Calculated position]]</f>
        <v>127</v>
      </c>
      <c r="G38">
        <v>8</v>
      </c>
      <c r="H38">
        <f t="shared" si="0"/>
        <v>-20</v>
      </c>
      <c r="I38">
        <f>(BackgroundGraphingTable[[#This Row],[X]]-Xframe_min)/Xframe_range-0.5</f>
        <v>1.6400000000000001</v>
      </c>
      <c r="J38">
        <f>(BackgroundGraphingTable[[#This Row],[Y]]-Yframe_min)/Yframe_range-0.5</f>
        <v>0.26666666666666672</v>
      </c>
      <c r="K38">
        <f>(BackgroundGraphingTable[[#This Row],[Z]]-Zframe_min)/Zframe_range-0.5</f>
        <v>-0.5</v>
      </c>
      <c r="L38">
        <f>SUMPRODUCT(BackgroundGraphingTable[[#This Row],[Norm X]:[Norm Z]],Chart_XRotationVals)</f>
        <v>1.0465180361560904</v>
      </c>
      <c r="M38">
        <f>SUMPRODUCT(BackgroundGraphingTable[[#This Row],[Norm X]:[Norm Z]],Chart_YRotationVals)</f>
        <v>0.46319102231100512</v>
      </c>
    </row>
    <row r="39" spans="2:13">
      <c r="B39" t="s">
        <v>128</v>
      </c>
      <c r="C39">
        <v>193</v>
      </c>
      <c r="D39">
        <f>0.5*BackgroundAcceleration*NetTime^2+BackgroundVelocity*NetTime+BackgroundGraphingTable[[#This Row],[Starting position]]</f>
        <v>193</v>
      </c>
      <c r="E39">
        <f>IF(BackgroundGraphingTable[[#This Row],[Calculated position]]&gt;0,0,ROUNDUP(-BackgroundGraphingTable[[#This Row],[Calculated position]]/BackgroundCycle,0))</f>
        <v>0</v>
      </c>
      <c r="F39">
        <f>BackgroundGraphingTable[[#This Row],[Offset multiplier]]*BackgroundCycle+BackgroundGraphingTable[[#This Row],[Calculated position]]</f>
        <v>193</v>
      </c>
      <c r="G39">
        <v>3</v>
      </c>
      <c r="H39">
        <f t="shared" si="0"/>
        <v>-20</v>
      </c>
      <c r="I39">
        <f>(BackgroundGraphingTable[[#This Row],[X]]-Xframe_min)/Xframe_range-0.5</f>
        <v>2.96</v>
      </c>
      <c r="J39">
        <f>(BackgroundGraphingTable[[#This Row],[Y]]-Yframe_min)/Yframe_range-0.5</f>
        <v>9.9999999999999978E-2</v>
      </c>
      <c r="K39">
        <f>(BackgroundGraphingTable[[#This Row],[Z]]-Zframe_min)/Zframe_range-0.5</f>
        <v>-0.5</v>
      </c>
      <c r="L39">
        <f>SUMPRODUCT(BackgroundGraphingTable[[#This Row],[Norm X]:[Norm Z]],Chart_XRotationVals)</f>
        <v>2.0506096654409878</v>
      </c>
      <c r="M39">
        <f>SUMPRODUCT(BackgroundGraphingTable[[#This Row],[Norm X]:[Norm Z]],Chart_YRotationVals)</f>
        <v>0.89452615883479925</v>
      </c>
    </row>
    <row r="46" spans="2:13">
      <c r="C46">
        <f>200/8</f>
        <v>25</v>
      </c>
    </row>
  </sheetData>
  <phoneticPr fontId="3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5C2FB-58DC-477E-8009-7754EF1C5406}">
  <sheetPr codeName="Sheet1"/>
  <dimension ref="A1:AB32"/>
  <sheetViews>
    <sheetView workbookViewId="0">
      <selection activeCell="B29" sqref="B29"/>
    </sheetView>
  </sheetViews>
  <sheetFormatPr defaultRowHeight="15"/>
  <cols>
    <col min="1" max="1" width="21" customWidth="1"/>
    <col min="2" max="2" width="18.85546875" customWidth="1"/>
    <col min="4" max="5" width="18.85546875" customWidth="1"/>
    <col min="6" max="6" width="13.5703125" customWidth="1"/>
    <col min="7" max="7" width="6.42578125" customWidth="1"/>
    <col min="8" max="9" width="9.140625" customWidth="1"/>
    <col min="10" max="10" width="12.28515625" customWidth="1"/>
    <col min="13" max="14" width="13.140625" customWidth="1"/>
    <col min="26" max="27" width="17" customWidth="1"/>
    <col min="28" max="28" width="16.7109375" customWidth="1"/>
  </cols>
  <sheetData>
    <row r="1" spans="1:28">
      <c r="A1" t="s">
        <v>129</v>
      </c>
      <c r="B1" t="s">
        <v>130</v>
      </c>
      <c r="E1" t="s">
        <v>50</v>
      </c>
      <c r="F1" t="s">
        <v>131</v>
      </c>
      <c r="G1" t="s">
        <v>56</v>
      </c>
      <c r="H1" t="s">
        <v>132</v>
      </c>
      <c r="I1" t="s">
        <v>133</v>
      </c>
      <c r="J1" t="s">
        <v>20</v>
      </c>
      <c r="K1" t="s">
        <v>22</v>
      </c>
      <c r="L1" t="s">
        <v>24</v>
      </c>
      <c r="M1" t="s">
        <v>134</v>
      </c>
      <c r="N1" t="s">
        <v>135</v>
      </c>
      <c r="O1" t="s">
        <v>136</v>
      </c>
      <c r="P1" t="s">
        <v>55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Z1" t="s">
        <v>144</v>
      </c>
      <c r="AA1" t="s">
        <v>145</v>
      </c>
      <c r="AB1" t="s">
        <v>146</v>
      </c>
    </row>
    <row r="2" spans="1:28">
      <c r="A2" t="s">
        <v>147</v>
      </c>
      <c r="B2">
        <v>100</v>
      </c>
      <c r="E2" t="s">
        <v>83</v>
      </c>
      <c r="F2" t="s">
        <v>148</v>
      </c>
      <c r="G2">
        <v>150</v>
      </c>
      <c r="H2">
        <v>-2</v>
      </c>
      <c r="I2">
        <v>1</v>
      </c>
      <c r="J2">
        <v>1</v>
      </c>
      <c r="K2">
        <v>2</v>
      </c>
      <c r="L2">
        <v>1</v>
      </c>
      <c r="M2">
        <v>-1</v>
      </c>
      <c r="N2">
        <v>-2</v>
      </c>
      <c r="O2">
        <v>0</v>
      </c>
      <c r="P2">
        <v>-6</v>
      </c>
      <c r="Q2">
        <v>30</v>
      </c>
      <c r="R2">
        <v>-3</v>
      </c>
      <c r="S2">
        <v>-1</v>
      </c>
      <c r="T2">
        <v>105</v>
      </c>
      <c r="U2">
        <v>-7</v>
      </c>
      <c r="V2">
        <v>-2</v>
      </c>
      <c r="W2" t="str">
        <f>IF(LEFT(SetupConstantsTable[[#This Row],[Appearance]],1)="O","an","a")</f>
        <v>a</v>
      </c>
      <c r="Z2" t="e">
        <f ca="1">SheetName_1</f>
        <v>#VALUE!</v>
      </c>
      <c r="AA2" t="e">
        <f ca="1">SheetName_1</f>
        <v>#VALUE!</v>
      </c>
      <c r="AB2" t="e">
        <f ca="1">SheetName_2</f>
        <v>#VALUE!</v>
      </c>
    </row>
    <row r="3" spans="1:28">
      <c r="A3" t="s">
        <v>149</v>
      </c>
      <c r="B3" s="32">
        <v>44393.946840277778</v>
      </c>
      <c r="E3" t="s">
        <v>82</v>
      </c>
      <c r="F3" t="s">
        <v>150</v>
      </c>
      <c r="G3">
        <v>110</v>
      </c>
      <c r="H3">
        <v>1</v>
      </c>
      <c r="I3">
        <v>2</v>
      </c>
      <c r="J3">
        <v>3</v>
      </c>
      <c r="K3">
        <v>2</v>
      </c>
      <c r="L3">
        <v>1</v>
      </c>
      <c r="M3">
        <v>-3</v>
      </c>
      <c r="N3">
        <v>-4</v>
      </c>
      <c r="O3">
        <v>0</v>
      </c>
      <c r="P3">
        <v>-3.5</v>
      </c>
      <c r="Q3">
        <v>25</v>
      </c>
      <c r="R3">
        <v>6</v>
      </c>
      <c r="S3">
        <v>-3</v>
      </c>
      <c r="T3">
        <v>78</v>
      </c>
      <c r="U3">
        <v>10</v>
      </c>
      <c r="V3">
        <v>-4</v>
      </c>
      <c r="W3" t="str">
        <f>IF(LEFT(SetupConstantsTable[[#This Row],[Appearance]],1)="O","an","a")</f>
        <v>a</v>
      </c>
      <c r="Z3" t="e">
        <f ca="1">SheetName_2</f>
        <v>#VALUE!</v>
      </c>
      <c r="AA3" t="e">
        <f ca="1">SheetName_1</f>
        <v>#VALUE!</v>
      </c>
      <c r="AB3" t="e">
        <f ca="1">SheetName_3</f>
        <v>#VALUE!</v>
      </c>
    </row>
    <row r="4" spans="1:28">
      <c r="A4" t="s">
        <v>151</v>
      </c>
      <c r="B4" s="4">
        <f>IF(GameRunning,IF('Data In'!H5=0,('Data In'!A5-IF(StartingTime&gt;'Data In'!A5,'Data In'!A5,StartingTime)),'Data In'!H5)*86400,0)</f>
        <v>0</v>
      </c>
      <c r="E4" t="s">
        <v>81</v>
      </c>
      <c r="F4" t="s">
        <v>152</v>
      </c>
      <c r="G4">
        <v>260</v>
      </c>
      <c r="H4">
        <v>-4</v>
      </c>
      <c r="I4">
        <v>4</v>
      </c>
      <c r="J4">
        <v>3</v>
      </c>
      <c r="K4">
        <v>3.5</v>
      </c>
      <c r="L4">
        <v>1.5</v>
      </c>
      <c r="M4">
        <v>-6</v>
      </c>
      <c r="N4">
        <v>-7</v>
      </c>
      <c r="O4">
        <v>0</v>
      </c>
      <c r="P4">
        <v>-5</v>
      </c>
      <c r="Q4">
        <v>67</v>
      </c>
      <c r="R4">
        <v>-7</v>
      </c>
      <c r="S4">
        <v>-6</v>
      </c>
      <c r="T4">
        <v>195</v>
      </c>
      <c r="U4">
        <v>-1</v>
      </c>
      <c r="V4">
        <v>-7</v>
      </c>
      <c r="W4" t="str">
        <f>IF(LEFT(SetupConstantsTable[[#This Row],[Appearance]],1)="O","an","a")</f>
        <v>an</v>
      </c>
      <c r="Z4" t="e">
        <f ca="1">SheetName_3</f>
        <v>#VALUE!</v>
      </c>
      <c r="AA4" t="e">
        <f ca="1">SheetName_2</f>
        <v>#VALUE!</v>
      </c>
      <c r="AB4" t="e">
        <f ca="1">SheetName_3</f>
        <v>#VALUE!</v>
      </c>
    </row>
    <row r="5" spans="1:28">
      <c r="A5" t="s">
        <v>153</v>
      </c>
      <c r="B5">
        <f>-BackgroundVelocity*NetTime</f>
        <v>0</v>
      </c>
      <c r="E5" t="s">
        <v>80</v>
      </c>
      <c r="F5" t="s">
        <v>154</v>
      </c>
      <c r="G5">
        <v>165</v>
      </c>
      <c r="H5">
        <v>0</v>
      </c>
      <c r="I5">
        <v>0</v>
      </c>
      <c r="J5">
        <v>1.5</v>
      </c>
      <c r="K5">
        <v>1.5</v>
      </c>
      <c r="L5">
        <v>1.5</v>
      </c>
      <c r="M5">
        <v>-9</v>
      </c>
      <c r="N5">
        <v>-10</v>
      </c>
      <c r="O5">
        <v>0</v>
      </c>
      <c r="P5">
        <v>-2.5</v>
      </c>
      <c r="Q5">
        <v>50</v>
      </c>
      <c r="R5">
        <v>9</v>
      </c>
      <c r="S5">
        <v>-10</v>
      </c>
      <c r="T5">
        <v>99</v>
      </c>
      <c r="U5">
        <v>6</v>
      </c>
      <c r="V5">
        <v>-9</v>
      </c>
      <c r="W5" t="str">
        <f>IF(LEFT(SetupConstantsTable[[#This Row],[Appearance]],1)="O","an","a")</f>
        <v>a</v>
      </c>
    </row>
    <row r="6" spans="1:28">
      <c r="A6" t="s">
        <v>155</v>
      </c>
      <c r="B6">
        <v>5</v>
      </c>
      <c r="E6" s="16" t="s">
        <v>92</v>
      </c>
      <c r="F6" s="16" t="s">
        <v>156</v>
      </c>
      <c r="G6" s="16">
        <v>350</v>
      </c>
      <c r="H6" s="16">
        <v>10</v>
      </c>
      <c r="I6" s="16">
        <v>12</v>
      </c>
      <c r="J6" s="16">
        <v>10</v>
      </c>
      <c r="K6" s="16">
        <v>10</v>
      </c>
      <c r="L6" s="16">
        <v>5</v>
      </c>
      <c r="M6" s="16"/>
      <c r="N6" s="16"/>
      <c r="O6" s="16">
        <v>0</v>
      </c>
      <c r="P6" s="16">
        <v>-4.5</v>
      </c>
      <c r="Q6" s="16">
        <v>120</v>
      </c>
      <c r="R6" s="16">
        <v>0</v>
      </c>
      <c r="S6" s="16">
        <v>-10</v>
      </c>
      <c r="T6" s="16">
        <v>290</v>
      </c>
      <c r="U6" s="16">
        <v>-10</v>
      </c>
      <c r="V6" s="16">
        <v>-10</v>
      </c>
      <c r="W6" s="16" t="str">
        <f>IF(LEFT(SetupConstantsTable[[#This Row],[Appearance]],1)="O","an","a")</f>
        <v>a</v>
      </c>
    </row>
    <row r="7" spans="1:28">
      <c r="A7" t="s">
        <v>157</v>
      </c>
      <c r="B7">
        <v>2</v>
      </c>
      <c r="E7" t="s">
        <v>79</v>
      </c>
      <c r="F7" t="s">
        <v>158</v>
      </c>
      <c r="G7">
        <v>140</v>
      </c>
      <c r="H7">
        <v>0</v>
      </c>
      <c r="I7">
        <v>0</v>
      </c>
      <c r="J7">
        <v>1.5</v>
      </c>
      <c r="K7">
        <v>1.5</v>
      </c>
      <c r="L7">
        <v>1.5</v>
      </c>
      <c r="M7">
        <v>-11</v>
      </c>
      <c r="N7">
        <v>-12</v>
      </c>
      <c r="O7">
        <v>0</v>
      </c>
      <c r="P7">
        <v>-2.5</v>
      </c>
      <c r="Q7">
        <v>42</v>
      </c>
      <c r="R7">
        <v>9</v>
      </c>
      <c r="S7">
        <v>-11</v>
      </c>
      <c r="T7">
        <v>97</v>
      </c>
      <c r="U7">
        <v>7</v>
      </c>
      <c r="V7">
        <v>-12</v>
      </c>
      <c r="W7" t="str">
        <f>IF(LEFT(SetupConstantsTable[[#This Row],[Appearance]],1)="O","an","a")</f>
        <v>a</v>
      </c>
    </row>
    <row r="8" spans="1:28">
      <c r="A8" t="s">
        <v>159</v>
      </c>
      <c r="B8">
        <v>2</v>
      </c>
      <c r="E8" s="16" t="s">
        <v>91</v>
      </c>
      <c r="F8" s="16" t="s">
        <v>160</v>
      </c>
      <c r="G8" s="16">
        <v>100</v>
      </c>
      <c r="H8" s="16">
        <v>0</v>
      </c>
      <c r="I8" s="16">
        <v>0</v>
      </c>
      <c r="J8" s="16">
        <v>2</v>
      </c>
      <c r="K8" s="16">
        <v>2</v>
      </c>
      <c r="L8" s="16">
        <v>2</v>
      </c>
      <c r="M8" s="16"/>
      <c r="N8" s="16"/>
      <c r="O8" s="16">
        <v>0</v>
      </c>
      <c r="P8" s="16">
        <v>-2.5</v>
      </c>
      <c r="Q8" s="16">
        <v>11</v>
      </c>
      <c r="R8" s="16">
        <v>-5</v>
      </c>
      <c r="S8" s="16">
        <v>-14</v>
      </c>
      <c r="T8" s="16">
        <v>69</v>
      </c>
      <c r="U8" s="16">
        <v>2</v>
      </c>
      <c r="V8" s="16">
        <v>-15</v>
      </c>
      <c r="W8" s="16" t="str">
        <f>IF(LEFT(SetupConstantsTable[[#This Row],[Appearance]],1)="O","an","a")</f>
        <v>a</v>
      </c>
    </row>
    <row r="9" spans="1:28">
      <c r="A9" t="s">
        <v>1</v>
      </c>
      <c r="B9">
        <f>'Data In'!B5*(-1)^InvertX</f>
        <v>0</v>
      </c>
      <c r="E9" t="s">
        <v>78</v>
      </c>
      <c r="F9" t="s">
        <v>161</v>
      </c>
      <c r="G9">
        <v>170</v>
      </c>
      <c r="H9">
        <v>3</v>
      </c>
      <c r="I9">
        <v>2.5</v>
      </c>
      <c r="J9">
        <v>2</v>
      </c>
      <c r="K9">
        <v>2</v>
      </c>
      <c r="L9">
        <v>1.5</v>
      </c>
      <c r="M9">
        <v>-14</v>
      </c>
      <c r="N9">
        <v>-15</v>
      </c>
      <c r="O9">
        <v>0</v>
      </c>
      <c r="P9">
        <v>-4.5</v>
      </c>
      <c r="Q9">
        <v>88</v>
      </c>
      <c r="R9">
        <v>8</v>
      </c>
      <c r="S9">
        <v>-15</v>
      </c>
      <c r="T9">
        <v>162</v>
      </c>
      <c r="U9">
        <v>-4</v>
      </c>
      <c r="V9">
        <v>-14</v>
      </c>
      <c r="W9" t="str">
        <f>IF(LEFT(SetupConstantsTable[[#This Row],[Appearance]],1)="O","an","a")</f>
        <v>a</v>
      </c>
    </row>
    <row r="10" spans="1:28">
      <c r="A10" t="s">
        <v>2</v>
      </c>
      <c r="B10">
        <f>'Data In'!C5*(-1)^InvertY</f>
        <v>0</v>
      </c>
      <c r="E10" t="s">
        <v>77</v>
      </c>
      <c r="F10" t="s">
        <v>162</v>
      </c>
      <c r="G10">
        <v>130</v>
      </c>
      <c r="H10">
        <v>0</v>
      </c>
      <c r="I10">
        <v>0</v>
      </c>
      <c r="J10">
        <v>3</v>
      </c>
      <c r="K10">
        <v>3</v>
      </c>
      <c r="L10">
        <v>3</v>
      </c>
      <c r="M10">
        <v>-17</v>
      </c>
      <c r="N10">
        <v>-18</v>
      </c>
      <c r="O10">
        <v>0</v>
      </c>
      <c r="P10">
        <v>-2.5</v>
      </c>
      <c r="Q10">
        <v>39</v>
      </c>
      <c r="R10">
        <v>-6</v>
      </c>
      <c r="S10">
        <v>-17</v>
      </c>
      <c r="T10">
        <v>98</v>
      </c>
      <c r="U10">
        <v>1</v>
      </c>
      <c r="V10">
        <v>-18</v>
      </c>
      <c r="W10" t="str">
        <f>IF(LEFT(SetupConstantsTable[[#This Row],[Appearance]],1)="O","an","a")</f>
        <v>an</v>
      </c>
    </row>
    <row r="11" spans="1:28">
      <c r="A11" t="s">
        <v>3</v>
      </c>
      <c r="B11">
        <f>'Data In'!D5*(-1)^InvertZ</f>
        <v>0</v>
      </c>
      <c r="E11" t="s">
        <v>75</v>
      </c>
      <c r="F11" t="s">
        <v>163</v>
      </c>
      <c r="G11">
        <v>120</v>
      </c>
      <c r="H11">
        <v>0</v>
      </c>
      <c r="I11">
        <v>0</v>
      </c>
      <c r="J11">
        <v>2</v>
      </c>
      <c r="K11">
        <v>2</v>
      </c>
      <c r="L11">
        <v>2</v>
      </c>
      <c r="M11">
        <v>-19.600000000000001</v>
      </c>
      <c r="N11">
        <v>-19.600000000000001</v>
      </c>
      <c r="O11">
        <v>0</v>
      </c>
      <c r="P11">
        <v>-2.5</v>
      </c>
      <c r="Q11">
        <v>49</v>
      </c>
      <c r="R11">
        <v>-10</v>
      </c>
      <c r="S11">
        <v>-19.600000000000001</v>
      </c>
      <c r="T11">
        <v>107</v>
      </c>
      <c r="U11">
        <v>-8</v>
      </c>
      <c r="V11">
        <v>-19.600000000000001</v>
      </c>
      <c r="W11" t="str">
        <f>IF(LEFT(SetupConstantsTable[[#This Row],[Appearance]],1)="O","an","a")</f>
        <v>a</v>
      </c>
    </row>
    <row r="12" spans="1:28" ht="18">
      <c r="A12" t="s">
        <v>164</v>
      </c>
      <c r="B12">
        <f>IF(OR('Data In'!H5&gt;0,NOT(GameRunning)),0,InputRoll)</f>
        <v>0</v>
      </c>
      <c r="E12" s="11" t="s">
        <v>12</v>
      </c>
      <c r="F12" t="s">
        <v>12</v>
      </c>
      <c r="G12" t="e">
        <v>#N/A</v>
      </c>
      <c r="H12">
        <v>2</v>
      </c>
      <c r="I12">
        <v>-2</v>
      </c>
      <c r="J12">
        <v>2</v>
      </c>
      <c r="K12">
        <v>2</v>
      </c>
      <c r="L12">
        <v>1</v>
      </c>
      <c r="M12" t="e">
        <v>#N/A</v>
      </c>
      <c r="N12" t="e">
        <v>#N/A</v>
      </c>
      <c r="O12" t="e">
        <v>#N/A</v>
      </c>
      <c r="P12" t="e">
        <v>#N/A</v>
      </c>
      <c r="Q12" t="e">
        <v>#N/A</v>
      </c>
      <c r="R12" t="e">
        <v>#N/A</v>
      </c>
      <c r="S12" t="e">
        <v>#N/A</v>
      </c>
      <c r="T12" t="e">
        <v>#N/A</v>
      </c>
      <c r="U12" t="e">
        <v>#N/A</v>
      </c>
      <c r="V12" t="e">
        <v>#N/A</v>
      </c>
      <c r="W12" t="str">
        <f>IF(LEFT(SetupConstantsTable[[#This Row],[Appearance]],1)="O","an","a")</f>
        <v>a</v>
      </c>
    </row>
    <row r="13" spans="1:28" ht="18">
      <c r="A13" t="s">
        <v>165</v>
      </c>
      <c r="B13">
        <f>IF(OR(AND(InputPitch=-1,Zpos_last-Zframe_min&lt;1),AND(InputPitch=1,(Zframe_min+Zframe_range)-Zpos_last&lt;1),'Data In'!H5&gt;0,NOT(GameRunning)),0,InputPitch)</f>
        <v>0</v>
      </c>
    </row>
    <row r="14" spans="1:28" ht="18">
      <c r="A14" t="s">
        <v>166</v>
      </c>
      <c r="B14">
        <f>IF(OR(AND(InputYaw=-1,Ypos_last&lt;=Yframe_min),AND(InputYaw=1,Ypos_last&gt;=(Yframe_min+Yframe_range)),'Data In'!H5&gt;0,NOT(GameRunning)),0,InputYaw)</f>
        <v>0</v>
      </c>
    </row>
    <row r="15" spans="1:28" ht="18">
      <c r="A15" t="s">
        <v>167</v>
      </c>
      <c r="B15">
        <f>20</f>
        <v>20</v>
      </c>
    </row>
    <row r="16" spans="1:28" ht="18">
      <c r="A16" t="s">
        <v>168</v>
      </c>
      <c r="B16">
        <f>IF(OR(NOT(GameRunning),'Data In'!F5=""),0,'Data In'!F5)</f>
        <v>0</v>
      </c>
    </row>
    <row r="17" spans="1:13" ht="18">
      <c r="A17" t="s">
        <v>169</v>
      </c>
      <c r="B17">
        <f>IF(OR(NOT(GameRunning),'Data In'!G5=""),-10.5,'Data In'!G5)</f>
        <v>-10.5</v>
      </c>
    </row>
    <row r="18" spans="1:13" ht="18">
      <c r="A18" t="s">
        <v>170</v>
      </c>
      <c r="B18">
        <f>Xpos_last</f>
        <v>20</v>
      </c>
    </row>
    <row r="19" spans="1:13" ht="18">
      <c r="A19" t="s">
        <v>171</v>
      </c>
      <c r="B19">
        <f>Ypos_last+Yaw</f>
        <v>0</v>
      </c>
      <c r="E19" t="s">
        <v>172</v>
      </c>
      <c r="F19" t="s">
        <v>173</v>
      </c>
      <c r="G19" t="s">
        <v>174</v>
      </c>
      <c r="H19" t="s">
        <v>175</v>
      </c>
    </row>
    <row r="20" spans="1:13" ht="18">
      <c r="A20" t="s">
        <v>176</v>
      </c>
      <c r="B20">
        <f>Zpos_last+Pitch</f>
        <v>-10.5</v>
      </c>
      <c r="E20" t="s">
        <v>177</v>
      </c>
      <c r="F20">
        <v>-60</v>
      </c>
      <c r="G20">
        <v>0</v>
      </c>
      <c r="H20">
        <v>45</v>
      </c>
      <c r="L20" t="s">
        <v>148</v>
      </c>
      <c r="M20" t="str">
        <f>TT!O52</f>
        <v xml:space="preserve">It looks like you stopped to examine a dolphin after seeing </v>
      </c>
    </row>
    <row r="21" spans="1:13">
      <c r="A21" t="s">
        <v>96</v>
      </c>
      <c r="B21">
        <v>0.05</v>
      </c>
      <c r="E21" t="s">
        <v>178</v>
      </c>
      <c r="F21">
        <f>SIN(RADIANS(Xrot))</f>
        <v>-0.8660254037844386</v>
      </c>
      <c r="G21">
        <f>SIN(RADIANS(Yrot))</f>
        <v>0</v>
      </c>
      <c r="H21">
        <f>SIN(RADIANS(Zrot))</f>
        <v>0.70710678118654746</v>
      </c>
      <c r="L21" t="s">
        <v>150</v>
      </c>
      <c r="M21" t="str">
        <f>TT!O53</f>
        <v xml:space="preserve">It looks like you stopped to examine a sting ray after seeing </v>
      </c>
    </row>
    <row r="22" spans="1:13">
      <c r="A22" t="s">
        <v>179</v>
      </c>
      <c r="B22">
        <v>0</v>
      </c>
      <c r="E22" t="s">
        <v>180</v>
      </c>
      <c r="F22">
        <f>COS(RADIANS(Xrot))</f>
        <v>0.50000000000000011</v>
      </c>
      <c r="G22">
        <f>COS(RADIANS(Yrot))</f>
        <v>1</v>
      </c>
      <c r="H22">
        <f>COS(RADIANS(Zrot))</f>
        <v>0.70710678118654757</v>
      </c>
      <c r="L22" t="s">
        <v>152</v>
      </c>
      <c r="M22" t="str">
        <f>TT!O54</f>
        <v xml:space="preserve">It looks like you stopped to examine an orca after seeing </v>
      </c>
    </row>
    <row r="23" spans="1:13">
      <c r="A23" t="s">
        <v>181</v>
      </c>
      <c r="B23">
        <v>0</v>
      </c>
      <c r="E23" t="s">
        <v>182</v>
      </c>
      <c r="F23">
        <f>Cos_Yrot*Cos_Zrot*XScaleRatio</f>
        <v>0.70710678118654757</v>
      </c>
      <c r="G23">
        <f>-Sin_Zrot*Cos_Yrot*YScaleRatio</f>
        <v>-0.42426406871192845</v>
      </c>
      <c r="H23">
        <f>Sin_Yrot*ZScaleRatio</f>
        <v>0</v>
      </c>
      <c r="L23" t="s">
        <v>154</v>
      </c>
      <c r="M23" t="str">
        <f>TT!O55</f>
        <v xml:space="preserve">It looks like you stopped to examine a jellyfish after seeing </v>
      </c>
    </row>
    <row r="24" spans="1:13">
      <c r="A24" t="s">
        <v>183</v>
      </c>
      <c r="B24">
        <v>0</v>
      </c>
      <c r="E24" t="s">
        <v>184</v>
      </c>
      <c r="F24">
        <f>(Cos_Zrot*Sin_Yrot*Sin_Xrot+Sin_Zrot*Cos_Xrot)*XScaleRatio</f>
        <v>0.35355339059327379</v>
      </c>
      <c r="G24">
        <f>(-Sin_Xrot*Sin_Yrot*Sin_Zrot+Cos_Xrot*Cos_Zrot)*YScaleRatio</f>
        <v>0.21213203435596431</v>
      </c>
      <c r="H24">
        <f>-Cos_Yrot*Sin_Xrot*ZScaleRatio</f>
        <v>0.34641016151377546</v>
      </c>
      <c r="L24" t="s">
        <v>158</v>
      </c>
      <c r="M24" t="str">
        <f>TT!O56</f>
        <v xml:space="preserve">It looks like you stopped to examine a turtle after seeing </v>
      </c>
    </row>
    <row r="25" spans="1:13">
      <c r="A25" t="s">
        <v>185</v>
      </c>
      <c r="B25">
        <f>H26+B20</f>
        <v>9.5</v>
      </c>
      <c r="E25" t="s">
        <v>186</v>
      </c>
      <c r="F25" s="9">
        <v>20</v>
      </c>
      <c r="G25" s="9">
        <v>-15</v>
      </c>
      <c r="H25" s="9">
        <v>-20</v>
      </c>
      <c r="L25" t="s">
        <v>161</v>
      </c>
      <c r="M25" t="str">
        <f>TT!O57</f>
        <v xml:space="preserve">It looks like you stopped to examine a hammerhead after seeing </v>
      </c>
    </row>
    <row r="26" spans="1:13">
      <c r="A26" t="s">
        <v>187</v>
      </c>
      <c r="B26" t="str">
        <f>IFERROR(INDEX(AnimalGraphingTable[],MATCH(TRUE,AnimalGraphingTable[Hit],0),3),"")</f>
        <v/>
      </c>
      <c r="E26" s="5" t="s">
        <v>188</v>
      </c>
      <c r="F26" s="9">
        <v>50</v>
      </c>
      <c r="G26" s="9">
        <v>30</v>
      </c>
      <c r="H26" s="9">
        <v>20</v>
      </c>
      <c r="L26" t="s">
        <v>162</v>
      </c>
      <c r="M26" t="str">
        <f>TT!O58</f>
        <v xml:space="preserve">It looks like you stopped to examine an octopus after seeing </v>
      </c>
    </row>
    <row r="27" spans="1:13">
      <c r="A27" t="s">
        <v>189</v>
      </c>
      <c r="B27">
        <f>IF(CreatureHit="",0,IF('Data In'!H5=0,('Data In'!A5-StartingTime),'Data In'!H5))</f>
        <v>0</v>
      </c>
      <c r="E27" t="s">
        <v>190</v>
      </c>
      <c r="F27">
        <f>F26/MAX($F$26:$H$26)</f>
        <v>1</v>
      </c>
      <c r="G27">
        <f>G26/MAX($F$26:$H$26)</f>
        <v>0.6</v>
      </c>
      <c r="H27">
        <f>H26/MAX($F$26:$H$26)</f>
        <v>0.4</v>
      </c>
      <c r="L27" t="s">
        <v>163</v>
      </c>
      <c r="M27" t="str">
        <f>TT!O59</f>
        <v xml:space="preserve">It looks like you stopped to examine a crab after seeing </v>
      </c>
    </row>
    <row r="28" spans="1:13">
      <c r="A28" t="s">
        <v>191</v>
      </c>
      <c r="B28" t="b">
        <v>1</v>
      </c>
    </row>
    <row r="29" spans="1:13">
      <c r="A29" t="s">
        <v>192</v>
      </c>
      <c r="B29" t="str">
        <f>IF(CreatureHit="","",VLOOKUP(CreatureHit,$L$20:$M$27,2,0)&amp;SUM('Virtual Marine Environment'!$E$27:$T$27)&amp;" "&amp;TT!$O$60)</f>
        <v/>
      </c>
    </row>
    <row r="30" spans="1:13">
      <c r="A30" t="s">
        <v>193</v>
      </c>
      <c r="B30">
        <v>0.4</v>
      </c>
    </row>
    <row r="31" spans="1:13">
      <c r="A31" t="s">
        <v>194</v>
      </c>
      <c r="B31">
        <v>-0.4</v>
      </c>
    </row>
    <row r="32" spans="1:13">
      <c r="A32" t="s">
        <v>195</v>
      </c>
      <c r="B32" s="42" cm="1">
        <f t="array" ref="B32">TBL_CUR[TIME]</f>
        <v>44250.620052500002</v>
      </c>
    </row>
  </sheetData>
  <autoFilter ref="Z1:AB8" xr:uid="{C6B46776-2B6E-4771-BAE2-9203465C2DAD}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576C1-98A8-4B6F-994C-42B000E27D92}">
  <sheetPr codeName="Sheet11"/>
  <dimension ref="B2:G13"/>
  <sheetViews>
    <sheetView workbookViewId="0"/>
  </sheetViews>
  <sheetFormatPr defaultRowHeight="15"/>
  <cols>
    <col min="1" max="1" width="3.5703125" customWidth="1"/>
  </cols>
  <sheetData>
    <row r="2" spans="2:7">
      <c r="B2" t="s">
        <v>196</v>
      </c>
      <c r="C2" t="s">
        <v>8</v>
      </c>
      <c r="D2" t="s">
        <v>9</v>
      </c>
      <c r="E2" t="s">
        <v>63</v>
      </c>
      <c r="F2" t="s">
        <v>197</v>
      </c>
      <c r="G2" t="s">
        <v>198</v>
      </c>
    </row>
    <row r="3" spans="2:7">
      <c r="B3">
        <v>1</v>
      </c>
      <c r="C3">
        <v>-0.5</v>
      </c>
      <c r="D3">
        <v>0.5</v>
      </c>
      <c r="E3">
        <v>-0.5</v>
      </c>
      <c r="F3">
        <f>SUMPRODUCT(CageGraphingTable[[#This Row],[X]:[Z]],Chart_XRotationVals)</f>
        <v>-0.56568542494923801</v>
      </c>
      <c r="G3">
        <f>SUMPRODUCT(CageGraphingTable[[#This Row],[X]:[Z]],Chart_YRotationVals)</f>
        <v>-0.24391575887554245</v>
      </c>
    </row>
    <row r="4" spans="2:7">
      <c r="B4">
        <v>2</v>
      </c>
      <c r="C4">
        <v>0.5</v>
      </c>
      <c r="D4">
        <v>0.5</v>
      </c>
      <c r="E4">
        <v>-0.5</v>
      </c>
      <c r="F4">
        <f>SUMPRODUCT(CageGraphingTable[[#This Row],[X]:[Z]],Chart_XRotationVals)</f>
        <v>0.14142135623730956</v>
      </c>
      <c r="G4">
        <f>SUMPRODUCT(CageGraphingTable[[#This Row],[X]:[Z]],Chart_YRotationVals)</f>
        <v>0.10963763171773133</v>
      </c>
    </row>
    <row r="5" spans="2:7">
      <c r="B5">
        <v>3</v>
      </c>
      <c r="C5">
        <v>0.5</v>
      </c>
      <c r="D5">
        <v>-0.5</v>
      </c>
      <c r="E5">
        <v>-0.5</v>
      </c>
      <c r="F5">
        <f>SUMPRODUCT(CageGraphingTable[[#This Row],[X]:[Z]],Chart_XRotationVals)</f>
        <v>0.56568542494923801</v>
      </c>
      <c r="G5">
        <f>SUMPRODUCT(CageGraphingTable[[#This Row],[X]:[Z]],Chart_YRotationVals)</f>
        <v>-0.10249440263823299</v>
      </c>
    </row>
    <row r="6" spans="2:7">
      <c r="B6">
        <v>4</v>
      </c>
      <c r="C6">
        <v>-0.5</v>
      </c>
      <c r="D6">
        <v>-0.5</v>
      </c>
      <c r="E6">
        <v>-0.5</v>
      </c>
      <c r="F6">
        <f>SUMPRODUCT(CageGraphingTable[[#This Row],[X]:[Z]],Chart_XRotationVals)</f>
        <v>-0.14142135623730956</v>
      </c>
      <c r="G6">
        <f>SUMPRODUCT(CageGraphingTable[[#This Row],[X]:[Z]],Chart_YRotationVals)</f>
        <v>-0.45604779323150679</v>
      </c>
    </row>
    <row r="7" spans="2:7">
      <c r="B7">
        <v>5</v>
      </c>
      <c r="C7">
        <v>-0.5</v>
      </c>
      <c r="D7">
        <v>0.5</v>
      </c>
      <c r="E7">
        <v>-0.5</v>
      </c>
      <c r="F7">
        <f>SUMPRODUCT(CageGraphingTable[[#This Row],[X]:[Z]],Chart_XRotationVals)</f>
        <v>-0.56568542494923801</v>
      </c>
      <c r="G7">
        <f>SUMPRODUCT(CageGraphingTable[[#This Row],[X]:[Z]],Chart_YRotationVals)</f>
        <v>-0.24391575887554245</v>
      </c>
    </row>
    <row r="8" spans="2:7">
      <c r="B8">
        <v>6</v>
      </c>
      <c r="C8">
        <v>-0.5</v>
      </c>
      <c r="D8">
        <v>0.5</v>
      </c>
      <c r="E8">
        <v>0.5</v>
      </c>
      <c r="F8">
        <f>SUMPRODUCT(CageGraphingTable[[#This Row],[X]:[Z]],Chart_XRotationVals)</f>
        <v>-0.56568542494923801</v>
      </c>
      <c r="G8">
        <f>SUMPRODUCT(CageGraphingTable[[#This Row],[X]:[Z]],Chart_YRotationVals)</f>
        <v>0.10249440263823299</v>
      </c>
    </row>
    <row r="9" spans="2:7">
      <c r="B9">
        <v>7</v>
      </c>
      <c r="C9">
        <v>0.5</v>
      </c>
      <c r="D9">
        <v>0.5</v>
      </c>
      <c r="E9">
        <v>0.5</v>
      </c>
      <c r="F9">
        <f>SUMPRODUCT(CageGraphingTable[[#This Row],[X]:[Z]],Chart_XRotationVals)</f>
        <v>0.14142135623730956</v>
      </c>
      <c r="G9">
        <f>SUMPRODUCT(CageGraphingTable[[#This Row],[X]:[Z]],Chart_YRotationVals)</f>
        <v>0.45604779323150679</v>
      </c>
    </row>
    <row r="10" spans="2:7">
      <c r="B10">
        <v>8</v>
      </c>
      <c r="C10">
        <v>0.5</v>
      </c>
      <c r="D10">
        <v>-0.5</v>
      </c>
      <c r="E10">
        <v>0.5</v>
      </c>
      <c r="F10">
        <f>SUMPRODUCT(CageGraphingTable[[#This Row],[X]:[Z]],Chart_XRotationVals)</f>
        <v>0.56568542494923801</v>
      </c>
      <c r="G10">
        <f>SUMPRODUCT(CageGraphingTable[[#This Row],[X]:[Z]],Chart_YRotationVals)</f>
        <v>0.24391575887554245</v>
      </c>
    </row>
    <row r="11" spans="2:7">
      <c r="B11">
        <v>9</v>
      </c>
      <c r="C11">
        <v>0.5</v>
      </c>
      <c r="D11">
        <v>-0.5</v>
      </c>
      <c r="E11">
        <v>-0.5</v>
      </c>
      <c r="F11">
        <f>SUMPRODUCT(CageGraphingTable[[#This Row],[X]:[Z]],Chart_XRotationVals)</f>
        <v>0.56568542494923801</v>
      </c>
      <c r="G11">
        <f>SUMPRODUCT(CageGraphingTable[[#This Row],[X]:[Z]],Chart_YRotationVals)</f>
        <v>-0.10249440263823299</v>
      </c>
    </row>
    <row r="12" spans="2:7">
      <c r="B12">
        <v>10</v>
      </c>
      <c r="C12">
        <v>0.5</v>
      </c>
      <c r="D12">
        <v>0.5</v>
      </c>
      <c r="E12">
        <v>-0.5</v>
      </c>
      <c r="F12">
        <f>SUMPRODUCT(CageGraphingTable[[#This Row],[X]:[Z]],Chart_XRotationVals)</f>
        <v>0.14142135623730956</v>
      </c>
      <c r="G12">
        <f>SUMPRODUCT(CageGraphingTable[[#This Row],[X]:[Z]],Chart_YRotationVals)</f>
        <v>0.10963763171773133</v>
      </c>
    </row>
    <row r="13" spans="2:7">
      <c r="B13">
        <v>11</v>
      </c>
      <c r="C13">
        <v>0.5</v>
      </c>
      <c r="D13">
        <v>0.5</v>
      </c>
      <c r="E13">
        <v>0.5</v>
      </c>
      <c r="F13">
        <f>SUMPRODUCT(CageGraphingTable[[#This Row],[X]:[Z]],Chart_XRotationVals)</f>
        <v>0.14142135623730956</v>
      </c>
      <c r="G13">
        <f>SUMPRODUCT(CageGraphingTable[[#This Row],[X]:[Z]],Chart_YRotationVals)</f>
        <v>0.45604779323150679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3619E-C9EA-4CA9-9D57-95A9D25495E2}">
  <sheetPr codeName="Sheet13"/>
  <dimension ref="A1:L29"/>
  <sheetViews>
    <sheetView showGridLines="0" tabSelected="1" zoomScale="110" zoomScaleNormal="110" workbookViewId="0"/>
  </sheetViews>
  <sheetFormatPr defaultColWidth="9.140625" defaultRowHeight="16.5"/>
  <cols>
    <col min="1" max="1" width="4.28515625" style="6" customWidth="1"/>
    <col min="2" max="2" width="5.7109375" style="6" customWidth="1"/>
    <col min="3" max="3" width="25.7109375" style="6" customWidth="1"/>
    <col min="4" max="4" width="5.7109375" style="6" customWidth="1"/>
    <col min="5" max="5" width="17.140625" style="6" customWidth="1"/>
    <col min="6" max="11" width="9.140625" style="6"/>
    <col min="12" max="12" width="20.42578125" style="6" customWidth="1"/>
    <col min="13" max="16384" width="9.140625" style="6"/>
  </cols>
  <sheetData>
    <row r="1" spans="1:12">
      <c r="A1" s="45"/>
      <c r="B1" s="56" t="s">
        <v>199</v>
      </c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s="24" customFormat="1" ht="30" customHeight="1">
      <c r="A2" s="26" t="e">
        <f ca="1">RIGHT(CELL("filename",A2),LEN(CELL("filename",A2))-FIND("]",CELL("filename",A2)))</f>
        <v>#VALUE!</v>
      </c>
      <c r="B2" s="60" t="str">
        <f>TT!$O$3</f>
        <v>Select Language</v>
      </c>
      <c r="C2" s="60"/>
      <c r="D2" s="60"/>
    </row>
    <row r="3" spans="1:12" s="24" customFormat="1" ht="15" customHeight="1" thickBot="1">
      <c r="B3" s="43"/>
      <c r="C3" s="44"/>
      <c r="D3" s="43"/>
    </row>
    <row r="4" spans="1:12" s="24" customFormat="1" ht="30" customHeight="1" thickBot="1">
      <c r="B4" s="43"/>
      <c r="C4" s="25" t="s">
        <v>200</v>
      </c>
      <c r="D4" s="43"/>
    </row>
    <row r="5" spans="1:12" s="24" customFormat="1" ht="15" customHeight="1">
      <c r="B5" s="43"/>
      <c r="C5" s="43"/>
      <c r="D5" s="43"/>
    </row>
    <row r="6" spans="1:12" s="24" customFormat="1" ht="22.5" customHeight="1"/>
    <row r="7" spans="1:12" ht="21.75" customHeight="1">
      <c r="A7" s="45"/>
      <c r="B7" s="45"/>
      <c r="C7" s="57" t="str">
        <f>TT!$O$29</f>
        <v>Next </v>
      </c>
      <c r="D7" s="45"/>
      <c r="E7" s="45"/>
      <c r="F7" s="45"/>
      <c r="G7" s="45"/>
      <c r="H7" s="45"/>
      <c r="I7" s="45"/>
      <c r="J7" s="45"/>
      <c r="K7" s="45"/>
      <c r="L7" s="45"/>
    </row>
    <row r="8" spans="1:12">
      <c r="A8" s="45"/>
      <c r="B8" s="24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>
      <c r="A9" s="45"/>
      <c r="B9" s="24"/>
      <c r="C9" s="45"/>
      <c r="D9" s="45"/>
      <c r="E9" s="45"/>
      <c r="F9" s="45"/>
      <c r="G9" s="45"/>
      <c r="H9" s="45"/>
      <c r="I9" s="45"/>
      <c r="J9" s="45"/>
      <c r="K9" s="45"/>
      <c r="L9" s="45"/>
    </row>
    <row r="15" spans="1:12">
      <c r="A15" s="45"/>
      <c r="B15" s="59"/>
      <c r="C15" s="59"/>
      <c r="D15" s="59"/>
      <c r="E15" s="59"/>
      <c r="F15" s="45"/>
      <c r="G15" s="45"/>
      <c r="H15" s="45"/>
      <c r="I15" s="45"/>
      <c r="J15" s="45"/>
      <c r="K15" s="45"/>
      <c r="L15" s="45"/>
    </row>
    <row r="16" spans="1:12">
      <c r="A16" s="45"/>
      <c r="B16" s="45"/>
      <c r="C16" s="46"/>
      <c r="D16" s="45"/>
      <c r="E16" s="45"/>
      <c r="F16" s="45"/>
      <c r="G16" s="45"/>
      <c r="H16" s="45"/>
      <c r="I16" s="45"/>
      <c r="J16" s="45"/>
      <c r="K16" s="45"/>
      <c r="L16" s="45"/>
    </row>
    <row r="17" spans="3:12">
      <c r="C17" s="46"/>
      <c r="D17" s="45"/>
      <c r="E17" s="45"/>
      <c r="F17" s="45"/>
      <c r="G17" s="45"/>
      <c r="H17" s="45"/>
      <c r="I17" s="45"/>
      <c r="J17" s="45"/>
      <c r="K17" s="45"/>
      <c r="L17" s="45"/>
    </row>
    <row r="29" spans="3:12" ht="22.5" customHeight="1">
      <c r="C29" s="45"/>
      <c r="D29" s="45"/>
      <c r="E29" s="45"/>
      <c r="F29" s="45"/>
      <c r="G29" s="45"/>
      <c r="H29" s="45"/>
      <c r="I29" s="45"/>
      <c r="J29" s="45"/>
      <c r="K29" s="45"/>
      <c r="L29" s="45"/>
    </row>
  </sheetData>
  <sheetProtection sheet="1" objects="1" scenarios="1"/>
  <protectedRanges>
    <protectedRange sqref="C4" name="Range1"/>
  </protectedRanges>
  <mergeCells count="2">
    <mergeCell ref="B15:E15"/>
    <mergeCell ref="B2:D2"/>
  </mergeCells>
  <hyperlinks>
    <hyperlink ref="C7" location="'Joystick Controller Test'!A1" display="'Joystick Controller Test'!A1" xr:uid="{07461637-885B-4B47-80DE-EC8E737111DF}"/>
  </hyperlink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9223D8-1D8F-48D3-8375-D3DD41B482A2}">
          <x14:formula1>
            <xm:f>TT!$S$5:$S$7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411A-FE33-4A70-89D6-9F4596054A94}">
  <sheetPr codeName="Sheet14"/>
  <dimension ref="B2:T98"/>
  <sheetViews>
    <sheetView showGridLines="0" topLeftCell="A31" workbookViewId="0">
      <selection activeCell="F38" sqref="F38"/>
    </sheetView>
  </sheetViews>
  <sheetFormatPr defaultRowHeight="15"/>
  <cols>
    <col min="3" max="3" width="25.42578125" customWidth="1"/>
    <col min="4" max="4" width="10.5703125" customWidth="1"/>
    <col min="5" max="5" width="22.140625" customWidth="1"/>
    <col min="6" max="6" width="18" customWidth="1"/>
    <col min="7" max="7" width="12.85546875" customWidth="1"/>
    <col min="8" max="8" width="15.85546875" customWidth="1"/>
    <col min="9" max="13" width="12.85546875" customWidth="1"/>
    <col min="14" max="14" width="13.85546875" customWidth="1"/>
    <col min="15" max="16" width="9.5703125" customWidth="1"/>
  </cols>
  <sheetData>
    <row r="2" spans="2:20" ht="16.5">
      <c r="B2" s="45" t="s">
        <v>201</v>
      </c>
      <c r="C2" s="45" t="s">
        <v>202</v>
      </c>
      <c r="D2" s="45" t="s">
        <v>203</v>
      </c>
      <c r="E2" s="45" t="s">
        <v>204</v>
      </c>
      <c r="F2" s="45" t="s">
        <v>205</v>
      </c>
      <c r="G2" s="45" t="s">
        <v>206</v>
      </c>
      <c r="H2" s="45" t="s">
        <v>207</v>
      </c>
      <c r="I2" s="45" t="s">
        <v>208</v>
      </c>
      <c r="J2" s="45" t="s">
        <v>209</v>
      </c>
      <c r="K2" s="45" t="s">
        <v>210</v>
      </c>
      <c r="L2" s="45" t="s">
        <v>211</v>
      </c>
      <c r="M2" s="45" t="s">
        <v>212</v>
      </c>
      <c r="N2" s="45" t="s">
        <v>213</v>
      </c>
      <c r="O2" s="45" t="s">
        <v>214</v>
      </c>
    </row>
    <row r="3" spans="2:20" ht="16.5">
      <c r="B3" s="45">
        <f>ROW()</f>
        <v>3</v>
      </c>
      <c r="C3" s="45" t="s">
        <v>215</v>
      </c>
      <c r="D3" s="45" t="str">
        <f>"Shark2-"&amp;TT[[#This Row],[Tab]]</f>
        <v>Shark2-TT</v>
      </c>
      <c r="E3" s="45" t="s">
        <v>216</v>
      </c>
      <c r="F3" s="45" t="s">
        <v>217</v>
      </c>
      <c r="G3" s="45" t="s">
        <v>218</v>
      </c>
      <c r="H3" s="45"/>
      <c r="I3" s="45"/>
      <c r="J3" s="45"/>
      <c r="K3" s="45"/>
      <c r="L3" s="45"/>
      <c r="M3" s="45"/>
      <c r="N3" s="45"/>
      <c r="O3" s="45" t="str">
        <f>INDEX(TT[[#This Row],[Language 1]:[Language 10]],1,LanguageSelect)</f>
        <v>Select Language</v>
      </c>
      <c r="R3" t="s">
        <v>216</v>
      </c>
      <c r="S3" t="str">
        <f>Instructions!$C$4</f>
        <v>English</v>
      </c>
      <c r="T3">
        <f>INDEX($R$5:$R$14,MATCH($S$3,$S$5:$S$14,0))</f>
        <v>1</v>
      </c>
    </row>
    <row r="4" spans="2:20" ht="16.5">
      <c r="B4" s="45">
        <f>ROW()</f>
        <v>4</v>
      </c>
      <c r="C4" s="45" t="s">
        <v>215</v>
      </c>
      <c r="D4" s="45" t="str">
        <f>"Shark2-"&amp;TT[[#This Row],[Tab]]</f>
        <v>Shark2-TT</v>
      </c>
      <c r="E4" s="45" t="s">
        <v>200</v>
      </c>
      <c r="F4" s="45" t="s">
        <v>219</v>
      </c>
      <c r="G4" s="45" t="s">
        <v>220</v>
      </c>
      <c r="H4" s="45"/>
      <c r="I4" s="45"/>
      <c r="J4" s="45"/>
      <c r="K4" s="45"/>
      <c r="L4" s="45"/>
      <c r="M4" s="45"/>
      <c r="N4" s="45"/>
      <c r="O4" s="45" t="str">
        <f>INDEX(TT[[#This Row],[Language 1]:[Language 10]],1,LanguageSelect)</f>
        <v>English</v>
      </c>
    </row>
    <row r="5" spans="2:20" ht="16.5">
      <c r="B5" s="45">
        <f>ROW()</f>
        <v>5</v>
      </c>
      <c r="C5" s="45" t="s">
        <v>215</v>
      </c>
      <c r="D5" s="45" t="str">
        <f>"Shark2-"&amp;TT[[#This Row],[Tab]]</f>
        <v>Shark2-TT</v>
      </c>
      <c r="E5" s="45" t="s">
        <v>221</v>
      </c>
      <c r="F5" s="45" t="s">
        <v>222</v>
      </c>
      <c r="G5" s="45" t="s">
        <v>223</v>
      </c>
      <c r="H5" s="45"/>
      <c r="I5" s="45"/>
      <c r="J5" s="45"/>
      <c r="K5" s="45"/>
      <c r="L5" s="45"/>
      <c r="M5" s="45"/>
      <c r="N5" s="45"/>
      <c r="O5" s="45" t="str">
        <f>INDEX(TT[[#This Row],[Language 1]:[Language 10]],1,LanguageSelect)</f>
        <v>Portuguese</v>
      </c>
      <c r="R5">
        <v>1</v>
      </c>
      <c r="S5" t="s">
        <v>200</v>
      </c>
    </row>
    <row r="6" spans="2:20" ht="16.5">
      <c r="B6" s="45">
        <f>ROW()</f>
        <v>6</v>
      </c>
      <c r="C6" s="45" t="s">
        <v>215</v>
      </c>
      <c r="D6" s="45" t="str">
        <f>"Shark2-"&amp;TT[[#This Row],[Tab]]</f>
        <v>Shark2-TT</v>
      </c>
      <c r="E6" s="45" t="s">
        <v>224</v>
      </c>
      <c r="F6" s="45" t="s">
        <v>225</v>
      </c>
      <c r="G6" s="45" t="s">
        <v>226</v>
      </c>
      <c r="H6" s="45"/>
      <c r="I6" s="45"/>
      <c r="J6" s="45"/>
      <c r="K6" s="45"/>
      <c r="L6" s="45"/>
      <c r="M6" s="45"/>
      <c r="N6" s="45"/>
      <c r="O6" s="45" t="str">
        <f>INDEX(TT[[#This Row],[Language 1]:[Language 10]],1,LanguageSelect)</f>
        <v>Spanish</v>
      </c>
      <c r="R6">
        <v>2</v>
      </c>
      <c r="S6" t="s">
        <v>222</v>
      </c>
    </row>
    <row r="7" spans="2:20" ht="16.5">
      <c r="B7" s="45">
        <f>ROW()</f>
        <v>7</v>
      </c>
      <c r="C7" s="45" t="s">
        <v>215</v>
      </c>
      <c r="D7" s="45" t="str">
        <f>"Shark2-"&amp;TT[[#This Row],[Tab]]</f>
        <v>Shark2-TT</v>
      </c>
      <c r="E7" s="45" t="s">
        <v>227</v>
      </c>
      <c r="F7" s="45" t="s">
        <v>228</v>
      </c>
      <c r="G7" s="45" t="s">
        <v>229</v>
      </c>
      <c r="H7" s="45"/>
      <c r="I7" s="45"/>
      <c r="J7" s="45"/>
      <c r="K7" s="45"/>
      <c r="L7" s="45"/>
      <c r="M7" s="45"/>
      <c r="N7" s="45"/>
      <c r="O7" s="45" t="str">
        <f>INDEX(TT[[#This Row],[Language 1]:[Language 10]],1,LanguageSelect)</f>
        <v>German</v>
      </c>
      <c r="R7">
        <v>3</v>
      </c>
      <c r="S7" t="s">
        <v>226</v>
      </c>
    </row>
    <row r="8" spans="2:20" ht="16.5">
      <c r="B8" s="45">
        <f>ROW()</f>
        <v>8</v>
      </c>
      <c r="C8" s="45" t="s">
        <v>215</v>
      </c>
      <c r="D8" s="45" t="str">
        <f>"Shark2-"&amp;TT[[#This Row],[Tab]]</f>
        <v>Shark2-TT</v>
      </c>
      <c r="E8" s="45" t="s">
        <v>230</v>
      </c>
      <c r="F8" s="45" t="s">
        <v>231</v>
      </c>
      <c r="G8" s="45" t="s">
        <v>231</v>
      </c>
      <c r="H8" s="45"/>
      <c r="I8" s="45"/>
      <c r="J8" s="45"/>
      <c r="K8" s="45"/>
      <c r="L8" s="45"/>
      <c r="M8" s="45"/>
      <c r="N8" s="45"/>
      <c r="O8" s="45" t="str">
        <f>INDEX(TT[[#This Row],[Language 1]:[Language 10]],1,LanguageSelect)</f>
        <v>Italian</v>
      </c>
      <c r="R8">
        <v>4</v>
      </c>
    </row>
    <row r="9" spans="2:20" ht="16.5">
      <c r="B9" s="45">
        <f>ROW()</f>
        <v>9</v>
      </c>
      <c r="C9" s="45" t="s">
        <v>215</v>
      </c>
      <c r="D9" s="45" t="str">
        <f>"Shark2-"&amp;TT[[#This Row],[Tab]]</f>
        <v>Shark2-TT</v>
      </c>
      <c r="E9" s="45" t="s">
        <v>232</v>
      </c>
      <c r="F9" s="45" t="s">
        <v>233</v>
      </c>
      <c r="G9" s="45" t="s">
        <v>234</v>
      </c>
      <c r="H9" s="45"/>
      <c r="I9" s="45"/>
      <c r="J9" s="45"/>
      <c r="K9" s="45"/>
      <c r="L9" s="45"/>
      <c r="M9" s="45"/>
      <c r="N9" s="45"/>
      <c r="O9" s="45" t="str">
        <f>INDEX(TT[[#This Row],[Language 1]:[Language 10]],1,LanguageSelect)</f>
        <v>Norwegian</v>
      </c>
      <c r="R9">
        <v>5</v>
      </c>
    </row>
    <row r="10" spans="2:20" ht="16.5">
      <c r="B10" s="45">
        <f>ROW()</f>
        <v>10</v>
      </c>
      <c r="C10" s="45" t="s">
        <v>215</v>
      </c>
      <c r="D10" s="45" t="str">
        <f>"Shark2-"&amp;TT[[#This Row],[Tab]]</f>
        <v>Shark2-TT</v>
      </c>
      <c r="E10" s="45" t="s">
        <v>235</v>
      </c>
      <c r="F10" s="45" t="s">
        <v>236</v>
      </c>
      <c r="G10" s="45" t="s">
        <v>237</v>
      </c>
      <c r="H10" s="45"/>
      <c r="I10" s="45"/>
      <c r="J10" s="45"/>
      <c r="K10" s="45"/>
      <c r="L10" s="45"/>
      <c r="M10" s="45"/>
      <c r="N10" s="45"/>
      <c r="O10" s="45" t="str">
        <f>INDEX(TT[[#This Row],[Language 1]:[Language 10]],1,LanguageSelect)</f>
        <v>French</v>
      </c>
      <c r="R10">
        <v>6</v>
      </c>
    </row>
    <row r="11" spans="2:20" ht="16.5">
      <c r="B11" s="45">
        <f>ROW()</f>
        <v>11</v>
      </c>
      <c r="C11" s="45" t="s">
        <v>215</v>
      </c>
      <c r="D11" s="45" t="str">
        <f>"Shark2-"&amp;TT[[#This Row],[Tab]]</f>
        <v>Shark2-TT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>
        <f>INDEX(TT[[#This Row],[Language 1]:[Language 10]],1,LanguageSelect)</f>
        <v>0</v>
      </c>
      <c r="R11">
        <v>7</v>
      </c>
    </row>
    <row r="12" spans="2:20" ht="16.5">
      <c r="B12" s="45">
        <f>ROW()</f>
        <v>12</v>
      </c>
      <c r="C12" s="45" t="s">
        <v>215</v>
      </c>
      <c r="D12" s="45" t="str">
        <f>"Shark2-"&amp;TT[[#This Row],[Tab]]</f>
        <v>Shark2-TT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>
        <f>INDEX(TT[[#This Row],[Language 1]:[Language 10]],1,LanguageSelect)</f>
        <v>0</v>
      </c>
      <c r="R12">
        <v>8</v>
      </c>
    </row>
    <row r="13" spans="2:20" ht="16.5">
      <c r="B13" s="45">
        <f>ROW()</f>
        <v>13</v>
      </c>
      <c r="C13" s="45" t="s">
        <v>215</v>
      </c>
      <c r="D13" s="45" t="str">
        <f>"Shark2-"&amp;TT[[#This Row],[Tab]]</f>
        <v>Shark2-TT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>
        <f>INDEX(TT[[#This Row],[Language 1]:[Language 10]],1,LanguageSelect)</f>
        <v>0</v>
      </c>
      <c r="R13">
        <v>9</v>
      </c>
    </row>
    <row r="14" spans="2:20" ht="16.5">
      <c r="B14" s="45">
        <f>ROW()</f>
        <v>14</v>
      </c>
      <c r="C14" s="45" t="s">
        <v>238</v>
      </c>
      <c r="D14" s="45" t="str">
        <f>"Shark2-"&amp;TT[[#This Row],[Tab]]</f>
        <v>Shark2-Instructions</v>
      </c>
      <c r="E14" s="45" t="s">
        <v>239</v>
      </c>
      <c r="F14" s="45" t="s">
        <v>240</v>
      </c>
      <c r="G14" s="45" t="s">
        <v>241</v>
      </c>
      <c r="H14" s="45"/>
      <c r="I14" s="45"/>
      <c r="J14" s="45"/>
      <c r="K14" s="45"/>
      <c r="L14" s="45"/>
      <c r="M14" s="45"/>
      <c r="N14" s="45"/>
      <c r="O14" s="45" t="str">
        <f>INDEX(TT[[#This Row],[Language 1]:[Language 10]],1,LanguageSelect)</f>
        <v>This workbook uses "Macros" (automated Excel commands) to assist in the data collection process</v>
      </c>
      <c r="R14">
        <v>10</v>
      </c>
    </row>
    <row r="15" spans="2:20" ht="16.5">
      <c r="B15" s="45">
        <f>ROW()</f>
        <v>15</v>
      </c>
      <c r="C15" s="45" t="s">
        <v>238</v>
      </c>
      <c r="D15" s="45" t="str">
        <f>"Shark2-"&amp;TT[[#This Row],[Tab]]</f>
        <v>Shark2-Instructions</v>
      </c>
      <c r="E15" s="45" t="s">
        <v>242</v>
      </c>
      <c r="F15" s="45" t="s">
        <v>243</v>
      </c>
      <c r="G15" s="45" t="s">
        <v>244</v>
      </c>
      <c r="H15" s="45"/>
      <c r="I15" s="45"/>
      <c r="J15" s="45"/>
      <c r="K15" s="45"/>
      <c r="L15" s="45"/>
      <c r="M15" s="45"/>
      <c r="N15" s="45"/>
      <c r="O15" s="45" t="str">
        <f>INDEX(TT[[#This Row],[Language 1]:[Language 10]],1,LanguageSelect)</f>
        <v>To use these Macros and have buttons on the spreadsheets work, you must "Enable" the Macros</v>
      </c>
    </row>
    <row r="16" spans="2:20" ht="16.5">
      <c r="B16" s="45">
        <f>ROW()</f>
        <v>16</v>
      </c>
      <c r="C16" s="45" t="s">
        <v>238</v>
      </c>
      <c r="D16" s="45" t="str">
        <f>"Shark2-"&amp;TT[[#This Row],[Tab]]</f>
        <v>Shark2-Instructions</v>
      </c>
      <c r="E16" s="45" t="s">
        <v>245</v>
      </c>
      <c r="F16" s="45" t="s">
        <v>246</v>
      </c>
      <c r="G16" s="45" t="s">
        <v>247</v>
      </c>
      <c r="H16" s="45"/>
      <c r="I16" s="45"/>
      <c r="J16" s="45"/>
      <c r="K16" s="45"/>
      <c r="L16" s="45"/>
      <c r="M16" s="45"/>
      <c r="N16" s="45"/>
      <c r="O16" s="45" t="str">
        <f>INDEX(TT[[#This Row],[Language 1]:[Language 10]],1,LanguageSelect)</f>
        <v>Click the "Enable Content" button that appears above when you first open this workbook</v>
      </c>
    </row>
    <row r="17" spans="2:15" ht="16.5">
      <c r="B17" s="45">
        <f>ROW()</f>
        <v>17</v>
      </c>
      <c r="C17" s="45" t="s">
        <v>238</v>
      </c>
      <c r="D17" s="45" t="str">
        <f>"Shark2-"&amp;TT[[#This Row],[Tab]]</f>
        <v>Shark2-Instructions</v>
      </c>
      <c r="E17" s="45" t="s">
        <v>248</v>
      </c>
      <c r="F17" s="45" t="s">
        <v>249</v>
      </c>
      <c r="G17" s="45" t="s">
        <v>250</v>
      </c>
      <c r="H17" s="45"/>
      <c r="I17" s="45"/>
      <c r="J17" s="45"/>
      <c r="K17" s="45"/>
      <c r="L17" s="45"/>
      <c r="M17" s="45"/>
      <c r="N17" s="45"/>
      <c r="O17" s="45" t="str">
        <f>INDEX(TT[[#This Row],[Language 1]:[Language 10]],1,LanguageSelect)</f>
        <v>Once you have enabled macros, you can use the workbook.  If you do not see this message, macros are enabled</v>
      </c>
    </row>
    <row r="18" spans="2:15" ht="16.5">
      <c r="B18" s="45">
        <f>ROW()</f>
        <v>18</v>
      </c>
      <c r="C18" s="45" t="s">
        <v>251</v>
      </c>
      <c r="D18" s="45" t="str">
        <f>"Shark2-"&amp;TT[[#This Row],[Tab]]</f>
        <v>Shark2-Joystick Controller Test</v>
      </c>
      <c r="E18" s="45" t="s">
        <v>251</v>
      </c>
      <c r="F18" s="45" t="s">
        <v>252</v>
      </c>
      <c r="G18" s="45" t="s">
        <v>253</v>
      </c>
      <c r="H18" s="45"/>
      <c r="I18" s="45"/>
      <c r="J18" s="45"/>
      <c r="K18" s="45"/>
      <c r="L18" s="45"/>
      <c r="M18" s="45"/>
      <c r="N18" s="45"/>
      <c r="O18" s="45" t="str">
        <f>INDEX(TT[[#This Row],[Language 1]:[Language 10]],1,LanguageSelect)</f>
        <v>Joystick Controller Test</v>
      </c>
    </row>
    <row r="19" spans="2:15" ht="16.5">
      <c r="B19" s="45">
        <f>ROW()</f>
        <v>19</v>
      </c>
      <c r="C19" s="45" t="s">
        <v>251</v>
      </c>
      <c r="D19" s="45" t="str">
        <f>"Shark2-"&amp;TT[[#This Row],[Tab]]</f>
        <v>Shark2-Joystick Controller Test</v>
      </c>
      <c r="E19" s="45" t="s">
        <v>254</v>
      </c>
      <c r="F19" s="45" t="s">
        <v>255</v>
      </c>
      <c r="G19" s="45" t="s">
        <v>256</v>
      </c>
      <c r="H19" s="45"/>
      <c r="I19" s="45"/>
      <c r="J19" s="45"/>
      <c r="K19" s="45"/>
      <c r="L19" s="45"/>
      <c r="M19" s="45"/>
      <c r="N19" s="45"/>
      <c r="O19" s="45" t="str">
        <f>INDEX(TT[[#This Row],[Language 1]:[Language 10]],1,LanguageSelect)</f>
        <v>ROLL</v>
      </c>
    </row>
    <row r="20" spans="2:15" ht="16.5">
      <c r="B20" s="45">
        <f>ROW()</f>
        <v>20</v>
      </c>
      <c r="C20" s="45" t="s">
        <v>251</v>
      </c>
      <c r="D20" s="45" t="str">
        <f>"Shark2-"&amp;TT[[#This Row],[Tab]]</f>
        <v>Shark2-Joystick Controller Test</v>
      </c>
      <c r="E20" s="45" t="s">
        <v>257</v>
      </c>
      <c r="F20" s="45" t="s">
        <v>258</v>
      </c>
      <c r="G20" s="45" t="s">
        <v>259</v>
      </c>
      <c r="H20" s="45"/>
      <c r="I20" s="45"/>
      <c r="J20" s="45"/>
      <c r="K20" s="45"/>
      <c r="L20" s="45"/>
      <c r="M20" s="45"/>
      <c r="N20" s="45"/>
      <c r="O20" s="45" t="str">
        <f>INDEX(TT[[#This Row],[Language 1]:[Language 10]],1,LanguageSelect)</f>
        <v>PITCH</v>
      </c>
    </row>
    <row r="21" spans="2:15" ht="16.5">
      <c r="B21" s="45">
        <f>ROW()</f>
        <v>21</v>
      </c>
      <c r="C21" s="45" t="s">
        <v>251</v>
      </c>
      <c r="D21" s="45" t="str">
        <f>"Shark2-"&amp;TT[[#This Row],[Tab]]</f>
        <v>Shark2-Joystick Controller Test</v>
      </c>
      <c r="E21" s="45" t="s">
        <v>260</v>
      </c>
      <c r="F21" s="45" t="s">
        <v>261</v>
      </c>
      <c r="G21" s="45" t="s">
        <v>262</v>
      </c>
      <c r="H21" s="45"/>
      <c r="I21" s="45"/>
      <c r="J21" s="45"/>
      <c r="K21" s="45"/>
      <c r="L21" s="45"/>
      <c r="M21" s="45"/>
      <c r="N21" s="45"/>
      <c r="O21" s="45" t="str">
        <f>INDEX(TT[[#This Row],[Language 1]:[Language 10]],1,LanguageSelect)</f>
        <v>YAW</v>
      </c>
    </row>
    <row r="22" spans="2:15" ht="16.5">
      <c r="B22" s="45">
        <f>ROW()</f>
        <v>22</v>
      </c>
      <c r="C22" s="45" t="s">
        <v>251</v>
      </c>
      <c r="D22" s="45" t="str">
        <f>"Shark2-"&amp;TT[[#This Row],[Tab]]</f>
        <v>Shark2-Joystick Controller Test</v>
      </c>
      <c r="E22" s="45" t="s">
        <v>263</v>
      </c>
      <c r="F22" s="45" t="s">
        <v>264</v>
      </c>
      <c r="G22" s="45" t="s">
        <v>265</v>
      </c>
      <c r="H22" s="45"/>
      <c r="I22" s="45"/>
      <c r="J22" s="45"/>
      <c r="K22" s="45"/>
      <c r="L22" s="45"/>
      <c r="M22" s="45"/>
      <c r="N22" s="45"/>
      <c r="O22" s="45" t="str">
        <f>INDEX(TT[[#This Row],[Language 1]:[Language 10]],1,LanguageSelect)</f>
        <v>Roll 1 (left)</v>
      </c>
    </row>
    <row r="23" spans="2:15" ht="16.5">
      <c r="B23" s="45">
        <f>ROW()</f>
        <v>23</v>
      </c>
      <c r="C23" s="45" t="s">
        <v>251</v>
      </c>
      <c r="D23" s="45" t="str">
        <f>"Shark2-"&amp;TT[[#This Row],[Tab]]</f>
        <v>Shark2-Joystick Controller Test</v>
      </c>
      <c r="E23" s="45" t="s">
        <v>266</v>
      </c>
      <c r="F23" s="45" t="s">
        <v>267</v>
      </c>
      <c r="G23" s="45" t="s">
        <v>268</v>
      </c>
      <c r="H23" s="45"/>
      <c r="I23" s="45"/>
      <c r="J23" s="45"/>
      <c r="K23" s="45"/>
      <c r="L23" s="45"/>
      <c r="M23" s="45"/>
      <c r="N23" s="45"/>
      <c r="O23" s="45" t="str">
        <f>INDEX(TT[[#This Row],[Language 1]:[Language 10]],1,LanguageSelect)</f>
        <v>Roll 2 (right)</v>
      </c>
    </row>
    <row r="24" spans="2:15" ht="16.5">
      <c r="B24" s="45">
        <f>ROW()</f>
        <v>24</v>
      </c>
      <c r="C24" s="45" t="s">
        <v>251</v>
      </c>
      <c r="D24" s="45" t="str">
        <f>"Shark2-"&amp;TT[[#This Row],[Tab]]</f>
        <v>Shark2-Joystick Controller Test</v>
      </c>
      <c r="E24" s="45" t="s">
        <v>269</v>
      </c>
      <c r="F24" s="45" t="s">
        <v>270</v>
      </c>
      <c r="G24" s="45" t="s">
        <v>271</v>
      </c>
      <c r="H24" s="45"/>
      <c r="I24" s="45"/>
      <c r="J24" s="45"/>
      <c r="K24" s="45"/>
      <c r="L24" s="45"/>
      <c r="M24" s="45"/>
      <c r="N24" s="45"/>
      <c r="O24" s="45" t="str">
        <f>INDEX(TT[[#This Row],[Language 1]:[Language 10]],1,LanguageSelect)</f>
        <v>Pitch 1 (back)</v>
      </c>
    </row>
    <row r="25" spans="2:15" ht="16.5">
      <c r="B25" s="45">
        <f>ROW()</f>
        <v>25</v>
      </c>
      <c r="C25" s="45" t="s">
        <v>251</v>
      </c>
      <c r="D25" s="45" t="str">
        <f>"Shark2-"&amp;TT[[#This Row],[Tab]]</f>
        <v>Shark2-Joystick Controller Test</v>
      </c>
      <c r="E25" s="45" t="s">
        <v>272</v>
      </c>
      <c r="F25" s="45" t="s">
        <v>273</v>
      </c>
      <c r="G25" s="45" t="s">
        <v>274</v>
      </c>
      <c r="H25" s="45"/>
      <c r="I25" s="45"/>
      <c r="J25" s="45"/>
      <c r="K25" s="45"/>
      <c r="L25" s="45"/>
      <c r="M25" s="45"/>
      <c r="N25" s="45"/>
      <c r="O25" s="45" t="str">
        <f>INDEX(TT[[#This Row],[Language 1]:[Language 10]],1,LanguageSelect)</f>
        <v>Pitch 2 (forward)</v>
      </c>
    </row>
    <row r="26" spans="2:15" ht="16.5">
      <c r="B26" s="45">
        <f>ROW()</f>
        <v>26</v>
      </c>
      <c r="C26" s="45" t="s">
        <v>251</v>
      </c>
      <c r="D26" s="45" t="str">
        <f>"Shark2-"&amp;TT[[#This Row],[Tab]]</f>
        <v>Shark2-Joystick Controller Test</v>
      </c>
      <c r="E26" s="45" t="s">
        <v>275</v>
      </c>
      <c r="F26" s="45" t="s">
        <v>276</v>
      </c>
      <c r="G26" s="45" t="s">
        <v>277</v>
      </c>
      <c r="H26" s="45"/>
      <c r="I26" s="45"/>
      <c r="J26" s="45"/>
      <c r="K26" s="45"/>
      <c r="L26" s="45"/>
      <c r="M26" s="45"/>
      <c r="N26" s="45"/>
      <c r="O26" s="45" t="str">
        <f>INDEX(TT[[#This Row],[Language 1]:[Language 10]],1,LanguageSelect)</f>
        <v>Yaw 1 (left)</v>
      </c>
    </row>
    <row r="27" spans="2:15" ht="16.5">
      <c r="B27" s="45">
        <f>ROW()</f>
        <v>27</v>
      </c>
      <c r="C27" s="45" t="s">
        <v>251</v>
      </c>
      <c r="D27" s="45" t="str">
        <f>"Shark2-"&amp;TT[[#This Row],[Tab]]</f>
        <v>Shark2-Joystick Controller Test</v>
      </c>
      <c r="E27" s="45" t="s">
        <v>278</v>
      </c>
      <c r="F27" s="45" t="s">
        <v>279</v>
      </c>
      <c r="G27" s="45" t="s">
        <v>280</v>
      </c>
      <c r="H27" s="45"/>
      <c r="I27" s="45"/>
      <c r="J27" s="45"/>
      <c r="K27" s="45"/>
      <c r="L27" s="45"/>
      <c r="M27" s="45"/>
      <c r="N27" s="45"/>
      <c r="O27" s="45" t="str">
        <f>INDEX(TT[[#This Row],[Language 1]:[Language 10]],1,LanguageSelect)</f>
        <v>Yaw 2 (right)</v>
      </c>
    </row>
    <row r="28" spans="2:15" ht="16.5">
      <c r="B28" s="45">
        <f>ROW()</f>
        <v>28</v>
      </c>
      <c r="C28" s="45" t="s">
        <v>251</v>
      </c>
      <c r="D28" s="45" t="str">
        <f>"Shark2-"&amp;TT[[#This Row],[Tab]]</f>
        <v>Shark2-Joystick Controller Test</v>
      </c>
      <c r="E28" s="45" t="s">
        <v>281</v>
      </c>
      <c r="F28" s="45" t="s">
        <v>282</v>
      </c>
      <c r="G28" s="45" t="s">
        <v>281</v>
      </c>
      <c r="H28" s="45"/>
      <c r="I28" s="45"/>
      <c r="J28" s="45"/>
      <c r="K28" s="45"/>
      <c r="L28" s="45"/>
      <c r="M28" s="45"/>
      <c r="N28" s="45"/>
      <c r="O28" s="45" t="str">
        <f>INDEX(TT[[#This Row],[Language 1]:[Language 10]],1,LanguageSelect)</f>
        <v>Neutral</v>
      </c>
    </row>
    <row r="29" spans="2:15" ht="16.5">
      <c r="B29" s="45">
        <f>ROW()</f>
        <v>29</v>
      </c>
      <c r="C29" s="45" t="s">
        <v>251</v>
      </c>
      <c r="D29" s="45" t="str">
        <f>"Shark2-"&amp;TT[[#This Row],[Tab]]</f>
        <v>Shark2-Joystick Controller Test</v>
      </c>
      <c r="E29" s="45" t="s">
        <v>283</v>
      </c>
      <c r="F29" s="45" t="s">
        <v>284</v>
      </c>
      <c r="G29" s="45" t="s">
        <v>285</v>
      </c>
      <c r="H29" s="45"/>
      <c r="I29" s="45"/>
      <c r="J29" s="45"/>
      <c r="K29" s="45"/>
      <c r="L29" s="45"/>
      <c r="M29" s="45"/>
      <c r="N29" s="45"/>
      <c r="O29" s="45" t="str">
        <f>INDEX(TT[[#This Row],[Language 1]:[Language 10]],1,LanguageSelect)</f>
        <v>Next </v>
      </c>
    </row>
    <row r="30" spans="2:15" ht="16.5">
      <c r="B30" s="45">
        <f>ROW()</f>
        <v>30</v>
      </c>
      <c r="C30" s="45" t="s">
        <v>251</v>
      </c>
      <c r="D30" s="45" t="str">
        <f>"Shark2-"&amp;TT[[#This Row],[Tab]]</f>
        <v>Shark2-Joystick Controller Test</v>
      </c>
      <c r="E30" s="45" t="s">
        <v>286</v>
      </c>
      <c r="F30" s="45" t="s">
        <v>287</v>
      </c>
      <c r="G30" s="45" t="s">
        <v>287</v>
      </c>
      <c r="H30" s="45"/>
      <c r="I30" s="45"/>
      <c r="J30" s="45"/>
      <c r="K30" s="45"/>
      <c r="L30" s="45"/>
      <c r="M30" s="45"/>
      <c r="N30" s="45"/>
      <c r="O30" s="45" t="str">
        <f>INDEX(TT[[#This Row],[Language 1]:[Language 10]],1,LanguageSelect)</f>
        <v> Previous</v>
      </c>
    </row>
    <row r="31" spans="2:15" ht="16.5">
      <c r="B31" s="45">
        <f>ROW()</f>
        <v>31</v>
      </c>
      <c r="C31" s="45" t="s">
        <v>288</v>
      </c>
      <c r="D31" s="45" t="str">
        <f>"Shark2-"&amp;TT[[#This Row],[Tab]]</f>
        <v>Shark2-Virtual Marine Environment</v>
      </c>
      <c r="E31" s="45" t="s">
        <v>289</v>
      </c>
      <c r="F31" s="45" t="s">
        <v>290</v>
      </c>
      <c r="G31" s="45" t="s">
        <v>291</v>
      </c>
      <c r="H31" s="45"/>
      <c r="I31" s="45"/>
      <c r="J31" s="45"/>
      <c r="K31" s="45"/>
      <c r="L31" s="45"/>
      <c r="M31" s="45"/>
      <c r="N31" s="45"/>
      <c r="O31" s="45" t="str">
        <f>INDEX(TT[[#This Row],[Language 1]:[Language 10]],1,LanguageSelect)</f>
        <v>Depth</v>
      </c>
    </row>
    <row r="32" spans="2:15" ht="16.5">
      <c r="B32" s="45">
        <f>ROW()</f>
        <v>32</v>
      </c>
      <c r="C32" s="45" t="s">
        <v>288</v>
      </c>
      <c r="D32" s="45" t="str">
        <f>"Shark2-"&amp;TT[[#This Row],[Tab]]</f>
        <v>Shark2-Virtual Marine Environment</v>
      </c>
      <c r="E32" s="45" t="s">
        <v>288</v>
      </c>
      <c r="F32" s="45" t="s">
        <v>292</v>
      </c>
      <c r="G32" s="45" t="s">
        <v>293</v>
      </c>
      <c r="H32" s="45"/>
      <c r="I32" s="45"/>
      <c r="J32" s="45"/>
      <c r="K32" s="45"/>
      <c r="L32" s="45"/>
      <c r="M32" s="45"/>
      <c r="N32" s="45"/>
      <c r="O32" s="45" t="str">
        <f>INDEX(TT[[#This Row],[Language 1]:[Language 10]],1,LanguageSelect)</f>
        <v>Virtual Marine Environment</v>
      </c>
    </row>
    <row r="33" spans="2:15" ht="16.5">
      <c r="B33" s="45">
        <f>ROW()</f>
        <v>33</v>
      </c>
      <c r="C33" s="45" t="s">
        <v>288</v>
      </c>
      <c r="D33" s="45" t="str">
        <f>"Shark2-"&amp;TT[[#This Row],[Tab]]</f>
        <v>Shark2-Virtual Marine Environment</v>
      </c>
      <c r="E33" s="45" t="s">
        <v>294</v>
      </c>
      <c r="F33" s="45" t="s">
        <v>295</v>
      </c>
      <c r="G33" s="45" t="s">
        <v>296</v>
      </c>
      <c r="H33" s="45"/>
      <c r="I33" s="45"/>
      <c r="J33" s="45"/>
      <c r="K33" s="45"/>
      <c r="L33" s="45"/>
      <c r="M33" s="45"/>
      <c r="N33" s="45"/>
      <c r="O33" s="45" t="str">
        <f>INDEX(TT[[#This Row],[Language 1]:[Language 10]],1,LanguageSelect)</f>
        <v>Navigation</v>
      </c>
    </row>
    <row r="34" spans="2:15" ht="16.5">
      <c r="B34" s="45">
        <f>ROW()</f>
        <v>34</v>
      </c>
      <c r="C34" s="45" t="s">
        <v>288</v>
      </c>
      <c r="D34" s="45" t="str">
        <f>"Shark2-"&amp;TT[[#This Row],[Tab]]</f>
        <v>Shark2-Virtual Marine Environment</v>
      </c>
      <c r="E34" s="45" t="s">
        <v>297</v>
      </c>
      <c r="F34" s="45" t="s">
        <v>298</v>
      </c>
      <c r="G34" s="45" t="s">
        <v>299</v>
      </c>
      <c r="H34" s="45"/>
      <c r="I34" s="45"/>
      <c r="J34" s="45"/>
      <c r="K34" s="45"/>
      <c r="L34" s="45"/>
      <c r="M34" s="45"/>
      <c r="N34" s="45"/>
      <c r="O34" s="45" t="str">
        <f>INDEX(TT[[#This Row],[Language 1]:[Language 10]],1,LanguageSelect)</f>
        <v>Marine Life</v>
      </c>
    </row>
    <row r="35" spans="2:15" ht="16.5">
      <c r="B35" s="45">
        <f>ROW()</f>
        <v>35</v>
      </c>
      <c r="C35" s="45" t="s">
        <v>288</v>
      </c>
      <c r="D35" s="45" t="str">
        <f>"Shark2-"&amp;TT[[#This Row],[Tab]]</f>
        <v>Shark2-Virtual Marine Environment</v>
      </c>
      <c r="E35" s="45" t="s">
        <v>148</v>
      </c>
      <c r="F35" s="45" t="s">
        <v>300</v>
      </c>
      <c r="G35" s="45" t="s">
        <v>301</v>
      </c>
      <c r="H35" s="45"/>
      <c r="I35" s="45"/>
      <c r="J35" s="45"/>
      <c r="K35" s="45"/>
      <c r="L35" s="45"/>
      <c r="M35" s="45"/>
      <c r="N35" s="45"/>
      <c r="O35" s="45" t="str">
        <f>INDEX(TT[[#This Row],[Language 1]:[Language 10]],1,LanguageSelect)</f>
        <v>Dolphin</v>
      </c>
    </row>
    <row r="36" spans="2:15" ht="16.5">
      <c r="B36" s="45">
        <f>ROW()</f>
        <v>36</v>
      </c>
      <c r="C36" s="45" t="s">
        <v>288</v>
      </c>
      <c r="D36" s="45" t="str">
        <f>"Shark2-"&amp;TT[[#This Row],[Tab]]</f>
        <v>Shark2-Virtual Marine Environment</v>
      </c>
      <c r="E36" s="45" t="s">
        <v>150</v>
      </c>
      <c r="F36" s="45" t="s">
        <v>302</v>
      </c>
      <c r="G36" s="45" t="s">
        <v>303</v>
      </c>
      <c r="H36" s="45"/>
      <c r="I36" s="45"/>
      <c r="J36" s="45"/>
      <c r="K36" s="45"/>
      <c r="L36" s="45"/>
      <c r="M36" s="45"/>
      <c r="N36" s="45"/>
      <c r="O36" s="45" t="str">
        <f>INDEX(TT[[#This Row],[Language 1]:[Language 10]],1,LanguageSelect)</f>
        <v>Sting Ray</v>
      </c>
    </row>
    <row r="37" spans="2:15" ht="16.5">
      <c r="B37" s="45">
        <f>ROW()</f>
        <v>37</v>
      </c>
      <c r="C37" s="45" t="s">
        <v>288</v>
      </c>
      <c r="D37" s="45" t="str">
        <f>"Shark2-"&amp;TT[[#This Row],[Tab]]</f>
        <v>Shark2-Virtual Marine Environment</v>
      </c>
      <c r="E37" s="45" t="s">
        <v>152</v>
      </c>
      <c r="F37" s="45" t="s">
        <v>152</v>
      </c>
      <c r="G37" s="45" t="s">
        <v>152</v>
      </c>
      <c r="H37" s="45"/>
      <c r="I37" s="45"/>
      <c r="J37" s="45"/>
      <c r="K37" s="45"/>
      <c r="L37" s="45"/>
      <c r="M37" s="45"/>
      <c r="N37" s="45"/>
      <c r="O37" s="45" t="str">
        <f>INDEX(TT[[#This Row],[Language 1]:[Language 10]],1,LanguageSelect)</f>
        <v>Orca</v>
      </c>
    </row>
    <row r="38" spans="2:15" ht="16.5">
      <c r="B38" s="45">
        <f>ROW()</f>
        <v>38</v>
      </c>
      <c r="C38" s="45" t="s">
        <v>288</v>
      </c>
      <c r="D38" s="45" t="str">
        <f>"Shark2-"&amp;TT[[#This Row],[Tab]]</f>
        <v>Shark2-Virtual Marine Environment</v>
      </c>
      <c r="E38" s="45" t="s">
        <v>154</v>
      </c>
      <c r="F38" s="45" t="s">
        <v>304</v>
      </c>
      <c r="G38" s="45" t="s">
        <v>305</v>
      </c>
      <c r="H38" s="45"/>
      <c r="I38" s="45"/>
      <c r="J38" s="45"/>
      <c r="K38" s="45"/>
      <c r="L38" s="45"/>
      <c r="M38" s="45"/>
      <c r="N38" s="45"/>
      <c r="O38" s="45" t="str">
        <f>INDEX(TT[[#This Row],[Language 1]:[Language 10]],1,LanguageSelect)</f>
        <v>Jellyfish</v>
      </c>
    </row>
    <row r="39" spans="2:15" ht="16.5">
      <c r="B39" s="45">
        <f>ROW()</f>
        <v>39</v>
      </c>
      <c r="C39" s="45" t="s">
        <v>288</v>
      </c>
      <c r="D39" s="45" t="str">
        <f>"Shark2-"&amp;TT[[#This Row],[Tab]]</f>
        <v>Shark2-Virtual Marine Environment</v>
      </c>
      <c r="E39" s="45" t="s">
        <v>158</v>
      </c>
      <c r="F39" s="45" t="s">
        <v>306</v>
      </c>
      <c r="G39" s="45" t="s">
        <v>307</v>
      </c>
      <c r="H39" s="45"/>
      <c r="I39" s="45"/>
      <c r="J39" s="45"/>
      <c r="K39" s="45"/>
      <c r="L39" s="45"/>
      <c r="M39" s="45"/>
      <c r="N39" s="45"/>
      <c r="O39" s="45" t="str">
        <f>INDEX(TT[[#This Row],[Language 1]:[Language 10]],1,LanguageSelect)</f>
        <v>Turtle</v>
      </c>
    </row>
    <row r="40" spans="2:15" ht="16.5">
      <c r="B40" s="45">
        <f>ROW()</f>
        <v>40</v>
      </c>
      <c r="C40" s="45" t="s">
        <v>288</v>
      </c>
      <c r="D40" s="45" t="str">
        <f>"Shark2-"&amp;TT[[#This Row],[Tab]]</f>
        <v>Shark2-Virtual Marine Environment</v>
      </c>
      <c r="E40" s="45" t="s">
        <v>161</v>
      </c>
      <c r="F40" s="45" t="s">
        <v>308</v>
      </c>
      <c r="G40" s="45" t="s">
        <v>309</v>
      </c>
      <c r="H40" s="45"/>
      <c r="I40" s="45"/>
      <c r="J40" s="45"/>
      <c r="K40" s="45"/>
      <c r="L40" s="45"/>
      <c r="M40" s="45"/>
      <c r="N40" s="45"/>
      <c r="O40" s="45" t="str">
        <f>INDEX(TT[[#This Row],[Language 1]:[Language 10]],1,LanguageSelect)</f>
        <v>Hammerhead</v>
      </c>
    </row>
    <row r="41" spans="2:15" ht="16.5">
      <c r="B41" s="45">
        <f>ROW()</f>
        <v>41</v>
      </c>
      <c r="C41" s="45" t="s">
        <v>288</v>
      </c>
      <c r="D41" s="45" t="str">
        <f>"Shark2-"&amp;TT[[#This Row],[Tab]]</f>
        <v>Shark2-Virtual Marine Environment</v>
      </c>
      <c r="E41" s="45" t="s">
        <v>162</v>
      </c>
      <c r="F41" s="45" t="s">
        <v>310</v>
      </c>
      <c r="G41" s="45" t="s">
        <v>311</v>
      </c>
      <c r="H41" s="45"/>
      <c r="I41" s="45"/>
      <c r="J41" s="45"/>
      <c r="K41" s="45"/>
      <c r="L41" s="45"/>
      <c r="M41" s="45"/>
      <c r="N41" s="45"/>
      <c r="O41" s="45" t="str">
        <f>INDEX(TT[[#This Row],[Language 1]:[Language 10]],1,LanguageSelect)</f>
        <v>Octopus</v>
      </c>
    </row>
    <row r="42" spans="2:15" ht="16.5">
      <c r="B42" s="45">
        <f>ROW()</f>
        <v>42</v>
      </c>
      <c r="C42" s="45" t="s">
        <v>288</v>
      </c>
      <c r="D42" s="45" t="str">
        <f>"Shark2-"&amp;TT[[#This Row],[Tab]]</f>
        <v>Shark2-Virtual Marine Environment</v>
      </c>
      <c r="E42" s="45" t="s">
        <v>163</v>
      </c>
      <c r="F42" s="45" t="s">
        <v>312</v>
      </c>
      <c r="G42" s="45" t="s">
        <v>313</v>
      </c>
      <c r="H42" s="45"/>
      <c r="I42" s="45"/>
      <c r="J42" s="45"/>
      <c r="K42" s="45"/>
      <c r="L42" s="45"/>
      <c r="M42" s="45"/>
      <c r="N42" s="45"/>
      <c r="O42" s="45" t="str">
        <f>INDEX(TT[[#This Row],[Language 1]:[Language 10]],1,LanguageSelect)</f>
        <v>Crab</v>
      </c>
    </row>
    <row r="43" spans="2:15" ht="16.5">
      <c r="B43" s="45">
        <f>ROW()</f>
        <v>43</v>
      </c>
      <c r="C43" s="45" t="s">
        <v>288</v>
      </c>
      <c r="D43" s="45" t="str">
        <f>"Shark2-"&amp;TT[[#This Row],[Tab]]</f>
        <v>Shark2-Virtual Marine Environment</v>
      </c>
      <c r="E43" s="45" t="s">
        <v>314</v>
      </c>
      <c r="F43" s="45" t="s">
        <v>315</v>
      </c>
      <c r="G43" s="45" t="s">
        <v>316</v>
      </c>
      <c r="H43" s="45"/>
      <c r="I43" s="45"/>
      <c r="J43" s="45"/>
      <c r="K43" s="45"/>
      <c r="L43" s="45"/>
      <c r="M43" s="45"/>
      <c r="N43" s="45"/>
      <c r="O43" s="45" t="str">
        <f>INDEX(TT[[#This Row],[Language 1]:[Language 10]],1,LanguageSelect)</f>
        <v>Dolphins</v>
      </c>
    </row>
    <row r="44" spans="2:15" ht="16.5">
      <c r="B44" s="45">
        <f>ROW()</f>
        <v>44</v>
      </c>
      <c r="C44" s="45" t="s">
        <v>288</v>
      </c>
      <c r="D44" s="45" t="str">
        <f>"Shark2-"&amp;TT[[#This Row],[Tab]]</f>
        <v>Shark2-Virtual Marine Environment</v>
      </c>
      <c r="E44" s="45" t="s">
        <v>317</v>
      </c>
      <c r="F44" s="45" t="s">
        <v>318</v>
      </c>
      <c r="G44" s="45" t="s">
        <v>319</v>
      </c>
      <c r="H44" s="45"/>
      <c r="I44" s="45"/>
      <c r="J44" s="45"/>
      <c r="K44" s="45"/>
      <c r="L44" s="45"/>
      <c r="M44" s="45"/>
      <c r="N44" s="45"/>
      <c r="O44" s="45" t="str">
        <f>INDEX(TT[[#This Row],[Language 1]:[Language 10]],1,LanguageSelect)</f>
        <v>Sting Rays</v>
      </c>
    </row>
    <row r="45" spans="2:15" ht="16.5">
      <c r="B45" s="45">
        <f>ROW()</f>
        <v>45</v>
      </c>
      <c r="C45" s="45" t="s">
        <v>288</v>
      </c>
      <c r="D45" s="45" t="str">
        <f>"Shark2-"&amp;TT[[#This Row],[Tab]]</f>
        <v>Shark2-Virtual Marine Environment</v>
      </c>
      <c r="E45" s="45" t="s">
        <v>320</v>
      </c>
      <c r="F45" s="45" t="s">
        <v>320</v>
      </c>
      <c r="G45" s="45" t="s">
        <v>320</v>
      </c>
      <c r="H45" s="45"/>
      <c r="I45" s="45"/>
      <c r="J45" s="45"/>
      <c r="K45" s="45"/>
      <c r="L45" s="45"/>
      <c r="M45" s="45"/>
      <c r="N45" s="45"/>
      <c r="O45" s="45" t="str">
        <f>INDEX(TT[[#This Row],[Language 1]:[Language 10]],1,LanguageSelect)</f>
        <v>Orcas</v>
      </c>
    </row>
    <row r="46" spans="2:15" ht="16.5">
      <c r="B46" s="45">
        <f>ROW()</f>
        <v>46</v>
      </c>
      <c r="C46" s="45" t="s">
        <v>288</v>
      </c>
      <c r="D46" s="45" t="str">
        <f>"Shark2-"&amp;TT[[#This Row],[Tab]]</f>
        <v>Shark2-Virtual Marine Environment</v>
      </c>
      <c r="E46" s="45" t="s">
        <v>154</v>
      </c>
      <c r="F46" s="45" t="s">
        <v>304</v>
      </c>
      <c r="G46" s="45" t="s">
        <v>305</v>
      </c>
      <c r="H46" s="45"/>
      <c r="I46" s="45"/>
      <c r="J46" s="45"/>
      <c r="K46" s="45"/>
      <c r="L46" s="45"/>
      <c r="M46" s="45"/>
      <c r="N46" s="45"/>
      <c r="O46" s="45" t="str">
        <f>INDEX(TT[[#This Row],[Language 1]:[Language 10]],1,LanguageSelect)</f>
        <v>Jellyfish</v>
      </c>
    </row>
    <row r="47" spans="2:15" ht="16.5">
      <c r="B47" s="45">
        <f>ROW()</f>
        <v>47</v>
      </c>
      <c r="C47" s="45" t="s">
        <v>288</v>
      </c>
      <c r="D47" s="45" t="str">
        <f>"Shark2-"&amp;TT[[#This Row],[Tab]]</f>
        <v>Shark2-Virtual Marine Environment</v>
      </c>
      <c r="E47" s="45" t="s">
        <v>321</v>
      </c>
      <c r="F47" s="45" t="s">
        <v>322</v>
      </c>
      <c r="G47" s="45" t="s">
        <v>323</v>
      </c>
      <c r="H47" s="45"/>
      <c r="I47" s="45"/>
      <c r="J47" s="45"/>
      <c r="K47" s="45"/>
      <c r="L47" s="45"/>
      <c r="M47" s="45"/>
      <c r="N47" s="45"/>
      <c r="O47" s="45" t="str">
        <f>INDEX(TT[[#This Row],[Language 1]:[Language 10]],1,LanguageSelect)</f>
        <v>Turtles</v>
      </c>
    </row>
    <row r="48" spans="2:15" ht="16.5">
      <c r="B48" s="45">
        <f>ROW()</f>
        <v>48</v>
      </c>
      <c r="C48" s="45" t="s">
        <v>288</v>
      </c>
      <c r="D48" s="45" t="str">
        <f>"Shark2-"&amp;TT[[#This Row],[Tab]]</f>
        <v>Shark2-Virtual Marine Environment</v>
      </c>
      <c r="E48" s="45" t="s">
        <v>324</v>
      </c>
      <c r="F48" s="45" t="s">
        <v>325</v>
      </c>
      <c r="G48" s="45" t="s">
        <v>326</v>
      </c>
      <c r="H48" s="45"/>
      <c r="I48" s="45"/>
      <c r="J48" s="45"/>
      <c r="K48" s="45"/>
      <c r="L48" s="45"/>
      <c r="M48" s="45"/>
      <c r="N48" s="45"/>
      <c r="O48" s="45" t="str">
        <f>INDEX(TT[[#This Row],[Language 1]:[Language 10]],1,LanguageSelect)</f>
        <v>Hammerheads</v>
      </c>
    </row>
    <row r="49" spans="2:15" ht="16.5">
      <c r="B49" s="45">
        <f>ROW()</f>
        <v>49</v>
      </c>
      <c r="C49" s="45" t="s">
        <v>288</v>
      </c>
      <c r="D49" s="45" t="str">
        <f>"Shark2-"&amp;TT[[#This Row],[Tab]]</f>
        <v>Shark2-Virtual Marine Environment</v>
      </c>
      <c r="E49" s="45" t="s">
        <v>327</v>
      </c>
      <c r="F49" s="45" t="s">
        <v>328</v>
      </c>
      <c r="G49" s="45" t="s">
        <v>329</v>
      </c>
      <c r="H49" s="45"/>
      <c r="I49" s="45"/>
      <c r="J49" s="45"/>
      <c r="K49" s="45"/>
      <c r="L49" s="45"/>
      <c r="M49" s="45"/>
      <c r="N49" s="45"/>
      <c r="O49" s="45" t="str">
        <f>INDEX(TT[[#This Row],[Language 1]:[Language 10]],1,LanguageSelect)</f>
        <v>Octopi</v>
      </c>
    </row>
    <row r="50" spans="2:15" ht="16.5">
      <c r="B50" s="45">
        <f>ROW()</f>
        <v>50</v>
      </c>
      <c r="C50" s="45" t="s">
        <v>288</v>
      </c>
      <c r="D50" s="45" t="str">
        <f>"Shark2-"&amp;TT[[#This Row],[Tab]]</f>
        <v>Shark2-Virtual Marine Environment</v>
      </c>
      <c r="E50" s="45" t="s">
        <v>330</v>
      </c>
      <c r="F50" s="45" t="s">
        <v>331</v>
      </c>
      <c r="G50" s="45" t="s">
        <v>332</v>
      </c>
      <c r="H50" s="45"/>
      <c r="I50" s="45"/>
      <c r="J50" s="45"/>
      <c r="K50" s="45"/>
      <c r="L50" s="45"/>
      <c r="M50" s="45"/>
      <c r="N50" s="45"/>
      <c r="O50" s="45" t="str">
        <f>INDEX(TT[[#This Row],[Language 1]:[Language 10]],1,LanguageSelect)</f>
        <v>Crabs</v>
      </c>
    </row>
    <row r="51" spans="2:15" ht="16.5">
      <c r="B51" s="45">
        <f>ROW()</f>
        <v>51</v>
      </c>
      <c r="C51" s="45" t="s">
        <v>288</v>
      </c>
      <c r="D51" s="45" t="str">
        <f>"Shark2-"&amp;TT[[#This Row],[Tab]]</f>
        <v>Shark2-Virtual Marine Environment</v>
      </c>
      <c r="E51" s="45" t="s">
        <v>333</v>
      </c>
      <c r="F51" s="45" t="s">
        <v>334</v>
      </c>
      <c r="G51" s="45" t="s">
        <v>335</v>
      </c>
      <c r="H51" s="45"/>
      <c r="I51" s="45"/>
      <c r="J51" s="45"/>
      <c r="K51" s="45"/>
      <c r="L51" s="45"/>
      <c r="M51" s="45"/>
      <c r="N51" s="45"/>
      <c r="O51" s="45" t="str">
        <f>INDEX(TT[[#This Row],[Language 1]:[Language 10]],1,LanguageSelect)</f>
        <v>Here you can use your robotic shark to explore the ocean. Use your controller to guide its movement.</v>
      </c>
    </row>
    <row r="52" spans="2:15" ht="16.5">
      <c r="B52" s="45">
        <f>ROW()</f>
        <v>52</v>
      </c>
      <c r="C52" s="45" t="s">
        <v>288</v>
      </c>
      <c r="D52" s="45" t="str">
        <f>"Shark2-"&amp;TT[[#This Row],[Tab]]</f>
        <v>Shark2-Virtual Marine Environment</v>
      </c>
      <c r="E52" s="45" t="s">
        <v>336</v>
      </c>
      <c r="F52" s="45" t="s">
        <v>337</v>
      </c>
      <c r="G52" s="45" t="s">
        <v>338</v>
      </c>
      <c r="H52" s="45"/>
      <c r="I52" s="45"/>
      <c r="J52" s="45"/>
      <c r="K52" s="45"/>
      <c r="L52" s="45"/>
      <c r="M52" s="45"/>
      <c r="N52" s="45"/>
      <c r="O52" s="45" t="str">
        <f>INDEX(TT[[#This Row],[Language 1]:[Language 10]],1,LanguageSelect)</f>
        <v xml:space="preserve">It looks like you stopped to examine a dolphin after seeing </v>
      </c>
    </row>
    <row r="53" spans="2:15" ht="16.5">
      <c r="B53" s="45">
        <f>ROW()</f>
        <v>53</v>
      </c>
      <c r="C53" s="45" t="s">
        <v>288</v>
      </c>
      <c r="D53" s="45" t="str">
        <f>"Shark2-"&amp;TT[[#This Row],[Tab]]</f>
        <v>Shark2-Virtual Marine Environment</v>
      </c>
      <c r="E53" s="45" t="s">
        <v>339</v>
      </c>
      <c r="F53" s="45" t="s">
        <v>340</v>
      </c>
      <c r="G53" s="45" t="s">
        <v>341</v>
      </c>
      <c r="H53" s="45"/>
      <c r="I53" s="45"/>
      <c r="J53" s="45"/>
      <c r="K53" s="45"/>
      <c r="L53" s="45"/>
      <c r="M53" s="45"/>
      <c r="N53" s="45"/>
      <c r="O53" s="45" t="str">
        <f>INDEX(TT[[#This Row],[Language 1]:[Language 10]],1,LanguageSelect)</f>
        <v xml:space="preserve">It looks like you stopped to examine a sting ray after seeing </v>
      </c>
    </row>
    <row r="54" spans="2:15" ht="16.5">
      <c r="B54" s="45">
        <f>ROW()</f>
        <v>54</v>
      </c>
      <c r="C54" s="45" t="s">
        <v>288</v>
      </c>
      <c r="D54" s="45" t="str">
        <f>"Shark2-"&amp;TT[[#This Row],[Tab]]</f>
        <v>Shark2-Virtual Marine Environment</v>
      </c>
      <c r="E54" s="45" t="s">
        <v>342</v>
      </c>
      <c r="F54" s="45" t="s">
        <v>343</v>
      </c>
      <c r="G54" s="45" t="s">
        <v>344</v>
      </c>
      <c r="H54" s="45"/>
      <c r="I54" s="45"/>
      <c r="J54" s="45"/>
      <c r="K54" s="45"/>
      <c r="L54" s="45"/>
      <c r="M54" s="45"/>
      <c r="N54" s="45"/>
      <c r="O54" s="45" t="str">
        <f>INDEX(TT[[#This Row],[Language 1]:[Language 10]],1,LanguageSelect)</f>
        <v xml:space="preserve">It looks like you stopped to examine an orca after seeing </v>
      </c>
    </row>
    <row r="55" spans="2:15" ht="16.5">
      <c r="B55" s="45">
        <f>ROW()</f>
        <v>55</v>
      </c>
      <c r="C55" s="45" t="s">
        <v>288</v>
      </c>
      <c r="D55" s="45" t="str">
        <f>"Shark2-"&amp;TT[[#This Row],[Tab]]</f>
        <v>Shark2-Virtual Marine Environment</v>
      </c>
      <c r="E55" s="45" t="s">
        <v>345</v>
      </c>
      <c r="F55" s="45" t="s">
        <v>346</v>
      </c>
      <c r="G55" s="45" t="s">
        <v>347</v>
      </c>
      <c r="H55" s="45"/>
      <c r="I55" s="45"/>
      <c r="J55" s="45"/>
      <c r="K55" s="45"/>
      <c r="L55" s="45"/>
      <c r="M55" s="45"/>
      <c r="N55" s="45"/>
      <c r="O55" s="45" t="str">
        <f>INDEX(TT[[#This Row],[Language 1]:[Language 10]],1,LanguageSelect)</f>
        <v xml:space="preserve">It looks like you stopped to examine a jellyfish after seeing </v>
      </c>
    </row>
    <row r="56" spans="2:15" ht="16.5">
      <c r="B56" s="45">
        <f>ROW()</f>
        <v>56</v>
      </c>
      <c r="C56" s="45" t="s">
        <v>288</v>
      </c>
      <c r="D56" s="45" t="str">
        <f>"Shark2-"&amp;TT[[#This Row],[Tab]]</f>
        <v>Shark2-Virtual Marine Environment</v>
      </c>
      <c r="E56" s="45" t="s">
        <v>348</v>
      </c>
      <c r="F56" s="45" t="s">
        <v>349</v>
      </c>
      <c r="G56" s="45" t="s">
        <v>350</v>
      </c>
      <c r="H56" s="45"/>
      <c r="I56" s="45"/>
      <c r="J56" s="45"/>
      <c r="K56" s="45"/>
      <c r="L56" s="45"/>
      <c r="M56" s="45"/>
      <c r="N56" s="45"/>
      <c r="O56" s="45" t="str">
        <f>INDEX(TT[[#This Row],[Language 1]:[Language 10]],1,LanguageSelect)</f>
        <v xml:space="preserve">It looks like you stopped to examine a turtle after seeing </v>
      </c>
    </row>
    <row r="57" spans="2:15" ht="16.5">
      <c r="B57" s="45">
        <f>ROW()</f>
        <v>57</v>
      </c>
      <c r="C57" s="45" t="s">
        <v>288</v>
      </c>
      <c r="D57" s="45" t="str">
        <f>"Shark2-"&amp;TT[[#This Row],[Tab]]</f>
        <v>Shark2-Virtual Marine Environment</v>
      </c>
      <c r="E57" s="45" t="s">
        <v>351</v>
      </c>
      <c r="F57" s="45" t="s">
        <v>352</v>
      </c>
      <c r="G57" s="45" t="s">
        <v>353</v>
      </c>
      <c r="H57" s="45"/>
      <c r="I57" s="45"/>
      <c r="J57" s="45"/>
      <c r="K57" s="45"/>
      <c r="L57" s="45"/>
      <c r="M57" s="45"/>
      <c r="N57" s="45"/>
      <c r="O57" s="45" t="str">
        <f>INDEX(TT[[#This Row],[Language 1]:[Language 10]],1,LanguageSelect)</f>
        <v xml:space="preserve">It looks like you stopped to examine a hammerhead after seeing </v>
      </c>
    </row>
    <row r="58" spans="2:15" ht="16.5">
      <c r="B58" s="45">
        <f>ROW()</f>
        <v>58</v>
      </c>
      <c r="C58" s="45" t="s">
        <v>288</v>
      </c>
      <c r="D58" s="45" t="str">
        <f>"Shark2-"&amp;TT[[#This Row],[Tab]]</f>
        <v>Shark2-Virtual Marine Environment</v>
      </c>
      <c r="E58" s="45" t="s">
        <v>354</v>
      </c>
      <c r="F58" s="45" t="s">
        <v>355</v>
      </c>
      <c r="G58" s="45" t="s">
        <v>356</v>
      </c>
      <c r="H58" s="45"/>
      <c r="I58" s="45"/>
      <c r="J58" s="45"/>
      <c r="K58" s="45"/>
      <c r="L58" s="45"/>
      <c r="M58" s="45"/>
      <c r="N58" s="45"/>
      <c r="O58" s="45" t="str">
        <f>INDEX(TT[[#This Row],[Language 1]:[Language 10]],1,LanguageSelect)</f>
        <v xml:space="preserve">It looks like you stopped to examine an octopus after seeing </v>
      </c>
    </row>
    <row r="59" spans="2:15" ht="16.5">
      <c r="B59" s="45">
        <f>ROW()</f>
        <v>59</v>
      </c>
      <c r="C59" s="45" t="s">
        <v>288</v>
      </c>
      <c r="D59" s="45" t="str">
        <f>"Shark2-"&amp;TT[[#This Row],[Tab]]</f>
        <v>Shark2-Virtual Marine Environment</v>
      </c>
      <c r="E59" s="45" t="s">
        <v>357</v>
      </c>
      <c r="F59" s="45" t="s">
        <v>358</v>
      </c>
      <c r="G59" s="45" t="s">
        <v>359</v>
      </c>
      <c r="H59" s="45"/>
      <c r="I59" s="45"/>
      <c r="J59" s="45"/>
      <c r="K59" s="45"/>
      <c r="L59" s="45"/>
      <c r="M59" s="45"/>
      <c r="N59" s="45"/>
      <c r="O59" s="45" t="str">
        <f>INDEX(TT[[#This Row],[Language 1]:[Language 10]],1,LanguageSelect)</f>
        <v xml:space="preserve">It looks like you stopped to examine a crab after seeing </v>
      </c>
    </row>
    <row r="60" spans="2:15" ht="16.5">
      <c r="B60" s="45">
        <f>ROW()</f>
        <v>60</v>
      </c>
      <c r="C60" s="45" t="s">
        <v>288</v>
      </c>
      <c r="D60" s="45" t="str">
        <f>"Shark2-"&amp;TT[[#This Row],[Tab]]</f>
        <v>Shark2-Virtual Marine Environment</v>
      </c>
      <c r="E60" s="45" t="s">
        <v>360</v>
      </c>
      <c r="F60" s="45" t="s">
        <v>361</v>
      </c>
      <c r="G60" s="45" t="s">
        <v>362</v>
      </c>
      <c r="H60" s="45"/>
      <c r="I60" s="45"/>
      <c r="J60" s="45"/>
      <c r="K60" s="45"/>
      <c r="L60" s="45"/>
      <c r="M60" s="45"/>
      <c r="N60" s="45"/>
      <c r="O60" s="45" t="str">
        <f>INDEX(TT[[#This Row],[Language 1]:[Language 10]],1,LanguageSelect)</f>
        <v xml:space="preserve"> other marine creatures</v>
      </c>
    </row>
    <row r="61" spans="2:15" ht="16.5">
      <c r="B61" s="45">
        <f>ROW()</f>
        <v>61</v>
      </c>
      <c r="C61" s="45" t="s">
        <v>288</v>
      </c>
      <c r="D61" s="45" t="str">
        <f>"Shark2-"&amp;TT[[#This Row],[Tab]]</f>
        <v>Shark2-Virtual Marine Environment</v>
      </c>
      <c r="E61" s="45" t="s">
        <v>12</v>
      </c>
      <c r="F61" s="45" t="s">
        <v>363</v>
      </c>
      <c r="G61" s="45" t="s">
        <v>364</v>
      </c>
      <c r="H61" s="45"/>
      <c r="I61" s="45"/>
      <c r="J61" s="45"/>
      <c r="K61" s="45"/>
      <c r="L61" s="45"/>
      <c r="M61" s="45"/>
      <c r="N61" s="45"/>
      <c r="O61" s="45" t="str">
        <f>INDEX(TT[[#This Row],[Language 1]:[Language 10]],1,LanguageSelect)</f>
        <v>Shark</v>
      </c>
    </row>
    <row r="62" spans="2:15" ht="16.5">
      <c r="B62" s="45">
        <f>ROW()</f>
        <v>62</v>
      </c>
      <c r="C62" s="45" t="s">
        <v>288</v>
      </c>
      <c r="D62" s="45" t="str">
        <f>"Shark2-"&amp;TT[[#This Row],[Tab]]</f>
        <v>Shark2-Virtual Marine Environment</v>
      </c>
      <c r="E62" s="45" t="s">
        <v>365</v>
      </c>
      <c r="F62" s="45" t="s">
        <v>366</v>
      </c>
      <c r="G62" s="45" t="s">
        <v>367</v>
      </c>
      <c r="H62" s="45"/>
      <c r="I62" s="45"/>
      <c r="J62" s="45"/>
      <c r="K62" s="45"/>
      <c r="L62" s="45"/>
      <c r="M62" s="45"/>
      <c r="N62" s="45"/>
      <c r="O62" s="45" t="str">
        <f>INDEX(TT[[#This Row],[Language 1]:[Language 10]],1,LanguageSelect)</f>
        <v>Start Exploring &gt;</v>
      </c>
    </row>
    <row r="63" spans="2:15" ht="16.5">
      <c r="B63" s="45">
        <f>ROW()</f>
        <v>63</v>
      </c>
      <c r="C63" s="45" t="s">
        <v>368</v>
      </c>
      <c r="D63" s="45" t="str">
        <f>"Shark2-"&amp;TT[[#This Row],[Tab]]</f>
        <v>Shark2-Setup</v>
      </c>
      <c r="E63" s="45" t="s">
        <v>177</v>
      </c>
      <c r="F63" s="45" t="s">
        <v>369</v>
      </c>
      <c r="G63" s="45" t="s">
        <v>370</v>
      </c>
      <c r="H63" s="45"/>
      <c r="I63" s="45"/>
      <c r="J63" s="45"/>
      <c r="K63" s="45"/>
      <c r="L63" s="45"/>
      <c r="M63" s="45"/>
      <c r="N63" s="45"/>
      <c r="O63" s="45" t="str">
        <f>INDEX(TT[[#This Row],[Language 1]:[Language 10]],1,LanguageSelect)</f>
        <v>rotation</v>
      </c>
    </row>
    <row r="64" spans="2:15" ht="16.5">
      <c r="B64" s="45">
        <f>ROW()</f>
        <v>64</v>
      </c>
      <c r="C64" s="45" t="s">
        <v>368</v>
      </c>
      <c r="D64" s="45" t="str">
        <f>"Shark2-"&amp;TT[[#This Row],[Tab]]</f>
        <v>Shark2-Setup</v>
      </c>
      <c r="E64" s="45" t="s">
        <v>371</v>
      </c>
      <c r="F64" s="45" t="s">
        <v>371</v>
      </c>
      <c r="G64" s="45" t="s">
        <v>372</v>
      </c>
      <c r="H64" s="45"/>
      <c r="I64" s="45"/>
      <c r="J64" s="45"/>
      <c r="K64" s="45"/>
      <c r="L64" s="45"/>
      <c r="M64" s="45"/>
      <c r="N64" s="45"/>
      <c r="O64" s="45" t="str">
        <f>INDEX(TT[[#This Row],[Language 1]:[Language 10]],1,LanguageSelect)</f>
        <v>sin θ</v>
      </c>
    </row>
    <row r="65" spans="2:15" ht="16.5">
      <c r="B65" s="45">
        <f>ROW()</f>
        <v>65</v>
      </c>
      <c r="C65" s="45" t="s">
        <v>368</v>
      </c>
      <c r="D65" s="45" t="str">
        <f>"Shark2-"&amp;TT[[#This Row],[Tab]]</f>
        <v>Shark2-Setup</v>
      </c>
      <c r="E65" s="45" t="s">
        <v>180</v>
      </c>
      <c r="F65" s="45" t="s">
        <v>180</v>
      </c>
      <c r="G65" s="45" t="s">
        <v>180</v>
      </c>
      <c r="H65" s="45"/>
      <c r="I65" s="45"/>
      <c r="J65" s="45"/>
      <c r="K65" s="45"/>
      <c r="L65" s="45"/>
      <c r="M65" s="45"/>
      <c r="N65" s="45"/>
      <c r="O65" s="45" t="str">
        <f>INDEX(TT[[#This Row],[Language 1]:[Language 10]],1,LanguageSelect)</f>
        <v>cos θ</v>
      </c>
    </row>
    <row r="66" spans="2:15" ht="16.5">
      <c r="B66" s="45">
        <f>ROW()</f>
        <v>66</v>
      </c>
      <c r="C66" s="45" t="s">
        <v>368</v>
      </c>
      <c r="D66" s="45" t="str">
        <f>"Shark2-"&amp;TT[[#This Row],[Tab]]</f>
        <v>Shark2-Setup</v>
      </c>
      <c r="E66" s="45" t="s">
        <v>373</v>
      </c>
      <c r="F66" s="45" t="s">
        <v>374</v>
      </c>
      <c r="G66" s="45" t="s">
        <v>375</v>
      </c>
      <c r="H66" s="45"/>
      <c r="I66" s="45"/>
      <c r="J66" s="45"/>
      <c r="K66" s="45"/>
      <c r="L66" s="45"/>
      <c r="M66" s="45"/>
      <c r="N66" s="45"/>
      <c r="O66" s="45" t="str">
        <f>INDEX(TT[[#This Row],[Language 1]:[Language 10]],1,LanguageSelect)</f>
        <v>X rotation for Chart</v>
      </c>
    </row>
    <row r="67" spans="2:15" ht="16.5">
      <c r="B67" s="45">
        <f>ROW()</f>
        <v>67</v>
      </c>
      <c r="C67" s="45" t="s">
        <v>368</v>
      </c>
      <c r="D67" s="45" t="str">
        <f>"Shark2-"&amp;TT[[#This Row],[Tab]]</f>
        <v>Shark2-Setup</v>
      </c>
      <c r="E67" s="45" t="s">
        <v>376</v>
      </c>
      <c r="F67" s="45" t="s">
        <v>377</v>
      </c>
      <c r="G67" s="45" t="s">
        <v>378</v>
      </c>
      <c r="H67" s="45"/>
      <c r="I67" s="45"/>
      <c r="J67" s="45"/>
      <c r="K67" s="45"/>
      <c r="L67" s="45"/>
      <c r="M67" s="45"/>
      <c r="N67" s="45"/>
      <c r="O67" s="45" t="str">
        <f>INDEX(TT[[#This Row],[Language 1]:[Language 10]],1,LanguageSelect)</f>
        <v>Y rotation for Chart</v>
      </c>
    </row>
    <row r="68" spans="2:15" ht="16.5">
      <c r="B68" s="45">
        <f>ROW()</f>
        <v>68</v>
      </c>
      <c r="C68" s="45" t="s">
        <v>368</v>
      </c>
      <c r="D68" s="45" t="str">
        <f>"Shark2-"&amp;TT[[#This Row],[Tab]]</f>
        <v>Shark2-Setup</v>
      </c>
      <c r="E68" s="45" t="s">
        <v>186</v>
      </c>
      <c r="F68" s="45" t="s">
        <v>379</v>
      </c>
      <c r="G68" s="45" t="s">
        <v>379</v>
      </c>
      <c r="H68" s="45"/>
      <c r="I68" s="45"/>
      <c r="J68" s="45"/>
      <c r="K68" s="45"/>
      <c r="L68" s="45"/>
      <c r="M68" s="45"/>
      <c r="N68" s="45"/>
      <c r="O68" s="45" t="str">
        <f>INDEX(TT[[#This Row],[Language 1]:[Language 10]],1,LanguageSelect)</f>
        <v>Minimum</v>
      </c>
    </row>
    <row r="69" spans="2:15" ht="16.5">
      <c r="B69" s="45">
        <f>ROW()</f>
        <v>69</v>
      </c>
      <c r="C69" s="45" t="s">
        <v>368</v>
      </c>
      <c r="D69" s="45" t="str">
        <f>"Shark2-"&amp;TT[[#This Row],[Tab]]</f>
        <v>Shark2-Setup</v>
      </c>
      <c r="E69" s="45" t="s">
        <v>188</v>
      </c>
      <c r="F69" s="45" t="s">
        <v>380</v>
      </c>
      <c r="G69" s="45" t="s">
        <v>381</v>
      </c>
      <c r="H69" s="45"/>
      <c r="I69" s="45"/>
      <c r="J69" s="45"/>
      <c r="K69" s="45"/>
      <c r="L69" s="45"/>
      <c r="M69" s="45"/>
      <c r="N69" s="45"/>
      <c r="O69" s="45" t="str">
        <f>INDEX(TT[[#This Row],[Language 1]:[Language 10]],1,LanguageSelect)</f>
        <v>Range</v>
      </c>
    </row>
    <row r="70" spans="2:15" ht="16.5">
      <c r="B70" s="45">
        <f>ROW()</f>
        <v>70</v>
      </c>
      <c r="C70" s="45" t="s">
        <v>368</v>
      </c>
      <c r="D70" s="45" t="str">
        <f>"Shark2-"&amp;TT[[#This Row],[Tab]]</f>
        <v>Shark2-Setup</v>
      </c>
      <c r="E70" s="45" t="s">
        <v>190</v>
      </c>
      <c r="F70" s="45" t="s">
        <v>382</v>
      </c>
      <c r="G70" s="45" t="s">
        <v>383</v>
      </c>
      <c r="H70" s="45"/>
      <c r="I70" s="45"/>
      <c r="J70" s="45"/>
      <c r="K70" s="45"/>
      <c r="L70" s="45"/>
      <c r="M70" s="45"/>
      <c r="N70" s="45"/>
      <c r="O70" s="45" t="str">
        <f>INDEX(TT[[#This Row],[Language 1]:[Language 10]],1,LanguageSelect)</f>
        <v>Scaling ratio</v>
      </c>
    </row>
    <row r="71" spans="2:15" ht="16.5">
      <c r="B71" s="45">
        <f>ROW()</f>
        <v>71</v>
      </c>
      <c r="C71" s="45" t="s">
        <v>384</v>
      </c>
      <c r="D71" s="45" t="str">
        <f>"Shark2-"&amp;TT[[#This Row],[Tab]]</f>
        <v>Shark2-Data In</v>
      </c>
      <c r="E71" s="45" t="s">
        <v>385</v>
      </c>
      <c r="F71" s="45" t="s">
        <v>386</v>
      </c>
      <c r="G71" s="45" t="s">
        <v>387</v>
      </c>
      <c r="H71" s="45"/>
      <c r="I71" s="45"/>
      <c r="J71" s="45"/>
      <c r="K71" s="45"/>
      <c r="L71" s="45"/>
      <c r="M71" s="45"/>
      <c r="N71" s="45"/>
      <c r="O71" s="45" t="str">
        <f>INDEX(TT[[#This Row],[Language 1]:[Language 10]],1,LanguageSelect)</f>
        <v>Data In (From Source)</v>
      </c>
    </row>
    <row r="72" spans="2:15" ht="16.5">
      <c r="B72" s="45">
        <f>ROW()</f>
        <v>72</v>
      </c>
      <c r="C72" s="45" t="s">
        <v>384</v>
      </c>
      <c r="D72" s="45" t="str">
        <f>"Shark2-"&amp;TT[[#This Row],[Tab]]</f>
        <v>Shark2-Data In</v>
      </c>
      <c r="E72" s="45" t="s">
        <v>388</v>
      </c>
      <c r="F72" s="45" t="s">
        <v>389</v>
      </c>
      <c r="G72" s="45" t="s">
        <v>390</v>
      </c>
      <c r="H72" s="45"/>
      <c r="I72" s="45"/>
      <c r="J72" s="45"/>
      <c r="K72" s="45"/>
      <c r="L72" s="45"/>
      <c r="M72" s="45"/>
      <c r="N72" s="45"/>
      <c r="O72" s="45" t="str">
        <f>INDEX(TT[[#This Row],[Language 1]:[Language 10]],1,LanguageSelect)</f>
        <v>Data coming from the current data source will appear below as it is received.</v>
      </c>
    </row>
    <row r="73" spans="2:15" ht="16.5">
      <c r="B73" s="45">
        <f>ROW()</f>
        <v>73</v>
      </c>
      <c r="C73" s="45" t="s">
        <v>384</v>
      </c>
      <c r="D73" s="45" t="str">
        <f>"Shark2-"&amp;TT[[#This Row],[Tab]]</f>
        <v>Shark2-Data In</v>
      </c>
      <c r="E73" s="45" t="s">
        <v>391</v>
      </c>
      <c r="F73" s="45" t="s">
        <v>392</v>
      </c>
      <c r="G73" s="45" t="s">
        <v>393</v>
      </c>
      <c r="H73" s="45"/>
      <c r="I73" s="45"/>
      <c r="J73" s="45"/>
      <c r="K73" s="45"/>
      <c r="L73" s="45"/>
      <c r="M73" s="45"/>
      <c r="N73" s="45"/>
      <c r="O73" s="45" t="str">
        <f>INDEX(TT[[#This Row],[Language 1]:[Language 10]],1,LanguageSelect)</f>
        <v>Current Data</v>
      </c>
    </row>
    <row r="74" spans="2:15" ht="16.5">
      <c r="B74" s="45">
        <f>ROW()</f>
        <v>74</v>
      </c>
      <c r="C74" s="45" t="s">
        <v>384</v>
      </c>
      <c r="D74" s="45" t="str">
        <f>"Shark2-"&amp;TT[[#This Row],[Tab]]</f>
        <v>Shark2-Data In</v>
      </c>
      <c r="E74" s="45" t="s">
        <v>394</v>
      </c>
      <c r="F74" s="45" t="s">
        <v>395</v>
      </c>
      <c r="G74" s="45" t="s">
        <v>396</v>
      </c>
      <c r="H74" s="45"/>
      <c r="I74" s="45"/>
      <c r="J74" s="45"/>
      <c r="K74" s="45"/>
      <c r="L74" s="45"/>
      <c r="M74" s="45"/>
      <c r="N74" s="45"/>
      <c r="O74" s="45" t="str">
        <f>INDEX(TT[[#This Row],[Language 1]:[Language 10]],1,LanguageSelect)</f>
        <v>Time</v>
      </c>
    </row>
    <row r="75" spans="2:15" ht="16.5">
      <c r="B75" s="45">
        <f>ROW()</f>
        <v>75</v>
      </c>
      <c r="C75" s="45" t="s">
        <v>384</v>
      </c>
      <c r="D75" s="45" t="str">
        <f>"Shark2-"&amp;TT[[#This Row],[Tab]]</f>
        <v>Shark2-Data In</v>
      </c>
      <c r="E75" s="45" t="s">
        <v>397</v>
      </c>
      <c r="F75" s="45" t="s">
        <v>398</v>
      </c>
      <c r="G75" s="45" t="s">
        <v>399</v>
      </c>
      <c r="H75" s="45"/>
      <c r="I75" s="45"/>
      <c r="J75" s="45"/>
      <c r="K75" s="45"/>
      <c r="L75" s="45"/>
      <c r="M75" s="45"/>
      <c r="N75" s="45"/>
      <c r="O75" s="45" t="str">
        <f>INDEX(TT[[#This Row],[Language 1]:[Language 10]],1,LanguageSelect)</f>
        <v>X Rotation</v>
      </c>
    </row>
    <row r="76" spans="2:15" ht="16.5">
      <c r="B76" s="45">
        <f>ROW()</f>
        <v>76</v>
      </c>
      <c r="C76" s="45" t="s">
        <v>384</v>
      </c>
      <c r="D76" s="45" t="str">
        <f>"Shark2-"&amp;TT[[#This Row],[Tab]]</f>
        <v>Shark2-Data In</v>
      </c>
      <c r="E76" s="45" t="s">
        <v>400</v>
      </c>
      <c r="F76" s="45" t="s">
        <v>401</v>
      </c>
      <c r="G76" s="45" t="s">
        <v>402</v>
      </c>
      <c r="H76" s="45"/>
      <c r="I76" s="45"/>
      <c r="J76" s="45"/>
      <c r="K76" s="45"/>
      <c r="L76" s="45"/>
      <c r="M76" s="45"/>
      <c r="N76" s="45"/>
      <c r="O76" s="45" t="str">
        <f>INDEX(TT[[#This Row],[Language 1]:[Language 10]],1,LanguageSelect)</f>
        <v>Y Rotation</v>
      </c>
    </row>
    <row r="77" spans="2:15" ht="16.5">
      <c r="B77" s="45">
        <f>ROW()</f>
        <v>77</v>
      </c>
      <c r="C77" s="45" t="s">
        <v>384</v>
      </c>
      <c r="D77" s="45" t="str">
        <f>"Shark2-"&amp;TT[[#This Row],[Tab]]</f>
        <v>Shark2-Data In</v>
      </c>
      <c r="E77" s="45" t="s">
        <v>403</v>
      </c>
      <c r="F77" s="45" t="s">
        <v>404</v>
      </c>
      <c r="G77" s="45" t="s">
        <v>405</v>
      </c>
      <c r="H77" s="45"/>
      <c r="I77" s="45"/>
      <c r="J77" s="45"/>
      <c r="K77" s="45"/>
      <c r="L77" s="45"/>
      <c r="M77" s="45"/>
      <c r="N77" s="45"/>
      <c r="O77" s="45" t="str">
        <f>INDEX(TT[[#This Row],[Language 1]:[Language 10]],1,LanguageSelect)</f>
        <v>Z Rotation</v>
      </c>
    </row>
    <row r="78" spans="2:15" ht="16.5">
      <c r="B78" s="45">
        <f>ROW()</f>
        <v>78</v>
      </c>
      <c r="C78" s="45" t="s">
        <v>384</v>
      </c>
      <c r="D78" s="45" t="str">
        <f>"Shark2-"&amp;TT[[#This Row],[Tab]]</f>
        <v>Shark2-Data In</v>
      </c>
      <c r="E78" s="45" t="s">
        <v>406</v>
      </c>
      <c r="F78" s="45" t="s">
        <v>407</v>
      </c>
      <c r="G78" s="45" t="s">
        <v>408</v>
      </c>
      <c r="H78" s="45"/>
      <c r="I78" s="45"/>
      <c r="J78" s="45"/>
      <c r="K78" s="45"/>
      <c r="L78" s="45"/>
      <c r="M78" s="45"/>
      <c r="N78" s="45"/>
      <c r="O78" s="45" t="str">
        <f>INDEX(TT[[#This Row],[Language 1]:[Language 10]],1,LanguageSelect)</f>
        <v>X Position</v>
      </c>
    </row>
    <row r="79" spans="2:15" ht="16.5">
      <c r="B79" s="45">
        <f>ROW()</f>
        <v>79</v>
      </c>
      <c r="C79" s="45" t="s">
        <v>384</v>
      </c>
      <c r="D79" s="45" t="str">
        <f>"Shark2-"&amp;TT[[#This Row],[Tab]]</f>
        <v>Shark2-Data In</v>
      </c>
      <c r="E79" s="45" t="s">
        <v>409</v>
      </c>
      <c r="F79" s="45" t="s">
        <v>410</v>
      </c>
      <c r="G79" s="45" t="s">
        <v>411</v>
      </c>
      <c r="H79" s="45"/>
      <c r="I79" s="45"/>
      <c r="J79" s="45"/>
      <c r="K79" s="45"/>
      <c r="L79" s="45"/>
      <c r="M79" s="45"/>
      <c r="N79" s="45"/>
      <c r="O79" s="45" t="str">
        <f>INDEX(TT[[#This Row],[Language 1]:[Language 10]],1,LanguageSelect)</f>
        <v>Y Position</v>
      </c>
    </row>
    <row r="80" spans="2:15" ht="16.5">
      <c r="B80" s="45">
        <f>ROW()</f>
        <v>80</v>
      </c>
      <c r="C80" s="45" t="s">
        <v>384</v>
      </c>
      <c r="D80" s="45" t="str">
        <f>"Shark2-"&amp;TT[[#This Row],[Tab]]</f>
        <v>Shark2-Data In</v>
      </c>
      <c r="E80" s="45" t="s">
        <v>412</v>
      </c>
      <c r="F80" s="45" t="s">
        <v>413</v>
      </c>
      <c r="G80" s="45" t="s">
        <v>414</v>
      </c>
      <c r="H80" s="45"/>
      <c r="I80" s="45"/>
      <c r="J80" s="45"/>
      <c r="K80" s="45"/>
      <c r="L80" s="45"/>
      <c r="M80" s="45"/>
      <c r="N80" s="45"/>
      <c r="O80" s="45" t="str">
        <f>INDEX(TT[[#This Row],[Language 1]:[Language 10]],1,LanguageSelect)</f>
        <v>Z Position</v>
      </c>
    </row>
    <row r="81" spans="2:15" ht="16.5">
      <c r="B81" s="45">
        <f>ROW()</f>
        <v>81</v>
      </c>
      <c r="C81" s="45" t="s">
        <v>384</v>
      </c>
      <c r="D81" s="45" t="str">
        <f>"Shark2-"&amp;TT[[#This Row],[Tab]]</f>
        <v>Shark2-Data In</v>
      </c>
      <c r="E81" s="45" t="s">
        <v>415</v>
      </c>
      <c r="F81" s="45" t="s">
        <v>416</v>
      </c>
      <c r="G81" s="45" t="s">
        <v>417</v>
      </c>
      <c r="H81" s="45"/>
      <c r="I81" s="45"/>
      <c r="J81" s="45"/>
      <c r="K81" s="45"/>
      <c r="L81" s="45"/>
      <c r="M81" s="45"/>
      <c r="N81" s="45"/>
      <c r="O81" s="45" t="str">
        <f>INDEX(TT[[#This Row],[Language 1]:[Language 10]],1,LanguageSelect)</f>
        <v>End Time</v>
      </c>
    </row>
    <row r="82" spans="2:15" ht="16.5">
      <c r="B82" s="45">
        <f>ROW()</f>
        <v>82</v>
      </c>
      <c r="C82" s="45" t="s">
        <v>384</v>
      </c>
      <c r="D82" s="45" t="str">
        <f>"Shark2-"&amp;TT[[#This Row],[Tab]]</f>
        <v>Shark2-Data In</v>
      </c>
      <c r="E82" s="45" t="s">
        <v>418</v>
      </c>
      <c r="F82" s="45" t="s">
        <v>419</v>
      </c>
      <c r="G82" s="45" t="s">
        <v>420</v>
      </c>
      <c r="H82" s="45"/>
      <c r="I82" s="45"/>
      <c r="J82" s="45"/>
      <c r="K82" s="45"/>
      <c r="L82" s="45"/>
      <c r="M82" s="45"/>
      <c r="N82" s="45"/>
      <c r="O82" s="45" t="str">
        <f>INDEX(TT[[#This Row],[Language 1]:[Language 10]],1,LanguageSelect)</f>
        <v>◀ Newest</v>
      </c>
    </row>
    <row r="83" spans="2:15" ht="16.5">
      <c r="B83" s="45">
        <f>ROW()</f>
        <v>83</v>
      </c>
      <c r="C83" s="45" t="s">
        <v>421</v>
      </c>
      <c r="D83" s="45" t="str">
        <f>"Shark2-"&amp;TT[[#This Row],[Tab]]</f>
        <v>Shark2-Data Out</v>
      </c>
      <c r="E83" s="45" t="s">
        <v>422</v>
      </c>
      <c r="F83" s="45" t="s">
        <v>423</v>
      </c>
      <c r="G83" s="45" t="s">
        <v>424</v>
      </c>
      <c r="H83" s="45"/>
      <c r="I83" s="45"/>
      <c r="J83" s="45"/>
      <c r="K83" s="45"/>
      <c r="L83" s="45"/>
      <c r="M83" s="45"/>
      <c r="N83" s="45"/>
      <c r="O83" s="45" t="str">
        <f>INDEX(TT[[#This Row],[Language 1]:[Language 10]],1,LanguageSelect)</f>
        <v>Data Out (To Device)</v>
      </c>
    </row>
    <row r="84" spans="2:15" ht="16.5">
      <c r="B84" s="45">
        <f>ROW()</f>
        <v>84</v>
      </c>
      <c r="C84" s="45" t="s">
        <v>421</v>
      </c>
      <c r="D84" s="45" t="str">
        <f>"Shark2-"&amp;TT[[#This Row],[Tab]]</f>
        <v>Shark2-Data Out</v>
      </c>
      <c r="E84" s="45" t="s">
        <v>425</v>
      </c>
      <c r="F84" s="45" t="s">
        <v>426</v>
      </c>
      <c r="G84" s="45" t="s">
        <v>427</v>
      </c>
      <c r="H84" s="45"/>
      <c r="I84" s="45"/>
      <c r="J84" s="45"/>
      <c r="K84" s="45"/>
      <c r="L84" s="45"/>
      <c r="M84" s="45"/>
      <c r="N84" s="45"/>
      <c r="O84" s="45" t="str">
        <f>INDEX(TT[[#This Row],[Language 1]:[Language 10]],1,LanguageSelect)</f>
        <v>Data entered into the channels below will be sent to the currently connected device
as a comma-delimited string.</v>
      </c>
    </row>
    <row r="85" spans="2:15" ht="16.5">
      <c r="B85" s="45">
        <f>ROW()</f>
        <v>85</v>
      </c>
      <c r="C85" s="45" t="s">
        <v>421</v>
      </c>
      <c r="D85" s="45" t="str">
        <f>"Shark2-"&amp;TT[[#This Row],[Tab]]</f>
        <v>Shark2-Data Out</v>
      </c>
      <c r="E85" s="45" t="s">
        <v>428</v>
      </c>
      <c r="F85" s="45" t="s">
        <v>429</v>
      </c>
      <c r="G85" s="45" t="s">
        <v>430</v>
      </c>
      <c r="H85" s="45"/>
      <c r="I85" s="45"/>
      <c r="J85" s="45"/>
      <c r="K85" s="45"/>
      <c r="L85" s="45"/>
      <c r="M85" s="45"/>
      <c r="N85" s="45"/>
      <c r="O85" s="45" t="str">
        <f>INDEX(TT[[#This Row],[Language 1]:[Language 10]],1,LanguageSelect)</f>
        <v>Reset</v>
      </c>
    </row>
    <row r="86" spans="2:15" ht="16.5">
      <c r="B86" s="45">
        <f>ROW()</f>
        <v>86</v>
      </c>
      <c r="C86" s="45" t="s">
        <v>431</v>
      </c>
      <c r="D86" s="45" t="str">
        <f>"Shark2-"&amp;TT[[#This Row],[Tab]]</f>
        <v>Shark2-Settings</v>
      </c>
      <c r="E86" s="45" t="s">
        <v>432</v>
      </c>
      <c r="F86" s="45" t="s">
        <v>433</v>
      </c>
      <c r="G86" s="45" t="s">
        <v>434</v>
      </c>
      <c r="H86" s="45"/>
      <c r="I86" s="45"/>
      <c r="J86" s="45"/>
      <c r="K86" s="45"/>
      <c r="L86" s="45"/>
      <c r="M86" s="45"/>
      <c r="N86" s="45"/>
      <c r="O86" s="45" t="str">
        <f>INDEX(TT[[#This Row],[Language 1]:[Language 10]],1,LanguageSelect)</f>
        <v>Workbook Settings</v>
      </c>
    </row>
    <row r="87" spans="2:15" ht="16.5">
      <c r="B87" s="45">
        <f>ROW()</f>
        <v>87</v>
      </c>
      <c r="C87" s="45" t="s">
        <v>431</v>
      </c>
      <c r="D87" s="45" t="str">
        <f>"Shark2-"&amp;TT[[#This Row],[Tab]]</f>
        <v>Shark2-Settings</v>
      </c>
      <c r="E87" s="45" t="s">
        <v>435</v>
      </c>
      <c r="F87" s="45" t="s">
        <v>436</v>
      </c>
      <c r="G87" s="45" t="s">
        <v>437</v>
      </c>
      <c r="H87" s="45"/>
      <c r="I87" s="45"/>
      <c r="J87" s="45"/>
      <c r="K87" s="45"/>
      <c r="L87" s="45"/>
      <c r="M87" s="45"/>
      <c r="N87" s="45"/>
      <c r="O87" s="45" t="str">
        <f>INDEX(TT[[#This Row],[Language 1]:[Language 10]],1,LanguageSelect)</f>
        <v>Settings below will affect how data is read into the current workbook from data sources. Clear a field's contents to revert to its default setting.</v>
      </c>
    </row>
    <row r="88" spans="2:15" ht="16.5">
      <c r="B88" s="45">
        <f>ROW()</f>
        <v>88</v>
      </c>
      <c r="C88" s="45" t="s">
        <v>431</v>
      </c>
      <c r="D88" s="45" t="str">
        <f>"Shark2-"&amp;TT[[#This Row],[Tab]]</f>
        <v>Shark2-Settings</v>
      </c>
      <c r="E88" s="45" t="s">
        <v>438</v>
      </c>
      <c r="F88" s="45" t="s">
        <v>439</v>
      </c>
      <c r="G88" s="45" t="s">
        <v>440</v>
      </c>
      <c r="H88" s="45"/>
      <c r="I88" s="45"/>
      <c r="J88" s="45"/>
      <c r="K88" s="45"/>
      <c r="L88" s="45"/>
      <c r="M88" s="45"/>
      <c r="N88" s="45"/>
      <c r="O88" s="45" t="str">
        <f>INDEX(TT[[#This Row],[Language 1]:[Language 10]],1,LanguageSelect)</f>
        <v>Data interval (ms):</v>
      </c>
    </row>
    <row r="89" spans="2:15" ht="16.5">
      <c r="B89" s="45">
        <f>ROW()</f>
        <v>89</v>
      </c>
      <c r="C89" s="45" t="s">
        <v>431</v>
      </c>
      <c r="D89" s="45" t="str">
        <f>"Shark2-"&amp;TT[[#This Row],[Tab]]</f>
        <v>Shark2-Settings</v>
      </c>
      <c r="E89" s="45" t="s">
        <v>441</v>
      </c>
      <c r="F89" s="45" t="s">
        <v>442</v>
      </c>
      <c r="G89" s="45" t="s">
        <v>443</v>
      </c>
      <c r="H89" s="45"/>
      <c r="I89" s="45"/>
      <c r="J89" s="45"/>
      <c r="K89" s="45"/>
      <c r="L89" s="45"/>
      <c r="M89" s="45"/>
      <c r="N89" s="45"/>
      <c r="O89" s="45" t="str">
        <f>INDEX(TT[[#This Row],[Language 1]:[Language 10]],1,LanguageSelect)</f>
        <v>Data rows:</v>
      </c>
    </row>
    <row r="90" spans="2:15" ht="16.5">
      <c r="B90" s="45">
        <f>ROW()</f>
        <v>90</v>
      </c>
      <c r="C90" s="45" t="s">
        <v>431</v>
      </c>
      <c r="D90" s="45" t="str">
        <f>"Shark2-"&amp;TT[[#This Row],[Tab]]</f>
        <v>Shark2-Settings</v>
      </c>
      <c r="E90" s="45" t="s">
        <v>444</v>
      </c>
      <c r="F90" s="45" t="s">
        <v>445</v>
      </c>
      <c r="G90" s="45" t="s">
        <v>446</v>
      </c>
      <c r="H90" s="45"/>
      <c r="I90" s="45"/>
      <c r="J90" s="45"/>
      <c r="K90" s="45"/>
      <c r="L90" s="45"/>
      <c r="M90" s="45"/>
      <c r="N90" s="45"/>
      <c r="O90" s="45" t="str">
        <f>INDEX(TT[[#This Row],[Language 1]:[Language 10]],1,LanguageSelect)</f>
        <v>Data channels:</v>
      </c>
    </row>
    <row r="91" spans="2:15" ht="16.5">
      <c r="B91" s="45">
        <f>ROW()</f>
        <v>91</v>
      </c>
      <c r="C91" s="45" t="s">
        <v>431</v>
      </c>
      <c r="D91" s="45" t="str">
        <f>"Shark2-"&amp;TT[[#This Row],[Tab]]</f>
        <v>Shark2-Settings</v>
      </c>
      <c r="E91" s="45" t="s">
        <v>447</v>
      </c>
      <c r="F91" s="45" t="s">
        <v>448</v>
      </c>
      <c r="G91" s="45" t="s">
        <v>449</v>
      </c>
      <c r="H91" s="45"/>
      <c r="I91" s="45"/>
      <c r="J91" s="45"/>
      <c r="K91" s="45"/>
      <c r="L91" s="45"/>
      <c r="M91" s="45"/>
      <c r="N91" s="45"/>
      <c r="O91" s="45" t="str">
        <f>INDEX(TT[[#This Row],[Language 1]:[Language 10]],1,LanguageSelect)</f>
        <v>Data Orientation:</v>
      </c>
    </row>
    <row r="92" spans="2:15" ht="16.5">
      <c r="B92" s="45">
        <f>ROW()</f>
        <v>92</v>
      </c>
      <c r="C92" s="45" t="s">
        <v>431</v>
      </c>
      <c r="D92" s="45" t="str">
        <f>"Shark2-"&amp;TT[[#This Row],[Tab]]</f>
        <v>Shark2-Settings</v>
      </c>
      <c r="E92" s="45" t="s">
        <v>450</v>
      </c>
      <c r="F92" s="45" t="s">
        <v>450</v>
      </c>
      <c r="G92" s="45" t="s">
        <v>451</v>
      </c>
      <c r="H92" s="45"/>
      <c r="I92" s="45"/>
      <c r="J92" s="45"/>
      <c r="K92" s="45"/>
      <c r="L92" s="45"/>
      <c r="M92" s="45"/>
      <c r="N92" s="45"/>
      <c r="O92" s="45" t="str">
        <f>INDEX(TT[[#This Row],[Language 1]:[Language 10]],1,LanguageSelect)</f>
        <v>WARNING: Changing settings may result in the loss of content and/or custom formatting in the Data In and Data Out worksheets. Always save before changing values.</v>
      </c>
    </row>
    <row r="93" spans="2:15" ht="16.5">
      <c r="B93" s="45">
        <f>ROW()</f>
        <v>93</v>
      </c>
      <c r="C93" s="45" t="s">
        <v>452</v>
      </c>
      <c r="D93" s="45" t="str">
        <f>"Shark2-"&amp;TT[[#This Row],[Tab]]</f>
        <v>Shark2-Animal Graphing</v>
      </c>
      <c r="E93" s="45" t="s">
        <v>84</v>
      </c>
      <c r="F93" s="45" t="s">
        <v>453</v>
      </c>
      <c r="G93" s="45" t="s">
        <v>454</v>
      </c>
      <c r="H93" s="45"/>
      <c r="I93" s="45"/>
      <c r="J93" s="45"/>
      <c r="K93" s="45"/>
      <c r="L93" s="45"/>
      <c r="M93" s="45"/>
      <c r="N93" s="45"/>
      <c r="O93" s="45" t="str">
        <f>INDEX(TT[[#This Row],[Language 1]:[Language 10]],1,LanguageSelect)</f>
        <v>Above Shark</v>
      </c>
    </row>
    <row r="94" spans="2:15" ht="16.5">
      <c r="B94" s="45">
        <f>ROW()</f>
        <v>94</v>
      </c>
      <c r="C94" s="45" t="s">
        <v>452</v>
      </c>
      <c r="D94" s="45" t="str">
        <f>"Shark2-"&amp;TT[[#This Row],[Tab]]</f>
        <v>Shark2-Animal Graphing</v>
      </c>
      <c r="E94" s="45" t="s">
        <v>76</v>
      </c>
      <c r="F94" s="45" t="s">
        <v>455</v>
      </c>
      <c r="G94" s="45" t="s">
        <v>456</v>
      </c>
      <c r="H94" s="45"/>
      <c r="I94" s="45"/>
      <c r="J94" s="45"/>
      <c r="K94" s="45"/>
      <c r="L94" s="45"/>
      <c r="M94" s="45"/>
      <c r="N94" s="45"/>
      <c r="O94" s="45" t="str">
        <f>INDEX(TT[[#This Row],[Language 1]:[Language 10]],1,LanguageSelect)</f>
        <v>Below Shark</v>
      </c>
    </row>
    <row r="95" spans="2:15" ht="16.5">
      <c r="B95" s="45">
        <f>ROW()</f>
        <v>95</v>
      </c>
      <c r="C95" s="45" t="s">
        <v>452</v>
      </c>
      <c r="D95" s="45" t="str">
        <f>"Shark2-"&amp;TT[[#This Row],[Tab]]</f>
        <v>Shark2-Animal Graphing</v>
      </c>
      <c r="E95" s="45" t="s">
        <v>20</v>
      </c>
      <c r="F95" s="45" t="s">
        <v>457</v>
      </c>
      <c r="G95" s="45" t="s">
        <v>458</v>
      </c>
      <c r="H95" s="45"/>
      <c r="I95" s="45"/>
      <c r="J95" s="45"/>
      <c r="K95" s="45"/>
      <c r="L95" s="45"/>
      <c r="M95" s="45"/>
      <c r="N95" s="45"/>
      <c r="O95" s="45" t="str">
        <f>INDEX(TT[[#This Row],[Language 1]:[Language 10]],1,LanguageSelect)</f>
        <v>Head</v>
      </c>
    </row>
    <row r="96" spans="2:15" ht="16.5">
      <c r="B96" s="45">
        <f>ROW()</f>
        <v>96</v>
      </c>
      <c r="C96" s="45" t="s">
        <v>452</v>
      </c>
      <c r="D96" s="45" t="str">
        <f>"Shark2-"&amp;TT[[#This Row],[Tab]]</f>
        <v>Shark2-Animal Graphing</v>
      </c>
      <c r="E96" s="45" t="s">
        <v>459</v>
      </c>
      <c r="F96" s="45" t="s">
        <v>460</v>
      </c>
      <c r="G96" s="45" t="s">
        <v>461</v>
      </c>
      <c r="H96" s="45"/>
      <c r="I96" s="45"/>
      <c r="J96" s="45"/>
      <c r="K96" s="45"/>
      <c r="L96" s="45"/>
      <c r="M96" s="45"/>
      <c r="N96" s="45"/>
      <c r="O96" s="45" t="str">
        <f>INDEX(TT[[#This Row],[Language 1]:[Language 10]],1,LanguageSelect)</f>
        <v>Middle</v>
      </c>
    </row>
    <row r="97" spans="2:15" ht="16.5">
      <c r="B97" s="45">
        <f>ROW()</f>
        <v>97</v>
      </c>
      <c r="C97" s="45" t="s">
        <v>452</v>
      </c>
      <c r="D97" s="45" t="str">
        <f>"Shark2-"&amp;TT[[#This Row],[Tab]]</f>
        <v>Shark2-Animal Graphing</v>
      </c>
      <c r="E97" s="45" t="s">
        <v>24</v>
      </c>
      <c r="F97" s="45" t="s">
        <v>462</v>
      </c>
      <c r="G97" s="45" t="s">
        <v>463</v>
      </c>
      <c r="H97" s="45"/>
      <c r="I97" s="45"/>
      <c r="J97" s="45"/>
      <c r="K97" s="45"/>
      <c r="L97" s="45"/>
      <c r="M97" s="45"/>
      <c r="N97" s="45"/>
      <c r="O97" s="45" t="str">
        <f>INDEX(TT[[#This Row],[Language 1]:[Language 10]],1,LanguageSelect)</f>
        <v>Tail</v>
      </c>
    </row>
    <row r="98" spans="2:15" ht="16.5">
      <c r="B98" s="45">
        <f>ROW()</f>
        <v>98</v>
      </c>
      <c r="C98" s="45" t="s">
        <v>384</v>
      </c>
      <c r="D98" s="45" t="str">
        <f>"Shark2-"&amp;TT[[#This Row],[Tab]]</f>
        <v>Shark2-Data In</v>
      </c>
      <c r="E98" s="45" t="s">
        <v>464</v>
      </c>
      <c r="F98" s="45" t="s">
        <v>465</v>
      </c>
      <c r="G98" s="45" t="s">
        <v>466</v>
      </c>
      <c r="H98" s="45"/>
      <c r="I98" s="45"/>
      <c r="J98" s="45"/>
      <c r="K98" s="45"/>
      <c r="L98" s="45"/>
      <c r="M98" s="45"/>
      <c r="N98" s="45"/>
      <c r="O98" s="45" t="str">
        <f>INDEX(TT[[#This Row],[Language 1]:[Language 10]],1,LanguageSelect)</f>
        <v>Historical Data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B13C-4C12-4610-B031-F2D4E3511967}">
  <sheetPr codeName="Sheet4">
    <tabColor theme="9"/>
  </sheetPr>
  <dimension ref="A2:N23"/>
  <sheetViews>
    <sheetView showGridLines="0" zoomScale="104" zoomScaleNormal="104" workbookViewId="0"/>
  </sheetViews>
  <sheetFormatPr defaultColWidth="9.140625" defaultRowHeight="16.5"/>
  <cols>
    <col min="1" max="1" width="4.140625" style="6" customWidth="1"/>
    <col min="2" max="2" width="21.42578125" style="6" customWidth="1"/>
    <col min="3" max="6" width="24.7109375" style="6" customWidth="1"/>
    <col min="7" max="7" width="12" style="6" customWidth="1"/>
    <col min="8" max="12" width="9.140625" style="6"/>
    <col min="13" max="13" width="8.5703125" style="6" customWidth="1"/>
    <col min="14" max="14" width="12.85546875" style="6" customWidth="1"/>
    <col min="15" max="16384" width="9.140625" style="6"/>
  </cols>
  <sheetData>
    <row r="2" spans="1:14" ht="26.25" customHeight="1">
      <c r="A2" s="22" t="e">
        <f ca="1">RIGHT(CELL("filename",A2),LEN(CELL("filename",A2))-FIND("]",CELL("filename",A2)))</f>
        <v>#VALUE!</v>
      </c>
      <c r="B2" s="61" t="str">
        <f>TT!$O$18</f>
        <v>Joystick Controller Test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14" ht="24" customHeight="1">
      <c r="A3" s="45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</row>
    <row r="4" spans="1:14" ht="24" customHeight="1">
      <c r="A4" s="45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</row>
    <row r="5" spans="1:14" ht="24" customHeight="1">
      <c r="A5" s="45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</row>
    <row r="6" spans="1:14" ht="24" customHeight="1">
      <c r="A6" s="45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</row>
    <row r="7" spans="1:14" ht="24" customHeight="1">
      <c r="A7" s="45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</row>
    <row r="8" spans="1:14" ht="24" customHeight="1">
      <c r="A8" s="45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</row>
    <row r="9" spans="1:14" ht="24" customHeight="1">
      <c r="A9" s="45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4" ht="24" customHeight="1">
      <c r="A10" s="45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4" ht="24" customHeight="1">
      <c r="A11" s="45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1:14" ht="24" customHeight="1">
      <c r="A12" s="45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</row>
    <row r="13" spans="1:14" ht="24" customHeight="1">
      <c r="A13" s="45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</row>
    <row r="14" spans="1:14" ht="24" customHeight="1">
      <c r="A14" s="45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</row>
    <row r="15" spans="1:14" ht="24" customHeight="1">
      <c r="A15" s="45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</row>
    <row r="16" spans="1:14" ht="24" customHeight="1">
      <c r="A16" s="45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</row>
    <row r="17" spans="2:14" ht="24" customHeight="1"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2:14" ht="24" customHeight="1">
      <c r="B18" s="47"/>
      <c r="C18" s="47"/>
      <c r="D18" s="47"/>
      <c r="E18" s="47"/>
      <c r="F18" s="47"/>
      <c r="G18" s="18" t="str">
        <f>TT!$O19</f>
        <v>ROLL</v>
      </c>
      <c r="H18" s="48" t="str">
        <f>_xlfn.SWITCH(InputRoll,1,TT!$O22,0,TT!$O$28,-1,TT!$O$23)</f>
        <v>Neutral</v>
      </c>
      <c r="I18" s="47"/>
      <c r="J18" s="47"/>
      <c r="K18" s="47"/>
      <c r="L18" s="47"/>
      <c r="M18" s="47"/>
      <c r="N18" s="47"/>
    </row>
    <row r="19" spans="2:14" ht="24" customHeight="1">
      <c r="B19" s="47"/>
      <c r="C19" s="47"/>
      <c r="D19" s="47"/>
      <c r="E19" s="47"/>
      <c r="F19" s="47"/>
      <c r="G19" s="18" t="str">
        <f>TT!$O20</f>
        <v>PITCH</v>
      </c>
      <c r="H19" s="48" t="str">
        <f>_xlfn.SWITCH(InputPitch,1,TT!$O$24,0,TT!$O$28,-1,TT!$O$25)</f>
        <v>Neutral</v>
      </c>
      <c r="I19" s="47"/>
      <c r="J19" s="47"/>
      <c r="K19" s="47"/>
      <c r="L19" s="47"/>
      <c r="M19" s="47"/>
      <c r="N19" s="47"/>
    </row>
    <row r="20" spans="2:14" ht="24" customHeight="1">
      <c r="B20" s="47"/>
      <c r="C20" s="47"/>
      <c r="D20" s="47"/>
      <c r="E20" s="47"/>
      <c r="F20" s="47"/>
      <c r="G20" s="18" t="str">
        <f>TT!$O21</f>
        <v>YAW</v>
      </c>
      <c r="H20" s="48" t="str">
        <f>_xlfn.SWITCH(InputYaw,1,TT!$O$26,0,TT!$O$28,-1,TT!$O$27)</f>
        <v>Neutral</v>
      </c>
      <c r="I20" s="47"/>
      <c r="J20" s="47"/>
      <c r="K20" s="47"/>
      <c r="L20" s="47"/>
      <c r="M20" s="47"/>
      <c r="N20" s="47"/>
    </row>
    <row r="21" spans="2:14" ht="24" customHeight="1"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</row>
    <row r="22" spans="2:14" s="23" customFormat="1" ht="24" customHeight="1"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</row>
    <row r="23" spans="2:14" s="23" customFormat="1" ht="24" customHeight="1">
      <c r="B23" s="57" t="str">
        <f>TT!$O$30</f>
        <v> Previous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62" t="str">
        <f>TT!$O$29</f>
        <v>Next </v>
      </c>
      <c r="N23" s="62"/>
    </row>
  </sheetData>
  <sheetProtection sheet="1" objects="1" scenarios="1"/>
  <mergeCells count="2">
    <mergeCell ref="B2:N2"/>
    <mergeCell ref="M23:N23"/>
  </mergeCells>
  <hyperlinks>
    <hyperlink ref="M23:N23" location="'Virtual Marine Environment'!A1" display="'Virtual Marine Environment'!A1" xr:uid="{C7FF3B1C-B62F-4DC6-9C25-F14485815D88}"/>
    <hyperlink ref="B23" location="Instructions!A1" display="Instructions!A1" xr:uid="{30FAFE93-5EE9-421E-8F2B-97DBECA7597D}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D645-0EFD-4A22-97D1-7D5FC1E6D7EE}">
  <sheetPr codeName="Sheet2">
    <tabColor theme="9"/>
  </sheetPr>
  <dimension ref="A1:AY58"/>
  <sheetViews>
    <sheetView showGridLines="0" zoomScale="60" zoomScaleNormal="60" workbookViewId="0"/>
  </sheetViews>
  <sheetFormatPr defaultColWidth="8.7109375" defaultRowHeight="16.5"/>
  <cols>
    <col min="1" max="1" width="4.140625" style="6" customWidth="1"/>
    <col min="2" max="2" width="24.7109375" style="6" customWidth="1"/>
    <col min="3" max="3" width="4.140625" style="6" customWidth="1"/>
    <col min="4" max="4" width="3.5703125" style="6" customWidth="1"/>
    <col min="5" max="5" width="5.85546875" style="6" customWidth="1"/>
    <col min="6" max="6" width="21.42578125" style="6" customWidth="1"/>
    <col min="7" max="7" width="5.85546875" style="6" customWidth="1"/>
    <col min="8" max="8" width="21.42578125" style="6" customWidth="1"/>
    <col min="9" max="9" width="5.85546875" style="6" customWidth="1"/>
    <col min="10" max="10" width="21.42578125" style="6" customWidth="1"/>
    <col min="11" max="11" width="5.85546875" style="6" customWidth="1"/>
    <col min="12" max="12" width="21.42578125" style="6" customWidth="1"/>
    <col min="13" max="13" width="5.85546875" style="6" customWidth="1"/>
    <col min="14" max="14" width="21.42578125" style="6" customWidth="1"/>
    <col min="15" max="15" width="5.85546875" style="6" customWidth="1"/>
    <col min="16" max="16" width="21.42578125" style="6" customWidth="1"/>
    <col min="17" max="17" width="5.85546875" style="6" customWidth="1"/>
    <col min="18" max="18" width="21.42578125" style="6" customWidth="1"/>
    <col min="19" max="19" width="5.85546875" style="6" customWidth="1"/>
    <col min="20" max="20" width="21.42578125" style="6" customWidth="1"/>
    <col min="21" max="21" width="8.140625" style="6" customWidth="1"/>
    <col min="22" max="22" width="4.140625" style="6" customWidth="1"/>
    <col min="23" max="23" width="4.85546875" style="6" customWidth="1"/>
    <col min="24" max="24" width="32.42578125" style="6" customWidth="1"/>
    <col min="25" max="25" width="4.85546875" style="6" customWidth="1"/>
    <col min="26" max="26" width="8.7109375" style="6"/>
    <col min="27" max="27" width="8.7109375" style="6" customWidth="1"/>
    <col min="28" max="43" width="8.7109375" style="6"/>
    <col min="44" max="44" width="14.140625" style="6" customWidth="1"/>
    <col min="45" max="45" width="9.28515625" style="6" customWidth="1"/>
    <col min="46" max="46" width="20.140625" style="6" customWidth="1"/>
    <col min="47" max="47" width="12.85546875" style="6" customWidth="1"/>
    <col min="48" max="16384" width="8.7109375" style="6"/>
  </cols>
  <sheetData>
    <row r="1" spans="1:47" ht="21" customHeight="1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</row>
    <row r="2" spans="1:47" ht="40.5" customHeight="1">
      <c r="A2" s="22" t="e">
        <f ca="1">RIGHT(CELL("filename",A2),LEN(CELL("filename",A2))-FIND("]",CELL("filename",A2)))</f>
        <v>#VALUE!</v>
      </c>
      <c r="B2" s="58" t="str">
        <f>TT!$O$31</f>
        <v>Depth</v>
      </c>
      <c r="C2" s="45"/>
      <c r="D2" s="67" t="str">
        <f>TT!$O$32</f>
        <v>Virtual Marine Environment</v>
      </c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45"/>
      <c r="W2" s="69" t="str">
        <f>TT!$O$33</f>
        <v>Navigation</v>
      </c>
      <c r="X2" s="69"/>
      <c r="Y2" s="69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</row>
    <row r="3" spans="1:47">
      <c r="A3" s="45"/>
      <c r="B3" s="43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3"/>
      <c r="X3" s="43"/>
      <c r="Y3" s="43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</row>
    <row r="4" spans="1:47" ht="39.6" customHeight="1">
      <c r="A4" s="45"/>
      <c r="B4" s="4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3"/>
      <c r="X4" s="43"/>
      <c r="Y4" s="43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66" t="str">
        <f>HitDialogue</f>
        <v/>
      </c>
      <c r="AU4" s="66"/>
    </row>
    <row r="5" spans="1:47" ht="39.6" customHeight="1">
      <c r="A5" s="45"/>
      <c r="B5" s="4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3"/>
      <c r="X5" s="43"/>
      <c r="Y5" s="43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66"/>
      <c r="AU5" s="66"/>
    </row>
    <row r="6" spans="1:47" ht="39.6" customHeight="1">
      <c r="A6" s="45"/>
      <c r="B6" s="4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3"/>
      <c r="X6" s="43"/>
      <c r="Y6" s="43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66"/>
      <c r="AU6" s="66"/>
    </row>
    <row r="7" spans="1:47" ht="39.6" customHeight="1">
      <c r="A7" s="45"/>
      <c r="B7" s="4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3"/>
      <c r="X7" s="43"/>
      <c r="Y7" s="43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</row>
    <row r="8" spans="1:47" ht="39.6" customHeight="1">
      <c r="A8" s="50"/>
      <c r="B8" s="43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45"/>
      <c r="V8" s="45"/>
      <c r="W8" s="43"/>
      <c r="X8" s="43"/>
      <c r="Y8" s="43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</row>
    <row r="9" spans="1:47" ht="39.6" customHeight="1">
      <c r="A9" s="50"/>
      <c r="B9" s="43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45"/>
      <c r="V9" s="45"/>
      <c r="W9" s="43"/>
      <c r="X9" s="43"/>
      <c r="Y9" s="43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</row>
    <row r="10" spans="1:47" ht="39.6" customHeight="1">
      <c r="A10" s="50"/>
      <c r="B10" s="43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45"/>
      <c r="V10" s="45"/>
      <c r="W10" s="43"/>
      <c r="X10" s="43"/>
      <c r="Y10" s="43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</row>
    <row r="11" spans="1:47" ht="39.6" customHeight="1">
      <c r="A11" s="50"/>
      <c r="B11" s="43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45"/>
      <c r="V11" s="45"/>
      <c r="W11" s="43"/>
      <c r="X11" s="43"/>
      <c r="Y11" s="43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</row>
    <row r="12" spans="1:47" ht="39.6" customHeight="1">
      <c r="A12" s="50"/>
      <c r="B12" s="43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45"/>
      <c r="V12" s="45"/>
      <c r="W12" s="43"/>
      <c r="X12" s="43"/>
      <c r="Y12" s="43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</row>
    <row r="13" spans="1:47" ht="39.6" customHeight="1">
      <c r="A13" s="50"/>
      <c r="B13" s="43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45"/>
      <c r="V13" s="45"/>
      <c r="W13" s="43"/>
      <c r="X13" s="43"/>
      <c r="Y13" s="43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</row>
    <row r="14" spans="1:47" ht="21.95" customHeight="1">
      <c r="A14" s="50"/>
      <c r="B14" s="43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</row>
    <row r="15" spans="1:47" ht="39.6" customHeight="1">
      <c r="A15" s="50"/>
      <c r="B15" s="43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45"/>
      <c r="V15" s="45"/>
      <c r="W15" s="69" t="str">
        <f>TT!$O$34</f>
        <v>Marine Life</v>
      </c>
      <c r="X15" s="69"/>
      <c r="Y15" s="69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</row>
    <row r="16" spans="1:47" ht="18.75" customHeight="1">
      <c r="A16" s="50"/>
      <c r="B16" s="43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45"/>
      <c r="V16" s="45"/>
      <c r="W16" s="15"/>
      <c r="X16" s="17"/>
      <c r="Y16" s="17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</row>
    <row r="17" spans="1:25" ht="16.5" customHeight="1">
      <c r="A17" s="50"/>
      <c r="B17" s="43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45"/>
      <c r="V17" s="45"/>
      <c r="W17" s="19"/>
      <c r="X17" s="64" t="str">
        <f>TT!$O$51</f>
        <v>Here you can use your robotic shark to explore the ocean. Use your controller to guide its movement.</v>
      </c>
      <c r="Y17" s="17"/>
    </row>
    <row r="18" spans="1:25" ht="28.5" customHeight="1">
      <c r="A18" s="50"/>
      <c r="B18" s="43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45"/>
      <c r="V18" s="45"/>
      <c r="W18" s="19"/>
      <c r="X18" s="64"/>
      <c r="Y18" s="17"/>
    </row>
    <row r="19" spans="1:25" ht="28.5" customHeight="1">
      <c r="A19" s="50"/>
      <c r="B19" s="43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45"/>
      <c r="V19" s="45"/>
      <c r="W19" s="19"/>
      <c r="X19" s="64"/>
      <c r="Y19" s="17"/>
    </row>
    <row r="20" spans="1:25" ht="28.5" customHeight="1">
      <c r="A20" s="50"/>
      <c r="B20" s="43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45"/>
      <c r="V20" s="45"/>
      <c r="W20" s="19"/>
      <c r="X20" s="64"/>
      <c r="Y20" s="17"/>
    </row>
    <row r="21" spans="1:25" ht="28.5" customHeight="1">
      <c r="A21" s="50"/>
      <c r="B21" s="43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45"/>
      <c r="V21" s="45"/>
      <c r="W21" s="19"/>
      <c r="X21" s="64"/>
      <c r="Y21" s="17"/>
    </row>
    <row r="22" spans="1:25" ht="28.5" customHeight="1">
      <c r="A22" s="50"/>
      <c r="B22" s="43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45"/>
      <c r="V22" s="45"/>
      <c r="W22" s="15"/>
      <c r="X22" s="64"/>
      <c r="Y22" s="17"/>
    </row>
    <row r="23" spans="1:25" ht="46.5" customHeight="1">
      <c r="A23" s="50"/>
      <c r="B23" s="14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45"/>
      <c r="V23" s="45"/>
      <c r="W23" s="19"/>
      <c r="X23" s="65" t="str">
        <f>HitDialogue</f>
        <v/>
      </c>
      <c r="Y23" s="17"/>
    </row>
    <row r="24" spans="1:25" ht="28.5" customHeight="1">
      <c r="A24" s="50"/>
      <c r="B24" s="43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45"/>
      <c r="V24" s="45"/>
      <c r="W24" s="19"/>
      <c r="X24" s="65"/>
      <c r="Y24" s="17"/>
    </row>
    <row r="25" spans="1:25" ht="12.75" customHeight="1">
      <c r="A25" s="50"/>
      <c r="B25" s="43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45"/>
      <c r="V25" s="45"/>
      <c r="W25" s="19"/>
      <c r="X25" s="65"/>
      <c r="Y25" s="17"/>
    </row>
    <row r="26" spans="1:25" ht="18.75" customHeight="1">
      <c r="A26" s="50"/>
      <c r="B26" s="43"/>
      <c r="C26" s="50"/>
      <c r="D26" s="51"/>
      <c r="E26" s="51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5"/>
      <c r="W26" s="19"/>
      <c r="X26" s="65"/>
      <c r="Y26" s="17"/>
    </row>
    <row r="27" spans="1:25" ht="48.75" customHeight="1">
      <c r="A27" s="50"/>
      <c r="B27" s="43"/>
      <c r="C27" s="50"/>
      <c r="D27" s="51"/>
      <c r="E27" s="68">
        <f>SUMIFS(AnimalGraphingTable[Number seen],AnimalGraphingTable[Image Appearance],Setup!$F2)</f>
        <v>1</v>
      </c>
      <c r="F27" s="68"/>
      <c r="G27" s="68">
        <f>SUMIFS(AnimalGraphingTable[Number seen],AnimalGraphingTable[Image Appearance],Setup!$F3)</f>
        <v>1</v>
      </c>
      <c r="H27" s="68"/>
      <c r="I27" s="68">
        <f>SUMIFS(AnimalGraphingTable[Number seen],AnimalGraphingTable[Image Appearance],Setup!$F4)</f>
        <v>0</v>
      </c>
      <c r="J27" s="68"/>
      <c r="K27" s="68">
        <f>SUMIFS(AnimalGraphingTable[Number seen],AnimalGraphingTable[Image Appearance],Setup!$F5)*3</f>
        <v>0</v>
      </c>
      <c r="L27" s="68"/>
      <c r="M27" s="68">
        <f>SUMIFS(AnimalGraphingTable[Number seen],AnimalGraphingTable[Image Appearance],Setup!$F7)</f>
        <v>1</v>
      </c>
      <c r="N27" s="68"/>
      <c r="O27" s="68">
        <f>SUMIFS(AnimalGraphingTable[Number seen],AnimalGraphingTable[Image Appearance],Setup!$F9)</f>
        <v>0</v>
      </c>
      <c r="P27" s="68"/>
      <c r="Q27" s="68">
        <f>SUMIFS(AnimalGraphingTable[Number seen],AnimalGraphingTable[Image Appearance],Setup!$F10)</f>
        <v>1</v>
      </c>
      <c r="R27" s="68"/>
      <c r="S27" s="68">
        <f>SUMIFS(AnimalGraphingTable[Number seen],AnimalGraphingTable[Image Appearance],Setup!$F11)*3</f>
        <v>3</v>
      </c>
      <c r="T27" s="68"/>
      <c r="U27" s="43"/>
      <c r="V27" s="45"/>
      <c r="W27" s="19"/>
      <c r="X27" s="65"/>
      <c r="Y27" s="17"/>
    </row>
    <row r="28" spans="1:25" ht="44.25" customHeight="1">
      <c r="A28" s="50"/>
      <c r="B28" s="43"/>
      <c r="C28" s="50"/>
      <c r="D28" s="51"/>
      <c r="E28" s="20" t="str">
        <f>IF(E27&gt;1,TT!$O$43,TT!$O$35)</f>
        <v>Dolphin</v>
      </c>
      <c r="F28" s="21"/>
      <c r="G28" s="20" t="str">
        <f>IF(G27&gt;1,TT!$O$44,TT!$O$36)</f>
        <v>Sting Ray</v>
      </c>
      <c r="H28" s="21"/>
      <c r="I28" s="20" t="str">
        <f>IF(I27&gt;1,TT!$O$45,TT!$O$37)</f>
        <v>Orca</v>
      </c>
      <c r="J28" s="21"/>
      <c r="K28" s="20" t="str">
        <f>IF(K27&gt;1,TT!$O$46,TT!$O$38)</f>
        <v>Jellyfish</v>
      </c>
      <c r="L28" s="21"/>
      <c r="M28" s="20" t="str">
        <f>IF(M27&gt;1,TT!$O$47,TT!$O$39)</f>
        <v>Turtle</v>
      </c>
      <c r="N28" s="21"/>
      <c r="O28" s="20" t="str">
        <f>IF(O27&gt;1,TT!$O$48,TT!$O$40)</f>
        <v>Hammerhead</v>
      </c>
      <c r="P28" s="21"/>
      <c r="Q28" s="20" t="str">
        <f>IF(Q27&gt;1,TT!$O$49,TT!$O$41)</f>
        <v>Octopus</v>
      </c>
      <c r="R28" s="21"/>
      <c r="S28" s="20" t="str">
        <f>IF(S27&gt;1,TT!$O$50,TT!$O$42)</f>
        <v>Crabs</v>
      </c>
      <c r="T28" s="21"/>
      <c r="U28" s="43"/>
      <c r="V28" s="45"/>
      <c r="W28" s="43"/>
      <c r="X28" s="43"/>
      <c r="Y28" s="17"/>
    </row>
    <row r="29" spans="1:25">
      <c r="A29" s="50"/>
      <c r="B29" s="45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45"/>
      <c r="V29" s="45"/>
      <c r="W29" s="45"/>
      <c r="X29" s="45"/>
      <c r="Y29" s="45"/>
    </row>
    <row r="30" spans="1:25" ht="36.75" customHeight="1">
      <c r="A30" s="50"/>
      <c r="B30" s="45"/>
      <c r="C30" s="50"/>
      <c r="D30" s="63" t="str">
        <f>TT!$O$30</f>
        <v> Previous</v>
      </c>
      <c r="E30" s="63"/>
      <c r="F30" s="63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45"/>
      <c r="V30" s="45"/>
      <c r="W30" s="45"/>
      <c r="X30" s="45"/>
      <c r="Y30" s="45"/>
    </row>
    <row r="31" spans="1:25">
      <c r="A31" s="50"/>
      <c r="B31" s="45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45"/>
      <c r="V31" s="45"/>
      <c r="W31" s="45"/>
      <c r="X31" s="45"/>
      <c r="Y31" s="45"/>
    </row>
    <row r="32" spans="1:25">
      <c r="A32" s="50"/>
      <c r="B32" s="45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45"/>
      <c r="V32" s="45"/>
      <c r="W32" s="45"/>
      <c r="X32" s="45"/>
      <c r="Y32" s="45"/>
    </row>
    <row r="33" spans="1:51">
      <c r="A33" s="50"/>
      <c r="B33" s="45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</row>
    <row r="34" spans="1:51">
      <c r="A34" s="50"/>
      <c r="B34" s="4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 t="s">
        <v>467</v>
      </c>
    </row>
    <row r="35" spans="1:51">
      <c r="A35" s="50"/>
      <c r="B35" s="45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</row>
    <row r="36" spans="1:51">
      <c r="A36" s="50"/>
      <c r="B36" s="45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</row>
    <row r="37" spans="1:51">
      <c r="A37" s="50"/>
      <c r="B37" s="45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</row>
    <row r="38" spans="1:51">
      <c r="A38" s="50"/>
      <c r="B38" s="45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</row>
    <row r="39" spans="1:51">
      <c r="A39" s="50"/>
      <c r="B39" s="45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</row>
    <row r="40" spans="1:51">
      <c r="A40" s="50"/>
      <c r="B40" s="45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</row>
    <row r="41" spans="1:51">
      <c r="A41" s="50"/>
      <c r="B41" s="45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</row>
    <row r="42" spans="1:51">
      <c r="A42" s="50"/>
      <c r="B42" s="45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</row>
    <row r="43" spans="1:51">
      <c r="A43" s="50"/>
      <c r="B43" s="45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</row>
    <row r="44" spans="1:51">
      <c r="A44" s="50"/>
      <c r="B44" s="45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</row>
    <row r="45" spans="1:51">
      <c r="A45" s="50"/>
      <c r="B45" s="45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</row>
    <row r="46" spans="1:51">
      <c r="A46" s="50"/>
      <c r="B46" s="45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</row>
    <row r="47" spans="1:51">
      <c r="A47" s="50"/>
      <c r="B47" s="45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45"/>
      <c r="V47" s="45"/>
      <c r="W47" s="45"/>
      <c r="X47" s="45"/>
      <c r="Y47" s="45"/>
      <c r="Z47" s="45"/>
      <c r="AA47"/>
      <c r="AB47"/>
      <c r="AC47"/>
      <c r="AD47"/>
      <c r="AE47"/>
      <c r="AF47"/>
      <c r="AG47"/>
      <c r="AH47"/>
      <c r="AI47"/>
      <c r="AJ47"/>
      <c r="AK47"/>
      <c r="AL47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</row>
    <row r="48" spans="1:51">
      <c r="A48" s="50"/>
      <c r="B48" s="45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45"/>
      <c r="V48" s="45"/>
      <c r="W48" s="45"/>
      <c r="X48" s="45"/>
      <c r="Y48" s="45"/>
      <c r="Z48" s="45"/>
      <c r="AA48"/>
      <c r="AB48"/>
      <c r="AC48"/>
      <c r="AD48"/>
      <c r="AE48"/>
      <c r="AF48"/>
      <c r="AG48"/>
      <c r="AH48"/>
      <c r="AI48"/>
      <c r="AJ48"/>
      <c r="AK48"/>
      <c r="AL48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</row>
    <row r="49" spans="1:38">
      <c r="A49" s="50"/>
      <c r="B49" s="45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45"/>
      <c r="V49" s="45"/>
      <c r="W49" s="45"/>
      <c r="X49" s="45"/>
      <c r="Y49" s="45"/>
      <c r="Z49" s="45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0"/>
      <c r="B50" s="45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45"/>
      <c r="V50" s="45"/>
      <c r="W50" s="45"/>
      <c r="X50" s="45"/>
      <c r="Y50" s="45"/>
      <c r="Z50" s="45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0"/>
      <c r="B51" s="45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45"/>
      <c r="V51" s="45"/>
      <c r="W51" s="45"/>
      <c r="X51" s="45"/>
      <c r="Y51" s="45"/>
      <c r="Z51" s="45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0"/>
      <c r="B52" s="45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45"/>
      <c r="V52" s="45"/>
      <c r="W52" s="45"/>
      <c r="X52" s="45"/>
      <c r="Y52" s="45"/>
      <c r="Z52" s="45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0"/>
      <c r="B53" s="45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45"/>
      <c r="V53" s="45"/>
      <c r="W53" s="45"/>
      <c r="X53" s="45"/>
      <c r="Y53" s="45"/>
      <c r="Z53" s="45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0"/>
      <c r="B54" s="45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45"/>
      <c r="V54" s="45"/>
      <c r="W54" s="45"/>
      <c r="X54" s="45"/>
      <c r="Y54" s="45"/>
      <c r="Z54" s="45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0"/>
      <c r="B55" s="45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</row>
    <row r="56" spans="1:38">
      <c r="A56" s="50"/>
      <c r="B56" s="45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</row>
    <row r="57" spans="1:38">
      <c r="A57" s="50"/>
      <c r="B57" s="45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</row>
    <row r="58" spans="1:38">
      <c r="A58" s="50"/>
      <c r="B58" s="45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</row>
  </sheetData>
  <sheetProtection sheet="1" objects="1" scenarios="1"/>
  <mergeCells count="15">
    <mergeCell ref="D30:F30"/>
    <mergeCell ref="X17:X22"/>
    <mergeCell ref="X23:X27"/>
    <mergeCell ref="AT4:AU6"/>
    <mergeCell ref="D2:U2"/>
    <mergeCell ref="E27:F27"/>
    <mergeCell ref="G27:H27"/>
    <mergeCell ref="I27:J27"/>
    <mergeCell ref="K27:L27"/>
    <mergeCell ref="M27:N27"/>
    <mergeCell ref="O27:P27"/>
    <mergeCell ref="Q27:R27"/>
    <mergeCell ref="S27:T27"/>
    <mergeCell ref="W2:Y2"/>
    <mergeCell ref="W15:Y15"/>
  </mergeCells>
  <hyperlinks>
    <hyperlink ref="D30:F30" location="'Joystick Controller Test'!A1" display="'Joystick Controller Test'!A1" xr:uid="{93581190-7569-443C-B4C6-7544634B67B3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F38B-5A84-4135-88C6-60C67349CEAB}">
  <sheetPr codeName="Sheet3"/>
  <dimension ref="A1:J57"/>
  <sheetViews>
    <sheetView workbookViewId="0">
      <selection activeCell="A5" sqref="A5"/>
    </sheetView>
  </sheetViews>
  <sheetFormatPr defaultColWidth="8.7109375" defaultRowHeight="15.95" customHeight="1"/>
  <cols>
    <col min="1" max="1" width="14.7109375" style="8" customWidth="1"/>
    <col min="2" max="7" width="16.7109375" style="8" customWidth="1"/>
    <col min="8" max="8" width="14.7109375" style="8" customWidth="1"/>
    <col min="9" max="9" width="16.7109375" style="8" customWidth="1"/>
    <col min="10" max="10" width="8.7109375" style="8"/>
    <col min="11" max="12" width="8.7109375" style="8" customWidth="1"/>
    <col min="13" max="15" width="8.7109375" style="8"/>
    <col min="16" max="16" width="8.7109375" style="8" customWidth="1"/>
    <col min="17" max="16384" width="8.7109375" style="8"/>
  </cols>
  <sheetData>
    <row r="1" spans="1:10" ht="39.950000000000003" customHeight="1">
      <c r="A1" s="70" t="s">
        <v>468</v>
      </c>
      <c r="B1" s="70"/>
      <c r="C1" s="70"/>
      <c r="D1" s="70"/>
      <c r="E1" s="70"/>
      <c r="F1" s="70"/>
      <c r="G1" s="70"/>
      <c r="H1" s="70"/>
      <c r="I1" s="70"/>
      <c r="J1" s="70"/>
    </row>
    <row r="2" spans="1:10" ht="24.95" customHeight="1">
      <c r="A2" s="71" t="s">
        <v>388</v>
      </c>
      <c r="B2" s="71"/>
      <c r="C2" s="71"/>
      <c r="D2" s="71"/>
      <c r="E2" s="71"/>
      <c r="F2" s="71"/>
      <c r="G2" s="71"/>
      <c r="H2" s="71"/>
      <c r="I2" s="71"/>
      <c r="J2" s="71"/>
    </row>
    <row r="3" spans="1:10" ht="33.6" customHeight="1">
      <c r="A3" s="72" t="s">
        <v>391</v>
      </c>
      <c r="B3" s="72"/>
      <c r="C3" s="72"/>
      <c r="D3" s="72"/>
      <c r="E3" s="72"/>
      <c r="F3" s="72"/>
      <c r="G3" s="72"/>
      <c r="H3" s="72"/>
    </row>
    <row r="4" spans="1:10" ht="15">
      <c r="A4" s="37" t="s">
        <v>469</v>
      </c>
      <c r="B4" s="37" t="s">
        <v>397</v>
      </c>
      <c r="C4" s="37" t="s">
        <v>400</v>
      </c>
      <c r="D4" s="37" t="s">
        <v>403</v>
      </c>
      <c r="E4" s="37" t="s">
        <v>406</v>
      </c>
      <c r="F4" s="37" t="s">
        <v>409</v>
      </c>
      <c r="G4" s="37" t="s">
        <v>412</v>
      </c>
      <c r="H4" s="37" t="s">
        <v>415</v>
      </c>
    </row>
    <row r="5" spans="1:10" ht="19.5" customHeight="1">
      <c r="A5" s="39">
        <v>44250.620052500002</v>
      </c>
      <c r="B5" s="38">
        <v>0</v>
      </c>
      <c r="C5" s="38">
        <v>0</v>
      </c>
      <c r="D5" s="38">
        <v>0</v>
      </c>
      <c r="E5" s="38" t="s">
        <v>470</v>
      </c>
      <c r="F5" s="38">
        <v>0</v>
      </c>
      <c r="G5" s="38">
        <v>-10.5</v>
      </c>
      <c r="H5" s="38">
        <v>0</v>
      </c>
    </row>
    <row r="6" spans="1:10" ht="33.6" customHeight="1">
      <c r="A6" s="73" t="s">
        <v>464</v>
      </c>
      <c r="B6" s="73"/>
      <c r="C6" s="73"/>
      <c r="D6" s="73"/>
      <c r="E6" s="73"/>
      <c r="F6" s="73"/>
      <c r="G6" s="73"/>
      <c r="H6" s="73"/>
    </row>
    <row r="7" spans="1:10" ht="15">
      <c r="A7" s="37" t="s">
        <v>469</v>
      </c>
      <c r="B7" s="37" t="s">
        <v>397</v>
      </c>
      <c r="C7" s="37" t="s">
        <v>400</v>
      </c>
      <c r="D7" s="37" t="s">
        <v>403</v>
      </c>
      <c r="E7" s="37" t="s">
        <v>406</v>
      </c>
      <c r="F7" s="37" t="s">
        <v>409</v>
      </c>
      <c r="G7" s="37" t="s">
        <v>412</v>
      </c>
      <c r="H7" s="37" t="s">
        <v>415</v>
      </c>
    </row>
    <row r="8" spans="1:10" ht="19.5" customHeight="1">
      <c r="A8" s="40"/>
      <c r="B8" s="41"/>
      <c r="C8" s="41"/>
      <c r="D8" s="41"/>
      <c r="E8" s="41"/>
      <c r="F8" s="41"/>
      <c r="G8" s="41"/>
      <c r="H8" s="41"/>
    </row>
    <row r="9" spans="1:10" ht="19.5" customHeight="1"/>
    <row r="10" spans="1:10" ht="19.5" customHeight="1"/>
    <row r="11" spans="1:10" ht="19.5" customHeight="1"/>
    <row r="12" spans="1:10" ht="19.5" customHeight="1"/>
    <row r="13" spans="1:10" ht="19.5" customHeight="1"/>
    <row r="14" spans="1:10" ht="19.5" customHeight="1"/>
    <row r="15" spans="1:10" ht="19.5" customHeight="1"/>
    <row r="16" spans="1:10" ht="19.5" customHeight="1"/>
    <row r="17" ht="19.5" customHeight="1"/>
    <row r="18" ht="19.5" customHeight="1"/>
    <row r="19" ht="19.5" customHeight="1"/>
    <row r="20" ht="19.5" customHeight="1"/>
    <row r="21" ht="19.5" customHeight="1"/>
    <row r="22" ht="19.5" customHeight="1"/>
    <row r="23" ht="19.5" customHeight="1"/>
    <row r="24" ht="19.5" customHeight="1"/>
    <row r="57" spans="9:9" ht="15.95" customHeight="1">
      <c r="I57" s="8" t="s">
        <v>418</v>
      </c>
    </row>
  </sheetData>
  <mergeCells count="4">
    <mergeCell ref="A1:J1"/>
    <mergeCell ref="A2:J2"/>
    <mergeCell ref="A3:H3"/>
    <mergeCell ref="A6:H6"/>
  </mergeCells>
  <dataValidations count="23">
    <dataValidation allowBlank="1" showInputMessage="1" showErrorMessage="1" prompt="Time_x000d__x000a__x000d__x000a_TBL_CUR[TIME]" sqref="A5" xr:uid="{CCA6CBF8-F74F-4580-92D9-EC67FC989A10}"/>
    <dataValidation allowBlank="1" showInputMessage="1" showErrorMessage="1" prompt="TBL_CUR[X Rotation]" sqref="B5" xr:uid="{6FB8123B-562F-4C00-AD20-72BA42A3131A}"/>
    <dataValidation allowBlank="1" showInputMessage="1" showErrorMessage="1" prompt="TBL_CUR[Y Rotation]" sqref="C5" xr:uid="{A2299037-C7DB-4B76-AA36-ACA743F03431}"/>
    <dataValidation allowBlank="1" showInputMessage="1" showErrorMessage="1" prompt="TBL_CUR[Z Rotation]" sqref="D5" xr:uid="{0BB946F1-67EA-40ED-9436-FB288A678492}"/>
    <dataValidation allowBlank="1" showInputMessage="1" showErrorMessage="1" prompt="TBL_CUR[X Position]" sqref="E5" xr:uid="{B157A326-E9BD-44A0-9F33-1A84147DC375}"/>
    <dataValidation allowBlank="1" showInputMessage="1" showErrorMessage="1" prompt="TBL_CUR[Y Position]" sqref="F5" xr:uid="{C0DC4C1A-D11A-4F73-B779-007D57729BAA}"/>
    <dataValidation allowBlank="1" showInputMessage="1" showErrorMessage="1" prompt="TBL_CUR[Z Position]" sqref="G5" xr:uid="{ECEB8D8C-A067-433E-A352-A46C01D91F79}"/>
    <dataValidation allowBlank="1" showInputMessage="1" showErrorMessage="1" prompt="TBL_CUR[End Time]" sqref="H5" xr:uid="{65F328ED-2FE4-42D2-978E-15E0C4DB75EF}"/>
    <dataValidation allowBlank="1" showInputMessage="1" showErrorMessage="1" prompt="Time_x000d__x000a__x000d__x000a_TBL_HST[TIME]" sqref="A7 A8" xr:uid="{CF5C668B-6A19-4784-811D-BEE0497D4569}"/>
    <dataValidation allowBlank="1" showInputMessage="1" showErrorMessage="1" prompt="TBL_HST[Rotação X]" sqref="B7" xr:uid="{B16A000B-19B4-40F5-ADA8-854711043963}"/>
    <dataValidation allowBlank="1" showInputMessage="1" showErrorMessage="1" prompt="TBL_HST[Rotação Y]" sqref="C7" xr:uid="{8D651D67-77B1-4920-AFBC-C2909750D732}"/>
    <dataValidation allowBlank="1" showInputMessage="1" showErrorMessage="1" prompt="TBL_HST[Rotação Z]" sqref="D7" xr:uid="{D6F5CB11-7222-4C5C-9C3F-856D282E309D}"/>
    <dataValidation allowBlank="1" showInputMessage="1" showErrorMessage="1" prompt="TBL_HST[X Posição]" sqref="E7" xr:uid="{F961D650-B8C1-4B7F-AB8C-645F828C5A22}"/>
    <dataValidation allowBlank="1" showInputMessage="1" showErrorMessage="1" prompt="TBL_HST[Y Posição]" sqref="F7" xr:uid="{3F7D6205-F7FA-4D6A-8A39-C70D90B99A8F}"/>
    <dataValidation allowBlank="1" showInputMessage="1" showErrorMessage="1" prompt="TBL_HST[Z Posição]" sqref="G7" xr:uid="{EE249F9E-1645-4A85-8D30-5B1D13DF6954}"/>
    <dataValidation allowBlank="1" showInputMessage="1" showErrorMessage="1" prompt="TBL_HST[Fim do tempo]" sqref="H7" xr:uid="{1F8DA14D-4B46-452A-9182-A6F3C8A5FDAD}"/>
    <dataValidation allowBlank="1" showInputMessage="1" showErrorMessage="1" prompt="TBL_HST[End Time]" sqref="H8" xr:uid="{BDAC97C4-6A85-45E7-A465-EE4CEA394461}"/>
    <dataValidation allowBlank="1" showInputMessage="1" showErrorMessage="1" prompt="TBL_HST[Z Position]" sqref="G8" xr:uid="{6B005D00-B96C-41E7-868E-C514D20B30DE}"/>
    <dataValidation allowBlank="1" showInputMessage="1" showErrorMessage="1" prompt="TBL_HST[Z Rotation]" sqref="D8" xr:uid="{252978BB-919D-4324-A4B9-4A0CB97FFD9C}"/>
    <dataValidation allowBlank="1" showInputMessage="1" showErrorMessage="1" prompt="TBL_HST[X Position]" sqref="E8" xr:uid="{CC9D3315-8266-4B95-8AEA-D8540F8DA8C7}"/>
    <dataValidation allowBlank="1" showInputMessage="1" showErrorMessage="1" prompt="TBL_HST[Y Position]" sqref="F8" xr:uid="{40767771-632B-4FE2-AABD-173201FF44B3}"/>
    <dataValidation allowBlank="1" showInputMessage="1" showErrorMessage="1" prompt="TBL_HST[Y Rotation]" sqref="C8" xr:uid="{E0549971-CEAE-4485-B71F-470FD7B02F20}"/>
    <dataValidation allowBlank="1" showInputMessage="1" showErrorMessage="1" prompt="TBL_HST[X Rotation]" sqref="B8" xr:uid="{DFA71B78-E420-4899-AA55-39876354EB62}"/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4996-78C0-4B50-A5D2-D8BCD81DFA32}">
  <sheetPr codeName="Sheet5"/>
  <dimension ref="A1:U22"/>
  <sheetViews>
    <sheetView workbookViewId="0">
      <selection activeCell="J31" sqref="J31"/>
    </sheetView>
  </sheetViews>
  <sheetFormatPr defaultColWidth="11.42578125" defaultRowHeight="16.5"/>
  <cols>
    <col min="1" max="7" width="11.5703125" style="1" customWidth="1"/>
    <col min="8" max="16384" width="11.42578125" style="1"/>
  </cols>
  <sheetData>
    <row r="1" spans="1:21" ht="39.950000000000003" customHeight="1">
      <c r="A1" s="70" t="s">
        <v>422</v>
      </c>
      <c r="B1" s="70"/>
      <c r="C1" s="70"/>
      <c r="D1" s="70"/>
      <c r="E1" s="70"/>
      <c r="F1" s="70"/>
      <c r="G1" s="70"/>
      <c r="H1" s="70"/>
      <c r="I1" s="70"/>
      <c r="J1" s="70"/>
      <c r="K1" s="2" t="s">
        <v>471</v>
      </c>
    </row>
    <row r="2" spans="1:21" ht="39.950000000000003" customHeight="1">
      <c r="A2" s="71" t="s">
        <v>472</v>
      </c>
      <c r="B2" s="71"/>
      <c r="C2" s="71"/>
      <c r="D2" s="71"/>
      <c r="E2" s="71"/>
      <c r="F2" s="71"/>
      <c r="G2" s="71"/>
      <c r="H2" s="71"/>
      <c r="I2" s="71"/>
      <c r="J2" s="71"/>
    </row>
    <row r="3" spans="1:21" ht="17.45" customHeight="1"/>
    <row r="4" spans="1:21" s="27" customFormat="1" ht="19.5" customHeight="1">
      <c r="A4" s="53" t="str">
        <f>TT!$O$78</f>
        <v>X Position</v>
      </c>
      <c r="B4" s="54" t="str">
        <f>TT!$O$79</f>
        <v>Y Position</v>
      </c>
      <c r="C4" s="54" t="str">
        <f>TT!$O$80</f>
        <v>Z Position</v>
      </c>
      <c r="D4" s="54" t="str">
        <f>TT!$O$81</f>
        <v>End Time</v>
      </c>
      <c r="E4" s="54" t="s">
        <v>473</v>
      </c>
      <c r="F4" s="54" t="s">
        <v>474</v>
      </c>
      <c r="G4" s="54" t="s">
        <v>475</v>
      </c>
      <c r="H4" s="28" t="s">
        <v>476</v>
      </c>
      <c r="I4" s="28" t="s">
        <v>477</v>
      </c>
      <c r="J4" s="28" t="s">
        <v>478</v>
      </c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</row>
    <row r="5" spans="1:21" s="31" customFormat="1" ht="27" customHeight="1">
      <c r="A5" s="36"/>
      <c r="B5" s="36">
        <f>Yposition</f>
        <v>0</v>
      </c>
      <c r="C5" s="36">
        <f>Zposition</f>
        <v>-10.5</v>
      </c>
      <c r="D5" s="36">
        <f>HitTime</f>
        <v>0</v>
      </c>
      <c r="E5" s="36"/>
      <c r="F5" s="36"/>
      <c r="G5" s="36"/>
      <c r="H5" s="29"/>
      <c r="I5" s="29"/>
      <c r="J5" s="29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8" spans="1:21">
      <c r="A8" s="7"/>
      <c r="E8" s="3"/>
      <c r="F8" s="3"/>
      <c r="G8" s="3"/>
      <c r="H8" s="3"/>
    </row>
    <row r="9" spans="1:21">
      <c r="A9" s="3"/>
      <c r="E9" s="3"/>
      <c r="F9" s="3"/>
      <c r="G9" s="3"/>
      <c r="H9" s="3"/>
    </row>
    <row r="10" spans="1:21">
      <c r="A10" s="3"/>
      <c r="E10" s="3"/>
      <c r="F10" s="3"/>
      <c r="G10" s="3"/>
      <c r="H10" s="3"/>
    </row>
    <row r="11" spans="1:21">
      <c r="A11" s="3"/>
      <c r="E11" s="3"/>
      <c r="F11" s="3"/>
      <c r="G11" s="3"/>
      <c r="H11" s="3"/>
    </row>
    <row r="12" spans="1:21">
      <c r="A12" s="3"/>
      <c r="E12" s="3"/>
      <c r="F12" s="3"/>
      <c r="G12" s="3"/>
      <c r="H12" s="3"/>
    </row>
    <row r="13" spans="1:21">
      <c r="A13" s="3"/>
      <c r="E13" s="3"/>
      <c r="F13" s="3"/>
      <c r="G13" s="3"/>
      <c r="H13" s="3"/>
    </row>
    <row r="14" spans="1:21">
      <c r="A14" s="3"/>
      <c r="E14" s="3"/>
      <c r="F14" s="3"/>
      <c r="G14" s="3"/>
      <c r="H14" s="3"/>
    </row>
    <row r="15" spans="1:21">
      <c r="A15" s="3"/>
      <c r="E15" s="3"/>
      <c r="F15" s="3"/>
      <c r="G15" s="3"/>
      <c r="H15" s="3"/>
    </row>
    <row r="16" spans="1:21">
      <c r="A16" s="3"/>
      <c r="E16" s="3"/>
      <c r="F16" s="3"/>
      <c r="G16" s="3"/>
      <c r="H16" s="3"/>
    </row>
    <row r="17" spans="1:8">
      <c r="A17" s="3"/>
      <c r="E17" s="3"/>
      <c r="F17" s="3"/>
      <c r="G17" s="3"/>
      <c r="H17" s="3"/>
    </row>
    <row r="18" spans="1:8">
      <c r="A18" s="3"/>
      <c r="E18" s="3"/>
      <c r="F18" s="3"/>
      <c r="G18" s="3"/>
      <c r="H18" s="3"/>
    </row>
    <row r="19" spans="1:8">
      <c r="A19" s="3"/>
      <c r="E19" s="3"/>
      <c r="F19" s="3"/>
      <c r="G19" s="3"/>
      <c r="H19" s="3"/>
    </row>
    <row r="20" spans="1:8">
      <c r="A20" s="3"/>
      <c r="E20" s="3"/>
      <c r="F20" s="3"/>
      <c r="G20" s="3"/>
      <c r="H20" s="3"/>
    </row>
    <row r="21" spans="1:8">
      <c r="A21" s="3"/>
      <c r="E21" s="3"/>
      <c r="F21" s="3"/>
      <c r="G21" s="3"/>
      <c r="H21" s="3"/>
    </row>
    <row r="22" spans="1:8">
      <c r="A22" s="3"/>
      <c r="E22" s="3"/>
      <c r="F22" s="3"/>
      <c r="G22" s="3"/>
      <c r="H22" s="3"/>
    </row>
  </sheetData>
  <mergeCells count="2">
    <mergeCell ref="A1:J1"/>
    <mergeCell ref="A2:J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F00CB-29E5-4D53-829C-E69139585645}">
  <sheetPr codeName="Sheet6"/>
  <dimension ref="A1:E13"/>
  <sheetViews>
    <sheetView workbookViewId="0">
      <selection activeCell="G31" sqref="G31"/>
    </sheetView>
  </sheetViews>
  <sheetFormatPr defaultColWidth="8.7109375" defaultRowHeight="15"/>
  <cols>
    <col min="1" max="1" width="30.7109375" style="33" customWidth="1"/>
    <col min="2" max="2" width="0.140625" style="33" customWidth="1"/>
    <col min="3" max="3" width="30.7109375" style="33" customWidth="1"/>
    <col min="4" max="16384" width="8.7109375" style="33"/>
  </cols>
  <sheetData>
    <row r="1" spans="1:5" ht="39.950000000000003" customHeight="1">
      <c r="A1" s="75" t="s">
        <v>432</v>
      </c>
      <c r="B1" s="75"/>
      <c r="C1" s="75"/>
      <c r="D1" s="75"/>
      <c r="E1" s="75"/>
    </row>
    <row r="2" spans="1:5" ht="50.1" customHeight="1">
      <c r="A2" s="76" t="s">
        <v>435</v>
      </c>
      <c r="B2" s="76"/>
      <c r="C2" s="76"/>
      <c r="D2" s="76"/>
      <c r="E2" s="76"/>
    </row>
    <row r="3" spans="1:5" ht="4.5" customHeight="1"/>
    <row r="4" spans="1:5" ht="24" customHeight="1">
      <c r="A4" s="52" t="s">
        <v>479</v>
      </c>
      <c r="B4" s="34">
        <v>150</v>
      </c>
      <c r="C4" s="35">
        <v>150</v>
      </c>
    </row>
    <row r="5" spans="1:5" ht="4.5" customHeight="1"/>
    <row r="6" spans="1:5" ht="24" customHeight="1">
      <c r="A6" s="52" t="s">
        <v>480</v>
      </c>
      <c r="B6" s="34">
        <v>15</v>
      </c>
      <c r="C6" s="35">
        <v>1</v>
      </c>
    </row>
    <row r="7" spans="1:5" ht="4.5" customHeight="1"/>
    <row r="8" spans="1:5" ht="24" customHeight="1">
      <c r="A8" s="52" t="s">
        <v>481</v>
      </c>
      <c r="B8" s="34">
        <v>10</v>
      </c>
      <c r="C8" s="35">
        <v>7</v>
      </c>
    </row>
    <row r="9" spans="1:5" ht="4.5" customHeight="1"/>
    <row r="10" spans="1:5" ht="24" customHeight="1">
      <c r="A10" s="52" t="s">
        <v>482</v>
      </c>
      <c r="B10" s="34" t="s">
        <v>483</v>
      </c>
      <c r="C10" s="35" t="s">
        <v>483</v>
      </c>
    </row>
    <row r="12" spans="1:5" ht="47.25" customHeight="1"/>
    <row r="13" spans="1:5" ht="50.1" customHeight="1">
      <c r="A13" s="74" t="s">
        <v>484</v>
      </c>
      <c r="B13" s="74"/>
      <c r="C13" s="74"/>
      <c r="D13" s="74"/>
      <c r="E13" s="74"/>
    </row>
  </sheetData>
  <mergeCells count="3">
    <mergeCell ref="A13:E13"/>
    <mergeCell ref="A1:E1"/>
    <mergeCell ref="A2:E2"/>
  </mergeCells>
  <dataValidations count="4">
    <dataValidation type="whole" allowBlank="1" showInputMessage="1" showErrorMessage="1" error="Value must be from 10 to 1000" prompt="Minimum duration between data readings, in milliseconds. 10 to 1000" sqref="C4" xr:uid="{9364C192-2668-4D2E-B84E-B2B4B4864A4B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03B26457-6D88-4CAD-80A8-2147E15929C4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2B34A9AA-7553-41E6-8EFF-25F8E3A01479}">
      <formula1>1</formula1>
      <formula2>1000</formula2>
    </dataValidation>
    <dataValidation type="list" errorStyle="information" allowBlank="1" showInputMessage="1" sqref="C10" xr:uid="{2B118487-1190-4B9B-8026-03321181E956}">
      <formula1>"Newest first,Newest last"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52E2-0CEF-4C9E-8045-03F22A226834}">
  <sheetPr codeName="Sheet12"/>
  <dimension ref="A1:E16"/>
  <sheetViews>
    <sheetView workbookViewId="0"/>
  </sheetViews>
  <sheetFormatPr defaultRowHeight="15"/>
  <cols>
    <col min="1" max="1" width="16.85546875" customWidth="1"/>
    <col min="4" max="4" width="10.7109375" customWidth="1"/>
  </cols>
  <sheetData>
    <row r="1" spans="1:5">
      <c r="A1" t="s">
        <v>485</v>
      </c>
      <c r="B1" t="s">
        <v>1</v>
      </c>
      <c r="C1" t="s">
        <v>2</v>
      </c>
      <c r="D1" t="s">
        <v>486</v>
      </c>
      <c r="E1" t="s">
        <v>487</v>
      </c>
    </row>
    <row r="2" spans="1:5">
      <c r="A2" t="s">
        <v>488</v>
      </c>
      <c r="B2">
        <v>0</v>
      </c>
      <c r="C2">
        <v>-1</v>
      </c>
      <c r="D2" t="e">
        <f>IF(AND(Table1[[#This Row],[Roll]]=Roll,Pitch=Table1[[#This Row],[Pitch]]),1,NA())</f>
        <v>#N/A</v>
      </c>
      <c r="E2" t="e">
        <f>IF(AND(Table1[[#This Row],[Roll]]=InputRoll,InputPitch=Table1[[#This Row],[Pitch]]),1,NA())</f>
        <v>#N/A</v>
      </c>
    </row>
    <row r="3" spans="1:5">
      <c r="A3" t="s">
        <v>489</v>
      </c>
      <c r="B3">
        <v>1</v>
      </c>
      <c r="C3">
        <v>0</v>
      </c>
      <c r="D3" t="e">
        <f>IF(AND(Table1[[#This Row],[Roll]]=Roll,Pitch=Table1[[#This Row],[Pitch]]),1,NA())</f>
        <v>#N/A</v>
      </c>
      <c r="E3" t="e">
        <f>IF(AND(Table1[[#This Row],[Roll]]=InputRoll,InputPitch=Table1[[#This Row],[Pitch]]),1,NA())</f>
        <v>#N/A</v>
      </c>
    </row>
    <row r="4" spans="1:5">
      <c r="A4" t="s">
        <v>490</v>
      </c>
      <c r="B4">
        <v>0</v>
      </c>
      <c r="C4">
        <v>0</v>
      </c>
      <c r="D4">
        <f>IF(AND(Table1[[#This Row],[Roll]]=Roll,Pitch=Table1[[#This Row],[Pitch]]),1,NA())</f>
        <v>1</v>
      </c>
      <c r="E4">
        <f>IF(AND(Table1[[#This Row],[Roll]]=InputRoll,InputPitch=Table1[[#This Row],[Pitch]]),1,NA())</f>
        <v>1</v>
      </c>
    </row>
    <row r="5" spans="1:5">
      <c r="A5" t="s">
        <v>491</v>
      </c>
      <c r="B5">
        <v>-1</v>
      </c>
      <c r="C5">
        <v>0</v>
      </c>
      <c r="D5" t="e">
        <f>IF(AND(Table1[[#This Row],[Roll]]=Roll,Pitch=Table1[[#This Row],[Pitch]]),1,NA())</f>
        <v>#N/A</v>
      </c>
      <c r="E5" t="e">
        <f>IF(AND(Table1[[#This Row],[Roll]]=InputRoll,InputPitch=Table1[[#This Row],[Pitch]]),1,NA())</f>
        <v>#N/A</v>
      </c>
    </row>
    <row r="6" spans="1:5">
      <c r="A6" t="s">
        <v>492</v>
      </c>
      <c r="B6">
        <v>0</v>
      </c>
      <c r="C6">
        <v>1</v>
      </c>
      <c r="D6" t="e">
        <f>IF(AND(Table1[[#This Row],[Roll]]=Roll,Pitch=Table1[[#This Row],[Pitch]]),1,NA())</f>
        <v>#N/A</v>
      </c>
      <c r="E6" t="e">
        <f>IF(AND(Table1[[#This Row],[Roll]]=InputRoll,InputPitch=Table1[[#This Row],[Pitch]]),1,NA())</f>
        <v>#N/A</v>
      </c>
    </row>
    <row r="7" spans="1:5">
      <c r="A7" t="s">
        <v>493</v>
      </c>
      <c r="B7">
        <v>1</v>
      </c>
      <c r="C7">
        <v>-1</v>
      </c>
      <c r="D7" t="e">
        <f>IF(AND(Table1[[#This Row],[Roll]]=Roll,Pitch=Table1[[#This Row],[Pitch]]),1,NA())</f>
        <v>#N/A</v>
      </c>
      <c r="E7" t="e">
        <f>IF(AND(Table1[[#This Row],[Roll]]=InputRoll,InputPitch=Table1[[#This Row],[Pitch]]),1,NA())</f>
        <v>#N/A</v>
      </c>
    </row>
    <row r="8" spans="1:5">
      <c r="A8" t="s">
        <v>494</v>
      </c>
      <c r="B8">
        <v>1</v>
      </c>
      <c r="C8">
        <v>1</v>
      </c>
      <c r="D8" t="e">
        <f>IF(AND(Table1[[#This Row],[Roll]]=Roll,Pitch=Table1[[#This Row],[Pitch]]),1,NA())</f>
        <v>#N/A</v>
      </c>
      <c r="E8" t="e">
        <f>IF(AND(Table1[[#This Row],[Roll]]=InputRoll,InputPitch=Table1[[#This Row],[Pitch]]),1,NA())</f>
        <v>#N/A</v>
      </c>
    </row>
    <row r="9" spans="1:5">
      <c r="A9" t="s">
        <v>495</v>
      </c>
      <c r="B9">
        <v>-1</v>
      </c>
      <c r="C9">
        <v>-1</v>
      </c>
      <c r="D9" t="e">
        <f>IF(AND(Table1[[#This Row],[Roll]]=Roll,Pitch=Table1[[#This Row],[Pitch]]),1,NA())</f>
        <v>#N/A</v>
      </c>
      <c r="E9" t="e">
        <f>IF(AND(Table1[[#This Row],[Roll]]=InputRoll,InputPitch=Table1[[#This Row],[Pitch]]),1,NA())</f>
        <v>#N/A</v>
      </c>
    </row>
    <row r="10" spans="1:5">
      <c r="A10" t="s">
        <v>496</v>
      </c>
      <c r="B10">
        <v>-1</v>
      </c>
      <c r="C10">
        <v>1</v>
      </c>
      <c r="D10" t="e">
        <f>IF(AND(Table1[[#This Row],[Roll]]=Roll,Pitch=Table1[[#This Row],[Pitch]]),1,NA())</f>
        <v>#N/A</v>
      </c>
      <c r="E10" t="e">
        <f>IF(AND(Table1[[#This Row],[Roll]]=InputRoll,InputPitch=Table1[[#This Row],[Pitch]]),1,NA())</f>
        <v>#N/A</v>
      </c>
    </row>
    <row r="13" spans="1:5">
      <c r="A13" t="s">
        <v>485</v>
      </c>
      <c r="B13" t="s">
        <v>3</v>
      </c>
      <c r="C13" t="s">
        <v>486</v>
      </c>
      <c r="D13" t="s">
        <v>487</v>
      </c>
    </row>
    <row r="14" spans="1:5">
      <c r="A14" t="s">
        <v>497</v>
      </c>
      <c r="B14">
        <v>1</v>
      </c>
      <c r="C14" t="e">
        <f>IF(Table5[[#This Row],[Yaw]]=Yaw,1,NA())</f>
        <v>#N/A</v>
      </c>
      <c r="D14" t="e">
        <f>IF(Table5[[#This Row],[Yaw]]=InputYaw,1,NA())</f>
        <v>#N/A</v>
      </c>
    </row>
    <row r="15" spans="1:5">
      <c r="A15" t="s">
        <v>22</v>
      </c>
      <c r="B15">
        <v>0</v>
      </c>
      <c r="C15">
        <f>IF(Table5[[#This Row],[Yaw]]=Yaw,1,NA())</f>
        <v>1</v>
      </c>
      <c r="D15">
        <f>IF(Table5[[#This Row],[Yaw]]=InputYaw,1,NA())</f>
        <v>1</v>
      </c>
    </row>
    <row r="16" spans="1:5">
      <c r="A16" t="s">
        <v>498</v>
      </c>
      <c r="B16">
        <v>-1</v>
      </c>
      <c r="C16" t="e">
        <f>IF(Table5[[#This Row],[Yaw]]=Yaw,1,NA())</f>
        <v>#N/A</v>
      </c>
      <c r="D16" t="e">
        <f>IF(Table5[[#This Row],[Yaw]]=InputYaw,1,NA())</f>
        <v>#N/A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C29A36256D2A4E921863604CED27BA" ma:contentTypeVersion="19" ma:contentTypeDescription="Create a new document." ma:contentTypeScope="" ma:versionID="0fe2b3ddd114eda1a28a3a77a02e6531">
  <xsd:schema xmlns:xsd="http://www.w3.org/2001/XMLSchema" xmlns:xs="http://www.w3.org/2001/XMLSchema" xmlns:p="http://schemas.microsoft.com/office/2006/metadata/properties" xmlns:ns1="http://schemas.microsoft.com/sharepoint/v3" xmlns:ns2="986dda66-e543-4de3-b77d-6be62524f3cf" xmlns:ns3="0a77edb2-677a-4e25-af34-ce22fd66382b" xmlns:ns4="230e9df3-be65-4c73-a93b-d1236ebd677e" targetNamespace="http://schemas.microsoft.com/office/2006/metadata/properties" ma:root="true" ma:fieldsID="0e385ce6076c26668aab9b06d30d60cf" ns1:_="" ns2:_="" ns3:_="" ns4:_="">
    <xsd:import namespace="http://schemas.microsoft.com/sharepoint/v3"/>
    <xsd:import namespace="986dda66-e543-4de3-b77d-6be62524f3cf"/>
    <xsd:import namespace="0a77edb2-677a-4e25-af34-ce22fd66382b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Location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dda66-e543-4de3-b77d-6be62524f3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description="" ma:internalName="MediaServiceKeyPoints" ma:readOnly="false">
      <xsd:simpleType>
        <xsd:restriction base="dms:Note">
          <xsd:maxLength value="255"/>
        </xsd:restriction>
      </xsd:simpleType>
    </xsd:element>
    <xsd:element name="lcf76f155ced4ddcb4097134ff3c332f" ma:index="25" nillable="true" ma:taxonomy="true" ma:internalName="lcf76f155ced4ddcb4097134ff3c332f" ma:taxonomyFieldName="MediaServiceAITags" ma:displayName="Image Tags" ma:readOnly="false" ma:fieldId="{5cf76f15-5ced-4ddc-b409-7134ff3c332f}" ma:taxonomyMulti="true" ma:sspId="e385fb40-52d4-4fae-9c5b-3e8ff8a5878e" ma:termSetId="09814cd3-568e-4e90-9814-8d621ff8fb84" ma:anchorId="00000000-0000-0000-0000-000000000000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7edb2-677a-4e25-af34-ce22fd66382b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5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6" nillable="true" ma:displayName="Last Shared By Time" ma:hidden="true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6" nillable="true" ma:displayName="Taxonomy Catch All Column" ma:hidden="true" ma:list="{f4ad43a6-879f-4f70-a653-637867cba4c5}" ma:internalName="TaxCatchAll" ma:showField="CatchAllData" ma:web="0a77edb2-677a-4e25-af34-ce22fd66382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986dda66-e543-4de3-b77d-6be62524f3cf" xsi:nil="true"/>
    <lcf76f155ced4ddcb4097134ff3c332f xmlns="986dda66-e543-4de3-b77d-6be62524f3cf">
      <Terms xmlns="http://schemas.microsoft.com/office/infopath/2007/PartnerControls"/>
    </lcf76f155ced4ddcb4097134ff3c332f>
    <TaxCatchAll xmlns="230e9df3-be65-4c73-a93b-d1236ebd677e"/>
  </documentManagement>
</p:properties>
</file>

<file path=customXml/itemProps1.xml><?xml version="1.0" encoding="utf-8"?>
<ds:datastoreItem xmlns:ds="http://schemas.openxmlformats.org/officeDocument/2006/customXml" ds:itemID="{995E8E54-CB83-4DD1-A23D-CFBCC8245E8C}"/>
</file>

<file path=customXml/itemProps2.xml><?xml version="1.0" encoding="utf-8"?>
<ds:datastoreItem xmlns:ds="http://schemas.openxmlformats.org/officeDocument/2006/customXml" ds:itemID="{BAD27B5F-C045-4294-8E48-01CDABC38E01}"/>
</file>

<file path=customXml/itemProps3.xml><?xml version="1.0" encoding="utf-8"?>
<ds:datastoreItem xmlns:ds="http://schemas.openxmlformats.org/officeDocument/2006/customXml" ds:itemID="{0E4756E0-007E-4857-998B-599A927D5E5A}"/>
</file>

<file path=docMetadata/LabelInfo.xml><?xml version="1.0" encoding="utf-8"?>
<clbl:labelList xmlns:clbl="http://schemas.microsoft.com/office/2020/mipLabelMetadata">
  <clbl:label id="{87867195-f2b8-4ac2-b0b6-6bb73cb33af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2021-07-16T22:20:37Z</dcterms:created>
  <dcterms:modified xsi:type="dcterms:W3CDTF">2022-09-21T20:57:56Z</dcterms:modified>
  <cp:category/>
  <cp:contentStatus/>
</cp:coreProperties>
</file>