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/Desktop/COMP7802 Intro to Finance/"/>
    </mc:Choice>
  </mc:AlternateContent>
  <xr:revisionPtr revIDLastSave="0" documentId="13_ncr:1_{46234D74-8B7B-1845-ACFC-59662D46F07D}" xr6:coauthVersionLast="47" xr6:coauthVersionMax="47" xr10:uidLastSave="{00000000-0000-0000-0000-000000000000}"/>
  <bookViews>
    <workbookView xWindow="0" yWindow="460" windowWidth="25600" windowHeight="14460" xr2:uid="{00000000-000D-0000-FFFF-FFFF00000000}"/>
  </bookViews>
  <sheets>
    <sheet name="Question1" sheetId="1" r:id="rId1"/>
    <sheet name="Qestion2" sheetId="4" r:id="rId2"/>
  </sheets>
  <definedNames>
    <definedName name="_xlnm.Print_Area" localSheetId="0">Question1!$A$1:$T$147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F74" i="1" l="1"/>
  <c r="D76" i="1"/>
  <c r="C94" i="1"/>
  <c r="C82" i="1"/>
  <c r="I52" i="1"/>
  <c r="I46" i="1"/>
  <c r="I43" i="1"/>
  <c r="G43" i="1" l="1"/>
  <c r="G44" i="1"/>
  <c r="C43" i="1"/>
  <c r="V14" i="4"/>
  <c r="W14" i="4" s="1"/>
  <c r="Z14" i="4"/>
  <c r="V27" i="4"/>
  <c r="V6" i="4"/>
  <c r="V10" i="4"/>
  <c r="V9" i="4"/>
  <c r="V8" i="4"/>
  <c r="Z27" i="4"/>
  <c r="AA15" i="4"/>
  <c r="X15" i="4" s="1"/>
  <c r="Z15" i="4" s="1"/>
  <c r="Y15" i="4"/>
  <c r="W15" i="4" l="1"/>
  <c r="O14" i="4"/>
  <c r="Q14" i="4" s="1"/>
  <c r="K6" i="4"/>
  <c r="K8" i="4"/>
  <c r="O27" i="4"/>
  <c r="U14" i="4" l="1"/>
  <c r="AB14" i="4"/>
  <c r="B7" i="4" l="1"/>
  <c r="B9" i="4"/>
  <c r="A15" i="4" l="1"/>
  <c r="B15" i="4" s="1"/>
  <c r="A16" i="4" s="1"/>
  <c r="B16" i="4" s="1"/>
  <c r="K9" i="4"/>
  <c r="J15" i="4"/>
  <c r="K15" i="4" s="1"/>
  <c r="J14" i="4"/>
  <c r="K14" i="4" s="1"/>
  <c r="L14" i="4" s="1"/>
  <c r="U15" i="4"/>
  <c r="V15" i="4" s="1"/>
  <c r="B10" i="4"/>
  <c r="K10" i="4" s="1"/>
  <c r="U16" i="4" l="1"/>
  <c r="V16" i="4" s="1"/>
  <c r="A17" i="4"/>
  <c r="B17" i="4" s="1"/>
  <c r="C15" i="4"/>
  <c r="D15" i="4" s="1"/>
  <c r="C16" i="4"/>
  <c r="D16" i="4" s="1"/>
  <c r="P15" i="4"/>
  <c r="L15" i="4"/>
  <c r="N15" i="4" s="1"/>
  <c r="J16" i="4"/>
  <c r="K16" i="4" s="1"/>
  <c r="C17" i="4"/>
  <c r="D17" i="4" s="1"/>
  <c r="F15" i="4" l="1"/>
  <c r="W16" i="4"/>
  <c r="Y16" i="4" s="1"/>
  <c r="L16" i="4"/>
  <c r="N16" i="4" s="1"/>
  <c r="J17" i="4"/>
  <c r="K17" i="4" s="1"/>
  <c r="A18" i="4"/>
  <c r="B18" i="4" s="1"/>
  <c r="A19" i="4" s="1"/>
  <c r="B19" i="4" s="1"/>
  <c r="U17" i="4"/>
  <c r="V17" i="4" s="1"/>
  <c r="AB15" i="4"/>
  <c r="C18" i="4"/>
  <c r="D18" i="4" s="1"/>
  <c r="J18" i="4" l="1"/>
  <c r="K18" i="4" s="1"/>
  <c r="L17" i="4"/>
  <c r="N17" i="4" s="1"/>
  <c r="U18" i="4"/>
  <c r="V18" i="4" s="1"/>
  <c r="W17" i="4"/>
  <c r="Y17" i="4" s="1"/>
  <c r="A20" i="4"/>
  <c r="B20" i="4" s="1"/>
  <c r="C19" i="4"/>
  <c r="D19" i="4" s="1"/>
  <c r="U19" i="4" l="1"/>
  <c r="V19" i="4" s="1"/>
  <c r="W18" i="4"/>
  <c r="Y18" i="4" s="1"/>
  <c r="L18" i="4"/>
  <c r="N18" i="4" s="1"/>
  <c r="J19" i="4"/>
  <c r="K19" i="4" s="1"/>
  <c r="A21" i="4"/>
  <c r="B21" i="4" s="1"/>
  <c r="C20" i="4"/>
  <c r="D20" i="4" s="1"/>
  <c r="J20" i="4" l="1"/>
  <c r="K20" i="4" s="1"/>
  <c r="L19" i="4"/>
  <c r="N19" i="4" s="1"/>
  <c r="U20" i="4"/>
  <c r="V20" i="4" s="1"/>
  <c r="W19" i="4"/>
  <c r="Y19" i="4" s="1"/>
  <c r="A22" i="4"/>
  <c r="B22" i="4" s="1"/>
  <c r="C21" i="4"/>
  <c r="D21" i="4" s="1"/>
  <c r="J21" i="4" l="1"/>
  <c r="K21" i="4" s="1"/>
  <c r="L20" i="4"/>
  <c r="N20" i="4" s="1"/>
  <c r="U21" i="4"/>
  <c r="V21" i="4" s="1"/>
  <c r="W20" i="4"/>
  <c r="Y20" i="4" s="1"/>
  <c r="A23" i="4"/>
  <c r="B23" i="4" s="1"/>
  <c r="C22" i="4"/>
  <c r="D22" i="4" s="1"/>
  <c r="U22" i="4" l="1"/>
  <c r="V22" i="4" s="1"/>
  <c r="W21" i="4"/>
  <c r="Y21" i="4" s="1"/>
  <c r="L21" i="4"/>
  <c r="N21" i="4" s="1"/>
  <c r="J22" i="4"/>
  <c r="K22" i="4" s="1"/>
  <c r="A24" i="4"/>
  <c r="B24" i="4" s="1"/>
  <c r="C23" i="4"/>
  <c r="D23" i="4" s="1"/>
  <c r="J23" i="4" l="1"/>
  <c r="K23" i="4" s="1"/>
  <c r="L22" i="4"/>
  <c r="N22" i="4" s="1"/>
  <c r="U23" i="4"/>
  <c r="V23" i="4" s="1"/>
  <c r="W22" i="4"/>
  <c r="Y22" i="4" s="1"/>
  <c r="A25" i="4"/>
  <c r="B25" i="4" s="1"/>
  <c r="C24" i="4"/>
  <c r="D24" i="4" s="1"/>
  <c r="U24" i="4" l="1"/>
  <c r="V24" i="4" s="1"/>
  <c r="W23" i="4"/>
  <c r="Y23" i="4" s="1"/>
  <c r="L23" i="4"/>
  <c r="N23" i="4" s="1"/>
  <c r="J24" i="4"/>
  <c r="K24" i="4" s="1"/>
  <c r="A26" i="4"/>
  <c r="B26" i="4" s="1"/>
  <c r="C25" i="4"/>
  <c r="D25" i="4" s="1"/>
  <c r="J25" i="4" l="1"/>
  <c r="K25" i="4" s="1"/>
  <c r="L24" i="4"/>
  <c r="N24" i="4" s="1"/>
  <c r="U25" i="4"/>
  <c r="V25" i="4" s="1"/>
  <c r="W24" i="4"/>
  <c r="Y24" i="4" s="1"/>
  <c r="C26" i="4"/>
  <c r="D26" i="4" s="1"/>
  <c r="J26" i="4" l="1"/>
  <c r="K26" i="4" s="1"/>
  <c r="L25" i="4"/>
  <c r="N25" i="4" s="1"/>
  <c r="U26" i="4"/>
  <c r="V26" i="4" s="1"/>
  <c r="W25" i="4"/>
  <c r="Y25" i="4" s="1"/>
  <c r="C39" i="1"/>
  <c r="U27" i="4" l="1"/>
  <c r="J27" i="4"/>
  <c r="K27" i="4" s="1"/>
  <c r="L26" i="4"/>
  <c r="N26" i="4" s="1"/>
  <c r="W26" i="4"/>
  <c r="Y26" i="4" s="1"/>
  <c r="F75" i="1"/>
  <c r="F76" i="1"/>
  <c r="F77" i="1"/>
  <c r="E74" i="1"/>
  <c r="E75" i="1"/>
  <c r="E76" i="1"/>
  <c r="E77" i="1"/>
  <c r="E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73" i="1"/>
  <c r="C83" i="1"/>
  <c r="C84" i="1"/>
  <c r="C85" i="1"/>
  <c r="C86" i="1"/>
  <c r="C87" i="1"/>
  <c r="C88" i="1"/>
  <c r="C89" i="1"/>
  <c r="C90" i="1"/>
  <c r="C91" i="1"/>
  <c r="C92" i="1"/>
  <c r="C93" i="1"/>
  <c r="C79" i="1"/>
  <c r="C80" i="1"/>
  <c r="C81" i="1"/>
  <c r="C78" i="1"/>
  <c r="C74" i="1"/>
  <c r="C75" i="1"/>
  <c r="C76" i="1"/>
  <c r="C77" i="1"/>
  <c r="C73" i="1"/>
  <c r="G66" i="1"/>
  <c r="G58" i="1"/>
  <c r="G62" i="1"/>
  <c r="G45" i="1"/>
  <c r="G46" i="1"/>
  <c r="G36" i="1"/>
  <c r="G39" i="1"/>
  <c r="G38" i="1"/>
  <c r="G37" i="1"/>
  <c r="G35" i="1"/>
  <c r="G54" i="1"/>
  <c r="W27" i="4" l="1"/>
  <c r="E44" i="1"/>
  <c r="F44" i="1" s="1"/>
  <c r="E45" i="1"/>
  <c r="F45" i="1" s="1"/>
  <c r="E46" i="1"/>
  <c r="F46" i="1" s="1"/>
  <c r="E43" i="1"/>
  <c r="F43" i="1" s="1"/>
  <c r="D52" i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D51" i="1"/>
  <c r="E51" i="1" s="1"/>
  <c r="C51" i="1"/>
  <c r="D44" i="1"/>
  <c r="D45" i="1"/>
  <c r="D46" i="1"/>
  <c r="C44" i="1"/>
  <c r="C45" i="1"/>
  <c r="C46" i="1"/>
  <c r="D43" i="1"/>
  <c r="D39" i="1"/>
  <c r="E39" i="1" s="1"/>
  <c r="F39" i="1" s="1"/>
  <c r="H39" i="1" s="1"/>
  <c r="D38" i="1"/>
  <c r="E38" i="1" s="1"/>
  <c r="F38" i="1" s="1"/>
  <c r="H38" i="1" s="1"/>
  <c r="D37" i="1"/>
  <c r="E37" i="1" s="1"/>
  <c r="F37" i="1" s="1"/>
  <c r="H37" i="1" s="1"/>
  <c r="D36" i="1"/>
  <c r="E36" i="1" s="1"/>
  <c r="F36" i="1" s="1"/>
  <c r="H36" i="1" s="1"/>
  <c r="C36" i="1"/>
  <c r="C37" i="1"/>
  <c r="C38" i="1"/>
  <c r="C35" i="1"/>
  <c r="D35" i="1" s="1"/>
  <c r="C3" i="1"/>
  <c r="F51" i="1" l="1"/>
  <c r="C52" i="1"/>
  <c r="E52" i="1" s="1"/>
  <c r="H44" i="1"/>
  <c r="I44" i="1" s="1"/>
  <c r="E79" i="1" s="1"/>
  <c r="F79" i="1" s="1"/>
  <c r="I51" i="1"/>
  <c r="H51" i="1" s="1"/>
  <c r="E35" i="1"/>
  <c r="F35" i="1" s="1"/>
  <c r="H35" i="1" s="1"/>
  <c r="H43" i="1"/>
  <c r="E78" i="1" s="1"/>
  <c r="F78" i="1" s="1"/>
  <c r="H45" i="1"/>
  <c r="I45" i="1" s="1"/>
  <c r="E80" i="1" s="1"/>
  <c r="E16" i="4" l="1"/>
  <c r="F16" i="4" s="1"/>
  <c r="P16" i="4"/>
  <c r="AA16" i="4"/>
  <c r="F80" i="1"/>
  <c r="F52" i="1"/>
  <c r="G65" i="1"/>
  <c r="G55" i="1"/>
  <c r="G59" i="1"/>
  <c r="G63" i="1"/>
  <c r="G64" i="1"/>
  <c r="G57" i="1"/>
  <c r="G56" i="1"/>
  <c r="G60" i="1"/>
  <c r="G61" i="1"/>
  <c r="H52" i="1"/>
  <c r="H46" i="1"/>
  <c r="I53" i="1" l="1"/>
  <c r="H53" i="1" s="1"/>
  <c r="I54" i="1" s="1"/>
  <c r="E81" i="1"/>
  <c r="X16" i="4"/>
  <c r="Z16" i="4" s="1"/>
  <c r="AB16" i="4" s="1"/>
  <c r="H54" i="1" l="1"/>
  <c r="E82" i="1"/>
  <c r="E17" i="4"/>
  <c r="F17" i="4" s="1"/>
  <c r="AA17" i="4"/>
  <c r="P17" i="4"/>
  <c r="F81" i="1"/>
  <c r="I55" i="1"/>
  <c r="H55" i="1" l="1"/>
  <c r="I56" i="1" s="1"/>
  <c r="E83" i="1"/>
  <c r="X17" i="4"/>
  <c r="Z17" i="4" s="1"/>
  <c r="AB17" i="4" s="1"/>
  <c r="E18" i="4"/>
  <c r="F18" i="4" s="1"/>
  <c r="AA18" i="4"/>
  <c r="X18" i="4" s="1"/>
  <c r="Z18" i="4" s="1"/>
  <c r="AB18" i="4" s="1"/>
  <c r="P18" i="4"/>
  <c r="F82" i="1"/>
  <c r="E19" i="4" l="1"/>
  <c r="F19" i="4" s="1"/>
  <c r="AA19" i="4"/>
  <c r="X19" i="4" s="1"/>
  <c r="Z19" i="4" s="1"/>
  <c r="AB19" i="4" s="1"/>
  <c r="P19" i="4"/>
  <c r="F83" i="1"/>
  <c r="H56" i="1"/>
  <c r="E84" i="1"/>
  <c r="E20" i="4" l="1"/>
  <c r="F20" i="4" s="1"/>
  <c r="AA20" i="4"/>
  <c r="X20" i="4" s="1"/>
  <c r="Z20" i="4" s="1"/>
  <c r="AB20" i="4" s="1"/>
  <c r="P20" i="4"/>
  <c r="F84" i="1"/>
  <c r="I57" i="1"/>
  <c r="H57" i="1" l="1"/>
  <c r="E85" i="1"/>
  <c r="E21" i="4" l="1"/>
  <c r="F21" i="4" s="1"/>
  <c r="AA21" i="4"/>
  <c r="P21" i="4"/>
  <c r="F85" i="1"/>
  <c r="I58" i="1"/>
  <c r="H58" i="1" l="1"/>
  <c r="E86" i="1"/>
  <c r="X21" i="4"/>
  <c r="Z21" i="4" s="1"/>
  <c r="AB21" i="4" s="1"/>
  <c r="E22" i="4" l="1"/>
  <c r="F22" i="4" s="1"/>
  <c r="AA22" i="4"/>
  <c r="P22" i="4"/>
  <c r="F86" i="1"/>
  <c r="I59" i="1"/>
  <c r="X22" i="4" l="1"/>
  <c r="Z22" i="4" s="1"/>
  <c r="AB22" i="4" s="1"/>
  <c r="H59" i="1"/>
  <c r="E87" i="1"/>
  <c r="E23" i="4" l="1"/>
  <c r="F23" i="4" s="1"/>
  <c r="AA23" i="4"/>
  <c r="P23" i="4"/>
  <c r="F87" i="1"/>
  <c r="I60" i="1"/>
  <c r="H60" i="1" l="1"/>
  <c r="E88" i="1"/>
  <c r="X23" i="4"/>
  <c r="Z23" i="4" s="1"/>
  <c r="AB23" i="4" s="1"/>
  <c r="E24" i="4" l="1"/>
  <c r="F24" i="4" s="1"/>
  <c r="AA24" i="4"/>
  <c r="P24" i="4"/>
  <c r="F88" i="1"/>
  <c r="I61" i="1"/>
  <c r="H61" i="1" l="1"/>
  <c r="I62" i="1" s="1"/>
  <c r="E89" i="1"/>
  <c r="X24" i="4"/>
  <c r="Z24" i="4" s="1"/>
  <c r="AB24" i="4" s="1"/>
  <c r="H62" i="1" l="1"/>
  <c r="I63" i="1" s="1"/>
  <c r="E90" i="1"/>
  <c r="E25" i="4"/>
  <c r="F25" i="4" s="1"/>
  <c r="AA25" i="4"/>
  <c r="X25" i="4" s="1"/>
  <c r="Z25" i="4" s="1"/>
  <c r="AB25" i="4" s="1"/>
  <c r="P25" i="4"/>
  <c r="F89" i="1"/>
  <c r="AA27" i="4" l="1"/>
  <c r="AB27" i="4" s="1"/>
  <c r="P27" i="4"/>
  <c r="E26" i="4"/>
  <c r="P26" i="4"/>
  <c r="F90" i="1"/>
  <c r="AA26" i="4"/>
  <c r="X26" i="4" s="1"/>
  <c r="Z26" i="4" s="1"/>
  <c r="AB26" i="4" s="1"/>
  <c r="H63" i="1"/>
  <c r="I64" i="1" s="1"/>
  <c r="E91" i="1"/>
  <c r="F91" i="1" s="1"/>
  <c r="Q27" i="4" l="1"/>
  <c r="F26" i="4"/>
  <c r="H64" i="1"/>
  <c r="I65" i="1" s="1"/>
  <c r="E92" i="1"/>
  <c r="F92" i="1" s="1"/>
  <c r="AB29" i="4"/>
  <c r="F28" i="4" l="1"/>
  <c r="F30" i="4" s="1"/>
  <c r="K5" i="4" s="1"/>
  <c r="H65" i="1"/>
  <c r="I66" i="1" s="1"/>
  <c r="E93" i="1"/>
  <c r="F93" i="1" s="1"/>
  <c r="H66" i="1" l="1"/>
  <c r="E94" i="1"/>
  <c r="F94" i="1" s="1"/>
  <c r="M19" i="4"/>
  <c r="O19" i="4" s="1"/>
  <c r="Q19" i="4" s="1"/>
  <c r="M20" i="4"/>
  <c r="O20" i="4" s="1"/>
  <c r="Q20" i="4" s="1"/>
  <c r="M25" i="4"/>
  <c r="O25" i="4" s="1"/>
  <c r="Q25" i="4" s="1"/>
  <c r="M23" i="4"/>
  <c r="O23" i="4" s="1"/>
  <c r="Q23" i="4" s="1"/>
  <c r="M24" i="4"/>
  <c r="O24" i="4" s="1"/>
  <c r="Q24" i="4" s="1"/>
  <c r="M26" i="4"/>
  <c r="O26" i="4" s="1"/>
  <c r="Q26" i="4" s="1"/>
  <c r="M15" i="4"/>
  <c r="O15" i="4" s="1"/>
  <c r="Q15" i="4" s="1"/>
  <c r="M17" i="4"/>
  <c r="O17" i="4" s="1"/>
  <c r="Q17" i="4" s="1"/>
  <c r="M18" i="4"/>
  <c r="O18" i="4" s="1"/>
  <c r="Q18" i="4" s="1"/>
  <c r="M16" i="4"/>
  <c r="O16" i="4" s="1"/>
  <c r="Q16" i="4" s="1"/>
  <c r="M21" i="4"/>
  <c r="O21" i="4" s="1"/>
  <c r="Q21" i="4" s="1"/>
  <c r="M22" i="4"/>
  <c r="O22" i="4" s="1"/>
  <c r="Q22" i="4" s="1"/>
  <c r="Q29" i="4" l="1"/>
</calcChain>
</file>

<file path=xl/sharedStrings.xml><?xml version="1.0" encoding="utf-8"?>
<sst xmlns="http://schemas.openxmlformats.org/spreadsheetml/2006/main" count="148" uniqueCount="121">
  <si>
    <t>1Wk</t>
  </si>
  <si>
    <t>FRA</t>
  </si>
  <si>
    <t>From</t>
  </si>
  <si>
    <t>To</t>
  </si>
  <si>
    <t>2Y</t>
  </si>
  <si>
    <t>3Y</t>
  </si>
  <si>
    <t>4Y</t>
  </si>
  <si>
    <t>1Y</t>
  </si>
  <si>
    <t>Tenor</t>
    <phoneticPr fontId="2" type="noConversion"/>
  </si>
  <si>
    <t>Swap Discount Factor</t>
    <phoneticPr fontId="2" type="noConversion"/>
  </si>
  <si>
    <t>CASH</t>
    <phoneticPr fontId="2" type="noConversion"/>
  </si>
  <si>
    <t>FRA</t>
    <phoneticPr fontId="2" type="noConversion"/>
  </si>
  <si>
    <t>SWAP</t>
    <phoneticPr fontId="2" type="noConversion"/>
  </si>
  <si>
    <t>CURVE DEFINITION</t>
    <phoneticPr fontId="2" type="noConversion"/>
  </si>
  <si>
    <t>From</t>
    <phoneticPr fontId="2" type="noConversion"/>
  </si>
  <si>
    <t>To</t>
    <phoneticPr fontId="2" type="noConversion"/>
  </si>
  <si>
    <t>MM</t>
    <phoneticPr fontId="2" type="noConversion"/>
  </si>
  <si>
    <t>Mid Rate</t>
    <phoneticPr fontId="2" type="noConversion"/>
  </si>
  <si>
    <t>Rate (r)</t>
    <phoneticPr fontId="2" type="noConversion"/>
  </si>
  <si>
    <t>Di</t>
    <phoneticPr fontId="2" type="noConversion"/>
  </si>
  <si>
    <t>ti*Di</t>
    <phoneticPr fontId="2" type="noConversion"/>
  </si>
  <si>
    <t>Period</t>
    <phoneticPr fontId="2" type="noConversion"/>
  </si>
  <si>
    <t>ti
(Act/365)</t>
    <phoneticPr fontId="2" type="noConversion"/>
  </si>
  <si>
    <t>Date</t>
    <phoneticPr fontId="2" type="noConversion"/>
  </si>
  <si>
    <t>1Y</t>
    <phoneticPr fontId="2" type="noConversion"/>
  </si>
  <si>
    <t>4M</t>
    <phoneticPr fontId="2" type="noConversion"/>
  </si>
  <si>
    <t>5M</t>
    <phoneticPr fontId="2" type="noConversion"/>
  </si>
  <si>
    <t>6M</t>
    <phoneticPr fontId="2" type="noConversion"/>
  </si>
  <si>
    <t>9M</t>
    <phoneticPr fontId="2" type="noConversion"/>
  </si>
  <si>
    <t>2YR</t>
    <phoneticPr fontId="2" type="noConversion"/>
  </si>
  <si>
    <t>3YR</t>
    <phoneticPr fontId="2" type="noConversion"/>
  </si>
  <si>
    <t>4YR</t>
    <phoneticPr fontId="2" type="noConversion"/>
  </si>
  <si>
    <t>Day to Spot</t>
    <phoneticPr fontId="2" type="noConversion"/>
  </si>
  <si>
    <t>Base Date</t>
    <phoneticPr fontId="2" type="noConversion"/>
  </si>
  <si>
    <t>Spot Date</t>
    <phoneticPr fontId="2" type="noConversion"/>
  </si>
  <si>
    <t>No. of 
Days from Spot</t>
    <phoneticPr fontId="2" type="noConversion"/>
  </si>
  <si>
    <t>1M</t>
    <phoneticPr fontId="2" type="noConversion"/>
  </si>
  <si>
    <t>2M</t>
    <phoneticPr fontId="2" type="noConversion"/>
  </si>
  <si>
    <t>3M</t>
    <phoneticPr fontId="2" type="noConversion"/>
  </si>
  <si>
    <t>SWAP</t>
    <phoneticPr fontId="2" type="noConversion"/>
  </si>
  <si>
    <t>MM Discount Factor</t>
    <phoneticPr fontId="2" type="noConversion"/>
  </si>
  <si>
    <t>Tenor</t>
    <phoneticPr fontId="2" type="noConversion"/>
  </si>
  <si>
    <t>From</t>
    <phoneticPr fontId="2" type="noConversion"/>
  </si>
  <si>
    <t>To</t>
    <phoneticPr fontId="2" type="noConversion"/>
  </si>
  <si>
    <t>Period</t>
    <phoneticPr fontId="2" type="noConversion"/>
  </si>
  <si>
    <t>t
(Act/365)</t>
    <phoneticPr fontId="2" type="noConversion"/>
  </si>
  <si>
    <t>Rate (r)</t>
    <phoneticPr fontId="2" type="noConversion"/>
  </si>
  <si>
    <t>Dt</t>
    <phoneticPr fontId="2" type="noConversion"/>
  </si>
  <si>
    <t>Spot</t>
    <phoneticPr fontId="2" type="noConversion"/>
  </si>
  <si>
    <t>FRA Discount Factor</t>
    <phoneticPr fontId="2" type="noConversion"/>
  </si>
  <si>
    <t>Tenor</t>
    <phoneticPr fontId="2" type="noConversion"/>
  </si>
  <si>
    <t>From</t>
    <phoneticPr fontId="2" type="noConversion"/>
  </si>
  <si>
    <r>
      <t>D</t>
    </r>
    <r>
      <rPr>
        <vertAlign val="subscript"/>
        <sz val="10"/>
        <rFont val="Calibri"/>
        <family val="2"/>
      </rPr>
      <t>S</t>
    </r>
    <phoneticPr fontId="2" type="noConversion"/>
  </si>
  <si>
    <r>
      <t>D</t>
    </r>
    <r>
      <rPr>
        <vertAlign val="subscript"/>
        <sz val="10"/>
        <rFont val="Calibri"/>
        <family val="2"/>
      </rPr>
      <t>E</t>
    </r>
    <phoneticPr fontId="2" type="noConversion"/>
  </si>
  <si>
    <t>CURVE OUTPUT (Spot Discount Curve)</t>
    <phoneticPr fontId="2" type="noConversion"/>
  </si>
  <si>
    <t>SPOT</t>
    <phoneticPr fontId="2" type="noConversion"/>
  </si>
  <si>
    <t>Spot 
DF</t>
    <phoneticPr fontId="2" type="noConversion"/>
  </si>
  <si>
    <t>Spot 
ZC Rate</t>
    <phoneticPr fontId="2" type="noConversion"/>
  </si>
  <si>
    <t>1M</t>
  </si>
  <si>
    <t>2M</t>
  </si>
  <si>
    <t>3M</t>
  </si>
  <si>
    <t>1x4</t>
  </si>
  <si>
    <t>2x5</t>
  </si>
  <si>
    <t>3x6</t>
  </si>
  <si>
    <t>6x9</t>
  </si>
  <si>
    <t>End Date</t>
  </si>
  <si>
    <t>Swap Pricing =  Rec Fixed vs Pay Floating</t>
    <phoneticPr fontId="4" type="noConversion"/>
  </si>
  <si>
    <t>INPUT</t>
    <phoneticPr fontId="4" type="noConversion"/>
  </si>
  <si>
    <t>Base Date</t>
    <phoneticPr fontId="4" type="noConversion"/>
  </si>
  <si>
    <t>Day to Spot</t>
    <phoneticPr fontId="4" type="noConversion"/>
  </si>
  <si>
    <t>No. of Years</t>
    <phoneticPr fontId="4" type="noConversion"/>
  </si>
  <si>
    <t>Fixed Pymt Frq
(no. of months)</t>
    <phoneticPr fontId="4" type="noConversion"/>
  </si>
  <si>
    <t xml:space="preserve">Notional (P) </t>
    <phoneticPr fontId="4" type="noConversion"/>
  </si>
  <si>
    <t>Start Date</t>
    <phoneticPr fontId="4" type="noConversion"/>
  </si>
  <si>
    <t>(Spot Date)</t>
    <phoneticPr fontId="4" type="noConversion"/>
  </si>
  <si>
    <t>OUTPUT</t>
    <phoneticPr fontId="4" type="noConversion"/>
  </si>
  <si>
    <t>Calculate the Swap Rate</t>
    <phoneticPr fontId="4" type="noConversion"/>
  </si>
  <si>
    <t>From</t>
    <phoneticPr fontId="4" type="noConversion"/>
  </si>
  <si>
    <t>To</t>
    <phoneticPr fontId="4" type="noConversion"/>
  </si>
  <si>
    <t>No. of days</t>
    <phoneticPr fontId="4" type="noConversion"/>
  </si>
  <si>
    <t>Daycount fraction
ti (Act/365)</t>
    <phoneticPr fontId="4" type="noConversion"/>
  </si>
  <si>
    <t>Spot DF (extracted from Yield Curve)</t>
    <phoneticPr fontId="4" type="noConversion"/>
  </si>
  <si>
    <t>ti*Di</t>
    <phoneticPr fontId="4" type="noConversion"/>
  </si>
  <si>
    <t xml:space="preserve">Σ ti*Di  </t>
    <phoneticPr fontId="4" type="noConversion"/>
  </si>
  <si>
    <t>Swap Rate ==&gt;</t>
    <phoneticPr fontId="4" type="noConversion"/>
  </si>
  <si>
    <t>r = (1-Dn)/(Σti*Di)</t>
    <phoneticPr fontId="4" type="noConversion"/>
  </si>
  <si>
    <t>Base Date</t>
  </si>
  <si>
    <t>Start Date</t>
  </si>
  <si>
    <t>Fix Rate</t>
  </si>
  <si>
    <t>PV</t>
  </si>
  <si>
    <t>Initial Notional Exch (Hypothetical) =&gt;</t>
  </si>
  <si>
    <t>Final Notional Exch (Hypothetical) =&gt;</t>
  </si>
  <si>
    <t>NPV</t>
  </si>
  <si>
    <t>Validation of Swap at Inception : NPV = 0</t>
  </si>
  <si>
    <t>INPUT</t>
  </si>
  <si>
    <t>Fix Rate ( r )</t>
  </si>
  <si>
    <t>Notional (P)</t>
  </si>
  <si>
    <t>** Di is spot Discount Factor</t>
  </si>
  <si>
    <t>(Spot Date)</t>
  </si>
  <si>
    <t>OUTPUT</t>
  </si>
  <si>
    <t>** Valuation of Swaps with DF to Spot date</t>
  </si>
  <si>
    <t>No. of days</t>
  </si>
  <si>
    <t>Daycount fraction
ti 
(Act/365)</t>
  </si>
  <si>
    <t xml:space="preserve">Ci = P*r*t
</t>
  </si>
  <si>
    <t>Spot DF (extracted from Yield Curve)</t>
  </si>
  <si>
    <t>Validation of Swap Floating Leg at Inception : NPV = 0</t>
    <phoneticPr fontId="2" type="noConversion"/>
  </si>
  <si>
    <t>INPUT</t>
    <phoneticPr fontId="2" type="noConversion"/>
  </si>
  <si>
    <t>Notional (P)</t>
    <phoneticPr fontId="2" type="noConversion"/>
  </si>
  <si>
    <t>Floating Rec Frq
(no. of months)</t>
    <phoneticPr fontId="2" type="noConversion"/>
  </si>
  <si>
    <t>** Di is spot Discount Factor</t>
    <phoneticPr fontId="2" type="noConversion"/>
  </si>
  <si>
    <t>(Spot Date)</t>
    <phoneticPr fontId="2" type="noConversion"/>
  </si>
  <si>
    <t>OUTPUT</t>
    <phoneticPr fontId="2" type="noConversion"/>
  </si>
  <si>
    <t>** Valuation of Swaps with DF to Spot date</t>
    <phoneticPr fontId="2" type="noConversion"/>
  </si>
  <si>
    <t>No. of days</t>
    <phoneticPr fontId="2" type="noConversion"/>
  </si>
  <si>
    <t>HIBOR 
(Projected Forward Rate)</t>
    <phoneticPr fontId="2" type="noConversion"/>
  </si>
  <si>
    <t>Daycount fraction
ti 
(Act/365)</t>
    <phoneticPr fontId="2" type="noConversion"/>
  </si>
  <si>
    <t xml:space="preserve">Ci = P*r*t
</t>
    <phoneticPr fontId="2" type="noConversion"/>
  </si>
  <si>
    <t>Spot DF (extracted from Yield Curve)</t>
    <phoneticPr fontId="2" type="noConversion"/>
  </si>
  <si>
    <t>Initial Notional Exch (Hypothetical) =&gt;</t>
    <phoneticPr fontId="2" type="noConversion"/>
  </si>
  <si>
    <t>Final Notional Exch (Hypothetical) =&gt;</t>
    <phoneticPr fontId="2" type="noConversion"/>
  </si>
  <si>
    <t>** Valuation of Swaps with DF to Base 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</si>
</sst>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.00_-;\-* #,##0.00_-;_-* &quot;-&quot;??_-;_-@_-"/>
    <numFmt numFmtId="165" formatCode="0.000"/>
    <numFmt numFmtId="166" formatCode="dd/mm/yy;@"/>
    <numFmt numFmtId="167" formatCode="0.000%"/>
    <numFmt numFmtId="168" formatCode="_(* #,##0.00000_);_(* \(#,##0.00000\);_(* &quot;-&quot;??_);_(@_)"/>
    <numFmt numFmtId="169" formatCode="0.000000_ "/>
    <numFmt numFmtId="170" formatCode="0.0000000_ "/>
    <numFmt numFmtId="171" formatCode="_-* #,##0.000000_-;\-* #,##0.000000_-;_-* &quot;-&quot;??_-;_-@_-"/>
    <numFmt numFmtId="172" formatCode="_-* #,##0.0000000_-;\-* #,##0.0000000_-;_-* &quot;-&quot;??_-;_-@_-"/>
    <numFmt numFmtId="173" formatCode="d\-mmm\-yyyy"/>
    <numFmt numFmtId="174" formatCode="_-* #,##0_-;\-* #,##0_-;_-* &quot;-&quot;??_-;_-@_-"/>
    <numFmt numFmtId="175" formatCode="dd/mm/yyyy;@"/>
    <numFmt numFmtId="176" formatCode="0.00000"/>
    <numFmt numFmtId="177" formatCode="0.0000%"/>
    <numFmt numFmtId="178" formatCode="#,##0.00_ ;[Red]\-#,##0.00\ "/>
    <numFmt numFmtId="179" formatCode="0.000000"/>
    <numFmt numFmtId="180" formatCode="#,##0.000000_);[Red]\(#,##0.000000\)"/>
    <numFmt numFmtId="181" formatCode="#,##0.000000"/>
  </numFmts>
  <fonts count="1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u/>
      <sz val="10"/>
      <name val="Calibri"/>
      <family val="2"/>
    </font>
    <font>
      <vertAlign val="subscript"/>
      <sz val="10"/>
      <name val="Calibri"/>
      <family val="2"/>
    </font>
    <font>
      <sz val="10"/>
      <color rgb="FFFF0000"/>
      <name val="Calibri"/>
      <family val="2"/>
    </font>
    <font>
      <b/>
      <sz val="11"/>
      <name val="Times New Roman"/>
      <family val="1"/>
    </font>
    <font>
      <i/>
      <sz val="10"/>
      <name val="Calibri"/>
      <family val="2"/>
    </font>
    <font>
      <b/>
      <sz val="10"/>
      <color rgb="FFFF0000"/>
      <name val="Calibri"/>
      <family val="2"/>
    </font>
    <font>
      <b/>
      <sz val="9"/>
      <color rgb="FF0070C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FF99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4" fillId="3" borderId="0" xfId="0" applyFont="1" applyFill="1"/>
    <xf numFmtId="0" fontId="4" fillId="4" borderId="1" xfId="0" applyFont="1" applyFill="1" applyBorder="1"/>
    <xf numFmtId="0" fontId="3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10" fontId="3" fillId="0" borderId="0" xfId="0" applyNumberFormat="1" applyFont="1" applyBorder="1"/>
    <xf numFmtId="10" fontId="3" fillId="0" borderId="5" xfId="0" applyNumberFormat="1" applyFont="1" applyBorder="1"/>
    <xf numFmtId="0" fontId="4" fillId="4" borderId="4" xfId="0" applyFont="1" applyFill="1" applyBorder="1"/>
    <xf numFmtId="0" fontId="6" fillId="0" borderId="4" xfId="0" applyFont="1" applyBorder="1"/>
    <xf numFmtId="0" fontId="6" fillId="0" borderId="0" xfId="0" applyFont="1" applyBorder="1"/>
    <xf numFmtId="0" fontId="3" fillId="0" borderId="6" xfId="0" applyFont="1" applyBorder="1"/>
    <xf numFmtId="0" fontId="3" fillId="0" borderId="7" xfId="0" applyFont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0" fontId="4" fillId="5" borderId="0" xfId="0" applyFont="1" applyFill="1"/>
    <xf numFmtId="0" fontId="3" fillId="5" borderId="0" xfId="0" applyFont="1" applyFill="1"/>
    <xf numFmtId="0" fontId="3" fillId="6" borderId="9" xfId="0" applyFont="1" applyFill="1" applyBorder="1" applyAlignment="1">
      <alignment horizontal="right"/>
    </xf>
    <xf numFmtId="0" fontId="3" fillId="6" borderId="9" xfId="0" applyFont="1" applyFill="1" applyBorder="1" applyAlignment="1">
      <alignment horizontal="right" wrapText="1"/>
    </xf>
    <xf numFmtId="0" fontId="3" fillId="7" borderId="10" xfId="0" applyFont="1" applyFill="1" applyBorder="1" applyAlignment="1">
      <alignment horizontal="right"/>
    </xf>
    <xf numFmtId="165" fontId="3" fillId="0" borderId="0" xfId="0" applyNumberFormat="1" applyFont="1" applyBorder="1"/>
    <xf numFmtId="166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69" fontId="3" fillId="8" borderId="0" xfId="0" applyNumberFormat="1" applyFont="1" applyFill="1" applyBorder="1"/>
    <xf numFmtId="170" fontId="3" fillId="0" borderId="0" xfId="0" applyNumberFormat="1" applyFont="1"/>
    <xf numFmtId="172" fontId="3" fillId="0" borderId="0" xfId="0" applyNumberFormat="1" applyFont="1"/>
    <xf numFmtId="165" fontId="3" fillId="6" borderId="9" xfId="0" applyNumberFormat="1" applyFont="1" applyFill="1" applyBorder="1" applyAlignment="1">
      <alignment horizontal="right"/>
    </xf>
    <xf numFmtId="0" fontId="3" fillId="7" borderId="9" xfId="0" applyFont="1" applyFill="1" applyBorder="1" applyAlignment="1">
      <alignment horizontal="right"/>
    </xf>
    <xf numFmtId="165" fontId="3" fillId="0" borderId="0" xfId="0" applyNumberFormat="1" applyFont="1" applyFill="1" applyBorder="1"/>
    <xf numFmtId="171" fontId="3" fillId="8" borderId="0" xfId="1" applyNumberFormat="1" applyFont="1" applyFill="1" applyBorder="1"/>
    <xf numFmtId="171" fontId="3" fillId="0" borderId="0" xfId="2" applyNumberFormat="1" applyFont="1" applyBorder="1"/>
    <xf numFmtId="168" fontId="3" fillId="0" borderId="0" xfId="0" applyNumberFormat="1" applyFont="1"/>
    <xf numFmtId="171" fontId="3" fillId="5" borderId="0" xfId="1" applyNumberFormat="1" applyFont="1" applyFill="1" applyBorder="1"/>
    <xf numFmtId="169" fontId="3" fillId="4" borderId="0" xfId="0" applyNumberFormat="1" applyFont="1" applyFill="1" applyBorder="1"/>
    <xf numFmtId="0" fontId="3" fillId="2" borderId="0" xfId="0" applyFont="1" applyFill="1" applyBorder="1"/>
    <xf numFmtId="10" fontId="3" fillId="0" borderId="0" xfId="2" applyNumberFormat="1" applyFont="1" applyBorder="1"/>
    <xf numFmtId="0" fontId="3" fillId="6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165" fontId="3" fillId="0" borderId="0" xfId="0" applyNumberFormat="1" applyFont="1" applyAlignment="1">
      <alignment horizontal="right"/>
    </xf>
    <xf numFmtId="166" fontId="3" fillId="0" borderId="9" xfId="0" applyNumberFormat="1" applyFont="1" applyBorder="1"/>
    <xf numFmtId="10" fontId="3" fillId="0" borderId="0" xfId="0" applyNumberFormat="1" applyFont="1"/>
    <xf numFmtId="3" fontId="3" fillId="0" borderId="12" xfId="0" applyNumberFormat="1" applyFont="1" applyBorder="1"/>
    <xf numFmtId="166" fontId="3" fillId="0" borderId="0" xfId="0" applyNumberFormat="1" applyFo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8" fillId="0" borderId="0" xfId="0" applyFont="1" applyFill="1" applyBorder="1"/>
    <xf numFmtId="167" fontId="3" fillId="9" borderId="0" xfId="2" applyNumberFormat="1" applyFont="1" applyFill="1" applyAlignment="1">
      <alignment horizontal="right"/>
    </xf>
    <xf numFmtId="167" fontId="3" fillId="9" borderId="0" xfId="2" applyNumberFormat="1" applyFont="1" applyFill="1"/>
    <xf numFmtId="0" fontId="4" fillId="10" borderId="11" xfId="0" applyFont="1" applyFill="1" applyBorder="1" applyAlignment="1">
      <alignment horizontal="center" wrapText="1"/>
    </xf>
    <xf numFmtId="0" fontId="4" fillId="11" borderId="0" xfId="0" applyFont="1" applyFill="1" applyAlignment="1">
      <alignment horizontal="right"/>
    </xf>
    <xf numFmtId="15" fontId="3" fillId="11" borderId="0" xfId="0" applyNumberFormat="1" applyFont="1" applyFill="1"/>
    <xf numFmtId="15" fontId="3" fillId="12" borderId="0" xfId="0" applyNumberFormat="1" applyFont="1" applyFill="1"/>
    <xf numFmtId="167" fontId="3" fillId="0" borderId="0" xfId="0" applyNumberFormat="1" applyFont="1" applyBorder="1"/>
    <xf numFmtId="167" fontId="3" fillId="0" borderId="7" xfId="0" applyNumberFormat="1" applyFont="1" applyBorder="1"/>
    <xf numFmtId="10" fontId="3" fillId="0" borderId="0" xfId="0" applyNumberFormat="1" applyFont="1" applyFill="1" applyBorder="1"/>
    <xf numFmtId="167" fontId="3" fillId="2" borderId="0" xfId="0" applyNumberFormat="1" applyFont="1" applyFill="1" applyBorder="1"/>
    <xf numFmtId="167" fontId="3" fillId="0" borderId="0" xfId="2" applyNumberFormat="1" applyFont="1" applyBorder="1"/>
    <xf numFmtId="0" fontId="9" fillId="0" borderId="0" xfId="0" applyFont="1"/>
    <xf numFmtId="0" fontId="4" fillId="4" borderId="11" xfId="0" applyFont="1" applyFill="1" applyBorder="1"/>
    <xf numFmtId="17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174" fontId="8" fillId="0" borderId="0" xfId="1" applyNumberFormat="1" applyFont="1" applyAlignment="1">
      <alignment horizontal="center" vertical="center"/>
    </xf>
    <xf numFmtId="0" fontId="4" fillId="11" borderId="0" xfId="0" applyFont="1" applyFill="1"/>
    <xf numFmtId="173" fontId="3" fillId="11" borderId="0" xfId="0" applyNumberFormat="1" applyFont="1" applyFill="1" applyAlignment="1">
      <alignment horizontal="center" vertical="center"/>
    </xf>
    <xf numFmtId="0" fontId="3" fillId="11" borderId="0" xfId="0" applyFont="1" applyFill="1"/>
    <xf numFmtId="174" fontId="3" fillId="0" borderId="0" xfId="1" applyNumberFormat="1" applyFont="1" applyAlignment="1"/>
    <xf numFmtId="0" fontId="4" fillId="6" borderId="9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 wrapText="1"/>
    </xf>
    <xf numFmtId="0" fontId="4" fillId="13" borderId="9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/>
    </xf>
    <xf numFmtId="14" fontId="4" fillId="0" borderId="0" xfId="0" applyNumberFormat="1" applyFont="1"/>
    <xf numFmtId="175" fontId="3" fillId="0" borderId="0" xfId="0" applyNumberFormat="1" applyFont="1"/>
    <xf numFmtId="1" fontId="3" fillId="0" borderId="0" xfId="0" applyNumberFormat="1" applyFont="1"/>
    <xf numFmtId="169" fontId="3" fillId="0" borderId="0" xfId="0" applyNumberFormat="1" applyFont="1"/>
    <xf numFmtId="169" fontId="3" fillId="0" borderId="13" xfId="0" applyNumberFormat="1" applyFont="1" applyBorder="1"/>
    <xf numFmtId="176" fontId="3" fillId="0" borderId="0" xfId="0" applyNumberFormat="1" applyFont="1" applyFill="1"/>
    <xf numFmtId="177" fontId="8" fillId="0" borderId="0" xfId="0" applyNumberFormat="1" applyFont="1"/>
    <xf numFmtId="173" fontId="3" fillId="0" borderId="0" xfId="0" applyNumberFormat="1" applyFont="1" applyAlignment="1">
      <alignment horizontal="center" vertical="center"/>
    </xf>
    <xf numFmtId="0" fontId="10" fillId="0" borderId="0" xfId="0" applyFont="1"/>
    <xf numFmtId="175" fontId="11" fillId="0" borderId="0" xfId="0" applyNumberFormat="1" applyFont="1"/>
    <xf numFmtId="3" fontId="11" fillId="0" borderId="0" xfId="0" applyNumberFormat="1" applyFont="1"/>
    <xf numFmtId="0" fontId="12" fillId="0" borderId="0" xfId="0" applyFont="1" applyAlignment="1">
      <alignment horizontal="right"/>
    </xf>
    <xf numFmtId="3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" fontId="11" fillId="0" borderId="0" xfId="0" applyNumberFormat="1" applyFont="1"/>
    <xf numFmtId="0" fontId="4" fillId="15" borderId="11" xfId="0" applyFont="1" applyFill="1" applyBorder="1"/>
    <xf numFmtId="174" fontId="8" fillId="0" borderId="0" xfId="0" applyNumberFormat="1" applyFont="1"/>
    <xf numFmtId="0" fontId="3" fillId="16" borderId="0" xfId="0" applyFont="1" applyFill="1"/>
    <xf numFmtId="173" fontId="3" fillId="16" borderId="0" xfId="0" applyNumberFormat="1" applyFont="1" applyFill="1" applyAlignment="1">
      <alignment horizontal="center" vertical="center"/>
    </xf>
    <xf numFmtId="0" fontId="4" fillId="16" borderId="0" xfId="0" applyFont="1" applyFill="1"/>
    <xf numFmtId="175" fontId="3" fillId="16" borderId="0" xfId="0" applyNumberFormat="1" applyFont="1" applyFill="1"/>
    <xf numFmtId="0" fontId="4" fillId="17" borderId="9" xfId="0" applyFont="1" applyFill="1" applyBorder="1" applyAlignment="1">
      <alignment horizontal="right"/>
    </xf>
    <xf numFmtId="0" fontId="4" fillId="17" borderId="14" xfId="0" applyFont="1" applyFill="1" applyBorder="1" applyAlignment="1">
      <alignment horizontal="right"/>
    </xf>
    <xf numFmtId="0" fontId="4" fillId="17" borderId="14" xfId="0" applyFont="1" applyFill="1" applyBorder="1" applyAlignment="1">
      <alignment horizontal="right" wrapText="1"/>
    </xf>
    <xf numFmtId="0" fontId="4" fillId="18" borderId="14" xfId="0" applyFont="1" applyFill="1" applyBorder="1" applyAlignment="1">
      <alignment horizontal="center" wrapText="1"/>
    </xf>
    <xf numFmtId="3" fontId="4" fillId="15" borderId="13" xfId="0" applyNumberFormat="1" applyFont="1" applyFill="1" applyBorder="1"/>
    <xf numFmtId="175" fontId="3" fillId="0" borderId="0" xfId="0" applyNumberFormat="1" applyFont="1" applyFill="1"/>
    <xf numFmtId="1" fontId="3" fillId="0" borderId="0" xfId="0" applyNumberFormat="1" applyFont="1" applyFill="1"/>
    <xf numFmtId="177" fontId="3" fillId="0" borderId="0" xfId="0" applyNumberFormat="1" applyFont="1" applyFill="1"/>
    <xf numFmtId="169" fontId="3" fillId="0" borderId="0" xfId="0" applyNumberFormat="1" applyFont="1" applyFill="1"/>
    <xf numFmtId="178" fontId="3" fillId="0" borderId="0" xfId="0" applyNumberFormat="1" applyFont="1" applyFill="1"/>
    <xf numFmtId="3" fontId="3" fillId="0" borderId="0" xfId="0" applyNumberFormat="1" applyFont="1" applyFill="1"/>
    <xf numFmtId="167" fontId="4" fillId="4" borderId="11" xfId="2" applyNumberFormat="1" applyFont="1" applyFill="1" applyBorder="1" applyAlignment="1"/>
    <xf numFmtId="179" fontId="3" fillId="14" borderId="0" xfId="0" applyNumberFormat="1" applyFont="1" applyFill="1"/>
    <xf numFmtId="179" fontId="3" fillId="19" borderId="0" xfId="0" applyNumberFormat="1" applyFont="1" applyFill="1"/>
    <xf numFmtId="0" fontId="3" fillId="0" borderId="0" xfId="0" applyFont="1" applyFill="1" applyBorder="1"/>
    <xf numFmtId="174" fontId="8" fillId="0" borderId="0" xfId="1" applyNumberFormat="1" applyFont="1" applyAlignment="1"/>
    <xf numFmtId="175" fontId="3" fillId="11" borderId="0" xfId="0" applyNumberFormat="1" applyFont="1" applyFill="1"/>
    <xf numFmtId="0" fontId="4" fillId="6" borderId="9" xfId="0" applyFont="1" applyFill="1" applyBorder="1" applyAlignment="1">
      <alignment horizontal="right" vertical="center" wrapText="1"/>
    </xf>
    <xf numFmtId="3" fontId="4" fillId="4" borderId="13" xfId="0" applyNumberFormat="1" applyFont="1" applyFill="1" applyBorder="1"/>
    <xf numFmtId="179" fontId="8" fillId="14" borderId="0" xfId="0" applyNumberFormat="1" applyFont="1" applyFill="1"/>
    <xf numFmtId="167" fontId="3" fillId="0" borderId="0" xfId="0" applyNumberFormat="1" applyFont="1"/>
    <xf numFmtId="167" fontId="8" fillId="0" borderId="0" xfId="0" applyNumberFormat="1" applyFont="1"/>
    <xf numFmtId="180" fontId="4" fillId="0" borderId="0" xfId="0" applyNumberFormat="1" applyFont="1"/>
    <xf numFmtId="180" fontId="3" fillId="0" borderId="0" xfId="0" applyNumberFormat="1" applyFont="1"/>
    <xf numFmtId="180" fontId="11" fillId="0" borderId="0" xfId="0" applyNumberFormat="1" applyFont="1"/>
    <xf numFmtId="181" fontId="3" fillId="0" borderId="0" xfId="0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Spot Zero Yield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Question1!$F$72</c:f>
              <c:strCache>
                <c:ptCount val="1"/>
                <c:pt idx="0">
                  <c:v>Spot 
ZC Rate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Question1!$C$73:$C$94</c:f>
              <c:numCache>
                <c:formatCode>dd/mm/yy;@</c:formatCode>
                <c:ptCount val="22"/>
                <c:pt idx="0">
                  <c:v>44412</c:v>
                </c:pt>
                <c:pt idx="1">
                  <c:v>44419</c:v>
                </c:pt>
                <c:pt idx="2">
                  <c:v>44443</c:v>
                </c:pt>
                <c:pt idx="3">
                  <c:v>44473</c:v>
                </c:pt>
                <c:pt idx="4">
                  <c:v>44504</c:v>
                </c:pt>
                <c:pt idx="5">
                  <c:v>44534</c:v>
                </c:pt>
                <c:pt idx="6">
                  <c:v>44565</c:v>
                </c:pt>
                <c:pt idx="7">
                  <c:v>44596</c:v>
                </c:pt>
                <c:pt idx="8">
                  <c:v>44685</c:v>
                </c:pt>
                <c:pt idx="9">
                  <c:v>44777</c:v>
                </c:pt>
                <c:pt idx="10">
                  <c:v>44869</c:v>
                </c:pt>
                <c:pt idx="11">
                  <c:v>44961</c:v>
                </c:pt>
                <c:pt idx="12">
                  <c:v>45050</c:v>
                </c:pt>
                <c:pt idx="13">
                  <c:v>45142</c:v>
                </c:pt>
                <c:pt idx="14">
                  <c:v>45234</c:v>
                </c:pt>
                <c:pt idx="15">
                  <c:v>45326</c:v>
                </c:pt>
                <c:pt idx="16">
                  <c:v>45416</c:v>
                </c:pt>
                <c:pt idx="17">
                  <c:v>45508</c:v>
                </c:pt>
                <c:pt idx="18">
                  <c:v>45600</c:v>
                </c:pt>
                <c:pt idx="19">
                  <c:v>45692</c:v>
                </c:pt>
                <c:pt idx="20">
                  <c:v>45781</c:v>
                </c:pt>
                <c:pt idx="21">
                  <c:v>45873</c:v>
                </c:pt>
              </c:numCache>
            </c:numRef>
          </c:cat>
          <c:val>
            <c:numRef>
              <c:f>Question1!$F$73:$F$94</c:f>
              <c:numCache>
                <c:formatCode>0.000%</c:formatCode>
                <c:ptCount val="22"/>
                <c:pt idx="1">
                  <c:v>4.901177661658096E-4</c:v>
                </c:pt>
                <c:pt idx="2">
                  <c:v>7.8027842392547342E-4</c:v>
                </c:pt>
                <c:pt idx="3">
                  <c:v>1.1605605037232625E-3</c:v>
                </c:pt>
                <c:pt idx="4">
                  <c:v>1.490830461079895E-3</c:v>
                </c:pt>
                <c:pt idx="5">
                  <c:v>1.7283898393329888E-3</c:v>
                </c:pt>
                <c:pt idx="6">
                  <c:v>1.7263382667567218E-3</c:v>
                </c:pt>
                <c:pt idx="7">
                  <c:v>2.3069038766747596E-3</c:v>
                </c:pt>
                <c:pt idx="8">
                  <c:v>2.5763725351188871E-3</c:v>
                </c:pt>
                <c:pt idx="9">
                  <c:v>4.2096133909914624E-3</c:v>
                </c:pt>
                <c:pt idx="10">
                  <c:v>4.3357833133823576E-3</c:v>
                </c:pt>
                <c:pt idx="11">
                  <c:v>4.4621840580263417E-3</c:v>
                </c:pt>
                <c:pt idx="12">
                  <c:v>4.5846359231476175E-3</c:v>
                </c:pt>
                <c:pt idx="13">
                  <c:v>4.7113337072208772E-3</c:v>
                </c:pt>
                <c:pt idx="14">
                  <c:v>5.0154221268716714E-3</c:v>
                </c:pt>
                <c:pt idx="15">
                  <c:v>5.3198397593032798E-3</c:v>
                </c:pt>
                <c:pt idx="16">
                  <c:v>5.6179954607380456E-3</c:v>
                </c:pt>
                <c:pt idx="17">
                  <c:v>5.923140522260173E-3</c:v>
                </c:pt>
                <c:pt idx="18">
                  <c:v>6.0631018594874408E-3</c:v>
                </c:pt>
                <c:pt idx="19">
                  <c:v>6.2032342101532301E-3</c:v>
                </c:pt>
                <c:pt idx="20">
                  <c:v>6.3389709454995113E-3</c:v>
                </c:pt>
                <c:pt idx="21">
                  <c:v>6.4794320085121981E-3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A6-4FE8-9BB1-12F8FEBB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02144"/>
        <c:axId val="176904832"/>
      </c:lineChart>
      <c:dateAx>
        <c:axId val="176902144"/>
        <c:scaling>
          <c:orientation val="minMax"/>
        </c:scaling>
        <c:delete val="0"/>
        <c:axPos val="b"/>
        <c:minorGridlines/>
        <c:numFmt formatCode="dd/mm/yy;@" sourceLinked="0"/>
        <c:majorTickMark val="none"/>
        <c:minorTickMark val="none"/>
        <c:tickLblPos val="nextTo"/>
        <c:crossAx val="176904832"/>
        <c:crosses val="autoZero"/>
        <c:auto val="1"/>
        <c:lblOffset val="100"/>
        <c:baseTimeUnit val="days"/>
        <c:majorUnit val="3"/>
        <c:majorTimeUnit val="months"/>
        <c:minorUnit val="3"/>
        <c:minorTimeUnit val="months"/>
      </c:dateAx>
      <c:valAx>
        <c:axId val="176904832"/>
        <c:scaling>
          <c:orientation val="minMax"/>
          <c:max val="2.0000000000000004E-2"/>
          <c:min val="0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crossAx val="176902144"/>
        <c:crosses val="autoZero"/>
        <c:crossBetween val="between"/>
        <c:majorUnit val="2.5000000000000005E-3"/>
      </c:valAx>
    </c:plotArea>
    <c:legend>
      <c:legendPos val="b"/>
      <c:layout>
        <c:manualLayout>
          <c:xMode val="edge"/>
          <c:yMode val="edge"/>
          <c:x val="7.1899198874650475E-2"/>
          <c:y val="0.86715947144537964"/>
          <c:w val="0.84277872128729014"/>
          <c:h val="0.110801882523305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Discount</a:t>
            </a:r>
            <a:r>
              <a:rPr lang="en-US" altLang="en-US" baseline="0"/>
              <a:t> Factor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Question1!$E$72</c:f>
              <c:strCache>
                <c:ptCount val="1"/>
                <c:pt idx="0">
                  <c:v>Spot 
DF</c:v>
                </c:pt>
              </c:strCache>
            </c:strRef>
          </c:tx>
          <c:marker>
            <c:symbol val="none"/>
          </c:marker>
          <c:cat>
            <c:numRef>
              <c:f>Question1!$C$73:$C$94</c:f>
              <c:numCache>
                <c:formatCode>dd/mm/yy;@</c:formatCode>
                <c:ptCount val="22"/>
                <c:pt idx="0">
                  <c:v>44412</c:v>
                </c:pt>
                <c:pt idx="1">
                  <c:v>44419</c:v>
                </c:pt>
                <c:pt idx="2">
                  <c:v>44443</c:v>
                </c:pt>
                <c:pt idx="3">
                  <c:v>44473</c:v>
                </c:pt>
                <c:pt idx="4">
                  <c:v>44504</c:v>
                </c:pt>
                <c:pt idx="5">
                  <c:v>44534</c:v>
                </c:pt>
                <c:pt idx="6">
                  <c:v>44565</c:v>
                </c:pt>
                <c:pt idx="7">
                  <c:v>44596</c:v>
                </c:pt>
                <c:pt idx="8">
                  <c:v>44685</c:v>
                </c:pt>
                <c:pt idx="9">
                  <c:v>44777</c:v>
                </c:pt>
                <c:pt idx="10">
                  <c:v>44869</c:v>
                </c:pt>
                <c:pt idx="11">
                  <c:v>44961</c:v>
                </c:pt>
                <c:pt idx="12">
                  <c:v>45050</c:v>
                </c:pt>
                <c:pt idx="13">
                  <c:v>45142</c:v>
                </c:pt>
                <c:pt idx="14">
                  <c:v>45234</c:v>
                </c:pt>
                <c:pt idx="15">
                  <c:v>45326</c:v>
                </c:pt>
                <c:pt idx="16">
                  <c:v>45416</c:v>
                </c:pt>
                <c:pt idx="17">
                  <c:v>45508</c:v>
                </c:pt>
                <c:pt idx="18">
                  <c:v>45600</c:v>
                </c:pt>
                <c:pt idx="19">
                  <c:v>45692</c:v>
                </c:pt>
                <c:pt idx="20">
                  <c:v>45781</c:v>
                </c:pt>
                <c:pt idx="21">
                  <c:v>45873</c:v>
                </c:pt>
              </c:numCache>
            </c:numRef>
          </c:cat>
          <c:val>
            <c:numRef>
              <c:f>Question1!$E$73:$E$94</c:f>
              <c:numCache>
                <c:formatCode>0.000000_ </c:formatCode>
                <c:ptCount val="22"/>
                <c:pt idx="0">
                  <c:v>1</c:v>
                </c:pt>
                <c:pt idx="1">
                  <c:v>0.99999060282803376</c:v>
                </c:pt>
                <c:pt idx="2">
                  <c:v>0.99993375781297555</c:v>
                </c:pt>
                <c:pt idx="3">
                  <c:v>0.99980617456188492</c:v>
                </c:pt>
                <c:pt idx="4">
                  <c:v>0.9996245793497609</c:v>
                </c:pt>
                <c:pt idx="5">
                  <c:v>0.99942295684694882</c:v>
                </c:pt>
                <c:pt idx="6">
                  <c:v>0.9992772420600603</c:v>
                </c:pt>
                <c:pt idx="7">
                  <c:v>0.99883908135000543</c:v>
                </c:pt>
                <c:pt idx="8">
                  <c:v>0.99807734325271813</c:v>
                </c:pt>
                <c:pt idx="9">
                  <c:v>0.99580803316871602</c:v>
                </c:pt>
                <c:pt idx="10">
                  <c:v>0.99459774147301294</c:v>
                </c:pt>
                <c:pt idx="11">
                  <c:v>0.99332568882094063</c:v>
                </c:pt>
                <c:pt idx="12">
                  <c:v>0.99203649961868579</c:v>
                </c:pt>
                <c:pt idx="13">
                  <c:v>0.99064350672747958</c:v>
                </c:pt>
                <c:pt idx="14">
                  <c:v>0.98879645722464637</c:v>
                </c:pt>
                <c:pt idx="15">
                  <c:v>0.98680171843953768</c:v>
                </c:pt>
                <c:pt idx="16">
                  <c:v>0.98470803888404534</c:v>
                </c:pt>
                <c:pt idx="17">
                  <c:v>0.98242312460774295</c:v>
                </c:pt>
                <c:pt idx="18">
                  <c:v>0.9805177148497527</c:v>
                </c:pt>
                <c:pt idx="19">
                  <c:v>0.97854685047734713</c:v>
                </c:pt>
                <c:pt idx="20">
                  <c:v>0.97657820609436541</c:v>
                </c:pt>
                <c:pt idx="21">
                  <c:v>0.97447947970751791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DA-4398-BF32-B26C965B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48352"/>
        <c:axId val="198949888"/>
      </c:lineChart>
      <c:dateAx>
        <c:axId val="198948352"/>
        <c:scaling>
          <c:orientation val="minMax"/>
        </c:scaling>
        <c:delete val="0"/>
        <c:axPos val="b"/>
        <c:minorGridlines/>
        <c:numFmt formatCode="dd/mm/yy;@" sourceLinked="0"/>
        <c:majorTickMark val="none"/>
        <c:minorTickMark val="none"/>
        <c:tickLblPos val="nextTo"/>
        <c:crossAx val="198949888"/>
        <c:crosses val="autoZero"/>
        <c:auto val="1"/>
        <c:lblOffset val="100"/>
        <c:baseTimeUnit val="days"/>
        <c:majorUnit val="3"/>
        <c:majorTimeUnit val="months"/>
        <c:minorUnit val="3"/>
        <c:minorTimeUnit val="months"/>
      </c:dateAx>
      <c:valAx>
        <c:axId val="198949888"/>
        <c:scaling>
          <c:orientation val="minMax"/>
        </c:scaling>
        <c:delete val="0"/>
        <c:axPos val="l"/>
        <c:majorGridlines/>
        <c:numFmt formatCode="0.000000_ " sourceLinked="1"/>
        <c:majorTickMark val="none"/>
        <c:minorTickMark val="none"/>
        <c:tickLblPos val="nextTo"/>
        <c:spPr>
          <a:ln w="9525">
            <a:noFill/>
          </a:ln>
        </c:spPr>
        <c:crossAx val="198948352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529076</xdr:colOff>
      <xdr:row>71</xdr:row>
      <xdr:rowOff>12316</xdr:rowOff>
    </xdr:from>
    <xdr:to>
      <xdr:col>18</xdr:col>
      <xdr:colOff>683812</xdr:colOff>
      <xdr:row>96</xdr:row>
      <xdr:rowOff>19958</xdr:rowOff>
    </xdr:to>
    <xdr:graphicFrame macro="">
      <xdr:nvGraphicFramePr>
        <xdr:cNvPr id="1640" name="圖表 1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908</xdr:colOff>
      <xdr:row>71</xdr:row>
      <xdr:rowOff>28576</xdr:rowOff>
    </xdr:from>
    <xdr:to>
      <xdr:col>29</xdr:col>
      <xdr:colOff>230868</xdr:colOff>
      <xdr:row>96</xdr:row>
      <xdr:rowOff>28576</xdr:rowOff>
    </xdr:to>
    <xdr:graphicFrame macro="">
      <xdr:nvGraphicFramePr>
        <xdr:cNvPr id="1641" name="圖表 2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14410</xdr:colOff>
      <xdr:row>42</xdr:row>
      <xdr:rowOff>7815</xdr:rowOff>
    </xdr:from>
    <xdr:to>
      <xdr:col>13</xdr:col>
      <xdr:colOff>279334</xdr:colOff>
      <xdr:row>45</xdr:row>
      <xdr:rowOff>27842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14333" y="7852507"/>
          <a:ext cx="2629078" cy="54756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9</xdr:col>
      <xdr:colOff>19539</xdr:colOff>
      <xdr:row>34</xdr:row>
      <xdr:rowOff>9035</xdr:rowOff>
    </xdr:from>
    <xdr:to>
      <xdr:col>12</xdr:col>
      <xdr:colOff>705599</xdr:colOff>
      <xdr:row>37</xdr:row>
      <xdr:rowOff>19295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975231" y="6232035"/>
          <a:ext cx="2571522" cy="53779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10</xdr:col>
      <xdr:colOff>7083</xdr:colOff>
      <xdr:row>50</xdr:row>
      <xdr:rowOff>25400</xdr:rowOff>
    </xdr:from>
    <xdr:to>
      <xdr:col>12</xdr:col>
      <xdr:colOff>711234</xdr:colOff>
      <xdr:row>56</xdr:row>
      <xdr:rowOff>115033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07006" y="9482015"/>
          <a:ext cx="2345382" cy="114471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6</xdr:col>
      <xdr:colOff>420218</xdr:colOff>
      <xdr:row>72</xdr:row>
      <xdr:rowOff>27424</xdr:rowOff>
    </xdr:from>
    <xdr:to>
      <xdr:col>9</xdr:col>
      <xdr:colOff>164403</xdr:colOff>
      <xdr:row>77</xdr:row>
      <xdr:rowOff>1569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4789" y="14160710"/>
          <a:ext cx="2048328" cy="88128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8549</xdr:colOff>
      <xdr:row>1</xdr:row>
      <xdr:rowOff>28575</xdr:rowOff>
    </xdr:from>
    <xdr:to>
      <xdr:col>4</xdr:col>
      <xdr:colOff>801079</xdr:colOff>
      <xdr:row>6</xdr:row>
      <xdr:rowOff>68384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FB6879-40DE-154C-8B05-118F3D5CC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99703" y="233729"/>
          <a:ext cx="1622914" cy="958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520700</xdr:colOff>
      <xdr:row>1</xdr:row>
      <xdr:rowOff>195384</xdr:rowOff>
    </xdr:from>
    <xdr:to>
      <xdr:col>15</xdr:col>
      <xdr:colOff>60758</xdr:colOff>
      <xdr:row>6</xdr:row>
      <xdr:rowOff>96226</xdr:rowOff>
    </xdr:to>
    <xdr:pic>
      <xdr:nvPicPr>
        <xdr:cNvPr id="6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02700" y="393700"/>
          <a:ext cx="31718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85725</xdr:colOff>
      <xdr:row>0</xdr:row>
      <xdr:rowOff>0</xdr:rowOff>
    </xdr:from>
    <xdr:to>
      <xdr:col>27</xdr:col>
      <xdr:colOff>80296</xdr:colOff>
      <xdr:row>3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7B3251-E85E-954E-AA85-E3397C3B1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6325" y="0"/>
          <a:ext cx="2781300" cy="679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47625</xdr:colOff>
      <xdr:row>3</xdr:row>
      <xdr:rowOff>95250</xdr:rowOff>
    </xdr:from>
    <xdr:to>
      <xdr:col>27</xdr:col>
      <xdr:colOff>385096</xdr:colOff>
      <xdr:row>6</xdr:row>
      <xdr:rowOff>374650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EE4A26-9B14-F446-8FDF-5CA6F9635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8225" y="679450"/>
          <a:ext cx="31242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47"/>
  <sheetViews>
    <sheetView tabSelected="1" topLeftCell="N67" zoomScale="120" zoomScaleNormal="120" workbookViewId="0">
      <selection activeCell="O70" sqref="O70:P70"/>
    </sheetView>
  </sheetViews>
  <sheetFormatPr baseColWidth="10" defaultColWidth="9.1640625" defaultRowHeight="14" x14ac:dyDescent="0.2"/>
  <cols>
    <col min="1" max="1" width="9.1640625" style="1"/>
    <col min="2" max="3" width="11.1640625" style="1" bestFit="1" customWidth="1"/>
    <col min="4" max="4" width="9.33203125" style="1" bestFit="1" customWidth="1"/>
    <col min="5" max="6" width="10" style="1" bestFit="1" customWidth="1"/>
    <col min="7" max="7" width="9.33203125" style="1" bestFit="1" customWidth="1"/>
    <col min="8" max="9" width="10.5" style="1" bestFit="1" customWidth="1"/>
    <col min="10" max="10" width="3.1640625" style="1" customWidth="1"/>
    <col min="11" max="11" width="11.1640625" style="1" bestFit="1" customWidth="1"/>
    <col min="12" max="12" width="10.33203125" style="1" customWidth="1"/>
    <col min="13" max="13" width="9.5" style="1" customWidth="1"/>
    <col min="14" max="15" width="11.6640625" style="1" customWidth="1"/>
    <col min="16" max="16" width="9.1640625" style="1" bestFit="1" customWidth="1"/>
    <col min="17" max="18" width="11" style="1" customWidth="1"/>
    <col min="19" max="19" width="11.5" style="4" customWidth="1"/>
    <col min="20" max="20" width="10.5" style="1" bestFit="1" customWidth="1"/>
    <col min="21" max="21" width="9.5" style="1" bestFit="1" customWidth="1"/>
    <col min="22" max="22" width="10.1640625" style="1" bestFit="1" customWidth="1"/>
    <col min="23" max="23" width="9.83203125" style="1" bestFit="1" customWidth="1"/>
    <col min="24" max="24" width="9.5" style="1" bestFit="1" customWidth="1"/>
    <col min="25" max="16384" width="9.1640625" style="1"/>
  </cols>
  <sheetData>
    <row r="1" spans="1:10" x14ac:dyDescent="0.2">
      <c r="B1" s="2" t="s">
        <v>33</v>
      </c>
      <c r="C1" s="62">
        <v>44410</v>
      </c>
    </row>
    <row r="2" spans="1:10" x14ac:dyDescent="0.2">
      <c r="B2" s="4" t="s">
        <v>32</v>
      </c>
      <c r="C2" s="5">
        <v>2</v>
      </c>
    </row>
    <row r="3" spans="1:10" x14ac:dyDescent="0.2">
      <c r="B3" s="60" t="s">
        <v>34</v>
      </c>
      <c r="C3" s="61">
        <f>C1+C2</f>
        <v>44412</v>
      </c>
    </row>
    <row r="4" spans="1:10" x14ac:dyDescent="0.2">
      <c r="B4" s="4"/>
      <c r="C4" s="6"/>
    </row>
    <row r="5" spans="1:10" x14ac:dyDescent="0.2">
      <c r="A5" s="7" t="s">
        <v>13</v>
      </c>
      <c r="B5" s="7"/>
    </row>
    <row r="6" spans="1:10" ht="15" thickBot="1" x14ac:dyDescent="0.25"/>
    <row r="7" spans="1:10" x14ac:dyDescent="0.2">
      <c r="B7" s="8" t="s">
        <v>16</v>
      </c>
      <c r="C7" s="9"/>
      <c r="D7" s="10" t="s">
        <v>17</v>
      </c>
      <c r="E7" s="10"/>
      <c r="F7" s="11"/>
    </row>
    <row r="8" spans="1:10" x14ac:dyDescent="0.2">
      <c r="B8" s="12"/>
      <c r="C8" s="13"/>
      <c r="D8" s="13"/>
      <c r="E8" s="13"/>
      <c r="F8" s="14"/>
    </row>
    <row r="9" spans="1:10" x14ac:dyDescent="0.2">
      <c r="B9" s="12" t="s">
        <v>0</v>
      </c>
      <c r="D9" s="63">
        <v>4.8999999999999998E-4</v>
      </c>
      <c r="E9" s="15"/>
      <c r="F9" s="16"/>
    </row>
    <row r="10" spans="1:10" x14ac:dyDescent="0.2">
      <c r="B10" s="12" t="s">
        <v>36</v>
      </c>
      <c r="D10" s="63">
        <v>7.7999999999999999E-4</v>
      </c>
      <c r="E10" s="15"/>
      <c r="F10" s="16"/>
    </row>
    <row r="11" spans="1:10" x14ac:dyDescent="0.2">
      <c r="B11" s="12" t="s">
        <v>37</v>
      </c>
      <c r="D11" s="63">
        <v>1.16E-3</v>
      </c>
      <c r="E11" s="15"/>
      <c r="F11" s="16"/>
    </row>
    <row r="12" spans="1:10" x14ac:dyDescent="0.2">
      <c r="B12" s="12" t="s">
        <v>38</v>
      </c>
      <c r="D12" s="63">
        <v>1.49E-3</v>
      </c>
      <c r="E12" s="15"/>
      <c r="F12" s="16"/>
    </row>
    <row r="13" spans="1:10" x14ac:dyDescent="0.2">
      <c r="B13" s="12"/>
      <c r="C13" s="13"/>
      <c r="D13" s="13"/>
      <c r="E13" s="13"/>
      <c r="F13" s="14"/>
    </row>
    <row r="14" spans="1:10" x14ac:dyDescent="0.2">
      <c r="B14" s="17" t="s">
        <v>1</v>
      </c>
      <c r="C14" s="13"/>
      <c r="D14" s="13"/>
      <c r="E14" s="13"/>
      <c r="F14" s="14"/>
    </row>
    <row r="15" spans="1:10" x14ac:dyDescent="0.2">
      <c r="B15" s="12"/>
      <c r="C15" s="13"/>
      <c r="D15" s="13"/>
      <c r="E15" s="13"/>
      <c r="F15" s="14"/>
    </row>
    <row r="16" spans="1:10" x14ac:dyDescent="0.2">
      <c r="B16" s="18" t="s">
        <v>2</v>
      </c>
      <c r="C16" s="19" t="s">
        <v>3</v>
      </c>
      <c r="D16" s="19"/>
      <c r="E16" s="19"/>
      <c r="F16" s="14"/>
      <c r="I16" s="13"/>
      <c r="J16" s="13"/>
    </row>
    <row r="17" spans="2:10" x14ac:dyDescent="0.2">
      <c r="B17" s="12">
        <v>1</v>
      </c>
      <c r="C17" s="13">
        <v>4</v>
      </c>
      <c r="D17" s="63">
        <v>2.0500000000000002E-3</v>
      </c>
      <c r="E17" s="15"/>
      <c r="F17" s="16"/>
      <c r="I17" s="13"/>
      <c r="J17" s="13"/>
    </row>
    <row r="18" spans="2:10" x14ac:dyDescent="0.2">
      <c r="B18" s="12">
        <v>2</v>
      </c>
      <c r="C18" s="13">
        <v>5</v>
      </c>
      <c r="D18" s="63">
        <v>2.0999999999999999E-3</v>
      </c>
      <c r="E18" s="15"/>
      <c r="F18" s="16"/>
      <c r="I18" s="13"/>
      <c r="J18" s="13"/>
    </row>
    <row r="19" spans="2:10" x14ac:dyDescent="0.2">
      <c r="B19" s="12">
        <v>3</v>
      </c>
      <c r="C19" s="13">
        <v>6</v>
      </c>
      <c r="D19" s="63">
        <v>3.1199999999999999E-3</v>
      </c>
      <c r="E19" s="15"/>
      <c r="F19" s="16"/>
      <c r="I19" s="13"/>
      <c r="J19" s="13"/>
    </row>
    <row r="20" spans="2:10" x14ac:dyDescent="0.2">
      <c r="B20" s="12">
        <v>6</v>
      </c>
      <c r="C20" s="13">
        <v>9</v>
      </c>
      <c r="D20" s="63">
        <v>3.13E-3</v>
      </c>
      <c r="E20" s="15"/>
      <c r="F20" s="16"/>
      <c r="I20" s="13"/>
      <c r="J20" s="13"/>
    </row>
    <row r="21" spans="2:10" x14ac:dyDescent="0.2">
      <c r="B21" s="12"/>
      <c r="C21" s="13"/>
      <c r="D21" s="15"/>
      <c r="E21" s="15"/>
      <c r="F21" s="14"/>
      <c r="I21" s="13"/>
      <c r="J21" s="13"/>
    </row>
    <row r="22" spans="2:10" x14ac:dyDescent="0.2">
      <c r="B22" s="17" t="s">
        <v>39</v>
      </c>
      <c r="C22" s="13"/>
      <c r="D22" s="13"/>
      <c r="E22" s="13"/>
      <c r="F22" s="14"/>
      <c r="I22" s="13"/>
      <c r="J22" s="13"/>
    </row>
    <row r="23" spans="2:10" x14ac:dyDescent="0.2">
      <c r="B23" s="12"/>
      <c r="C23" s="13"/>
      <c r="D23" s="13"/>
      <c r="E23" s="13"/>
      <c r="F23" s="14"/>
      <c r="I23" s="13"/>
      <c r="J23" s="13"/>
    </row>
    <row r="24" spans="2:10" x14ac:dyDescent="0.2">
      <c r="B24" s="12" t="s">
        <v>7</v>
      </c>
      <c r="D24" s="63">
        <v>4.1999999999999997E-3</v>
      </c>
      <c r="E24" s="15"/>
      <c r="F24" s="16"/>
      <c r="I24" s="13"/>
      <c r="J24" s="13"/>
    </row>
    <row r="25" spans="2:10" x14ac:dyDescent="0.2">
      <c r="B25" s="12" t="s">
        <v>4</v>
      </c>
      <c r="D25" s="63">
        <v>4.7000000000000002E-3</v>
      </c>
      <c r="E25" s="15"/>
      <c r="F25" s="16"/>
      <c r="I25" s="13"/>
      <c r="J25" s="13"/>
    </row>
    <row r="26" spans="2:10" x14ac:dyDescent="0.2">
      <c r="B26" s="12" t="s">
        <v>5</v>
      </c>
      <c r="D26" s="63">
        <v>5.8999999999999999E-3</v>
      </c>
      <c r="E26" s="15"/>
      <c r="F26" s="16"/>
      <c r="I26" s="13"/>
      <c r="J26" s="13"/>
    </row>
    <row r="27" spans="2:10" x14ac:dyDescent="0.2">
      <c r="B27" s="12" t="s">
        <v>6</v>
      </c>
      <c r="D27" s="63">
        <v>6.45E-3</v>
      </c>
      <c r="E27" s="15"/>
      <c r="F27" s="16"/>
      <c r="I27" s="13"/>
      <c r="J27" s="13"/>
    </row>
    <row r="28" spans="2:10" x14ac:dyDescent="0.2">
      <c r="B28" s="12"/>
      <c r="D28" s="63"/>
      <c r="E28" s="15"/>
      <c r="F28" s="16"/>
      <c r="I28" s="13"/>
      <c r="J28" s="13"/>
    </row>
    <row r="29" spans="2:10" x14ac:dyDescent="0.2">
      <c r="B29" s="12"/>
      <c r="D29" s="63"/>
      <c r="E29" s="15"/>
      <c r="F29" s="16"/>
      <c r="I29" s="13"/>
      <c r="J29" s="13"/>
    </row>
    <row r="30" spans="2:10" ht="15" thickBot="1" x14ac:dyDescent="0.25">
      <c r="B30" s="20"/>
      <c r="C30" s="21"/>
      <c r="D30" s="64"/>
      <c r="E30" s="22"/>
      <c r="F30" s="23"/>
      <c r="I30" s="13"/>
      <c r="J30" s="13"/>
    </row>
    <row r="31" spans="2:10" x14ac:dyDescent="0.2">
      <c r="F31" s="13"/>
      <c r="I31" s="13"/>
      <c r="J31" s="13"/>
    </row>
    <row r="32" spans="2:10" x14ac:dyDescent="0.2">
      <c r="I32" s="56"/>
      <c r="J32" s="56"/>
    </row>
    <row r="33" spans="1:17" x14ac:dyDescent="0.2">
      <c r="A33" s="24" t="s">
        <v>40</v>
      </c>
      <c r="B33" s="25"/>
      <c r="I33" s="13"/>
      <c r="J33" s="13"/>
    </row>
    <row r="34" spans="1:17" ht="30" x14ac:dyDescent="0.2">
      <c r="B34" s="26" t="s">
        <v>41</v>
      </c>
      <c r="C34" s="26" t="s">
        <v>42</v>
      </c>
      <c r="D34" s="26" t="s">
        <v>43</v>
      </c>
      <c r="E34" s="26" t="s">
        <v>44</v>
      </c>
      <c r="F34" s="27" t="s">
        <v>45</v>
      </c>
      <c r="G34" s="26" t="s">
        <v>46</v>
      </c>
      <c r="H34" s="28" t="s">
        <v>47</v>
      </c>
      <c r="I34" s="13"/>
      <c r="J34" s="13"/>
    </row>
    <row r="35" spans="1:17" x14ac:dyDescent="0.2">
      <c r="B35" s="29" t="s">
        <v>48</v>
      </c>
      <c r="C35" s="30">
        <f>$C$3</f>
        <v>44412</v>
      </c>
      <c r="D35" s="30">
        <f>C35</f>
        <v>44412</v>
      </c>
      <c r="E35" s="31">
        <f>D35-C35</f>
        <v>0</v>
      </c>
      <c r="F35" s="32">
        <f>E35/365</f>
        <v>0</v>
      </c>
      <c r="G35" s="63">
        <f>IFERROR(VLOOKUP(B35,$B$9:$D$12,3,FALSE),0)</f>
        <v>0</v>
      </c>
      <c r="H35" s="33">
        <f>1/(1+G35*F35)</f>
        <v>1</v>
      </c>
      <c r="I35" s="13"/>
      <c r="J35" s="13"/>
      <c r="L35" s="6"/>
    </row>
    <row r="36" spans="1:17" x14ac:dyDescent="0.2">
      <c r="B36" s="29" t="s">
        <v>0</v>
      </c>
      <c r="C36" s="30">
        <f t="shared" ref="C36:C38" si="0">$C$3</f>
        <v>44412</v>
      </c>
      <c r="D36" s="30">
        <f>C36+7</f>
        <v>44419</v>
      </c>
      <c r="E36" s="31">
        <f t="shared" ref="E36:E39" si="1">D36-C36</f>
        <v>7</v>
      </c>
      <c r="F36" s="32">
        <f t="shared" ref="F36:F39" si="2">E36/365</f>
        <v>1.9178082191780823E-2</v>
      </c>
      <c r="G36" s="63">
        <f>IFERROR(VLOOKUP(B36,$B$9:$D$12,3,FALSE),0)</f>
        <v>4.8999999999999998E-4</v>
      </c>
      <c r="H36" s="33">
        <f t="shared" ref="H36:H39" si="3">1/(1+G36*F36)</f>
        <v>0.99999060282803376</v>
      </c>
      <c r="I36" s="13"/>
      <c r="J36" s="13"/>
      <c r="L36" s="6"/>
    </row>
    <row r="37" spans="1:17" x14ac:dyDescent="0.2">
      <c r="B37" s="29" t="s">
        <v>58</v>
      </c>
      <c r="C37" s="30">
        <f t="shared" si="0"/>
        <v>44412</v>
      </c>
      <c r="D37" s="30">
        <f>EDATE(C37,1)</f>
        <v>44443</v>
      </c>
      <c r="E37" s="31">
        <f t="shared" si="1"/>
        <v>31</v>
      </c>
      <c r="F37" s="32">
        <f t="shared" si="2"/>
        <v>8.4931506849315067E-2</v>
      </c>
      <c r="G37" s="63">
        <f t="shared" ref="G37:G39" si="4">IFERROR(VLOOKUP(B37,$B$9:$D$12,3,FALSE),0)</f>
        <v>7.7999999999999999E-4</v>
      </c>
      <c r="H37" s="33">
        <f t="shared" si="3"/>
        <v>0.99993375781297555</v>
      </c>
      <c r="L37" s="6"/>
    </row>
    <row r="38" spans="1:17" x14ac:dyDescent="0.2">
      <c r="B38" s="29" t="s">
        <v>59</v>
      </c>
      <c r="C38" s="30">
        <f t="shared" si="0"/>
        <v>44412</v>
      </c>
      <c r="D38" s="30">
        <f>EDATE(C38,2)</f>
        <v>44473</v>
      </c>
      <c r="E38" s="31">
        <f t="shared" si="1"/>
        <v>61</v>
      </c>
      <c r="F38" s="32">
        <f t="shared" si="2"/>
        <v>0.16712328767123288</v>
      </c>
      <c r="G38" s="63">
        <f t="shared" si="4"/>
        <v>1.16E-3</v>
      </c>
      <c r="H38" s="33">
        <f t="shared" si="3"/>
        <v>0.99980617456188492</v>
      </c>
      <c r="L38" s="6"/>
      <c r="N38" s="34"/>
      <c r="O38" s="34"/>
    </row>
    <row r="39" spans="1:17" x14ac:dyDescent="0.2">
      <c r="B39" s="29" t="s">
        <v>60</v>
      </c>
      <c r="C39" s="30">
        <f>$C$3</f>
        <v>44412</v>
      </c>
      <c r="D39" s="30">
        <f>EDATE(C39,3)</f>
        <v>44504</v>
      </c>
      <c r="E39" s="31">
        <f t="shared" si="1"/>
        <v>92</v>
      </c>
      <c r="F39" s="32">
        <f t="shared" si="2"/>
        <v>0.25205479452054796</v>
      </c>
      <c r="G39" s="63">
        <f t="shared" si="4"/>
        <v>1.49E-3</v>
      </c>
      <c r="H39" s="33">
        <f t="shared" si="3"/>
        <v>0.9996245793497609</v>
      </c>
      <c r="L39" s="6"/>
      <c r="M39" s="34"/>
      <c r="N39" s="34"/>
      <c r="O39" s="34"/>
    </row>
    <row r="40" spans="1:17" x14ac:dyDescent="0.2">
      <c r="L40" s="6"/>
      <c r="M40" s="34"/>
      <c r="N40" s="34"/>
      <c r="O40" s="34"/>
      <c r="P40" s="35"/>
    </row>
    <row r="41" spans="1:17" x14ac:dyDescent="0.2">
      <c r="A41" s="24" t="s">
        <v>49</v>
      </c>
      <c r="B41" s="25"/>
      <c r="G41" s="53"/>
      <c r="L41" s="6"/>
      <c r="M41" s="34"/>
      <c r="O41" s="34"/>
      <c r="P41" s="35"/>
    </row>
    <row r="42" spans="1:17" ht="31" x14ac:dyDescent="0.25">
      <c r="B42" s="36" t="s">
        <v>50</v>
      </c>
      <c r="C42" s="26" t="s">
        <v>51</v>
      </c>
      <c r="D42" s="26" t="s">
        <v>43</v>
      </c>
      <c r="E42" s="26" t="s">
        <v>44</v>
      </c>
      <c r="F42" s="27" t="s">
        <v>45</v>
      </c>
      <c r="G42" s="26" t="s">
        <v>46</v>
      </c>
      <c r="H42" s="26" t="s">
        <v>52</v>
      </c>
      <c r="I42" s="37" t="s">
        <v>53</v>
      </c>
      <c r="L42" s="6"/>
      <c r="M42" s="34"/>
      <c r="O42" s="34"/>
      <c r="P42" s="35"/>
    </row>
    <row r="43" spans="1:17" x14ac:dyDescent="0.2">
      <c r="A43" s="1" t="s">
        <v>25</v>
      </c>
      <c r="B43" s="38" t="s">
        <v>61</v>
      </c>
      <c r="C43" s="30">
        <f>EDATE($C$3,B17)</f>
        <v>44443</v>
      </c>
      <c r="D43" s="30">
        <f t="shared" ref="C43:D46" si="5">EDATE($C$3,C17)</f>
        <v>44534</v>
      </c>
      <c r="E43" s="31">
        <f>D43-C43</f>
        <v>91</v>
      </c>
      <c r="F43" s="32">
        <f>E43/365</f>
        <v>0.24931506849315069</v>
      </c>
      <c r="G43" s="63">
        <f>VLOOKUP(ROUNDUP((D43-$C$43)/30,0),$C$17:$D$20,2,FALSE)</f>
        <v>2.0500000000000002E-3</v>
      </c>
      <c r="H43" s="39">
        <f>VLOOKUP(C43,$D$35:$H$39,5,FALSE)</f>
        <v>0.99993375781297555</v>
      </c>
      <c r="I43" s="40">
        <f>H43/(1+G43*F43)</f>
        <v>0.99942295684694882</v>
      </c>
      <c r="L43" s="6"/>
      <c r="M43" s="34"/>
      <c r="O43" s="34"/>
    </row>
    <row r="44" spans="1:17" x14ac:dyDescent="0.2">
      <c r="A44" s="1" t="s">
        <v>26</v>
      </c>
      <c r="B44" s="38" t="s">
        <v>62</v>
      </c>
      <c r="C44" s="30">
        <f t="shared" si="5"/>
        <v>44473</v>
      </c>
      <c r="D44" s="30">
        <f t="shared" si="5"/>
        <v>44565</v>
      </c>
      <c r="E44" s="31">
        <f t="shared" ref="E44:E46" si="6">D44-C44</f>
        <v>92</v>
      </c>
      <c r="F44" s="32">
        <f t="shared" ref="F44:F46" si="7">E44/365</f>
        <v>0.25205479452054796</v>
      </c>
      <c r="G44" s="63">
        <f>VLOOKUP(ROUNDUP((D44-$C$43)/30,0),$C$17:$D$20,2,FALSE)</f>
        <v>2.0999999999999999E-3</v>
      </c>
      <c r="H44" s="39">
        <f>VLOOKUP(C44,$D$35:$H$39,5,FALSE)</f>
        <v>0.99980617456188492</v>
      </c>
      <c r="I44" s="40">
        <f t="shared" ref="I44:I45" si="8">H44/(1+G44*F44)</f>
        <v>0.9992772420600603</v>
      </c>
      <c r="L44" s="6"/>
      <c r="M44" s="34"/>
      <c r="O44" s="34"/>
    </row>
    <row r="45" spans="1:17" x14ac:dyDescent="0.2">
      <c r="A45" s="1" t="s">
        <v>27</v>
      </c>
      <c r="B45" s="38" t="s">
        <v>63</v>
      </c>
      <c r="C45" s="30">
        <f t="shared" si="5"/>
        <v>44504</v>
      </c>
      <c r="D45" s="30">
        <f t="shared" si="5"/>
        <v>44596</v>
      </c>
      <c r="E45" s="31">
        <f t="shared" si="6"/>
        <v>92</v>
      </c>
      <c r="F45" s="32">
        <f t="shared" si="7"/>
        <v>0.25205479452054796</v>
      </c>
      <c r="G45" s="63">
        <f>VLOOKUP(ROUNDUP((D45-$C$43)/30,0),$C$17:$D$20,2,FALSE)</f>
        <v>3.1199999999999999E-3</v>
      </c>
      <c r="H45" s="39">
        <f>VLOOKUP(C45,$D$35:$H$39,5,FALSE)</f>
        <v>0.9996245793497609</v>
      </c>
      <c r="I45" s="40">
        <f t="shared" si="8"/>
        <v>0.99883908135000543</v>
      </c>
      <c r="L45" s="6"/>
      <c r="M45" s="34"/>
      <c r="O45" s="34"/>
    </row>
    <row r="46" spans="1:17" x14ac:dyDescent="0.2">
      <c r="A46" s="1" t="s">
        <v>28</v>
      </c>
      <c r="B46" s="38" t="s">
        <v>64</v>
      </c>
      <c r="C46" s="30">
        <f t="shared" si="5"/>
        <v>44596</v>
      </c>
      <c r="D46" s="30">
        <f t="shared" si="5"/>
        <v>44685</v>
      </c>
      <c r="E46" s="31">
        <f t="shared" si="6"/>
        <v>89</v>
      </c>
      <c r="F46" s="32">
        <f t="shared" si="7"/>
        <v>0.24383561643835616</v>
      </c>
      <c r="G46" s="63">
        <f>VLOOKUP(ROUNDUP((D46-$C$43)/30,0),$C$17:$D$20,2,FALSE)</f>
        <v>3.13E-3</v>
      </c>
      <c r="H46" s="42">
        <f>VLOOKUP(C46,D43:I45,6,FALSE)</f>
        <v>0.99883908135000543</v>
      </c>
      <c r="I46" s="40">
        <f>H46/(1+G46*F46)</f>
        <v>0.99807734325271813</v>
      </c>
    </row>
    <row r="48" spans="1:17" x14ac:dyDescent="0.2">
      <c r="Q48" s="41"/>
    </row>
    <row r="49" spans="1:17" x14ac:dyDescent="0.2">
      <c r="A49" s="24" t="s">
        <v>9</v>
      </c>
      <c r="B49" s="25"/>
      <c r="Q49" s="41"/>
    </row>
    <row r="50" spans="1:17" ht="30" x14ac:dyDescent="0.2">
      <c r="B50" s="26" t="s">
        <v>8</v>
      </c>
      <c r="C50" s="26" t="s">
        <v>14</v>
      </c>
      <c r="D50" s="26" t="s">
        <v>15</v>
      </c>
      <c r="E50" s="26" t="s">
        <v>21</v>
      </c>
      <c r="F50" s="27" t="s">
        <v>22</v>
      </c>
      <c r="G50" s="26" t="s">
        <v>18</v>
      </c>
      <c r="H50" s="26" t="s">
        <v>20</v>
      </c>
      <c r="I50" s="37" t="s">
        <v>19</v>
      </c>
    </row>
    <row r="51" spans="1:17" x14ac:dyDescent="0.2">
      <c r="B51" s="13">
        <v>3</v>
      </c>
      <c r="C51" s="30">
        <f>EDATE($C$3,0)</f>
        <v>44412</v>
      </c>
      <c r="D51" s="30">
        <f>EDATE($C$3,B51)</f>
        <v>44504</v>
      </c>
      <c r="E51" s="31">
        <f>D51-C51</f>
        <v>92</v>
      </c>
      <c r="F51" s="32">
        <f>E51/365</f>
        <v>0.25205479452054796</v>
      </c>
      <c r="G51" s="13"/>
      <c r="H51" s="32">
        <f>F51*I51</f>
        <v>0.2519601679456932</v>
      </c>
      <c r="I51" s="33">
        <f>VLOOKUP(D51,$D$35:$H$39,5,FALSE)</f>
        <v>0.9996245793497609</v>
      </c>
    </row>
    <row r="52" spans="1:17" x14ac:dyDescent="0.2">
      <c r="B52" s="13">
        <v>6</v>
      </c>
      <c r="C52" s="30">
        <f>D51</f>
        <v>44504</v>
      </c>
      <c r="D52" s="30">
        <f t="shared" ref="D52:D66" si="9">EDATE($C$3,B52)</f>
        <v>44596</v>
      </c>
      <c r="E52" s="31">
        <f t="shared" ref="E52:E66" si="10">D52-C52</f>
        <v>92</v>
      </c>
      <c r="F52" s="32">
        <f t="shared" ref="F52:F66" si="11">E52/365</f>
        <v>0.25205479452054796</v>
      </c>
      <c r="G52" s="13"/>
      <c r="H52" s="32">
        <f t="shared" ref="H52:H66" si="12">F52*I52</f>
        <v>0.25176217940876849</v>
      </c>
      <c r="I52" s="43">
        <f>VLOOKUP(D52,$D$43:$I$46,6,FALSE)</f>
        <v>0.99883908135000543</v>
      </c>
    </row>
    <row r="53" spans="1:17" x14ac:dyDescent="0.2">
      <c r="B53" s="13">
        <v>9</v>
      </c>
      <c r="C53" s="30">
        <f t="shared" ref="C53:C66" si="13">D52</f>
        <v>44596</v>
      </c>
      <c r="D53" s="30">
        <f t="shared" si="9"/>
        <v>44685</v>
      </c>
      <c r="E53" s="31">
        <f t="shared" si="10"/>
        <v>89</v>
      </c>
      <c r="F53" s="32">
        <f t="shared" si="11"/>
        <v>0.24383561643835616</v>
      </c>
      <c r="G53" s="13"/>
      <c r="H53" s="32">
        <f t="shared" si="12"/>
        <v>0.24336680424518331</v>
      </c>
      <c r="I53" s="43">
        <f>VLOOKUP(D53,$D$43:$I$46,6,FALSE)</f>
        <v>0.99807734325271813</v>
      </c>
    </row>
    <row r="54" spans="1:17" x14ac:dyDescent="0.2">
      <c r="A54" s="1" t="s">
        <v>7</v>
      </c>
      <c r="B54" s="44">
        <v>12</v>
      </c>
      <c r="C54" s="30">
        <f t="shared" si="13"/>
        <v>44685</v>
      </c>
      <c r="D54" s="30">
        <f t="shared" si="9"/>
        <v>44777</v>
      </c>
      <c r="E54" s="31">
        <f t="shared" si="10"/>
        <v>92</v>
      </c>
      <c r="F54" s="32">
        <f t="shared" si="11"/>
        <v>0.25205479452054796</v>
      </c>
      <c r="G54" s="66">
        <f>VLOOKUP(A54,$B$24:$D$27,3,FALSE)</f>
        <v>4.1999999999999997E-3</v>
      </c>
      <c r="H54" s="32">
        <f t="shared" si="12"/>
        <v>0.25099818918225175</v>
      </c>
      <c r="I54" s="32">
        <f>(1-G54*SUM($H$51:H53))/(1+G54*F54)</f>
        <v>0.99580803316871602</v>
      </c>
    </row>
    <row r="55" spans="1:17" x14ac:dyDescent="0.2">
      <c r="B55" s="13">
        <v>15</v>
      </c>
      <c r="C55" s="30">
        <f t="shared" si="13"/>
        <v>44777</v>
      </c>
      <c r="D55" s="30">
        <f t="shared" si="9"/>
        <v>44869</v>
      </c>
      <c r="E55" s="31">
        <f t="shared" si="10"/>
        <v>92</v>
      </c>
      <c r="F55" s="32">
        <f t="shared" si="11"/>
        <v>0.25205479452054796</v>
      </c>
      <c r="G55" s="67">
        <f>$G$54+($G$58-$G$54)*((SUM($E$51:E55)-SUM($E$51:$E$54))/(SUM($E$51:$E$58)-SUM($E$51:$E$54)))</f>
        <v>4.3260273972602738E-3</v>
      </c>
      <c r="H55" s="32">
        <f t="shared" si="12"/>
        <v>0.25069312935758137</v>
      </c>
      <c r="I55" s="32">
        <f>(1-G55*SUM($H$51:H54))/(1+G55*F55)</f>
        <v>0.99459774147301294</v>
      </c>
    </row>
    <row r="56" spans="1:17" x14ac:dyDescent="0.2">
      <c r="B56" s="13">
        <v>18</v>
      </c>
      <c r="C56" s="30">
        <f t="shared" si="13"/>
        <v>44869</v>
      </c>
      <c r="D56" s="30">
        <f t="shared" si="9"/>
        <v>44961</v>
      </c>
      <c r="E56" s="31">
        <f t="shared" si="10"/>
        <v>92</v>
      </c>
      <c r="F56" s="32">
        <f t="shared" si="11"/>
        <v>0.25205479452054796</v>
      </c>
      <c r="G56" s="67">
        <f>$G$54+($G$58-$G$54)*((SUM($E$51:E56)-SUM($E$51:$E$54))/(SUM($E$51:$E$58)-SUM($E$51:$E$54)))</f>
        <v>4.4520547945205479E-3</v>
      </c>
      <c r="H56" s="32">
        <f t="shared" si="12"/>
        <v>0.25037250238774394</v>
      </c>
      <c r="I56" s="32">
        <f>(1-G56*SUM($H$51:H55))/(1+G56*F56)</f>
        <v>0.99332568882094063</v>
      </c>
    </row>
    <row r="57" spans="1:17" x14ac:dyDescent="0.2">
      <c r="B57" s="13">
        <v>21</v>
      </c>
      <c r="C57" s="30">
        <f t="shared" si="13"/>
        <v>44961</v>
      </c>
      <c r="D57" s="30">
        <f t="shared" si="9"/>
        <v>45050</v>
      </c>
      <c r="E57" s="31">
        <f t="shared" si="10"/>
        <v>89</v>
      </c>
      <c r="F57" s="32">
        <f t="shared" si="11"/>
        <v>0.24383561643835616</v>
      </c>
      <c r="G57" s="67">
        <f>$G$54+($G$58-$G$54)*((SUM($E$51:E57)-SUM($E$51:$E$54))/(SUM($E$51:$E$58)-SUM($E$51:$E$54)))</f>
        <v>4.5739726027397261E-3</v>
      </c>
      <c r="H57" s="32">
        <f t="shared" si="12"/>
        <v>0.24189383141387133</v>
      </c>
      <c r="I57" s="32">
        <f>(1-G57*SUM($H$51:H56))/(1+G57*F57)</f>
        <v>0.99203649961868579</v>
      </c>
    </row>
    <row r="58" spans="1:17" x14ac:dyDescent="0.2">
      <c r="A58" s="1" t="s">
        <v>4</v>
      </c>
      <c r="B58" s="44">
        <v>24</v>
      </c>
      <c r="C58" s="30">
        <f t="shared" si="13"/>
        <v>45050</v>
      </c>
      <c r="D58" s="30">
        <f t="shared" si="9"/>
        <v>45142</v>
      </c>
      <c r="E58" s="31">
        <f t="shared" si="10"/>
        <v>92</v>
      </c>
      <c r="F58" s="32">
        <f t="shared" si="11"/>
        <v>0.25205479452054796</v>
      </c>
      <c r="G58" s="66">
        <f>VLOOKUP(A58,$B$24:$D$27,3,FALSE)</f>
        <v>4.7000000000000002E-3</v>
      </c>
      <c r="H58" s="32">
        <f t="shared" si="12"/>
        <v>0.24969644553130993</v>
      </c>
      <c r="I58" s="32">
        <f>(1-G58*SUM($H$51:H57))/(1+G58*F58)</f>
        <v>0.99064350672747958</v>
      </c>
    </row>
    <row r="59" spans="1:17" x14ac:dyDescent="0.2">
      <c r="B59" s="13">
        <v>27</v>
      </c>
      <c r="C59" s="30">
        <f t="shared" si="13"/>
        <v>45142</v>
      </c>
      <c r="D59" s="30">
        <f t="shared" si="9"/>
        <v>45234</v>
      </c>
      <c r="E59" s="31">
        <f t="shared" si="10"/>
        <v>92</v>
      </c>
      <c r="F59" s="32">
        <f t="shared" si="11"/>
        <v>0.25205479452054796</v>
      </c>
      <c r="G59" s="67">
        <f>$G$58+($G$62-$G$58)*(SUM($E$51:E59)-SUM($E$51:$E$58))/(SUM($E$51:$E$62)-SUM($E$51:$E$58))</f>
        <v>5.0016393442622953E-3</v>
      </c>
      <c r="H59" s="32">
        <f t="shared" si="12"/>
        <v>0.24923088784840403</v>
      </c>
      <c r="I59" s="32">
        <f>(1-G59*SUM($H$51:H58))/(1+G59*F59)</f>
        <v>0.98879645722464637</v>
      </c>
    </row>
    <row r="60" spans="1:17" x14ac:dyDescent="0.2">
      <c r="B60" s="13">
        <v>30</v>
      </c>
      <c r="C60" s="30">
        <f t="shared" si="13"/>
        <v>45234</v>
      </c>
      <c r="D60" s="30">
        <f t="shared" si="9"/>
        <v>45326</v>
      </c>
      <c r="E60" s="31">
        <f t="shared" si="10"/>
        <v>92</v>
      </c>
      <c r="F60" s="32">
        <f t="shared" si="11"/>
        <v>0.25205479452054796</v>
      </c>
      <c r="G60" s="67">
        <f>$G$58+($G$62-$G$58)*(SUM($E$51:E60)-SUM($E$51:$E$58))/(SUM($E$51:$E$62)-SUM($E$51:$E$58))</f>
        <v>5.3032786885245905E-3</v>
      </c>
      <c r="H60" s="32">
        <f t="shared" si="12"/>
        <v>0.2487281043738013</v>
      </c>
      <c r="I60" s="32">
        <f>(1-G60*SUM($H$51:H59))/(1+G60*F60)</f>
        <v>0.98680171843953768</v>
      </c>
      <c r="J60" s="32"/>
    </row>
    <row r="61" spans="1:17" x14ac:dyDescent="0.2">
      <c r="B61" s="13">
        <v>33</v>
      </c>
      <c r="C61" s="30">
        <f t="shared" si="13"/>
        <v>45326</v>
      </c>
      <c r="D61" s="30">
        <f t="shared" si="9"/>
        <v>45416</v>
      </c>
      <c r="E61" s="31">
        <f t="shared" si="10"/>
        <v>90</v>
      </c>
      <c r="F61" s="32">
        <f t="shared" si="11"/>
        <v>0.24657534246575341</v>
      </c>
      <c r="G61" s="67">
        <f>$G$58+($G$62-$G$58)*(SUM($E$51:E61)-SUM($E$51:$E$58))/(SUM($E$51:$E$62)-SUM($E$51:$E$58))</f>
        <v>5.5983606557377047E-3</v>
      </c>
      <c r="H61" s="32">
        <f t="shared" si="12"/>
        <v>0.2428047219166139</v>
      </c>
      <c r="I61" s="32">
        <f>(1-G61*SUM($H$51:H60))/(1+G61*F61)</f>
        <v>0.98470803888404534</v>
      </c>
      <c r="J61" s="32"/>
    </row>
    <row r="62" spans="1:17" x14ac:dyDescent="0.2">
      <c r="A62" s="1" t="s">
        <v>5</v>
      </c>
      <c r="B62" s="44">
        <v>36</v>
      </c>
      <c r="C62" s="30">
        <f t="shared" si="13"/>
        <v>45416</v>
      </c>
      <c r="D62" s="30">
        <f t="shared" si="9"/>
        <v>45508</v>
      </c>
      <c r="E62" s="31">
        <f t="shared" si="10"/>
        <v>92</v>
      </c>
      <c r="F62" s="32">
        <f t="shared" si="11"/>
        <v>0.25205479452054796</v>
      </c>
      <c r="G62" s="66">
        <f>VLOOKUP(A62,$B$24:$D$27,3,FALSE)</f>
        <v>5.8999999999999999E-3</v>
      </c>
      <c r="H62" s="32">
        <f t="shared" si="12"/>
        <v>0.24762445880523934</v>
      </c>
      <c r="I62" s="32">
        <f>(1-G62*SUM($H$51:H61))/(1+G62*F62)</f>
        <v>0.98242312460774295</v>
      </c>
      <c r="J62" s="32"/>
    </row>
    <row r="63" spans="1:17" x14ac:dyDescent="0.2">
      <c r="B63" s="13">
        <v>39</v>
      </c>
      <c r="C63" s="30">
        <f t="shared" si="13"/>
        <v>45508</v>
      </c>
      <c r="D63" s="30">
        <f t="shared" si="9"/>
        <v>45600</v>
      </c>
      <c r="E63" s="31">
        <f t="shared" si="10"/>
        <v>92</v>
      </c>
      <c r="F63" s="32">
        <f t="shared" si="11"/>
        <v>0.25205479452054796</v>
      </c>
      <c r="G63" s="67">
        <f>$G$62+($G$66-$G$62)*(SUM($E$51:E63)-SUM($E$51:$E$62))/(SUM($E$51:$E$66)-SUM($E$51:$E$62))</f>
        <v>6.0386301369863013E-3</v>
      </c>
      <c r="H63" s="32">
        <f t="shared" si="12"/>
        <v>0.24714419114021166</v>
      </c>
      <c r="I63" s="32">
        <f>(1-G63*SUM($H$51:H62))/(1+G63*F63)</f>
        <v>0.9805177148497527</v>
      </c>
      <c r="J63" s="32"/>
    </row>
    <row r="64" spans="1:17" x14ac:dyDescent="0.2">
      <c r="B64" s="13">
        <v>42</v>
      </c>
      <c r="C64" s="30">
        <f t="shared" si="13"/>
        <v>45600</v>
      </c>
      <c r="D64" s="30">
        <f t="shared" si="9"/>
        <v>45692</v>
      </c>
      <c r="E64" s="31">
        <f t="shared" si="10"/>
        <v>92</v>
      </c>
      <c r="F64" s="32">
        <f t="shared" si="11"/>
        <v>0.25205479452054796</v>
      </c>
      <c r="G64" s="67">
        <f>$G$62+($G$66-$G$62)*(SUM($E$51:E64)-SUM($E$51:$E$62))/(SUM($E$51:$E$66)-SUM($E$51:$E$62))</f>
        <v>6.1772602739726028E-3</v>
      </c>
      <c r="H64" s="32">
        <f t="shared" si="12"/>
        <v>0.24664742532579711</v>
      </c>
      <c r="I64" s="32">
        <f>(1-G64*SUM($H$51:H63))/(1+G64*F64)</f>
        <v>0.97854685047734713</v>
      </c>
      <c r="J64" s="32"/>
    </row>
    <row r="65" spans="1:15" x14ac:dyDescent="0.2">
      <c r="B65" s="13">
        <v>45</v>
      </c>
      <c r="C65" s="30">
        <f t="shared" si="13"/>
        <v>45692</v>
      </c>
      <c r="D65" s="30">
        <f t="shared" si="9"/>
        <v>45781</v>
      </c>
      <c r="E65" s="31">
        <f t="shared" si="10"/>
        <v>89</v>
      </c>
      <c r="F65" s="32">
        <f t="shared" si="11"/>
        <v>0.24383561643835616</v>
      </c>
      <c r="G65" s="67">
        <f>$G$62+($G$66-$G$62)*(SUM($E$51:E65)-SUM($E$51:$E$62))/(SUM($E$51:$E$66)-SUM($E$51:$E$62))</f>
        <v>6.3113698630136985E-3</v>
      </c>
      <c r="H65" s="32">
        <f t="shared" si="12"/>
        <v>0.2381245488832836</v>
      </c>
      <c r="I65" s="32">
        <f>(1-G65*SUM($H$51:H64))/(1+G65*F65)</f>
        <v>0.97657820609436541</v>
      </c>
      <c r="J65" s="32"/>
    </row>
    <row r="66" spans="1:15" x14ac:dyDescent="0.2">
      <c r="A66" s="1" t="s">
        <v>6</v>
      </c>
      <c r="B66" s="44">
        <v>48</v>
      </c>
      <c r="C66" s="30">
        <f t="shared" si="13"/>
        <v>45781</v>
      </c>
      <c r="D66" s="30">
        <f t="shared" si="9"/>
        <v>45873</v>
      </c>
      <c r="E66" s="31">
        <f t="shared" si="10"/>
        <v>92</v>
      </c>
      <c r="F66" s="32">
        <f t="shared" si="11"/>
        <v>0.25205479452054796</v>
      </c>
      <c r="G66" s="66">
        <f>VLOOKUP(A66,$B$24:$D$27,3,FALSE)</f>
        <v>6.45E-3</v>
      </c>
      <c r="H66" s="32">
        <f t="shared" si="12"/>
        <v>0.24562222502216891</v>
      </c>
      <c r="I66" s="32">
        <f>(1-G66*SUM($H$51:H65))/(1+G66*F66)</f>
        <v>0.97447947970751791</v>
      </c>
      <c r="J66" s="32"/>
    </row>
    <row r="67" spans="1:15" x14ac:dyDescent="0.2">
      <c r="J67" s="32"/>
    </row>
    <row r="68" spans="1:15" x14ac:dyDescent="0.2">
      <c r="J68" s="32"/>
    </row>
    <row r="69" spans="1:15" x14ac:dyDescent="0.2">
      <c r="J69" s="32"/>
    </row>
    <row r="70" spans="1:15" x14ac:dyDescent="0.2">
      <c r="A70" s="54" t="s">
        <v>54</v>
      </c>
      <c r="B70" s="54"/>
      <c r="C70" s="55"/>
      <c r="G70" s="45"/>
      <c r="H70" s="32"/>
      <c r="I70" s="32"/>
      <c r="J70" s="32"/>
      <c r="O70" s="3"/>
    </row>
    <row r="71" spans="1:15" ht="15" thickBot="1" x14ac:dyDescent="0.25">
      <c r="A71" s="4"/>
      <c r="B71" s="4"/>
      <c r="C71" s="13"/>
      <c r="D71" s="13"/>
      <c r="E71" s="13"/>
      <c r="F71" s="13"/>
      <c r="G71" s="45"/>
      <c r="H71" s="32"/>
      <c r="I71" s="32"/>
      <c r="J71" s="32"/>
    </row>
    <row r="72" spans="1:15" ht="46" thickBot="1" x14ac:dyDescent="0.25">
      <c r="A72" s="4"/>
      <c r="B72" s="4"/>
      <c r="C72" s="46" t="s">
        <v>23</v>
      </c>
      <c r="D72" s="47" t="s">
        <v>35</v>
      </c>
      <c r="E72" s="48" t="s">
        <v>56</v>
      </c>
      <c r="F72" s="59" t="s">
        <v>57</v>
      </c>
      <c r="G72" s="45"/>
      <c r="H72" s="32"/>
      <c r="I72" s="32"/>
      <c r="J72" s="32"/>
    </row>
    <row r="73" spans="1:15" x14ac:dyDescent="0.2">
      <c r="A73" s="4" t="s">
        <v>10</v>
      </c>
      <c r="B73" s="49" t="s">
        <v>55</v>
      </c>
      <c r="C73" s="50">
        <f>D35</f>
        <v>44412</v>
      </c>
      <c r="D73" s="52">
        <f>C73-$C$73</f>
        <v>0</v>
      </c>
      <c r="E73" s="33">
        <f>VLOOKUP(C73,$D$35:$H$39,5,FALSE)</f>
        <v>1</v>
      </c>
      <c r="F73" s="57"/>
      <c r="G73" s="65"/>
      <c r="H73" s="32"/>
      <c r="I73" s="32"/>
      <c r="J73" s="32"/>
    </row>
    <row r="74" spans="1:15" x14ac:dyDescent="0.2">
      <c r="A74" s="4"/>
      <c r="B74" s="49" t="s">
        <v>0</v>
      </c>
      <c r="C74" s="50">
        <f t="shared" ref="C74:C77" si="14">D36</f>
        <v>44419</v>
      </c>
      <c r="D74" s="52">
        <f t="shared" ref="D74:D94" si="15">C74-$C$73</f>
        <v>7</v>
      </c>
      <c r="E74" s="33">
        <f t="shared" ref="E74:E77" si="16">VLOOKUP(C74,$D$35:$H$39,5,FALSE)</f>
        <v>0.99999060282803376</v>
      </c>
      <c r="F74" s="58">
        <f>((1/E74)^(1/(D74/365)))-1</f>
        <v>4.901177661658096E-4</v>
      </c>
      <c r="G74" s="45"/>
      <c r="H74" s="32"/>
      <c r="I74" s="32"/>
      <c r="J74" s="32"/>
    </row>
    <row r="75" spans="1:15" x14ac:dyDescent="0.2">
      <c r="A75" s="4"/>
      <c r="B75" s="49" t="s">
        <v>58</v>
      </c>
      <c r="C75" s="50">
        <f t="shared" si="14"/>
        <v>44443</v>
      </c>
      <c r="D75" s="52">
        <f t="shared" si="15"/>
        <v>31</v>
      </c>
      <c r="E75" s="33">
        <f t="shared" si="16"/>
        <v>0.99993375781297555</v>
      </c>
      <c r="F75" s="58">
        <f t="shared" ref="F75:F94" si="17">((1/E75)^(1/(D75/365)))-1</f>
        <v>7.8027842392547342E-4</v>
      </c>
      <c r="G75" s="45"/>
      <c r="H75" s="32"/>
      <c r="I75" s="32"/>
      <c r="J75" s="32"/>
    </row>
    <row r="76" spans="1:15" x14ac:dyDescent="0.2">
      <c r="A76" s="4"/>
      <c r="B76" s="49" t="s">
        <v>59</v>
      </c>
      <c r="C76" s="50">
        <f t="shared" si="14"/>
        <v>44473</v>
      </c>
      <c r="D76" s="52">
        <f>C76-$C$73</f>
        <v>61</v>
      </c>
      <c r="E76" s="33">
        <f t="shared" si="16"/>
        <v>0.99980617456188492</v>
      </c>
      <c r="F76" s="58">
        <f t="shared" si="17"/>
        <v>1.1605605037232625E-3</v>
      </c>
      <c r="G76" s="45"/>
      <c r="H76" s="32"/>
      <c r="I76" s="32"/>
      <c r="J76" s="32"/>
    </row>
    <row r="77" spans="1:15" x14ac:dyDescent="0.2">
      <c r="A77" s="4"/>
      <c r="B77" s="49" t="s">
        <v>60</v>
      </c>
      <c r="C77" s="50">
        <f t="shared" si="14"/>
        <v>44504</v>
      </c>
      <c r="D77" s="52">
        <f t="shared" si="15"/>
        <v>92</v>
      </c>
      <c r="E77" s="33">
        <f t="shared" si="16"/>
        <v>0.9996245793497609</v>
      </c>
      <c r="F77" s="58">
        <f t="shared" si="17"/>
        <v>1.490830461079895E-3</v>
      </c>
      <c r="G77" s="45"/>
      <c r="H77" s="32"/>
      <c r="I77" s="32"/>
      <c r="J77" s="32"/>
    </row>
    <row r="78" spans="1:15" x14ac:dyDescent="0.2">
      <c r="A78" s="4" t="s">
        <v>11</v>
      </c>
      <c r="B78" s="49" t="s">
        <v>61</v>
      </c>
      <c r="C78" s="50">
        <f>D43</f>
        <v>44534</v>
      </c>
      <c r="D78" s="52">
        <f t="shared" si="15"/>
        <v>122</v>
      </c>
      <c r="E78" s="33">
        <f>VLOOKUP(C78,$D$43:$I$46,6,FALSE)</f>
        <v>0.99942295684694882</v>
      </c>
      <c r="F78" s="58">
        <f t="shared" si="17"/>
        <v>1.7283898393329888E-3</v>
      </c>
      <c r="G78" s="45"/>
      <c r="H78" s="32"/>
      <c r="I78" s="32"/>
      <c r="J78" s="32"/>
    </row>
    <row r="79" spans="1:15" x14ac:dyDescent="0.2">
      <c r="A79" s="4"/>
      <c r="B79" s="49" t="s">
        <v>62</v>
      </c>
      <c r="C79" s="50">
        <f t="shared" ref="C79:C81" si="18">D44</f>
        <v>44565</v>
      </c>
      <c r="D79" s="52">
        <f t="shared" si="15"/>
        <v>153</v>
      </c>
      <c r="E79" s="33">
        <f t="shared" ref="E79:E81" si="19">VLOOKUP(C79,$D$43:$I$46,6,FALSE)</f>
        <v>0.9992772420600603</v>
      </c>
      <c r="F79" s="58">
        <f t="shared" si="17"/>
        <v>1.7263382667567218E-3</v>
      </c>
      <c r="G79" s="45"/>
      <c r="H79" s="32"/>
      <c r="I79" s="32"/>
      <c r="J79" s="32"/>
    </row>
    <row r="80" spans="1:15" x14ac:dyDescent="0.2">
      <c r="A80" s="4"/>
      <c r="B80" s="49" t="s">
        <v>63</v>
      </c>
      <c r="C80" s="50">
        <f t="shared" si="18"/>
        <v>44596</v>
      </c>
      <c r="D80" s="52">
        <f t="shared" si="15"/>
        <v>184</v>
      </c>
      <c r="E80" s="33">
        <f t="shared" si="19"/>
        <v>0.99883908135000543</v>
      </c>
      <c r="F80" s="58">
        <f t="shared" si="17"/>
        <v>2.3069038766747596E-3</v>
      </c>
      <c r="G80" s="45"/>
      <c r="H80" s="32"/>
      <c r="I80" s="32"/>
      <c r="J80" s="32"/>
    </row>
    <row r="81" spans="1:10" x14ac:dyDescent="0.2">
      <c r="A81" s="4"/>
      <c r="B81" s="49" t="s">
        <v>64</v>
      </c>
      <c r="C81" s="50">
        <f t="shared" si="18"/>
        <v>44685</v>
      </c>
      <c r="D81" s="52">
        <f t="shared" si="15"/>
        <v>273</v>
      </c>
      <c r="E81" s="33">
        <f t="shared" si="19"/>
        <v>0.99807734325271813</v>
      </c>
      <c r="F81" s="58">
        <f t="shared" si="17"/>
        <v>2.5763725351188871E-3</v>
      </c>
      <c r="G81" s="65"/>
      <c r="H81" s="32"/>
      <c r="I81" s="32"/>
      <c r="J81" s="32"/>
    </row>
    <row r="82" spans="1:10" x14ac:dyDescent="0.2">
      <c r="A82" s="4" t="s">
        <v>12</v>
      </c>
      <c r="B82" s="4" t="s">
        <v>24</v>
      </c>
      <c r="C82" s="50">
        <f>D54</f>
        <v>44777</v>
      </c>
      <c r="D82" s="52">
        <f t="shared" si="15"/>
        <v>365</v>
      </c>
      <c r="E82" s="33">
        <f>VLOOKUP(C82,$D$51:$I$66,6,FALSE)</f>
        <v>0.99580803316871602</v>
      </c>
      <c r="F82" s="58">
        <f t="shared" si="17"/>
        <v>4.2096133909914624E-3</v>
      </c>
      <c r="G82" s="45"/>
      <c r="H82" s="32"/>
      <c r="I82" s="32"/>
      <c r="J82" s="32"/>
    </row>
    <row r="83" spans="1:10" x14ac:dyDescent="0.2">
      <c r="A83" s="4"/>
      <c r="B83" s="4"/>
      <c r="C83" s="50">
        <f t="shared" ref="C83:C93" si="20">D55</f>
        <v>44869</v>
      </c>
      <c r="D83" s="52">
        <f t="shared" si="15"/>
        <v>457</v>
      </c>
      <c r="E83" s="33">
        <f t="shared" ref="E83:E94" si="21">VLOOKUP(C83,$D$51:$I$66,6,FALSE)</f>
        <v>0.99459774147301294</v>
      </c>
      <c r="F83" s="58">
        <f t="shared" si="17"/>
        <v>4.3357833133823576E-3</v>
      </c>
      <c r="G83" s="45"/>
      <c r="H83" s="32"/>
      <c r="I83" s="32"/>
      <c r="J83" s="32"/>
    </row>
    <row r="84" spans="1:10" x14ac:dyDescent="0.2">
      <c r="A84" s="4"/>
      <c r="B84" s="4"/>
      <c r="C84" s="50">
        <f t="shared" si="20"/>
        <v>44961</v>
      </c>
      <c r="D84" s="52">
        <f t="shared" si="15"/>
        <v>549</v>
      </c>
      <c r="E84" s="33">
        <f t="shared" si="21"/>
        <v>0.99332568882094063</v>
      </c>
      <c r="F84" s="58">
        <f t="shared" si="17"/>
        <v>4.4621840580263417E-3</v>
      </c>
      <c r="G84" s="45"/>
      <c r="H84" s="32"/>
      <c r="I84" s="32"/>
      <c r="J84" s="32"/>
    </row>
    <row r="85" spans="1:10" x14ac:dyDescent="0.2">
      <c r="A85" s="4"/>
      <c r="B85" s="4"/>
      <c r="C85" s="50">
        <f t="shared" si="20"/>
        <v>45050</v>
      </c>
      <c r="D85" s="52">
        <f t="shared" si="15"/>
        <v>638</v>
      </c>
      <c r="E85" s="33">
        <f t="shared" si="21"/>
        <v>0.99203649961868579</v>
      </c>
      <c r="F85" s="58">
        <f t="shared" si="17"/>
        <v>4.5846359231476175E-3</v>
      </c>
      <c r="G85" s="45"/>
      <c r="H85" s="32"/>
      <c r="I85" s="32"/>
      <c r="J85" s="32"/>
    </row>
    <row r="86" spans="1:10" x14ac:dyDescent="0.2">
      <c r="A86" s="4"/>
      <c r="B86" s="4" t="s">
        <v>29</v>
      </c>
      <c r="C86" s="50">
        <f t="shared" si="20"/>
        <v>45142</v>
      </c>
      <c r="D86" s="52">
        <f t="shared" si="15"/>
        <v>730</v>
      </c>
      <c r="E86" s="33">
        <f t="shared" si="21"/>
        <v>0.99064350672747958</v>
      </c>
      <c r="F86" s="58">
        <f t="shared" si="17"/>
        <v>4.7113337072208772E-3</v>
      </c>
      <c r="G86" s="45"/>
      <c r="H86" s="32"/>
      <c r="I86" s="32"/>
      <c r="J86" s="32"/>
    </row>
    <row r="87" spans="1:10" x14ac:dyDescent="0.2">
      <c r="A87" s="4"/>
      <c r="B87" s="4"/>
      <c r="C87" s="50">
        <f t="shared" si="20"/>
        <v>45234</v>
      </c>
      <c r="D87" s="52">
        <f t="shared" si="15"/>
        <v>822</v>
      </c>
      <c r="E87" s="33">
        <f t="shared" si="21"/>
        <v>0.98879645722464637</v>
      </c>
      <c r="F87" s="58">
        <f t="shared" si="17"/>
        <v>5.0154221268716714E-3</v>
      </c>
      <c r="G87" s="45"/>
      <c r="H87" s="32"/>
      <c r="I87" s="32"/>
      <c r="J87" s="32"/>
    </row>
    <row r="88" spans="1:10" x14ac:dyDescent="0.2">
      <c r="A88" s="4"/>
      <c r="B88" s="4"/>
      <c r="C88" s="50">
        <f t="shared" si="20"/>
        <v>45326</v>
      </c>
      <c r="D88" s="52">
        <f t="shared" si="15"/>
        <v>914</v>
      </c>
      <c r="E88" s="33">
        <f t="shared" si="21"/>
        <v>0.98680171843953768</v>
      </c>
      <c r="F88" s="58">
        <f t="shared" si="17"/>
        <v>5.3198397593032798E-3</v>
      </c>
      <c r="G88" s="45"/>
      <c r="H88" s="32"/>
      <c r="I88" s="32"/>
      <c r="J88" s="32"/>
    </row>
    <row r="89" spans="1:10" x14ac:dyDescent="0.2">
      <c r="A89" s="4"/>
      <c r="B89" s="4"/>
      <c r="C89" s="50">
        <f t="shared" si="20"/>
        <v>45416</v>
      </c>
      <c r="D89" s="52">
        <f t="shared" si="15"/>
        <v>1004</v>
      </c>
      <c r="E89" s="33">
        <f t="shared" si="21"/>
        <v>0.98470803888404534</v>
      </c>
      <c r="F89" s="58">
        <f t="shared" si="17"/>
        <v>5.6179954607380456E-3</v>
      </c>
      <c r="G89" s="45"/>
      <c r="H89" s="32"/>
      <c r="I89" s="32"/>
      <c r="J89" s="32"/>
    </row>
    <row r="90" spans="1:10" x14ac:dyDescent="0.2">
      <c r="A90" s="4"/>
      <c r="B90" s="4" t="s">
        <v>30</v>
      </c>
      <c r="C90" s="50">
        <f t="shared" si="20"/>
        <v>45508</v>
      </c>
      <c r="D90" s="52">
        <f t="shared" si="15"/>
        <v>1096</v>
      </c>
      <c r="E90" s="33">
        <f t="shared" si="21"/>
        <v>0.98242312460774295</v>
      </c>
      <c r="F90" s="58">
        <f t="shared" si="17"/>
        <v>5.923140522260173E-3</v>
      </c>
      <c r="G90" s="45"/>
      <c r="H90" s="32"/>
      <c r="I90" s="32"/>
      <c r="J90" s="32"/>
    </row>
    <row r="91" spans="1:10" x14ac:dyDescent="0.2">
      <c r="A91" s="4"/>
      <c r="B91" s="4"/>
      <c r="C91" s="50">
        <f t="shared" si="20"/>
        <v>45600</v>
      </c>
      <c r="D91" s="52">
        <f t="shared" si="15"/>
        <v>1188</v>
      </c>
      <c r="E91" s="33">
        <f t="shared" si="21"/>
        <v>0.9805177148497527</v>
      </c>
      <c r="F91" s="58">
        <f t="shared" si="17"/>
        <v>6.0631018594874408E-3</v>
      </c>
      <c r="G91" s="45"/>
      <c r="H91" s="32"/>
      <c r="I91" s="32"/>
      <c r="J91" s="32"/>
    </row>
    <row r="92" spans="1:10" x14ac:dyDescent="0.2">
      <c r="A92" s="4"/>
      <c r="B92" s="4"/>
      <c r="C92" s="50">
        <f t="shared" si="20"/>
        <v>45692</v>
      </c>
      <c r="D92" s="52">
        <f t="shared" si="15"/>
        <v>1280</v>
      </c>
      <c r="E92" s="33">
        <f t="shared" si="21"/>
        <v>0.97854685047734713</v>
      </c>
      <c r="F92" s="58">
        <f t="shared" si="17"/>
        <v>6.2032342101532301E-3</v>
      </c>
      <c r="G92" s="45"/>
      <c r="H92" s="32"/>
      <c r="I92" s="32"/>
      <c r="J92" s="32"/>
    </row>
    <row r="93" spans="1:10" x14ac:dyDescent="0.2">
      <c r="A93" s="4"/>
      <c r="B93" s="4"/>
      <c r="C93" s="50">
        <f t="shared" si="20"/>
        <v>45781</v>
      </c>
      <c r="D93" s="52">
        <f t="shared" si="15"/>
        <v>1369</v>
      </c>
      <c r="E93" s="33">
        <f t="shared" si="21"/>
        <v>0.97657820609436541</v>
      </c>
      <c r="F93" s="58">
        <f t="shared" si="17"/>
        <v>6.3389709454995113E-3</v>
      </c>
      <c r="G93" s="65"/>
      <c r="H93" s="32"/>
      <c r="I93" s="32"/>
      <c r="J93" s="32"/>
    </row>
    <row r="94" spans="1:10" x14ac:dyDescent="0.2">
      <c r="A94" s="4"/>
      <c r="B94" s="4" t="s">
        <v>31</v>
      </c>
      <c r="C94" s="50">
        <f>D66</f>
        <v>45873</v>
      </c>
      <c r="D94" s="52">
        <f t="shared" si="15"/>
        <v>1461</v>
      </c>
      <c r="E94" s="33">
        <f t="shared" si="21"/>
        <v>0.97447947970751791</v>
      </c>
      <c r="F94" s="58">
        <f t="shared" si="17"/>
        <v>6.4794320085121981E-3</v>
      </c>
      <c r="I94" s="34"/>
      <c r="J94" s="34"/>
    </row>
    <row r="95" spans="1:10" x14ac:dyDescent="0.2">
      <c r="I95" s="34"/>
      <c r="J95" s="34"/>
    </row>
    <row r="96" spans="1:10" x14ac:dyDescent="0.2">
      <c r="I96" s="34"/>
      <c r="J96" s="3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53"/>
      <c r="E146" s="51"/>
    </row>
    <row r="147" spans="1:6" x14ac:dyDescent="0.2">
      <c r="A147" s="4"/>
      <c r="B147" s="4"/>
      <c r="C147" s="53"/>
    </row>
  </sheetData>
  <phoneticPr fontId="2" type="noConversion"/>
  <pageMargins left="0.27559055118110237" right="0.15748031496062992" top="0.78740157480314965" bottom="0.6" header="0.51181102362204722" footer="0.23"/>
  <pageSetup paperSize="9" scale="72" fitToHeight="4" orientation="landscape" horizontalDpi="300" verticalDpi="300" r:id="rId1"/>
  <headerFooter alignWithMargins="0">
    <oddHeader>&amp;C&amp;F&amp;RPage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11CE-E418-FB40-A1B5-4057D8482333}">
  <dimension ref="A1:AB35"/>
  <sheetViews>
    <sheetView topLeftCell="U1" zoomScale="131" zoomScaleNormal="130" workbookViewId="0">
      <selection activeCell="AB29" sqref="AB29"/>
    </sheetView>
  </sheetViews>
  <sheetFormatPr baseColWidth="10" defaultRowHeight="13" x14ac:dyDescent="0.15"/>
  <cols>
    <col min="15" max="15" width="14.83203125" bestFit="1" customWidth="1"/>
    <col min="17" max="17" width="14.1640625" bestFit="1" customWidth="1"/>
    <col min="26" max="26" width="14.83203125" bestFit="1" customWidth="1"/>
    <col min="28" max="28" width="14.1640625" bestFit="1" customWidth="1"/>
  </cols>
  <sheetData>
    <row r="1" spans="1:28" ht="16" thickBot="1" x14ac:dyDescent="0.25">
      <c r="A1" s="68" t="s">
        <v>66</v>
      </c>
      <c r="B1" s="1"/>
      <c r="C1" s="1"/>
      <c r="D1" s="1"/>
      <c r="E1" s="6"/>
      <c r="F1" s="1"/>
      <c r="G1" s="1"/>
      <c r="J1" s="68" t="s">
        <v>93</v>
      </c>
      <c r="K1" s="68"/>
      <c r="L1" s="68"/>
      <c r="M1" s="68"/>
      <c r="N1" s="1"/>
      <c r="O1" s="1"/>
      <c r="P1" s="1"/>
      <c r="Q1" s="1"/>
      <c r="R1" s="1"/>
      <c r="S1" s="1"/>
      <c r="T1" s="120"/>
      <c r="U1" s="68" t="s">
        <v>105</v>
      </c>
      <c r="V1" s="1"/>
      <c r="W1" s="1"/>
      <c r="X1" s="1"/>
      <c r="Y1" s="1"/>
      <c r="Z1" s="1"/>
      <c r="AA1" s="1"/>
      <c r="AB1" s="1"/>
    </row>
    <row r="2" spans="1:28" ht="15" thickBot="1" x14ac:dyDescent="0.25">
      <c r="A2" s="69" t="s">
        <v>67</v>
      </c>
      <c r="B2" s="1"/>
      <c r="C2" s="1"/>
      <c r="D2" s="1"/>
      <c r="E2" s="1"/>
      <c r="F2" s="1"/>
      <c r="G2" s="1"/>
      <c r="J2" s="1"/>
      <c r="K2" s="1"/>
      <c r="L2" s="1"/>
      <c r="M2" s="1"/>
      <c r="N2" s="1"/>
      <c r="O2" s="1"/>
      <c r="P2" s="1"/>
      <c r="Q2" s="1"/>
      <c r="R2" s="1"/>
      <c r="S2" s="1"/>
      <c r="T2" s="120"/>
      <c r="U2" s="1"/>
      <c r="V2" s="1"/>
      <c r="W2" s="1"/>
      <c r="X2" s="1"/>
      <c r="Y2" s="1"/>
      <c r="Z2" s="1"/>
      <c r="AA2" s="1"/>
      <c r="AB2" s="1"/>
    </row>
    <row r="3" spans="1:28" ht="15" thickBot="1" x14ac:dyDescent="0.25">
      <c r="A3" s="1" t="s">
        <v>68</v>
      </c>
      <c r="B3" s="70">
        <v>44410</v>
      </c>
      <c r="C3" s="1"/>
      <c r="D3" s="1"/>
      <c r="E3" s="1"/>
      <c r="F3" s="1"/>
      <c r="G3" s="1"/>
      <c r="J3" s="100" t="s">
        <v>94</v>
      </c>
      <c r="K3" s="1"/>
      <c r="L3" s="1"/>
      <c r="M3" s="1"/>
      <c r="N3" s="1"/>
      <c r="O3" s="1"/>
      <c r="P3" s="1"/>
      <c r="Q3" s="1"/>
      <c r="R3" s="1"/>
      <c r="S3" s="1"/>
      <c r="T3" s="120"/>
      <c r="U3" s="69" t="s">
        <v>106</v>
      </c>
      <c r="V3" s="1"/>
      <c r="W3" s="1"/>
      <c r="X3" s="1"/>
      <c r="Y3" s="1"/>
      <c r="Z3" s="1"/>
      <c r="AA3" s="1"/>
      <c r="AB3" s="1"/>
    </row>
    <row r="4" spans="1:28" ht="14" x14ac:dyDescent="0.2">
      <c r="A4" s="1" t="s">
        <v>69</v>
      </c>
      <c r="B4" s="71">
        <v>2</v>
      </c>
      <c r="C4" s="1"/>
      <c r="D4" s="1"/>
      <c r="E4" s="1"/>
      <c r="F4" s="1"/>
      <c r="G4" s="1"/>
      <c r="J4" s="1"/>
      <c r="K4" s="1"/>
      <c r="L4" s="1"/>
      <c r="M4" s="1"/>
      <c r="N4" s="1"/>
      <c r="O4" s="1"/>
      <c r="P4" s="1"/>
      <c r="Q4" s="1"/>
      <c r="R4" s="1"/>
      <c r="S4" s="1"/>
      <c r="T4" s="120"/>
      <c r="U4" s="1"/>
      <c r="V4" s="1"/>
      <c r="W4" s="1"/>
      <c r="X4" s="1"/>
      <c r="Y4" s="1"/>
      <c r="Z4" s="1"/>
      <c r="AA4" s="1"/>
      <c r="AB4" s="1"/>
    </row>
    <row r="5" spans="1:28" ht="14" x14ac:dyDescent="0.2">
      <c r="A5" s="1"/>
      <c r="B5" s="72"/>
      <c r="C5" s="1"/>
      <c r="D5" s="1"/>
      <c r="E5" s="1"/>
      <c r="F5" s="1"/>
      <c r="G5" s="1"/>
      <c r="J5" s="73" t="s">
        <v>95</v>
      </c>
      <c r="K5" s="127">
        <f>$F$30</f>
        <v>5.8999999999999756E-3</v>
      </c>
      <c r="L5" s="90"/>
      <c r="M5" s="1"/>
      <c r="N5" s="1"/>
      <c r="O5" s="1"/>
      <c r="P5" s="1"/>
      <c r="Q5" s="1"/>
      <c r="R5" s="1"/>
      <c r="S5" s="1"/>
      <c r="T5" s="120"/>
      <c r="U5" s="73"/>
      <c r="V5" s="90"/>
      <c r="W5" s="90"/>
      <c r="X5" s="1"/>
      <c r="Y5" s="1"/>
      <c r="Z5" s="1"/>
      <c r="AA5" s="1"/>
      <c r="AB5" s="1"/>
    </row>
    <row r="6" spans="1:28" ht="14" x14ac:dyDescent="0.2">
      <c r="A6" s="73" t="s">
        <v>70</v>
      </c>
      <c r="B6" s="71">
        <v>3</v>
      </c>
      <c r="C6" s="1"/>
      <c r="D6" s="1"/>
      <c r="E6" s="1"/>
      <c r="F6" s="1"/>
      <c r="G6" s="1"/>
      <c r="J6" s="73" t="s">
        <v>96</v>
      </c>
      <c r="K6" s="101">
        <f>B8</f>
        <v>9000000</v>
      </c>
      <c r="L6" s="101"/>
      <c r="M6" s="1"/>
      <c r="N6" s="1"/>
      <c r="O6" s="1"/>
      <c r="P6" s="1"/>
      <c r="Q6" s="1"/>
      <c r="R6" s="1"/>
      <c r="S6" s="1"/>
      <c r="T6" s="120"/>
      <c r="U6" s="73" t="s">
        <v>107</v>
      </c>
      <c r="V6" s="121">
        <f>K6</f>
        <v>9000000</v>
      </c>
      <c r="W6" s="121"/>
      <c r="X6" s="1"/>
      <c r="Y6" s="1"/>
      <c r="Z6" s="1"/>
      <c r="AA6" s="1"/>
      <c r="AB6" s="1"/>
    </row>
    <row r="7" spans="1:28" ht="60" x14ac:dyDescent="0.2">
      <c r="A7" s="74" t="s">
        <v>71</v>
      </c>
      <c r="B7" s="71">
        <f>12/4</f>
        <v>3</v>
      </c>
      <c r="C7" s="1"/>
      <c r="D7" s="1"/>
      <c r="E7" s="1"/>
      <c r="F7" s="1"/>
      <c r="G7" s="1"/>
      <c r="J7" s="1"/>
      <c r="K7" s="1"/>
      <c r="L7" s="1"/>
      <c r="M7" s="1"/>
      <c r="N7" s="1"/>
      <c r="O7" s="1"/>
      <c r="P7" s="1"/>
      <c r="Q7" s="1"/>
      <c r="R7" s="1"/>
      <c r="S7" s="1"/>
      <c r="T7" s="120"/>
      <c r="U7" s="74" t="s">
        <v>108</v>
      </c>
      <c r="V7" s="1">
        <v>3</v>
      </c>
      <c r="W7" s="1"/>
      <c r="X7" s="1"/>
      <c r="Y7" s="1"/>
      <c r="Z7" s="1"/>
      <c r="AA7" s="1"/>
      <c r="AB7" s="1"/>
    </row>
    <row r="8" spans="1:28" ht="14" x14ac:dyDescent="0.2">
      <c r="A8" s="73" t="s">
        <v>72</v>
      </c>
      <c r="B8" s="75">
        <v>9000000</v>
      </c>
      <c r="C8" s="1"/>
      <c r="D8" s="1"/>
      <c r="E8" s="1"/>
      <c r="F8" s="1"/>
      <c r="G8" s="1"/>
      <c r="J8" s="85" t="s">
        <v>86</v>
      </c>
      <c r="K8" s="91">
        <f>B3</f>
        <v>44410</v>
      </c>
      <c r="L8" s="85"/>
      <c r="M8" s="92" t="s">
        <v>97</v>
      </c>
      <c r="N8" s="92"/>
      <c r="O8" s="1"/>
      <c r="P8" s="1"/>
      <c r="Q8" s="1"/>
      <c r="R8" s="1"/>
      <c r="S8" s="1"/>
      <c r="T8" s="120"/>
      <c r="U8" s="85" t="s">
        <v>86</v>
      </c>
      <c r="V8" s="91">
        <f t="shared" ref="V8:V10" si="0">K8</f>
        <v>44410</v>
      </c>
      <c r="W8" s="85"/>
      <c r="X8" s="92" t="s">
        <v>109</v>
      </c>
      <c r="Y8" s="1"/>
      <c r="Z8" s="1"/>
      <c r="AA8" s="1"/>
      <c r="AB8" s="1"/>
    </row>
    <row r="9" spans="1:28" ht="14" x14ac:dyDescent="0.2">
      <c r="A9" s="76" t="s">
        <v>73</v>
      </c>
      <c r="B9" s="77">
        <f>B3+B4</f>
        <v>44412</v>
      </c>
      <c r="C9" s="76" t="s">
        <v>74</v>
      </c>
      <c r="D9" s="78"/>
      <c r="E9" s="1"/>
      <c r="F9" s="1"/>
      <c r="G9" s="1"/>
      <c r="J9" s="102" t="s">
        <v>87</v>
      </c>
      <c r="K9" s="103">
        <f>B9</f>
        <v>44412</v>
      </c>
      <c r="L9" s="104" t="s">
        <v>98</v>
      </c>
      <c r="M9" s="104"/>
      <c r="N9" s="1"/>
      <c r="O9" s="1"/>
      <c r="P9" s="1"/>
      <c r="Q9" s="1"/>
      <c r="R9" s="1"/>
      <c r="S9" s="1"/>
      <c r="T9" s="120"/>
      <c r="U9" s="102" t="s">
        <v>87</v>
      </c>
      <c r="V9" s="77">
        <f t="shared" si="0"/>
        <v>44412</v>
      </c>
      <c r="W9" s="76" t="s">
        <v>110</v>
      </c>
      <c r="X9" s="78"/>
      <c r="Y9" s="1"/>
      <c r="Z9" s="1"/>
      <c r="AA9" s="1"/>
      <c r="AB9" s="1"/>
    </row>
    <row r="10" spans="1:28" ht="15" thickBot="1" x14ac:dyDescent="0.25">
      <c r="A10" s="76" t="s">
        <v>65</v>
      </c>
      <c r="B10" s="77">
        <f>EDATE(B9,B6*12)</f>
        <v>45508</v>
      </c>
      <c r="C10" s="78"/>
      <c r="D10" s="78"/>
      <c r="E10" s="1"/>
      <c r="F10" s="1"/>
      <c r="G10" s="1"/>
      <c r="J10" s="102" t="s">
        <v>65</v>
      </c>
      <c r="K10" s="103">
        <f>B10</f>
        <v>45508</v>
      </c>
      <c r="L10" s="105"/>
      <c r="M10" s="102"/>
      <c r="N10" s="1"/>
      <c r="O10" s="1"/>
      <c r="P10" s="1"/>
      <c r="Q10" s="1"/>
      <c r="R10" s="1"/>
      <c r="S10" s="1"/>
      <c r="T10" s="120"/>
      <c r="U10" s="102" t="s">
        <v>65</v>
      </c>
      <c r="V10" s="77">
        <f t="shared" si="0"/>
        <v>45508</v>
      </c>
      <c r="W10" s="122"/>
      <c r="X10" s="78"/>
      <c r="Y10" s="1"/>
      <c r="Z10" s="1"/>
      <c r="AA10" s="1"/>
      <c r="AB10" s="1"/>
    </row>
    <row r="11" spans="1:28" ht="15" thickBot="1" x14ac:dyDescent="0.25">
      <c r="A11" s="69" t="s">
        <v>75</v>
      </c>
      <c r="B11" s="79"/>
      <c r="C11" s="1"/>
      <c r="D11" s="73" t="s">
        <v>76</v>
      </c>
      <c r="E11" s="1"/>
      <c r="F11" s="1"/>
      <c r="G11" s="1"/>
      <c r="J11" s="100" t="s">
        <v>99</v>
      </c>
      <c r="K11" s="1"/>
      <c r="L11" s="1"/>
      <c r="M11" s="1"/>
      <c r="N11" s="73" t="s">
        <v>100</v>
      </c>
      <c r="O11" s="73"/>
      <c r="P11" s="73"/>
      <c r="Q11" s="1"/>
      <c r="R11" s="1"/>
      <c r="S11" s="1"/>
      <c r="T11" s="120"/>
      <c r="U11" s="69" t="s">
        <v>111</v>
      </c>
      <c r="V11" s="1"/>
      <c r="W11" s="1"/>
      <c r="X11" s="1"/>
      <c r="Y11" s="73" t="s">
        <v>112</v>
      </c>
      <c r="Z11" s="1"/>
      <c r="AA11" s="1"/>
      <c r="AB11" s="1"/>
    </row>
    <row r="12" spans="1:28" ht="14" x14ac:dyDescent="0.2">
      <c r="A12" s="73"/>
      <c r="B12" s="79"/>
      <c r="C12" s="1"/>
      <c r="D12" s="1"/>
      <c r="E12" s="1"/>
      <c r="F12" s="1"/>
      <c r="G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20"/>
      <c r="U12" s="1"/>
      <c r="V12" s="1"/>
      <c r="W12" s="1"/>
      <c r="X12" s="1"/>
      <c r="Y12" s="1"/>
      <c r="Z12" s="1"/>
      <c r="AA12" s="1"/>
      <c r="AB12" s="1"/>
    </row>
    <row r="13" spans="1:28" ht="60" x14ac:dyDescent="0.2">
      <c r="A13" s="80" t="s">
        <v>77</v>
      </c>
      <c r="B13" s="80" t="s">
        <v>78</v>
      </c>
      <c r="C13" s="81" t="s">
        <v>79</v>
      </c>
      <c r="D13" s="82" t="s">
        <v>80</v>
      </c>
      <c r="E13" s="82" t="s">
        <v>81</v>
      </c>
      <c r="F13" s="83" t="s">
        <v>82</v>
      </c>
      <c r="G13" s="1"/>
      <c r="J13" s="106" t="s">
        <v>2</v>
      </c>
      <c r="K13" s="107" t="s">
        <v>3</v>
      </c>
      <c r="L13" s="108" t="s">
        <v>101</v>
      </c>
      <c r="M13" s="107" t="s">
        <v>88</v>
      </c>
      <c r="N13" s="109" t="s">
        <v>102</v>
      </c>
      <c r="O13" s="108" t="s">
        <v>103</v>
      </c>
      <c r="P13" s="109" t="s">
        <v>104</v>
      </c>
      <c r="Q13" s="107" t="s">
        <v>89</v>
      </c>
      <c r="R13" s="1"/>
      <c r="S13" s="1"/>
      <c r="T13" s="120"/>
      <c r="U13" s="80" t="s">
        <v>14</v>
      </c>
      <c r="V13" s="80" t="s">
        <v>15</v>
      </c>
      <c r="W13" s="81" t="s">
        <v>113</v>
      </c>
      <c r="X13" s="123" t="s">
        <v>114</v>
      </c>
      <c r="Y13" s="82" t="s">
        <v>115</v>
      </c>
      <c r="Z13" s="81" t="s">
        <v>116</v>
      </c>
      <c r="AA13" s="82" t="s">
        <v>117</v>
      </c>
      <c r="AB13" s="80" t="s">
        <v>89</v>
      </c>
    </row>
    <row r="14" spans="1:28" ht="14" x14ac:dyDescent="0.2">
      <c r="A14" s="84"/>
      <c r="B14" s="84"/>
      <c r="C14" s="73"/>
      <c r="D14" s="73"/>
      <c r="E14" s="73"/>
      <c r="F14" s="73"/>
      <c r="G14" s="1"/>
      <c r="J14" s="93">
        <f>B9</f>
        <v>44412</v>
      </c>
      <c r="K14" s="93">
        <f>J14</f>
        <v>44412</v>
      </c>
      <c r="L14" s="94">
        <f>K14-J14</f>
        <v>0</v>
      </c>
      <c r="M14" s="73"/>
      <c r="N14" s="95" t="s">
        <v>90</v>
      </c>
      <c r="O14" s="128">
        <f>-K6</f>
        <v>-9000000</v>
      </c>
      <c r="P14" s="119">
        <v>1</v>
      </c>
      <c r="Q14" s="131">
        <f>O14*P14</f>
        <v>-9000000</v>
      </c>
      <c r="R14" s="1"/>
      <c r="S14" s="1"/>
      <c r="T14" s="120"/>
      <c r="U14" s="93">
        <f>V8</f>
        <v>44410</v>
      </c>
      <c r="V14" s="93">
        <f>U14</f>
        <v>44410</v>
      </c>
      <c r="W14" s="94">
        <f>V14-U14</f>
        <v>0</v>
      </c>
      <c r="X14" s="73"/>
      <c r="Y14" s="95" t="s">
        <v>118</v>
      </c>
      <c r="Z14" s="128">
        <f>-V6</f>
        <v>-9000000</v>
      </c>
      <c r="AA14" s="125">
        <v>1</v>
      </c>
      <c r="AB14" s="131">
        <f>Z14*AA14</f>
        <v>-9000000</v>
      </c>
    </row>
    <row r="15" spans="1:28" ht="14" x14ac:dyDescent="0.2">
      <c r="A15" s="85">
        <f>$B$9</f>
        <v>44412</v>
      </c>
      <c r="B15" s="85">
        <f>EDATE(A15,$B$7)</f>
        <v>44504</v>
      </c>
      <c r="C15" s="86">
        <f>B15-A15</f>
        <v>92</v>
      </c>
      <c r="D15" s="87">
        <f>C15/365</f>
        <v>0.25205479452054796</v>
      </c>
      <c r="E15" s="118">
        <f>VLOOKUP(B15,Question1!$C$73:$F$94,3,FALSE)</f>
        <v>0.9996245793497609</v>
      </c>
      <c r="F15" s="87">
        <f>D15*E15</f>
        <v>0.2519601679456932</v>
      </c>
      <c r="G15" s="1"/>
      <c r="J15" s="85">
        <f>B9</f>
        <v>44412</v>
      </c>
      <c r="K15" s="85">
        <f>EDATE(J15,$B$7)</f>
        <v>44504</v>
      </c>
      <c r="L15" s="86">
        <f>K15-J15</f>
        <v>92</v>
      </c>
      <c r="M15" s="126">
        <f>$K$5</f>
        <v>5.8999999999999756E-3</v>
      </c>
      <c r="N15" s="87">
        <f>L15/365</f>
        <v>0.25205479452054796</v>
      </c>
      <c r="O15" s="129">
        <f>$K$6*M15*N15</f>
        <v>13384.109589041042</v>
      </c>
      <c r="P15" s="119">
        <f>VLOOKUP(K15,Question1!$C$73:$F$94,3,FALSE)</f>
        <v>0.9996245793497609</v>
      </c>
      <c r="Q15" s="131">
        <f>O15*P15</f>
        <v>13379.084917916252</v>
      </c>
      <c r="R15" s="1"/>
      <c r="S15" s="1"/>
      <c r="T15" s="120"/>
      <c r="U15" s="85">
        <f>$B$9</f>
        <v>44412</v>
      </c>
      <c r="V15" s="85">
        <f>EDATE(U15,$V$7)</f>
        <v>44504</v>
      </c>
      <c r="W15" s="86">
        <f>V15-U15</f>
        <v>92</v>
      </c>
      <c r="X15" s="126">
        <f>(AA14-AA15)/(AA15*Y15)</f>
        <v>1.4900000000000679E-3</v>
      </c>
      <c r="Y15" s="87">
        <f>W15/365</f>
        <v>0.25205479452054796</v>
      </c>
      <c r="Z15" s="129">
        <f>$K$6*X15*Y15</f>
        <v>3380.0547945207022</v>
      </c>
      <c r="AA15" s="118">
        <f>VLOOKUP(V15,Question1!$C$73:$F$94,3,FALSE)</f>
        <v>0.9996245793497609</v>
      </c>
      <c r="AB15" s="131">
        <f t="shared" ref="AB15:AB26" si="1">AA15*Z15</f>
        <v>3378.7858521518997</v>
      </c>
    </row>
    <row r="16" spans="1:28" ht="14" x14ac:dyDescent="0.2">
      <c r="A16" s="85">
        <f>B15</f>
        <v>44504</v>
      </c>
      <c r="B16" s="85">
        <f t="shared" ref="B16:B26" si="2">EDATE(A16,$B$7)</f>
        <v>44596</v>
      </c>
      <c r="C16" s="86">
        <f t="shared" ref="C16:C26" si="3">B16-A16</f>
        <v>92</v>
      </c>
      <c r="D16" s="87">
        <f t="shared" ref="D16:D26" si="4">C16/365</f>
        <v>0.25205479452054796</v>
      </c>
      <c r="E16" s="118">
        <f>VLOOKUP(B16,Question1!$C$73:$F$94,3,FALSE)</f>
        <v>0.99883908135000543</v>
      </c>
      <c r="F16" s="87">
        <f t="shared" ref="F16:F26" si="5">D16*E16</f>
        <v>0.25176217940876849</v>
      </c>
      <c r="G16" s="1"/>
      <c r="J16" s="85">
        <f t="shared" ref="J16:J26" si="6">K15</f>
        <v>44504</v>
      </c>
      <c r="K16" s="85">
        <f t="shared" ref="K16:K26" si="7">EDATE(J16,$B$7)</f>
        <v>44596</v>
      </c>
      <c r="L16" s="86">
        <f t="shared" ref="L16:L26" si="8">K16-J16</f>
        <v>92</v>
      </c>
      <c r="M16" s="126">
        <f t="shared" ref="M16:M26" si="9">$K$5</f>
        <v>5.8999999999999756E-3</v>
      </c>
      <c r="N16" s="87">
        <f t="shared" ref="N16:N26" si="10">L16/365</f>
        <v>0.25205479452054796</v>
      </c>
      <c r="O16" s="129">
        <f t="shared" ref="O16:O26" si="11">$K$6*M16*N16</f>
        <v>13384.109589041042</v>
      </c>
      <c r="P16" s="119">
        <f>VLOOKUP(K16,Question1!$C$73:$F$94,3,FALSE)</f>
        <v>0.99883908135000543</v>
      </c>
      <c r="Q16" s="131">
        <f t="shared" ref="Q16:Q26" si="12">O16*P16</f>
        <v>13368.571726605553</v>
      </c>
      <c r="R16" s="1"/>
      <c r="S16" s="1"/>
      <c r="T16" s="120"/>
      <c r="U16" s="85">
        <f>V15</f>
        <v>44504</v>
      </c>
      <c r="V16" s="85">
        <f t="shared" ref="V16:V26" si="13">EDATE(U16,$V$7)</f>
        <v>44596</v>
      </c>
      <c r="W16" s="86">
        <f>V16-U16</f>
        <v>92</v>
      </c>
      <c r="X16" s="126">
        <f t="shared" ref="X16:X26" si="14">+(AA15-AA16)/(AA16*Y16)</f>
        <v>3.1200000000004419E-3</v>
      </c>
      <c r="Y16" s="87">
        <f t="shared" ref="Y16:Y26" si="15">W16/365</f>
        <v>0.25205479452054796</v>
      </c>
      <c r="Z16" s="129">
        <f t="shared" ref="Z16:Z26" si="16">$K$6*X16*Y16</f>
        <v>7077.6986301379893</v>
      </c>
      <c r="AA16" s="118">
        <f>VLOOKUP(V16,Question1!$C$73:$F$94,3,FALSE)</f>
        <v>0.99883908135000543</v>
      </c>
      <c r="AB16" s="131">
        <f t="shared" si="1"/>
        <v>7069.4819977992211</v>
      </c>
    </row>
    <row r="17" spans="1:28" ht="14" x14ac:dyDescent="0.2">
      <c r="A17" s="85">
        <f t="shared" ref="A17:A26" si="17">B16</f>
        <v>44596</v>
      </c>
      <c r="B17" s="85">
        <f t="shared" si="2"/>
        <v>44685</v>
      </c>
      <c r="C17" s="86">
        <f t="shared" si="3"/>
        <v>89</v>
      </c>
      <c r="D17" s="87">
        <f t="shared" si="4"/>
        <v>0.24383561643835616</v>
      </c>
      <c r="E17" s="118">
        <f>VLOOKUP(B17,Question1!$C$73:$F$94,3,FALSE)</f>
        <v>0.99807734325271813</v>
      </c>
      <c r="F17" s="87">
        <f t="shared" si="5"/>
        <v>0.24336680424518331</v>
      </c>
      <c r="G17" s="1"/>
      <c r="J17" s="85">
        <f t="shared" si="6"/>
        <v>44596</v>
      </c>
      <c r="K17" s="85">
        <f t="shared" si="7"/>
        <v>44685</v>
      </c>
      <c r="L17" s="86">
        <f t="shared" si="8"/>
        <v>89</v>
      </c>
      <c r="M17" s="126">
        <f t="shared" si="9"/>
        <v>5.8999999999999756E-3</v>
      </c>
      <c r="N17" s="87">
        <f t="shared" si="10"/>
        <v>0.24383561643835616</v>
      </c>
      <c r="O17" s="129">
        <f t="shared" si="11"/>
        <v>12947.671232876659</v>
      </c>
      <c r="P17" s="119">
        <f>VLOOKUP(K17,Question1!$C$73:$F$94,3,FALSE)</f>
        <v>0.99807734325271813</v>
      </c>
      <c r="Q17" s="131">
        <f t="shared" si="12"/>
        <v>12922.777305419182</v>
      </c>
      <c r="R17" s="1"/>
      <c r="S17" s="1"/>
      <c r="T17" s="120"/>
      <c r="U17" s="85">
        <f t="shared" ref="U17:U26" si="18">V16</f>
        <v>44596</v>
      </c>
      <c r="V17" s="85">
        <f t="shared" si="13"/>
        <v>44685</v>
      </c>
      <c r="W17" s="86">
        <f t="shared" ref="W17:W26" si="19">V17-U17</f>
        <v>89</v>
      </c>
      <c r="X17" s="126">
        <f t="shared" si="14"/>
        <v>3.129999999999496E-3</v>
      </c>
      <c r="Y17" s="87">
        <f t="shared" si="15"/>
        <v>0.24383561643835616</v>
      </c>
      <c r="Z17" s="129">
        <f t="shared" si="16"/>
        <v>6868.8493150673867</v>
      </c>
      <c r="AA17" s="118">
        <f>VLOOKUP(V17,Question1!$C$73:$F$94,3,FALSE)</f>
        <v>0.99807734325271813</v>
      </c>
      <c r="AB17" s="131">
        <f t="shared" si="1"/>
        <v>6855.6428755857096</v>
      </c>
    </row>
    <row r="18" spans="1:28" ht="14" x14ac:dyDescent="0.2">
      <c r="A18" s="85">
        <f t="shared" si="17"/>
        <v>44685</v>
      </c>
      <c r="B18" s="85">
        <f t="shared" si="2"/>
        <v>44777</v>
      </c>
      <c r="C18" s="86">
        <f t="shared" si="3"/>
        <v>92</v>
      </c>
      <c r="D18" s="87">
        <f t="shared" si="4"/>
        <v>0.25205479452054796</v>
      </c>
      <c r="E18" s="118">
        <f>VLOOKUP(B18,Question1!$C$73:$F$94,3,FALSE)</f>
        <v>0.99580803316871602</v>
      </c>
      <c r="F18" s="87">
        <f t="shared" si="5"/>
        <v>0.25099818918225175</v>
      </c>
      <c r="G18" s="1"/>
      <c r="J18" s="85">
        <f t="shared" si="6"/>
        <v>44685</v>
      </c>
      <c r="K18" s="85">
        <f t="shared" si="7"/>
        <v>44777</v>
      </c>
      <c r="L18" s="86">
        <f t="shared" si="8"/>
        <v>92</v>
      </c>
      <c r="M18" s="126">
        <f t="shared" si="9"/>
        <v>5.8999999999999756E-3</v>
      </c>
      <c r="N18" s="87">
        <f t="shared" si="10"/>
        <v>0.25205479452054796</v>
      </c>
      <c r="O18" s="129">
        <f t="shared" si="11"/>
        <v>13384.109589041042</v>
      </c>
      <c r="P18" s="119">
        <f>VLOOKUP(K18,Question1!$C$73:$F$94,3,FALSE)</f>
        <v>0.99580803316871602</v>
      </c>
      <c r="Q18" s="131">
        <f t="shared" si="12"/>
        <v>13328.003845577512</v>
      </c>
      <c r="R18" s="1"/>
      <c r="S18" s="1"/>
      <c r="T18" s="120"/>
      <c r="U18" s="85">
        <f t="shared" si="18"/>
        <v>44685</v>
      </c>
      <c r="V18" s="85">
        <f t="shared" si="13"/>
        <v>44777</v>
      </c>
      <c r="W18" s="86">
        <f t="shared" si="19"/>
        <v>92</v>
      </c>
      <c r="X18" s="126">
        <f t="shared" si="14"/>
        <v>9.0411412584110069E-3</v>
      </c>
      <c r="Y18" s="87">
        <f t="shared" si="15"/>
        <v>0.25205479452054796</v>
      </c>
      <c r="Z18" s="129">
        <f t="shared" si="16"/>
        <v>20509.767019080315</v>
      </c>
      <c r="AA18" s="118">
        <f>VLOOKUP(V18,Question1!$C$73:$F$94,3,FALSE)</f>
        <v>0.99580803316871602</v>
      </c>
      <c r="AB18" s="131">
        <f t="shared" si="1"/>
        <v>20423.790756018967</v>
      </c>
    </row>
    <row r="19" spans="1:28" ht="14" x14ac:dyDescent="0.2">
      <c r="A19" s="85">
        <f t="shared" si="17"/>
        <v>44777</v>
      </c>
      <c r="B19" s="85">
        <f t="shared" si="2"/>
        <v>44869</v>
      </c>
      <c r="C19" s="86">
        <f t="shared" si="3"/>
        <v>92</v>
      </c>
      <c r="D19" s="87">
        <f t="shared" si="4"/>
        <v>0.25205479452054796</v>
      </c>
      <c r="E19" s="118">
        <f>VLOOKUP(B19,Question1!$C$73:$F$94,3,FALSE)</f>
        <v>0.99459774147301294</v>
      </c>
      <c r="F19" s="87">
        <f t="shared" si="5"/>
        <v>0.25069312935758137</v>
      </c>
      <c r="G19" s="1"/>
      <c r="J19" s="85">
        <f t="shared" si="6"/>
        <v>44777</v>
      </c>
      <c r="K19" s="85">
        <f t="shared" si="7"/>
        <v>44869</v>
      </c>
      <c r="L19" s="86">
        <f t="shared" si="8"/>
        <v>92</v>
      </c>
      <c r="M19" s="126">
        <f t="shared" si="9"/>
        <v>5.8999999999999756E-3</v>
      </c>
      <c r="N19" s="87">
        <f t="shared" si="10"/>
        <v>0.25205479452054796</v>
      </c>
      <c r="O19" s="129">
        <f t="shared" si="11"/>
        <v>13384.109589041042</v>
      </c>
      <c r="P19" s="119">
        <f>VLOOKUP(K19,Question1!$C$73:$F$94,3,FALSE)</f>
        <v>0.99459774147301294</v>
      </c>
      <c r="Q19" s="131">
        <f t="shared" si="12"/>
        <v>13311.805168887515</v>
      </c>
      <c r="R19" s="1"/>
      <c r="S19" s="1"/>
      <c r="T19" s="120"/>
      <c r="U19" s="85">
        <f t="shared" si="18"/>
        <v>44777</v>
      </c>
      <c r="V19" s="85">
        <f t="shared" si="13"/>
        <v>44869</v>
      </c>
      <c r="W19" s="86">
        <f t="shared" si="19"/>
        <v>92</v>
      </c>
      <c r="X19" s="126">
        <f t="shared" si="14"/>
        <v>4.8277816739714314E-3</v>
      </c>
      <c r="Y19" s="87">
        <f t="shared" si="15"/>
        <v>0.25205479452054796</v>
      </c>
      <c r="Z19" s="129">
        <f t="shared" si="16"/>
        <v>10951.789660406424</v>
      </c>
      <c r="AA19" s="118">
        <f>VLOOKUP(V19,Question1!$C$73:$F$94,3,FALSE)</f>
        <v>0.99459774147301294</v>
      </c>
      <c r="AB19" s="131">
        <f t="shared" si="1"/>
        <v>10892.625261327725</v>
      </c>
    </row>
    <row r="20" spans="1:28" ht="14" x14ac:dyDescent="0.2">
      <c r="A20" s="85">
        <f t="shared" si="17"/>
        <v>44869</v>
      </c>
      <c r="B20" s="85">
        <f t="shared" si="2"/>
        <v>44961</v>
      </c>
      <c r="C20" s="86">
        <f t="shared" si="3"/>
        <v>92</v>
      </c>
      <c r="D20" s="87">
        <f t="shared" si="4"/>
        <v>0.25205479452054796</v>
      </c>
      <c r="E20" s="118">
        <f>VLOOKUP(B20,Question1!$C$73:$F$94,3,FALSE)</f>
        <v>0.99332568882094063</v>
      </c>
      <c r="F20" s="87">
        <f t="shared" si="5"/>
        <v>0.25037250238774394</v>
      </c>
      <c r="G20" s="1"/>
      <c r="J20" s="85">
        <f t="shared" si="6"/>
        <v>44869</v>
      </c>
      <c r="K20" s="85">
        <f t="shared" si="7"/>
        <v>44961</v>
      </c>
      <c r="L20" s="86">
        <f t="shared" si="8"/>
        <v>92</v>
      </c>
      <c r="M20" s="126">
        <f t="shared" si="9"/>
        <v>5.8999999999999756E-3</v>
      </c>
      <c r="N20" s="87">
        <f t="shared" si="10"/>
        <v>0.25205479452054796</v>
      </c>
      <c r="O20" s="129">
        <f t="shared" si="11"/>
        <v>13384.109589041042</v>
      </c>
      <c r="P20" s="119">
        <f>VLOOKUP(K20,Question1!$C$73:$F$94,3,FALSE)</f>
        <v>0.99332568882094063</v>
      </c>
      <c r="Q20" s="131">
        <f t="shared" si="12"/>
        <v>13294.779876789149</v>
      </c>
      <c r="R20" s="1"/>
      <c r="S20" s="1"/>
      <c r="T20" s="120"/>
      <c r="U20" s="85">
        <f t="shared" si="18"/>
        <v>44869</v>
      </c>
      <c r="V20" s="85">
        <f t="shared" si="13"/>
        <v>44961</v>
      </c>
      <c r="W20" s="86">
        <f t="shared" si="19"/>
        <v>92</v>
      </c>
      <c r="X20" s="126">
        <f t="shared" si="14"/>
        <v>5.0806404055598765E-3</v>
      </c>
      <c r="Y20" s="87">
        <f t="shared" si="15"/>
        <v>0.25205479452054796</v>
      </c>
      <c r="Z20" s="129">
        <f t="shared" si="16"/>
        <v>11525.397961105695</v>
      </c>
      <c r="AA20" s="118">
        <f>VLOOKUP(V20,Question1!$C$73:$F$94,3,FALSE)</f>
        <v>0.99332568882094063</v>
      </c>
      <c r="AB20" s="131">
        <f t="shared" si="1"/>
        <v>11448.473868650779</v>
      </c>
    </row>
    <row r="21" spans="1:28" ht="14" x14ac:dyDescent="0.2">
      <c r="A21" s="85">
        <f t="shared" si="17"/>
        <v>44961</v>
      </c>
      <c r="B21" s="85">
        <f t="shared" si="2"/>
        <v>45050</v>
      </c>
      <c r="C21" s="86">
        <f t="shared" si="3"/>
        <v>89</v>
      </c>
      <c r="D21" s="87">
        <f t="shared" si="4"/>
        <v>0.24383561643835616</v>
      </c>
      <c r="E21" s="118">
        <f>VLOOKUP(B21,Question1!$C$73:$F$94,3,FALSE)</f>
        <v>0.99203649961868579</v>
      </c>
      <c r="F21" s="87">
        <f t="shared" si="5"/>
        <v>0.24189383141387133</v>
      </c>
      <c r="G21" s="1"/>
      <c r="J21" s="85">
        <f t="shared" si="6"/>
        <v>44961</v>
      </c>
      <c r="K21" s="85">
        <f t="shared" si="7"/>
        <v>45050</v>
      </c>
      <c r="L21" s="86">
        <f t="shared" si="8"/>
        <v>89</v>
      </c>
      <c r="M21" s="126">
        <f t="shared" si="9"/>
        <v>5.8999999999999756E-3</v>
      </c>
      <c r="N21" s="87">
        <f t="shared" si="10"/>
        <v>0.24383561643835616</v>
      </c>
      <c r="O21" s="129">
        <f t="shared" si="11"/>
        <v>12947.671232876659</v>
      </c>
      <c r="P21" s="119">
        <f>VLOOKUP(K21,Question1!$C$73:$F$94,3,FALSE)</f>
        <v>0.99203649961868579</v>
      </c>
      <c r="Q21" s="131">
        <f t="shared" si="12"/>
        <v>12844.562448076515</v>
      </c>
      <c r="R21" s="1"/>
      <c r="S21" s="1"/>
      <c r="T21" s="120"/>
      <c r="U21" s="85">
        <f t="shared" si="18"/>
        <v>44961</v>
      </c>
      <c r="V21" s="85">
        <f t="shared" si="13"/>
        <v>45050</v>
      </c>
      <c r="W21" s="86">
        <f t="shared" si="19"/>
        <v>89</v>
      </c>
      <c r="X21" s="126">
        <f t="shared" si="14"/>
        <v>5.3295662593772107E-3</v>
      </c>
      <c r="Y21" s="87">
        <f t="shared" si="15"/>
        <v>0.24383561643835616</v>
      </c>
      <c r="Z21" s="129">
        <f t="shared" si="16"/>
        <v>11695.842667838755</v>
      </c>
      <c r="AA21" s="118">
        <f>VLOOKUP(V21,Question1!$C$73:$F$94,3,FALSE)</f>
        <v>0.99203649961868579</v>
      </c>
      <c r="AB21" s="131">
        <f t="shared" si="1"/>
        <v>11602.702820293631</v>
      </c>
    </row>
    <row r="22" spans="1:28" ht="14" x14ac:dyDescent="0.2">
      <c r="A22" s="85">
        <f t="shared" si="17"/>
        <v>45050</v>
      </c>
      <c r="B22" s="85">
        <f t="shared" si="2"/>
        <v>45142</v>
      </c>
      <c r="C22" s="86">
        <f t="shared" si="3"/>
        <v>92</v>
      </c>
      <c r="D22" s="87">
        <f t="shared" si="4"/>
        <v>0.25205479452054796</v>
      </c>
      <c r="E22" s="118">
        <f>VLOOKUP(B22,Question1!$C$73:$F$94,3,FALSE)</f>
        <v>0.99064350672747958</v>
      </c>
      <c r="F22" s="87">
        <f t="shared" si="5"/>
        <v>0.24969644553130993</v>
      </c>
      <c r="G22" s="1"/>
      <c r="J22" s="85">
        <f t="shared" si="6"/>
        <v>45050</v>
      </c>
      <c r="K22" s="85">
        <f t="shared" si="7"/>
        <v>45142</v>
      </c>
      <c r="L22" s="86">
        <f t="shared" si="8"/>
        <v>92</v>
      </c>
      <c r="M22" s="126">
        <f t="shared" si="9"/>
        <v>5.8999999999999756E-3</v>
      </c>
      <c r="N22" s="87">
        <f t="shared" si="10"/>
        <v>0.25205479452054796</v>
      </c>
      <c r="O22" s="129">
        <f t="shared" si="11"/>
        <v>13384.109589041042</v>
      </c>
      <c r="P22" s="119">
        <f>VLOOKUP(K22,Question1!$C$73:$F$94,3,FALSE)</f>
        <v>0.99064350672747958</v>
      </c>
      <c r="Q22" s="131">
        <f t="shared" si="12"/>
        <v>13258.881257712503</v>
      </c>
      <c r="R22" s="1"/>
      <c r="S22" s="1"/>
      <c r="T22" s="120"/>
      <c r="U22" s="85">
        <f t="shared" si="18"/>
        <v>45050</v>
      </c>
      <c r="V22" s="85">
        <f t="shared" si="13"/>
        <v>45142</v>
      </c>
      <c r="W22" s="86">
        <f t="shared" si="19"/>
        <v>92</v>
      </c>
      <c r="X22" s="126">
        <f t="shared" si="14"/>
        <v>5.5787453771805155E-3</v>
      </c>
      <c r="Y22" s="87">
        <f t="shared" si="15"/>
        <v>0.25205479452054796</v>
      </c>
      <c r="Z22" s="129">
        <f t="shared" si="16"/>
        <v>12655.345677549225</v>
      </c>
      <c r="AA22" s="118">
        <f>VLOOKUP(V22,Question1!$C$73:$F$94,3,FALSE)</f>
        <v>0.99064350672747958</v>
      </c>
      <c r="AB22" s="131">
        <f t="shared" si="1"/>
        <v>12536.936020855816</v>
      </c>
    </row>
    <row r="23" spans="1:28" ht="14" x14ac:dyDescent="0.2">
      <c r="A23" s="85">
        <f t="shared" si="17"/>
        <v>45142</v>
      </c>
      <c r="B23" s="85">
        <f t="shared" si="2"/>
        <v>45234</v>
      </c>
      <c r="C23" s="86">
        <f t="shared" si="3"/>
        <v>92</v>
      </c>
      <c r="D23" s="87">
        <f t="shared" si="4"/>
        <v>0.25205479452054796</v>
      </c>
      <c r="E23" s="118">
        <f>VLOOKUP(B23,Question1!$C$73:$F$94,3,FALSE)</f>
        <v>0.98879645722464637</v>
      </c>
      <c r="F23" s="87">
        <f t="shared" si="5"/>
        <v>0.24923088784840403</v>
      </c>
      <c r="G23" s="1"/>
      <c r="J23" s="85">
        <f t="shared" si="6"/>
        <v>45142</v>
      </c>
      <c r="K23" s="85">
        <f t="shared" si="7"/>
        <v>45234</v>
      </c>
      <c r="L23" s="86">
        <f t="shared" si="8"/>
        <v>92</v>
      </c>
      <c r="M23" s="126">
        <f t="shared" si="9"/>
        <v>5.8999999999999756E-3</v>
      </c>
      <c r="N23" s="87">
        <f t="shared" si="10"/>
        <v>0.25205479452054796</v>
      </c>
      <c r="O23" s="129">
        <f t="shared" si="11"/>
        <v>13384.109589041042</v>
      </c>
      <c r="P23" s="119">
        <f>VLOOKUP(K23,Question1!$C$73:$F$94,3,FALSE)</f>
        <v>0.98879645722464637</v>
      </c>
      <c r="Q23" s="131">
        <f t="shared" si="12"/>
        <v>13234.1601447502</v>
      </c>
      <c r="R23" s="1"/>
      <c r="S23" s="1"/>
      <c r="T23" s="120"/>
      <c r="U23" s="85">
        <f t="shared" si="18"/>
        <v>45142</v>
      </c>
      <c r="V23" s="85">
        <f t="shared" si="13"/>
        <v>45234</v>
      </c>
      <c r="W23" s="86">
        <f t="shared" si="19"/>
        <v>92</v>
      </c>
      <c r="X23" s="126">
        <f t="shared" si="14"/>
        <v>7.4109975644619398E-3</v>
      </c>
      <c r="Y23" s="87">
        <f t="shared" si="15"/>
        <v>0.25205479452054796</v>
      </c>
      <c r="Z23" s="129">
        <f t="shared" si="16"/>
        <v>16811.797214724618</v>
      </c>
      <c r="AA23" s="118">
        <f>VLOOKUP(V23,Question1!$C$73:$F$94,3,FALSE)</f>
        <v>0.98879645722464637</v>
      </c>
      <c r="AB23" s="131">
        <f t="shared" si="1"/>
        <v>16623.445525498879</v>
      </c>
    </row>
    <row r="24" spans="1:28" ht="14" x14ac:dyDescent="0.2">
      <c r="A24" s="85">
        <f t="shared" si="17"/>
        <v>45234</v>
      </c>
      <c r="B24" s="85">
        <f t="shared" si="2"/>
        <v>45326</v>
      </c>
      <c r="C24" s="86">
        <f t="shared" si="3"/>
        <v>92</v>
      </c>
      <c r="D24" s="87">
        <f t="shared" si="4"/>
        <v>0.25205479452054796</v>
      </c>
      <c r="E24" s="118">
        <f>VLOOKUP(B24,Question1!$C$73:$F$94,3,FALSE)</f>
        <v>0.98680171843953768</v>
      </c>
      <c r="F24" s="87">
        <f t="shared" si="5"/>
        <v>0.2487281043738013</v>
      </c>
      <c r="G24" s="1"/>
      <c r="J24" s="85">
        <f t="shared" si="6"/>
        <v>45234</v>
      </c>
      <c r="K24" s="85">
        <f t="shared" si="7"/>
        <v>45326</v>
      </c>
      <c r="L24" s="86">
        <f t="shared" si="8"/>
        <v>92</v>
      </c>
      <c r="M24" s="126">
        <f t="shared" si="9"/>
        <v>5.8999999999999756E-3</v>
      </c>
      <c r="N24" s="87">
        <f t="shared" si="10"/>
        <v>0.25205479452054796</v>
      </c>
      <c r="O24" s="129">
        <f t="shared" si="11"/>
        <v>13384.109589041042</v>
      </c>
      <c r="P24" s="119">
        <f>VLOOKUP(K24,Question1!$C$73:$F$94,3,FALSE)</f>
        <v>0.98680171843953768</v>
      </c>
      <c r="Q24" s="131">
        <f t="shared" si="12"/>
        <v>13207.462342248795</v>
      </c>
      <c r="R24" s="1"/>
      <c r="S24" s="1"/>
      <c r="T24" s="120"/>
      <c r="U24" s="85">
        <f t="shared" si="18"/>
        <v>45234</v>
      </c>
      <c r="V24" s="85">
        <f t="shared" si="13"/>
        <v>45326</v>
      </c>
      <c r="W24" s="86">
        <f t="shared" si="19"/>
        <v>92</v>
      </c>
      <c r="X24" s="126">
        <f t="shared" si="14"/>
        <v>8.0197563123421741E-3</v>
      </c>
      <c r="Y24" s="87">
        <f t="shared" si="15"/>
        <v>0.25205479452054796</v>
      </c>
      <c r="Z24" s="129">
        <f t="shared" si="16"/>
        <v>18192.762264710469</v>
      </c>
      <c r="AA24" s="118">
        <f>VLOOKUP(V24,Question1!$C$73:$F$94,3,FALSE)</f>
        <v>0.98680171843953768</v>
      </c>
      <c r="AB24" s="131">
        <f t="shared" si="1"/>
        <v>17952.649065978265</v>
      </c>
    </row>
    <row r="25" spans="1:28" ht="14" x14ac:dyDescent="0.2">
      <c r="A25" s="85">
        <f t="shared" si="17"/>
        <v>45326</v>
      </c>
      <c r="B25" s="85">
        <f t="shared" si="2"/>
        <v>45416</v>
      </c>
      <c r="C25" s="86">
        <f t="shared" si="3"/>
        <v>90</v>
      </c>
      <c r="D25" s="87">
        <f t="shared" si="4"/>
        <v>0.24657534246575341</v>
      </c>
      <c r="E25" s="118">
        <f>VLOOKUP(B25,Question1!$C$73:$F$94,3,FALSE)</f>
        <v>0.98470803888404534</v>
      </c>
      <c r="F25" s="87">
        <f t="shared" si="5"/>
        <v>0.2428047219166139</v>
      </c>
      <c r="G25" s="1"/>
      <c r="J25" s="85">
        <f t="shared" si="6"/>
        <v>45326</v>
      </c>
      <c r="K25" s="85">
        <f t="shared" si="7"/>
        <v>45416</v>
      </c>
      <c r="L25" s="86">
        <f t="shared" si="8"/>
        <v>90</v>
      </c>
      <c r="M25" s="126">
        <f t="shared" si="9"/>
        <v>5.8999999999999756E-3</v>
      </c>
      <c r="N25" s="87">
        <f t="shared" si="10"/>
        <v>0.24657534246575341</v>
      </c>
      <c r="O25" s="129">
        <f t="shared" si="11"/>
        <v>13093.150684931452</v>
      </c>
      <c r="P25" s="119">
        <f>VLOOKUP(K25,Question1!$C$73:$F$94,3,FALSE)</f>
        <v>0.98470803888404534</v>
      </c>
      <c r="Q25" s="131">
        <f t="shared" si="12"/>
        <v>12892.930733772146</v>
      </c>
      <c r="R25" s="1"/>
      <c r="S25" s="1"/>
      <c r="T25" s="120"/>
      <c r="U25" s="85">
        <f t="shared" si="18"/>
        <v>45326</v>
      </c>
      <c r="V25" s="85">
        <f t="shared" si="13"/>
        <v>45416</v>
      </c>
      <c r="W25" s="86">
        <f t="shared" si="19"/>
        <v>90</v>
      </c>
      <c r="X25" s="126">
        <f t="shared" si="14"/>
        <v>8.6228947236510634E-3</v>
      </c>
      <c r="Y25" s="87">
        <f t="shared" si="15"/>
        <v>0.24657534246575341</v>
      </c>
      <c r="Z25" s="129">
        <f t="shared" si="16"/>
        <v>19135.738975773595</v>
      </c>
      <c r="AA25" s="118">
        <f>VLOOKUP(V25,Question1!$C$73:$F$94,3,FALSE)</f>
        <v>0.98470803888404534</v>
      </c>
      <c r="AB25" s="131">
        <f t="shared" si="1"/>
        <v>18843.115999431007</v>
      </c>
    </row>
    <row r="26" spans="1:28" ht="14" x14ac:dyDescent="0.2">
      <c r="A26" s="85">
        <f t="shared" si="17"/>
        <v>45416</v>
      </c>
      <c r="B26" s="85">
        <f t="shared" si="2"/>
        <v>45508</v>
      </c>
      <c r="C26" s="86">
        <f t="shared" si="3"/>
        <v>92</v>
      </c>
      <c r="D26" s="87">
        <f t="shared" si="4"/>
        <v>0.25205479452054796</v>
      </c>
      <c r="E26" s="118">
        <f>VLOOKUP(B26,Question1!$C$73:$F$94,3,FALSE)</f>
        <v>0.98242312460774295</v>
      </c>
      <c r="F26" s="87">
        <f t="shared" si="5"/>
        <v>0.24762445880523934</v>
      </c>
      <c r="G26" s="1"/>
      <c r="J26" s="85">
        <f t="shared" si="6"/>
        <v>45416</v>
      </c>
      <c r="K26" s="85">
        <f t="shared" si="7"/>
        <v>45508</v>
      </c>
      <c r="L26" s="86">
        <f t="shared" si="8"/>
        <v>92</v>
      </c>
      <c r="M26" s="126">
        <f t="shared" si="9"/>
        <v>5.8999999999999756E-3</v>
      </c>
      <c r="N26" s="87">
        <f t="shared" si="10"/>
        <v>0.25205479452054796</v>
      </c>
      <c r="O26" s="129">
        <f t="shared" si="11"/>
        <v>13384.109589041042</v>
      </c>
      <c r="P26" s="119">
        <f>VLOOKUP(K26,Question1!$C$73:$F$94,3,FALSE)</f>
        <v>0.98242312460774295</v>
      </c>
      <c r="Q26" s="131">
        <f t="shared" si="12"/>
        <v>13148.858762558155</v>
      </c>
      <c r="R26" s="1"/>
      <c r="S26" s="1"/>
      <c r="T26" s="120"/>
      <c r="U26" s="85">
        <f t="shared" si="18"/>
        <v>45416</v>
      </c>
      <c r="V26" s="85">
        <f t="shared" si="13"/>
        <v>45508</v>
      </c>
      <c r="W26" s="86">
        <f t="shared" si="19"/>
        <v>92</v>
      </c>
      <c r="X26" s="126">
        <f t="shared" si="14"/>
        <v>9.2273367797626113E-3</v>
      </c>
      <c r="Y26" s="87">
        <f t="shared" si="15"/>
        <v>0.25205479452054796</v>
      </c>
      <c r="Z26" s="129">
        <f t="shared" si="16"/>
        <v>20932.150283954637</v>
      </c>
      <c r="AA26" s="118">
        <f>VLOOKUP(V26,Question1!$C$73:$F$94,3,FALSE)</f>
        <v>0.98242312460774295</v>
      </c>
      <c r="AB26" s="131">
        <f t="shared" si="1"/>
        <v>20564.228486721568</v>
      </c>
    </row>
    <row r="27" spans="1:28" ht="14" x14ac:dyDescent="0.2">
      <c r="A27" s="85"/>
      <c r="B27" s="85"/>
      <c r="C27" s="86"/>
      <c r="D27" s="87"/>
      <c r="E27" s="89"/>
      <c r="F27" s="87"/>
      <c r="G27" s="1"/>
      <c r="J27" s="93">
        <f>K26</f>
        <v>45508</v>
      </c>
      <c r="K27" s="93">
        <f>J27</f>
        <v>45508</v>
      </c>
      <c r="L27" s="99">
        <v>0</v>
      </c>
      <c r="M27" s="1"/>
      <c r="N27" s="95" t="s">
        <v>91</v>
      </c>
      <c r="O27" s="130">
        <f>K6</f>
        <v>9000000</v>
      </c>
      <c r="P27" s="119">
        <f>VLOOKUP(K27,Question1!$C$73:$F$94,3,FALSE)</f>
        <v>0.98242312460774295</v>
      </c>
      <c r="Q27" s="131">
        <f>O27*P27</f>
        <v>8841808.1214696858</v>
      </c>
      <c r="R27" s="1"/>
      <c r="S27" s="1"/>
      <c r="T27" s="120"/>
      <c r="U27" s="85">
        <f>V26</f>
        <v>45508</v>
      </c>
      <c r="V27" s="85">
        <f>U27</f>
        <v>45508</v>
      </c>
      <c r="W27" s="99">
        <f>V27-U27</f>
        <v>0</v>
      </c>
      <c r="X27" s="1"/>
      <c r="Y27" s="95" t="s">
        <v>119</v>
      </c>
      <c r="Z27" s="130">
        <f>V6</f>
        <v>9000000</v>
      </c>
      <c r="AA27" s="118">
        <f>VLOOKUP(V27,Question1!$C$73:$F$94,3,FALSE)</f>
        <v>0.98242312460774295</v>
      </c>
      <c r="AB27" s="131">
        <f>AA27*Z27</f>
        <v>8841808.1214696858</v>
      </c>
    </row>
    <row r="28" spans="1:28" ht="15" thickBot="1" x14ac:dyDescent="0.25">
      <c r="A28" s="85"/>
      <c r="B28" s="85"/>
      <c r="C28" s="86"/>
      <c r="D28" s="87"/>
      <c r="E28" s="2" t="s">
        <v>83</v>
      </c>
      <c r="F28" s="88">
        <f>SUM(F15:F26)</f>
        <v>2.979131422416462</v>
      </c>
      <c r="G28" s="1"/>
      <c r="R28" s="1"/>
      <c r="S28" s="1"/>
      <c r="T28" s="120"/>
      <c r="U28" s="85"/>
      <c r="V28" s="85"/>
      <c r="W28" s="86"/>
      <c r="X28" s="97"/>
      <c r="Y28" s="87"/>
      <c r="Z28" s="98"/>
      <c r="AA28" s="89"/>
      <c r="AB28" s="96"/>
    </row>
    <row r="29" spans="1:28" ht="16" thickTop="1" thickBot="1" x14ac:dyDescent="0.25">
      <c r="A29" s="85"/>
      <c r="B29" s="85"/>
      <c r="C29" s="86"/>
      <c r="D29" s="87"/>
      <c r="E29" s="1"/>
      <c r="F29" s="1"/>
      <c r="G29" s="1"/>
      <c r="J29" s="111"/>
      <c r="K29" s="111"/>
      <c r="L29" s="112"/>
      <c r="M29" s="113"/>
      <c r="N29" s="114"/>
      <c r="O29" s="115"/>
      <c r="P29" s="2" t="s">
        <v>92</v>
      </c>
      <c r="Q29" s="110">
        <f>SUM(Q14:Q27)</f>
        <v>0</v>
      </c>
      <c r="R29" s="1"/>
      <c r="S29" s="1"/>
      <c r="T29" s="120"/>
      <c r="U29" s="85"/>
      <c r="V29" s="85"/>
      <c r="W29" s="86"/>
      <c r="X29" s="97"/>
      <c r="Y29" s="1"/>
      <c r="Z29" s="1"/>
      <c r="AA29" s="2" t="s">
        <v>92</v>
      </c>
      <c r="AB29" s="124">
        <f>SUM(AB14:AB27)</f>
        <v>0</v>
      </c>
    </row>
    <row r="30" spans="1:28" ht="16" thickTop="1" thickBot="1" x14ac:dyDescent="0.25">
      <c r="A30" s="85"/>
      <c r="B30" s="85"/>
      <c r="C30" s="86"/>
      <c r="D30" s="1"/>
      <c r="E30" s="4" t="s">
        <v>84</v>
      </c>
      <c r="F30" s="117">
        <f>(1-E26)/F28</f>
        <v>5.8999999999999756E-3</v>
      </c>
      <c r="G30" s="73" t="s">
        <v>85</v>
      </c>
      <c r="J30" s="111"/>
      <c r="K30" s="111"/>
      <c r="L30" s="112"/>
      <c r="M30" s="113"/>
      <c r="N30" s="114"/>
      <c r="O30" s="115"/>
      <c r="P30" s="89"/>
      <c r="Q30" s="116"/>
      <c r="R30" s="1"/>
      <c r="S30" s="1"/>
      <c r="T30" s="120"/>
      <c r="Y30" s="1"/>
      <c r="Z30" s="1"/>
      <c r="AA30" s="1"/>
      <c r="AB30" s="1"/>
    </row>
    <row r="31" spans="1:28" ht="14" x14ac:dyDescent="0.2">
      <c r="A31" s="85"/>
      <c r="B31" s="85"/>
      <c r="C31" s="1"/>
      <c r="D31" s="1"/>
      <c r="R31" s="1"/>
      <c r="S31" s="1"/>
      <c r="T31" s="120"/>
      <c r="U31" s="1"/>
      <c r="V31" s="1"/>
      <c r="W31" s="1"/>
      <c r="X31" s="1"/>
      <c r="Y31" s="73" t="s">
        <v>120</v>
      </c>
      <c r="Z31" s="1"/>
      <c r="AA31" s="1"/>
      <c r="AB31" s="1"/>
    </row>
    <row r="32" spans="1:28" ht="14" x14ac:dyDescent="0.2">
      <c r="A32" s="1"/>
      <c r="B32" s="1"/>
      <c r="C32" s="1"/>
      <c r="D32" s="1"/>
      <c r="J32" s="1"/>
      <c r="K32" s="1"/>
      <c r="L32" s="1"/>
      <c r="M32" s="1"/>
      <c r="N32" s="1"/>
      <c r="O32" s="1"/>
      <c r="R32" s="1"/>
      <c r="S32" s="1"/>
      <c r="T32" s="120"/>
      <c r="U32" s="1"/>
      <c r="V32" s="1"/>
      <c r="W32" s="1"/>
      <c r="X32" s="1"/>
    </row>
    <row r="33" spans="1:24" ht="14" x14ac:dyDescent="0.2">
      <c r="A33" s="1"/>
      <c r="B33" s="1"/>
      <c r="C33" s="1"/>
      <c r="J33" s="1"/>
      <c r="K33" s="1"/>
      <c r="L33" s="1"/>
      <c r="M33" s="1"/>
      <c r="N33" s="1"/>
      <c r="O33" s="1"/>
      <c r="R33" s="1"/>
      <c r="S33" s="1"/>
      <c r="T33" s="120"/>
      <c r="U33" s="1"/>
      <c r="V33" s="1"/>
      <c r="W33" s="1"/>
      <c r="X33" s="1"/>
    </row>
    <row r="34" spans="1:24" ht="14" x14ac:dyDescent="0.2">
      <c r="A34" s="1"/>
      <c r="B34" s="1"/>
      <c r="C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20"/>
      <c r="U34" s="1"/>
      <c r="V34" s="1"/>
      <c r="W34" s="1"/>
      <c r="X34" s="1"/>
    </row>
    <row r="35" spans="1:24" ht="14" x14ac:dyDescent="0.2">
      <c r="A35" s="1"/>
      <c r="B35" s="1"/>
      <c r="C35" s="1"/>
      <c r="J35" s="1"/>
      <c r="K35" s="1"/>
      <c r="L35" s="1"/>
      <c r="M35" s="1"/>
      <c r="N35" s="73"/>
      <c r="O35" s="1"/>
      <c r="P35" s="1"/>
      <c r="Q35" s="1"/>
      <c r="R35" s="1"/>
      <c r="S35" s="1"/>
      <c r="T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Question1</vt:lpstr>
      <vt:lpstr>Qestion2</vt:lpstr>
      <vt:lpstr>Question1!Print_Area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karen karen</cp:lastModifiedBy>
  <cp:lastPrinted>2014-11-26T16:36:20Z</cp:lastPrinted>
  <dcterms:created xsi:type="dcterms:W3CDTF">2005-06-22T01:44:35Z</dcterms:created>
  <dcterms:modified xsi:type="dcterms:W3CDTF">2021-10-22T10:14:50Z</dcterms:modified>
</cp:coreProperties>
</file>