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6210" firstSheet="1" activeTab="3"/>
  </bookViews>
  <sheets>
    <sheet name="Descriptions (2)" sheetId="4" r:id="rId1"/>
    <sheet name="Characteristics" sheetId="2" r:id="rId2"/>
    <sheet name="Master" sheetId="1" r:id="rId3"/>
    <sheet name="Sheet1" sheetId="5" r:id="rId4"/>
  </sheets>
  <calcPr calcId="125725"/>
</workbook>
</file>

<file path=xl/calcChain.xml><?xml version="1.0" encoding="utf-8"?>
<calcChain xmlns="http://schemas.openxmlformats.org/spreadsheetml/2006/main">
  <c r="S118" i="1"/>
  <c r="R118"/>
  <c r="Q118"/>
  <c r="P118"/>
  <c r="O118"/>
  <c r="N118"/>
  <c r="M118"/>
  <c r="L118"/>
  <c r="K118"/>
  <c r="J118"/>
  <c r="I118"/>
  <c r="H118"/>
  <c r="G118"/>
  <c r="F118"/>
  <c r="E118"/>
  <c r="D118"/>
  <c r="C118"/>
  <c r="T118"/>
  <c r="Q194"/>
  <c r="R194" s="1"/>
  <c r="S194" s="1"/>
  <c r="T194" s="1"/>
  <c r="W194" s="1"/>
  <c r="X194" s="1"/>
  <c r="X193"/>
  <c r="W193"/>
  <c r="T193"/>
  <c r="S193"/>
  <c r="R193"/>
  <c r="Q193"/>
  <c r="P193"/>
  <c r="O193"/>
  <c r="N193"/>
  <c r="M193"/>
  <c r="L193"/>
  <c r="K193"/>
  <c r="J193"/>
  <c r="I193"/>
  <c r="H193"/>
  <c r="G193"/>
  <c r="F193"/>
  <c r="E193"/>
  <c r="D193"/>
  <c r="C193"/>
  <c r="X191"/>
  <c r="W191"/>
  <c r="T191"/>
  <c r="S191"/>
  <c r="R191"/>
  <c r="Q191"/>
  <c r="P191"/>
  <c r="O191"/>
  <c r="N191"/>
  <c r="M191"/>
  <c r="L191"/>
  <c r="K191"/>
  <c r="J191"/>
  <c r="I191"/>
  <c r="H191"/>
  <c r="G191"/>
  <c r="F191"/>
  <c r="E191"/>
  <c r="D191"/>
  <c r="C191"/>
  <c r="D25"/>
  <c r="E25"/>
  <c r="F25"/>
  <c r="G25"/>
  <c r="H25"/>
  <c r="Q25"/>
  <c r="R25"/>
  <c r="S25"/>
  <c r="T25"/>
  <c r="W25"/>
  <c r="X25"/>
  <c r="I11"/>
  <c r="I17"/>
  <c r="I18"/>
  <c r="C25"/>
  <c r="T84"/>
  <c r="W84"/>
  <c r="D84"/>
  <c r="E84"/>
  <c r="F84"/>
  <c r="G84"/>
  <c r="H84"/>
  <c r="Q84"/>
  <c r="R84"/>
  <c r="S84"/>
  <c r="X84"/>
  <c r="C84"/>
  <c r="H8"/>
  <c r="E13"/>
  <c r="T16" l="1"/>
  <c r="S16"/>
  <c r="R16"/>
  <c r="Q16"/>
  <c r="P16"/>
  <c r="N16"/>
  <c r="L16"/>
  <c r="J16"/>
  <c r="I16"/>
  <c r="H16"/>
  <c r="G16"/>
  <c r="F16"/>
  <c r="E16"/>
  <c r="D16"/>
  <c r="C16"/>
  <c r="X16"/>
  <c r="B29" i="5" l="1"/>
  <c r="AM18"/>
  <c r="AM19"/>
  <c r="AM20"/>
  <c r="AK16"/>
  <c r="AK18"/>
  <c r="A19"/>
  <c r="C6" i="1"/>
  <c r="G19" i="5"/>
  <c r="C19"/>
  <c r="E19"/>
  <c r="I19"/>
  <c r="K19"/>
  <c r="M19"/>
  <c r="O19"/>
  <c r="Q19"/>
  <c r="S19"/>
  <c r="U19"/>
  <c r="W19"/>
  <c r="Y19"/>
  <c r="AA19"/>
  <c r="AC19"/>
  <c r="AE19"/>
  <c r="AG19"/>
  <c r="AI19"/>
  <c r="AK19"/>
  <c r="AO19"/>
  <c r="X77" i="1"/>
  <c r="W77"/>
  <c r="T77"/>
  <c r="F79"/>
  <c r="G79"/>
  <c r="I79"/>
  <c r="J79"/>
  <c r="K79"/>
  <c r="L79"/>
  <c r="U79" i="5" s="1"/>
  <c r="M79" i="1"/>
  <c r="N79"/>
  <c r="O79"/>
  <c r="P79"/>
  <c r="AC79" i="5" s="1"/>
  <c r="Q79" i="1"/>
  <c r="AE79" i="5" s="1"/>
  <c r="R79" i="1"/>
  <c r="AG79" i="5" s="1"/>
  <c r="S79" i="1"/>
  <c r="T79"/>
  <c r="AK79" i="5" s="1"/>
  <c r="W79" i="1"/>
  <c r="AM79" i="5" s="1"/>
  <c r="X79" i="1"/>
  <c r="E79"/>
  <c r="D78"/>
  <c r="C78"/>
  <c r="E78"/>
  <c r="F78"/>
  <c r="F112" s="1"/>
  <c r="G78"/>
  <c r="I78"/>
  <c r="J78"/>
  <c r="K78"/>
  <c r="S78" i="5" s="1"/>
  <c r="S78" i="1"/>
  <c r="AI78" i="5" s="1"/>
  <c r="R78" i="1"/>
  <c r="Q78"/>
  <c r="P78"/>
  <c r="O78"/>
  <c r="N78"/>
  <c r="M78"/>
  <c r="L78"/>
  <c r="T78"/>
  <c r="W78"/>
  <c r="AM78" i="5" s="1"/>
  <c r="X78" i="1"/>
  <c r="S77"/>
  <c r="R77"/>
  <c r="Q77"/>
  <c r="P77"/>
  <c r="O77"/>
  <c r="N77"/>
  <c r="N112" s="1"/>
  <c r="M77"/>
  <c r="M112" s="1"/>
  <c r="L77"/>
  <c r="J77"/>
  <c r="I77"/>
  <c r="G77"/>
  <c r="F77"/>
  <c r="E77"/>
  <c r="F110"/>
  <c r="G110"/>
  <c r="I110"/>
  <c r="J110"/>
  <c r="K110"/>
  <c r="L110"/>
  <c r="M110"/>
  <c r="N110"/>
  <c r="O110"/>
  <c r="P110"/>
  <c r="Q110"/>
  <c r="R110"/>
  <c r="S110"/>
  <c r="T110"/>
  <c r="W110"/>
  <c r="X110"/>
  <c r="L112"/>
  <c r="O112"/>
  <c r="E110"/>
  <c r="W65" i="5"/>
  <c r="W61"/>
  <c r="AR90"/>
  <c r="E15"/>
  <c r="D12" i="1"/>
  <c r="E12" i="5" s="1"/>
  <c r="C12" i="1"/>
  <c r="C12" i="5" s="1"/>
  <c r="AM12"/>
  <c r="AO12"/>
  <c r="K12"/>
  <c r="M12"/>
  <c r="O12"/>
  <c r="Q12"/>
  <c r="S12"/>
  <c r="U12"/>
  <c r="W12"/>
  <c r="Y12"/>
  <c r="AA12"/>
  <c r="AC12"/>
  <c r="AE12"/>
  <c r="AG12"/>
  <c r="AI12"/>
  <c r="AK12"/>
  <c r="I12"/>
  <c r="G12"/>
  <c r="A12"/>
  <c r="B12"/>
  <c r="C68" i="1"/>
  <c r="C68" i="5" s="1"/>
  <c r="C48"/>
  <c r="C60"/>
  <c r="E81"/>
  <c r="C81"/>
  <c r="X8" i="1"/>
  <c r="X76" s="1"/>
  <c r="A114" i="5"/>
  <c r="B114"/>
  <c r="A115"/>
  <c r="B115"/>
  <c r="C115"/>
  <c r="E115"/>
  <c r="G115"/>
  <c r="I115"/>
  <c r="K115"/>
  <c r="M115"/>
  <c r="O115"/>
  <c r="Q115"/>
  <c r="S115"/>
  <c r="U115"/>
  <c r="W115"/>
  <c r="Y115"/>
  <c r="AA115"/>
  <c r="AC115"/>
  <c r="AE115"/>
  <c r="AG115"/>
  <c r="AI115"/>
  <c r="AK115"/>
  <c r="AM115"/>
  <c r="AO115"/>
  <c r="A116"/>
  <c r="B116"/>
  <c r="B117"/>
  <c r="C117"/>
  <c r="E117"/>
  <c r="G117"/>
  <c r="I117"/>
  <c r="K117"/>
  <c r="M117"/>
  <c r="O117"/>
  <c r="Q117"/>
  <c r="S117"/>
  <c r="U117"/>
  <c r="W117"/>
  <c r="Y117"/>
  <c r="AA117"/>
  <c r="AC117"/>
  <c r="AE117"/>
  <c r="AG117"/>
  <c r="AI117"/>
  <c r="AK117"/>
  <c r="AM117"/>
  <c r="AO117"/>
  <c r="A118"/>
  <c r="B118"/>
  <c r="A119"/>
  <c r="B119"/>
  <c r="C119"/>
  <c r="E119"/>
  <c r="G119"/>
  <c r="I119"/>
  <c r="K119"/>
  <c r="M119"/>
  <c r="O119"/>
  <c r="Q119"/>
  <c r="S119"/>
  <c r="U119"/>
  <c r="W119"/>
  <c r="Y119"/>
  <c r="AA119"/>
  <c r="AC119"/>
  <c r="G114"/>
  <c r="H102" s="1"/>
  <c r="I114"/>
  <c r="J81" s="1"/>
  <c r="K114"/>
  <c r="L102" s="1"/>
  <c r="M114"/>
  <c r="N81" s="1"/>
  <c r="O114"/>
  <c r="P102" s="1"/>
  <c r="Q114"/>
  <c r="R81" s="1"/>
  <c r="S114"/>
  <c r="T81" s="1"/>
  <c r="U114"/>
  <c r="V81" s="1"/>
  <c r="W114"/>
  <c r="X81" s="1"/>
  <c r="Y114"/>
  <c r="Z81" s="1"/>
  <c r="AA114"/>
  <c r="AB81" s="1"/>
  <c r="AC114"/>
  <c r="AD81" s="1"/>
  <c r="AE114"/>
  <c r="AF81" s="1"/>
  <c r="AG114"/>
  <c r="AH81" s="1"/>
  <c r="AI114"/>
  <c r="AJ81" s="1"/>
  <c r="AK114"/>
  <c r="AL81" s="1"/>
  <c r="AM114"/>
  <c r="AN81" s="1"/>
  <c r="AO114"/>
  <c r="AP81" s="1"/>
  <c r="F47" i="1"/>
  <c r="H47"/>
  <c r="Q47"/>
  <c r="R47"/>
  <c r="S47"/>
  <c r="T47"/>
  <c r="W47"/>
  <c r="X47"/>
  <c r="E47"/>
  <c r="I78" i="5"/>
  <c r="U78"/>
  <c r="W78"/>
  <c r="Y78"/>
  <c r="AA78"/>
  <c r="AC78"/>
  <c r="AK78"/>
  <c r="AO78"/>
  <c r="I79"/>
  <c r="S79"/>
  <c r="W79"/>
  <c r="Y79"/>
  <c r="AA79"/>
  <c r="AI79"/>
  <c r="AO79"/>
  <c r="C87"/>
  <c r="C89"/>
  <c r="C91"/>
  <c r="C92"/>
  <c r="C93"/>
  <c r="C96"/>
  <c r="C97"/>
  <c r="C98"/>
  <c r="C101"/>
  <c r="C104"/>
  <c r="C105"/>
  <c r="C106"/>
  <c r="C107"/>
  <c r="C108"/>
  <c r="C109"/>
  <c r="C110"/>
  <c r="C111"/>
  <c r="C112"/>
  <c r="C113"/>
  <c r="AR84"/>
  <c r="B83"/>
  <c r="AR85"/>
  <c r="E98"/>
  <c r="AO2"/>
  <c r="AO3"/>
  <c r="AO4"/>
  <c r="AO5"/>
  <c r="AO6"/>
  <c r="AO7"/>
  <c r="AO9"/>
  <c r="AO10"/>
  <c r="AO14"/>
  <c r="AO22"/>
  <c r="AO26"/>
  <c r="AO27"/>
  <c r="AO29"/>
  <c r="AO31"/>
  <c r="AO33"/>
  <c r="AO34"/>
  <c r="AO35"/>
  <c r="AO36"/>
  <c r="AO37"/>
  <c r="AO38"/>
  <c r="AO40"/>
  <c r="AO41"/>
  <c r="AO44"/>
  <c r="AO45"/>
  <c r="AO46"/>
  <c r="AO48"/>
  <c r="AO49"/>
  <c r="AO50"/>
  <c r="AO51"/>
  <c r="AO52"/>
  <c r="AO54"/>
  <c r="AO55"/>
  <c r="AO56"/>
  <c r="AO58"/>
  <c r="AO59"/>
  <c r="AO60"/>
  <c r="AO61"/>
  <c r="AO62"/>
  <c r="AO63"/>
  <c r="AO65"/>
  <c r="AO67"/>
  <c r="AO69"/>
  <c r="AO70"/>
  <c r="AO71"/>
  <c r="AO72"/>
  <c r="AO73"/>
  <c r="AO75"/>
  <c r="AO80"/>
  <c r="AO82"/>
  <c r="AO83"/>
  <c r="AO87"/>
  <c r="AO88"/>
  <c r="AO89"/>
  <c r="AO91"/>
  <c r="AO92"/>
  <c r="AO96"/>
  <c r="AO97"/>
  <c r="AO98"/>
  <c r="AO101"/>
  <c r="AO104"/>
  <c r="AO105"/>
  <c r="AO109"/>
  <c r="AO113"/>
  <c r="AM2"/>
  <c r="AM3"/>
  <c r="AM4"/>
  <c r="AM5"/>
  <c r="AM6"/>
  <c r="AM7"/>
  <c r="AM9"/>
  <c r="AM10"/>
  <c r="AM14"/>
  <c r="AM22"/>
  <c r="AM26"/>
  <c r="AM27"/>
  <c r="AM29"/>
  <c r="AM31"/>
  <c r="AM33"/>
  <c r="AM34"/>
  <c r="AM35"/>
  <c r="AM36"/>
  <c r="AM37"/>
  <c r="AM38"/>
  <c r="AM40"/>
  <c r="AM41"/>
  <c r="AM44"/>
  <c r="AM45"/>
  <c r="AM46"/>
  <c r="AM48"/>
  <c r="AM49"/>
  <c r="AM50"/>
  <c r="AM51"/>
  <c r="AM52"/>
  <c r="AM54"/>
  <c r="AM55"/>
  <c r="AM56"/>
  <c r="AM58"/>
  <c r="AM59"/>
  <c r="AM60"/>
  <c r="AM61"/>
  <c r="AM62"/>
  <c r="AM63"/>
  <c r="AM65"/>
  <c r="AM67"/>
  <c r="AM69"/>
  <c r="AM70"/>
  <c r="AM71"/>
  <c r="AM72"/>
  <c r="AM73"/>
  <c r="AM75"/>
  <c r="AM80"/>
  <c r="AM82"/>
  <c r="AM87"/>
  <c r="AM88"/>
  <c r="AM89"/>
  <c r="AM91"/>
  <c r="AM92"/>
  <c r="AM96"/>
  <c r="AM97"/>
  <c r="AM98"/>
  <c r="AM101"/>
  <c r="AM104"/>
  <c r="AM105"/>
  <c r="AM109"/>
  <c r="AM113"/>
  <c r="AK2"/>
  <c r="AK3"/>
  <c r="AK4"/>
  <c r="AK5"/>
  <c r="AK6"/>
  <c r="AK7"/>
  <c r="AK9"/>
  <c r="AK10"/>
  <c r="AK14"/>
  <c r="AK22"/>
  <c r="AK26"/>
  <c r="AK27"/>
  <c r="AK29"/>
  <c r="AK31"/>
  <c r="AK33"/>
  <c r="AK34"/>
  <c r="AK35"/>
  <c r="AK36"/>
  <c r="AK37"/>
  <c r="AK38"/>
  <c r="AK40"/>
  <c r="AK41"/>
  <c r="AK44"/>
  <c r="AK45"/>
  <c r="AK46"/>
  <c r="AK48"/>
  <c r="AK49"/>
  <c r="AK50"/>
  <c r="AK51"/>
  <c r="AK52"/>
  <c r="AK54"/>
  <c r="AK55"/>
  <c r="AK56"/>
  <c r="AK58"/>
  <c r="AK59"/>
  <c r="AK60"/>
  <c r="AK61"/>
  <c r="AK62"/>
  <c r="AK63"/>
  <c r="AK65"/>
  <c r="AK67"/>
  <c r="AK69"/>
  <c r="AK70"/>
  <c r="AK71"/>
  <c r="AK72"/>
  <c r="AK73"/>
  <c r="AK75"/>
  <c r="AK80"/>
  <c r="AK82"/>
  <c r="AK87"/>
  <c r="AK88"/>
  <c r="AK89"/>
  <c r="AK91"/>
  <c r="AK92"/>
  <c r="AK96"/>
  <c r="AK97"/>
  <c r="AK98"/>
  <c r="AK101"/>
  <c r="AK104"/>
  <c r="AK105"/>
  <c r="AK109"/>
  <c r="AK113"/>
  <c r="AI2"/>
  <c r="AI3"/>
  <c r="AI4"/>
  <c r="AI5"/>
  <c r="AI6"/>
  <c r="AI7"/>
  <c r="AI9"/>
  <c r="AI10"/>
  <c r="AI14"/>
  <c r="AI22"/>
  <c r="AI26"/>
  <c r="AI27"/>
  <c r="AI29"/>
  <c r="AI31"/>
  <c r="AI33"/>
  <c r="AI34"/>
  <c r="AI35"/>
  <c r="AI36"/>
  <c r="AI37"/>
  <c r="AI38"/>
  <c r="AI40"/>
  <c r="AI41"/>
  <c r="AI44"/>
  <c r="AI45"/>
  <c r="AI46"/>
  <c r="AI48"/>
  <c r="AI49"/>
  <c r="AI50"/>
  <c r="AI51"/>
  <c r="AI52"/>
  <c r="AI54"/>
  <c r="AI55"/>
  <c r="AI56"/>
  <c r="AI58"/>
  <c r="AI59"/>
  <c r="AI60"/>
  <c r="AI61"/>
  <c r="AI62"/>
  <c r="AI63"/>
  <c r="AI65"/>
  <c r="AI67"/>
  <c r="AI69"/>
  <c r="AI70"/>
  <c r="AI71"/>
  <c r="AI72"/>
  <c r="AI73"/>
  <c r="AI75"/>
  <c r="AI80"/>
  <c r="AI82"/>
  <c r="AI87"/>
  <c r="AI88"/>
  <c r="AI89"/>
  <c r="AI91"/>
  <c r="AI92"/>
  <c r="AI96"/>
  <c r="AI97"/>
  <c r="AI98"/>
  <c r="AI101"/>
  <c r="AI104"/>
  <c r="AI105"/>
  <c r="AI109"/>
  <c r="AI113"/>
  <c r="AG2"/>
  <c r="AG3"/>
  <c r="AG4"/>
  <c r="AG5"/>
  <c r="AG6"/>
  <c r="AG7"/>
  <c r="AG9"/>
  <c r="AG10"/>
  <c r="AG14"/>
  <c r="AG22"/>
  <c r="AG26"/>
  <c r="AG27"/>
  <c r="AG29"/>
  <c r="AG31"/>
  <c r="AG33"/>
  <c r="AG34"/>
  <c r="AG35"/>
  <c r="AG36"/>
  <c r="AG37"/>
  <c r="AG38"/>
  <c r="AG40"/>
  <c r="AG41"/>
  <c r="AG44"/>
  <c r="AG45"/>
  <c r="AG46"/>
  <c r="AG48"/>
  <c r="AG49"/>
  <c r="AG50"/>
  <c r="AG51"/>
  <c r="AG52"/>
  <c r="AG54"/>
  <c r="AG55"/>
  <c r="AG56"/>
  <c r="AG58"/>
  <c r="AG59"/>
  <c r="AG60"/>
  <c r="AG61"/>
  <c r="AG62"/>
  <c r="AG63"/>
  <c r="AG65"/>
  <c r="AG67"/>
  <c r="AG69"/>
  <c r="AG70"/>
  <c r="AG71"/>
  <c r="AG72"/>
  <c r="AG73"/>
  <c r="AG75"/>
  <c r="AG80"/>
  <c r="AG82"/>
  <c r="AG87"/>
  <c r="AG88"/>
  <c r="AG89"/>
  <c r="AG91"/>
  <c r="AG92"/>
  <c r="AG96"/>
  <c r="AG97"/>
  <c r="AG98"/>
  <c r="AG101"/>
  <c r="AG104"/>
  <c r="AG105"/>
  <c r="AG109"/>
  <c r="AG113"/>
  <c r="AE2"/>
  <c r="AE3"/>
  <c r="AE4"/>
  <c r="AE5"/>
  <c r="AE6"/>
  <c r="AE7"/>
  <c r="AE9"/>
  <c r="AE10"/>
  <c r="AE14"/>
  <c r="AE22"/>
  <c r="AE26"/>
  <c r="AE27"/>
  <c r="AE29"/>
  <c r="AE31"/>
  <c r="AE33"/>
  <c r="AE34"/>
  <c r="AE35"/>
  <c r="AE36"/>
  <c r="AE37"/>
  <c r="AE38"/>
  <c r="AE40"/>
  <c r="AE41"/>
  <c r="AE44"/>
  <c r="AE45"/>
  <c r="AE46"/>
  <c r="AE48"/>
  <c r="AE49"/>
  <c r="AE50"/>
  <c r="AE51"/>
  <c r="AE52"/>
  <c r="AE54"/>
  <c r="AE55"/>
  <c r="AE56"/>
  <c r="AE58"/>
  <c r="AE59"/>
  <c r="AE60"/>
  <c r="AE61"/>
  <c r="AE62"/>
  <c r="AE63"/>
  <c r="AE65"/>
  <c r="AE67"/>
  <c r="AE69"/>
  <c r="AE70"/>
  <c r="AE71"/>
  <c r="AE72"/>
  <c r="AE73"/>
  <c r="AE75"/>
  <c r="AE80"/>
  <c r="AE82"/>
  <c r="AE87"/>
  <c r="AE88"/>
  <c r="AE89"/>
  <c r="AE91"/>
  <c r="AE92"/>
  <c r="AE96"/>
  <c r="AE97"/>
  <c r="AE98"/>
  <c r="AE101"/>
  <c r="AE104"/>
  <c r="AE105"/>
  <c r="AE109"/>
  <c r="AE113"/>
  <c r="AC2"/>
  <c r="AC3"/>
  <c r="AC4"/>
  <c r="AC5"/>
  <c r="AC6"/>
  <c r="AC7"/>
  <c r="AC9"/>
  <c r="AC10"/>
  <c r="AC14"/>
  <c r="AC22"/>
  <c r="AC26"/>
  <c r="AC27"/>
  <c r="AC29"/>
  <c r="AC31"/>
  <c r="AC33"/>
  <c r="AC34"/>
  <c r="AC35"/>
  <c r="AC36"/>
  <c r="AC37"/>
  <c r="AC38"/>
  <c r="AC40"/>
  <c r="AC41"/>
  <c r="AC44"/>
  <c r="AC45"/>
  <c r="AC46"/>
  <c r="AC48"/>
  <c r="AC49"/>
  <c r="AC50"/>
  <c r="AC51"/>
  <c r="AC52"/>
  <c r="AC54"/>
  <c r="AC55"/>
  <c r="AC56"/>
  <c r="AC58"/>
  <c r="AC59"/>
  <c r="AC60"/>
  <c r="AC61"/>
  <c r="AC62"/>
  <c r="AC63"/>
  <c r="AC65"/>
  <c r="AC67"/>
  <c r="AC69"/>
  <c r="AC70"/>
  <c r="AC71"/>
  <c r="AC72"/>
  <c r="AC73"/>
  <c r="AC75"/>
  <c r="AC80"/>
  <c r="AC82"/>
  <c r="AC87"/>
  <c r="AC88"/>
  <c r="AC89"/>
  <c r="AC91"/>
  <c r="AC92"/>
  <c r="AC96"/>
  <c r="AC97"/>
  <c r="AC98"/>
  <c r="AC101"/>
  <c r="AC104"/>
  <c r="AC105"/>
  <c r="AC109"/>
  <c r="AC113"/>
  <c r="AA2"/>
  <c r="AA3"/>
  <c r="AA4"/>
  <c r="AA5"/>
  <c r="AA6"/>
  <c r="AA7"/>
  <c r="AA9"/>
  <c r="AA10"/>
  <c r="AA14"/>
  <c r="AA22"/>
  <c r="AA26"/>
  <c r="AA27"/>
  <c r="AA29"/>
  <c r="AA31"/>
  <c r="AA33"/>
  <c r="AA34"/>
  <c r="AA35"/>
  <c r="AA36"/>
  <c r="AA37"/>
  <c r="AA38"/>
  <c r="AA40"/>
  <c r="AA41"/>
  <c r="AA44"/>
  <c r="AA45"/>
  <c r="AA46"/>
  <c r="AA48"/>
  <c r="AA49"/>
  <c r="AA50"/>
  <c r="AA51"/>
  <c r="AA52"/>
  <c r="AA54"/>
  <c r="AA55"/>
  <c r="AA56"/>
  <c r="AA58"/>
  <c r="AA59"/>
  <c r="AA60"/>
  <c r="AA61"/>
  <c r="AA62"/>
  <c r="AA63"/>
  <c r="AA65"/>
  <c r="AA67"/>
  <c r="AA69"/>
  <c r="AA70"/>
  <c r="AA71"/>
  <c r="AA72"/>
  <c r="AA73"/>
  <c r="AA75"/>
  <c r="AA80"/>
  <c r="AA82"/>
  <c r="AA87"/>
  <c r="AA88"/>
  <c r="AA89"/>
  <c r="AA91"/>
  <c r="AA92"/>
  <c r="AA96"/>
  <c r="AA97"/>
  <c r="AA98"/>
  <c r="AA101"/>
  <c r="AA104"/>
  <c r="AA105"/>
  <c r="AA109"/>
  <c r="AA113"/>
  <c r="Y2"/>
  <c r="Y3"/>
  <c r="Y4"/>
  <c r="Y5"/>
  <c r="Y6"/>
  <c r="Y7"/>
  <c r="Y9"/>
  <c r="Y10"/>
  <c r="Y14"/>
  <c r="Y22"/>
  <c r="Y26"/>
  <c r="Y27"/>
  <c r="Y29"/>
  <c r="Y31"/>
  <c r="Y33"/>
  <c r="Y34"/>
  <c r="Y35"/>
  <c r="Y36"/>
  <c r="Y37"/>
  <c r="Y38"/>
  <c r="Y40"/>
  <c r="Y41"/>
  <c r="Y44"/>
  <c r="Y45"/>
  <c r="Y46"/>
  <c r="Y48"/>
  <c r="Y49"/>
  <c r="Y50"/>
  <c r="Y51"/>
  <c r="Y52"/>
  <c r="Y54"/>
  <c r="Y55"/>
  <c r="Y56"/>
  <c r="Y58"/>
  <c r="Y59"/>
  <c r="Y60"/>
  <c r="Y61"/>
  <c r="Y62"/>
  <c r="Y63"/>
  <c r="Y65"/>
  <c r="Y67"/>
  <c r="Y69"/>
  <c r="Y70"/>
  <c r="Y71"/>
  <c r="Y72"/>
  <c r="Y73"/>
  <c r="Y75"/>
  <c r="Y80"/>
  <c r="Y82"/>
  <c r="Y87"/>
  <c r="Y88"/>
  <c r="Y89"/>
  <c r="Y91"/>
  <c r="Y92"/>
  <c r="Y96"/>
  <c r="Y97"/>
  <c r="Y98"/>
  <c r="Y101"/>
  <c r="Y104"/>
  <c r="Y105"/>
  <c r="Y109"/>
  <c r="Y113"/>
  <c r="W2"/>
  <c r="W3"/>
  <c r="W4"/>
  <c r="W5"/>
  <c r="W6"/>
  <c r="W7"/>
  <c r="W9"/>
  <c r="W10"/>
  <c r="W14"/>
  <c r="W22"/>
  <c r="W26"/>
  <c r="W27"/>
  <c r="W29"/>
  <c r="W31"/>
  <c r="W33"/>
  <c r="W34"/>
  <c r="W35"/>
  <c r="W36"/>
  <c r="W37"/>
  <c r="W38"/>
  <c r="W40"/>
  <c r="W41"/>
  <c r="W44"/>
  <c r="W45"/>
  <c r="W46"/>
  <c r="W48"/>
  <c r="W49"/>
  <c r="W50"/>
  <c r="W51"/>
  <c r="W52"/>
  <c r="W54"/>
  <c r="W55"/>
  <c r="W56"/>
  <c r="W58"/>
  <c r="W59"/>
  <c r="W60"/>
  <c r="W62"/>
  <c r="W63"/>
  <c r="W67"/>
  <c r="W69"/>
  <c r="W70"/>
  <c r="W71"/>
  <c r="W72"/>
  <c r="W73"/>
  <c r="W75"/>
  <c r="W80"/>
  <c r="W82"/>
  <c r="W87"/>
  <c r="W88"/>
  <c r="W89"/>
  <c r="W91"/>
  <c r="W92"/>
  <c r="W96"/>
  <c r="W97"/>
  <c r="W98"/>
  <c r="W101"/>
  <c r="W104"/>
  <c r="W105"/>
  <c r="W109"/>
  <c r="W113"/>
  <c r="U2"/>
  <c r="U3"/>
  <c r="U4"/>
  <c r="U5"/>
  <c r="U6"/>
  <c r="U7"/>
  <c r="U9"/>
  <c r="U10"/>
  <c r="U14"/>
  <c r="U22"/>
  <c r="U26"/>
  <c r="U27"/>
  <c r="U29"/>
  <c r="U31"/>
  <c r="U33"/>
  <c r="U34"/>
  <c r="U35"/>
  <c r="U36"/>
  <c r="U37"/>
  <c r="U38"/>
  <c r="U40"/>
  <c r="U41"/>
  <c r="U44"/>
  <c r="U45"/>
  <c r="U46"/>
  <c r="U48"/>
  <c r="U49"/>
  <c r="U50"/>
  <c r="U51"/>
  <c r="U52"/>
  <c r="U54"/>
  <c r="U55"/>
  <c r="U56"/>
  <c r="U58"/>
  <c r="U59"/>
  <c r="U60"/>
  <c r="U61"/>
  <c r="U62"/>
  <c r="U63"/>
  <c r="U65"/>
  <c r="U67"/>
  <c r="U69"/>
  <c r="U70"/>
  <c r="U71"/>
  <c r="U72"/>
  <c r="U73"/>
  <c r="U75"/>
  <c r="U80"/>
  <c r="U82"/>
  <c r="U87"/>
  <c r="U88"/>
  <c r="U89"/>
  <c r="U91"/>
  <c r="U92"/>
  <c r="U96"/>
  <c r="U97"/>
  <c r="U98"/>
  <c r="U101"/>
  <c r="U104"/>
  <c r="U105"/>
  <c r="U109"/>
  <c r="U113"/>
  <c r="S2"/>
  <c r="S3"/>
  <c r="S4"/>
  <c r="S5"/>
  <c r="S6"/>
  <c r="S7"/>
  <c r="S9"/>
  <c r="S10"/>
  <c r="S14"/>
  <c r="S22"/>
  <c r="S26"/>
  <c r="S27"/>
  <c r="S29"/>
  <c r="S31"/>
  <c r="S33"/>
  <c r="S34"/>
  <c r="S35"/>
  <c r="S36"/>
  <c r="S37"/>
  <c r="S38"/>
  <c r="S40"/>
  <c r="S41"/>
  <c r="S44"/>
  <c r="S45"/>
  <c r="S46"/>
  <c r="S48"/>
  <c r="S49"/>
  <c r="S50"/>
  <c r="S51"/>
  <c r="S52"/>
  <c r="S54"/>
  <c r="S55"/>
  <c r="S56"/>
  <c r="S58"/>
  <c r="S59"/>
  <c r="S60"/>
  <c r="S61"/>
  <c r="S62"/>
  <c r="S63"/>
  <c r="S65"/>
  <c r="S67"/>
  <c r="S69"/>
  <c r="S70"/>
  <c r="S71"/>
  <c r="S72"/>
  <c r="S73"/>
  <c r="S75"/>
  <c r="S80"/>
  <c r="S82"/>
  <c r="S87"/>
  <c r="S88"/>
  <c r="S89"/>
  <c r="S91"/>
  <c r="S92"/>
  <c r="S96"/>
  <c r="S97"/>
  <c r="S98"/>
  <c r="S101"/>
  <c r="S104"/>
  <c r="S105"/>
  <c r="S109"/>
  <c r="S113"/>
  <c r="Q2"/>
  <c r="Q3"/>
  <c r="Q4"/>
  <c r="Q5"/>
  <c r="Q6"/>
  <c r="Q7"/>
  <c r="Q9"/>
  <c r="Q10"/>
  <c r="Q14"/>
  <c r="Q22"/>
  <c r="Q26"/>
  <c r="Q27"/>
  <c r="Q29"/>
  <c r="Q31"/>
  <c r="Q33"/>
  <c r="Q34"/>
  <c r="Q35"/>
  <c r="Q36"/>
  <c r="Q37"/>
  <c r="Q38"/>
  <c r="Q40"/>
  <c r="Q41"/>
  <c r="Q44"/>
  <c r="Q45"/>
  <c r="Q46"/>
  <c r="Q48"/>
  <c r="Q49"/>
  <c r="Q50"/>
  <c r="Q51"/>
  <c r="Q52"/>
  <c r="Q54"/>
  <c r="Q55"/>
  <c r="Q56"/>
  <c r="Q58"/>
  <c r="Q59"/>
  <c r="Q60"/>
  <c r="Q61"/>
  <c r="Q62"/>
  <c r="Q63"/>
  <c r="Q65"/>
  <c r="Q67"/>
  <c r="Q69"/>
  <c r="Q70"/>
  <c r="Q71"/>
  <c r="Q72"/>
  <c r="Q73"/>
  <c r="Q75"/>
  <c r="Q80"/>
  <c r="Q82"/>
  <c r="Q87"/>
  <c r="Q88"/>
  <c r="Q89"/>
  <c r="Q91"/>
  <c r="Q92"/>
  <c r="Q96"/>
  <c r="Q97"/>
  <c r="Q98"/>
  <c r="Q101"/>
  <c r="Q104"/>
  <c r="Q105"/>
  <c r="Q109"/>
  <c r="Q113"/>
  <c r="O2"/>
  <c r="O3"/>
  <c r="O4"/>
  <c r="O5"/>
  <c r="O6"/>
  <c r="O7"/>
  <c r="O9"/>
  <c r="O10"/>
  <c r="O14"/>
  <c r="O16"/>
  <c r="O22"/>
  <c r="O26"/>
  <c r="O27"/>
  <c r="O29"/>
  <c r="O31"/>
  <c r="O33"/>
  <c r="O34"/>
  <c r="O35"/>
  <c r="O36"/>
  <c r="O37"/>
  <c r="O38"/>
  <c r="O40"/>
  <c r="O41"/>
  <c r="O44"/>
  <c r="O45"/>
  <c r="O46"/>
  <c r="O48"/>
  <c r="O49"/>
  <c r="O50"/>
  <c r="O51"/>
  <c r="O52"/>
  <c r="O54"/>
  <c r="O55"/>
  <c r="O56"/>
  <c r="O58"/>
  <c r="O59"/>
  <c r="O60"/>
  <c r="O61"/>
  <c r="O62"/>
  <c r="O63"/>
  <c r="O65"/>
  <c r="O67"/>
  <c r="O69"/>
  <c r="O70"/>
  <c r="O71"/>
  <c r="O72"/>
  <c r="O73"/>
  <c r="O75"/>
  <c r="O80"/>
  <c r="O82"/>
  <c r="O87"/>
  <c r="O88"/>
  <c r="O89"/>
  <c r="O91"/>
  <c r="O92"/>
  <c r="O94"/>
  <c r="O96"/>
  <c r="O97"/>
  <c r="O98"/>
  <c r="O101"/>
  <c r="O104"/>
  <c r="O105"/>
  <c r="O109"/>
  <c r="O113"/>
  <c r="M2"/>
  <c r="M3"/>
  <c r="M4"/>
  <c r="M5"/>
  <c r="M6"/>
  <c r="M7"/>
  <c r="M9"/>
  <c r="M10"/>
  <c r="M14"/>
  <c r="M22"/>
  <c r="M26"/>
  <c r="M27"/>
  <c r="M29"/>
  <c r="M31"/>
  <c r="M33"/>
  <c r="M34"/>
  <c r="M35"/>
  <c r="M36"/>
  <c r="M37"/>
  <c r="M38"/>
  <c r="M40"/>
  <c r="M41"/>
  <c r="M44"/>
  <c r="M45"/>
  <c r="M46"/>
  <c r="M48"/>
  <c r="M49"/>
  <c r="M50"/>
  <c r="M51"/>
  <c r="M52"/>
  <c r="M54"/>
  <c r="M55"/>
  <c r="M56"/>
  <c r="M58"/>
  <c r="M59"/>
  <c r="M60"/>
  <c r="M61"/>
  <c r="M62"/>
  <c r="M63"/>
  <c r="M65"/>
  <c r="M67"/>
  <c r="M69"/>
  <c r="M70"/>
  <c r="M71"/>
  <c r="M72"/>
  <c r="M73"/>
  <c r="M75"/>
  <c r="M80"/>
  <c r="M82"/>
  <c r="M87"/>
  <c r="M88"/>
  <c r="M89"/>
  <c r="M91"/>
  <c r="M92"/>
  <c r="M96"/>
  <c r="M97"/>
  <c r="M98"/>
  <c r="M101"/>
  <c r="M104"/>
  <c r="M105"/>
  <c r="M109"/>
  <c r="M113"/>
  <c r="K2"/>
  <c r="K3"/>
  <c r="K4"/>
  <c r="K5"/>
  <c r="K6"/>
  <c r="K7"/>
  <c r="K9"/>
  <c r="K10"/>
  <c r="K14"/>
  <c r="K22"/>
  <c r="K26"/>
  <c r="K27"/>
  <c r="K29"/>
  <c r="K31"/>
  <c r="K33"/>
  <c r="K34"/>
  <c r="K35"/>
  <c r="K36"/>
  <c r="K37"/>
  <c r="K38"/>
  <c r="K40"/>
  <c r="K41"/>
  <c r="K44"/>
  <c r="K45"/>
  <c r="K46"/>
  <c r="K48"/>
  <c r="K49"/>
  <c r="K50"/>
  <c r="K51"/>
  <c r="K52"/>
  <c r="K54"/>
  <c r="K55"/>
  <c r="K56"/>
  <c r="K58"/>
  <c r="K59"/>
  <c r="K60"/>
  <c r="K61"/>
  <c r="K62"/>
  <c r="K63"/>
  <c r="K65"/>
  <c r="K67"/>
  <c r="K69"/>
  <c r="K70"/>
  <c r="K71"/>
  <c r="K72"/>
  <c r="K73"/>
  <c r="K75"/>
  <c r="K80"/>
  <c r="K82"/>
  <c r="K87"/>
  <c r="K88"/>
  <c r="K89"/>
  <c r="K91"/>
  <c r="K92"/>
  <c r="K96"/>
  <c r="K97"/>
  <c r="K98"/>
  <c r="K101"/>
  <c r="K104"/>
  <c r="K105"/>
  <c r="K109"/>
  <c r="K113"/>
  <c r="I2"/>
  <c r="I3"/>
  <c r="I4"/>
  <c r="I5"/>
  <c r="I6"/>
  <c r="I7"/>
  <c r="I9"/>
  <c r="I10"/>
  <c r="I14"/>
  <c r="I22"/>
  <c r="I26"/>
  <c r="I27"/>
  <c r="I29"/>
  <c r="I31"/>
  <c r="I33"/>
  <c r="I34"/>
  <c r="I35"/>
  <c r="I36"/>
  <c r="I37"/>
  <c r="I38"/>
  <c r="I40"/>
  <c r="I41"/>
  <c r="I44"/>
  <c r="I45"/>
  <c r="I46"/>
  <c r="I48"/>
  <c r="I49"/>
  <c r="I50"/>
  <c r="I51"/>
  <c r="I52"/>
  <c r="I54"/>
  <c r="I55"/>
  <c r="I56"/>
  <c r="I58"/>
  <c r="I59"/>
  <c r="I60"/>
  <c r="I61"/>
  <c r="I62"/>
  <c r="I63"/>
  <c r="I65"/>
  <c r="I67"/>
  <c r="I69"/>
  <c r="I70"/>
  <c r="I71"/>
  <c r="I72"/>
  <c r="I73"/>
  <c r="I75"/>
  <c r="I80"/>
  <c r="I82"/>
  <c r="I87"/>
  <c r="I88"/>
  <c r="I89"/>
  <c r="I91"/>
  <c r="I92"/>
  <c r="I96"/>
  <c r="I97"/>
  <c r="I98"/>
  <c r="I101"/>
  <c r="I104"/>
  <c r="I105"/>
  <c r="I109"/>
  <c r="I113"/>
  <c r="G2"/>
  <c r="G3"/>
  <c r="G4"/>
  <c r="G5"/>
  <c r="G6"/>
  <c r="G7"/>
  <c r="G9"/>
  <c r="G10"/>
  <c r="G14"/>
  <c r="G22"/>
  <c r="G26"/>
  <c r="G27"/>
  <c r="G29"/>
  <c r="G31"/>
  <c r="G33"/>
  <c r="G34"/>
  <c r="G35"/>
  <c r="G36"/>
  <c r="G37"/>
  <c r="G38"/>
  <c r="G40"/>
  <c r="G41"/>
  <c r="G44"/>
  <c r="G45"/>
  <c r="G46"/>
  <c r="G48"/>
  <c r="G49"/>
  <c r="G50"/>
  <c r="G51"/>
  <c r="G52"/>
  <c r="G54"/>
  <c r="G55"/>
  <c r="G56"/>
  <c r="G58"/>
  <c r="G59"/>
  <c r="G60"/>
  <c r="G61"/>
  <c r="G62"/>
  <c r="G63"/>
  <c r="G65"/>
  <c r="G67"/>
  <c r="G69"/>
  <c r="G70"/>
  <c r="G71"/>
  <c r="G72"/>
  <c r="G73"/>
  <c r="G75"/>
  <c r="G80"/>
  <c r="G82"/>
  <c r="G87"/>
  <c r="G88"/>
  <c r="G89"/>
  <c r="G91"/>
  <c r="G92"/>
  <c r="G96"/>
  <c r="G97"/>
  <c r="G98"/>
  <c r="G101"/>
  <c r="G104"/>
  <c r="G105"/>
  <c r="G109"/>
  <c r="G113"/>
  <c r="E2"/>
  <c r="E3"/>
  <c r="E4"/>
  <c r="E6"/>
  <c r="E7"/>
  <c r="E9"/>
  <c r="E10"/>
  <c r="E11"/>
  <c r="E13"/>
  <c r="E14"/>
  <c r="E20"/>
  <c r="E22"/>
  <c r="E24"/>
  <c r="E26"/>
  <c r="E27"/>
  <c r="E29"/>
  <c r="E31"/>
  <c r="E33"/>
  <c r="E34"/>
  <c r="E35"/>
  <c r="E36"/>
  <c r="E37"/>
  <c r="E38"/>
  <c r="E40"/>
  <c r="E41"/>
  <c r="E44"/>
  <c r="E45"/>
  <c r="E46"/>
  <c r="E48"/>
  <c r="E49"/>
  <c r="E50"/>
  <c r="E51"/>
  <c r="E52"/>
  <c r="E54"/>
  <c r="E55"/>
  <c r="E56"/>
  <c r="E58"/>
  <c r="E59"/>
  <c r="E61"/>
  <c r="E62"/>
  <c r="E63"/>
  <c r="E67"/>
  <c r="E69"/>
  <c r="E70"/>
  <c r="E71"/>
  <c r="E72"/>
  <c r="E73"/>
  <c r="E75"/>
  <c r="E76"/>
  <c r="E80"/>
  <c r="E82"/>
  <c r="E87"/>
  <c r="E89"/>
  <c r="E91"/>
  <c r="E92"/>
  <c r="E93"/>
  <c r="E96"/>
  <c r="E97"/>
  <c r="E101"/>
  <c r="E104"/>
  <c r="E105"/>
  <c r="E106"/>
  <c r="E107"/>
  <c r="E108"/>
  <c r="E109"/>
  <c r="E110"/>
  <c r="E111"/>
  <c r="E112"/>
  <c r="E113"/>
  <c r="C2"/>
  <c r="C3"/>
  <c r="C4"/>
  <c r="C6"/>
  <c r="C7"/>
  <c r="C9"/>
  <c r="C10"/>
  <c r="C11"/>
  <c r="C13"/>
  <c r="C14"/>
  <c r="C15"/>
  <c r="C20"/>
  <c r="C22"/>
  <c r="C24"/>
  <c r="C26"/>
  <c r="C27"/>
  <c r="C29"/>
  <c r="C31"/>
  <c r="C33"/>
  <c r="C34"/>
  <c r="C35"/>
  <c r="C36"/>
  <c r="C37"/>
  <c r="C38"/>
  <c r="C40"/>
  <c r="C41"/>
  <c r="C44"/>
  <c r="C45"/>
  <c r="C46"/>
  <c r="C49"/>
  <c r="C50"/>
  <c r="C51"/>
  <c r="C52"/>
  <c r="C54"/>
  <c r="C55"/>
  <c r="C56"/>
  <c r="C58"/>
  <c r="C59"/>
  <c r="C61"/>
  <c r="C62"/>
  <c r="C63"/>
  <c r="C67"/>
  <c r="C69"/>
  <c r="C70"/>
  <c r="C71"/>
  <c r="C72"/>
  <c r="C73"/>
  <c r="C75"/>
  <c r="C76"/>
  <c r="C80"/>
  <c r="C82"/>
  <c r="B2"/>
  <c r="B3"/>
  <c r="B4"/>
  <c r="B5"/>
  <c r="B6"/>
  <c r="B7"/>
  <c r="B8"/>
  <c r="B9"/>
  <c r="B10"/>
  <c r="B11"/>
  <c r="B13"/>
  <c r="B14"/>
  <c r="B15"/>
  <c r="B16"/>
  <c r="B17"/>
  <c r="B18"/>
  <c r="B20"/>
  <c r="B21"/>
  <c r="B22"/>
  <c r="B23"/>
  <c r="B24"/>
  <c r="B25"/>
  <c r="B26"/>
  <c r="B27"/>
  <c r="B28"/>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4"/>
  <c r="B85"/>
  <c r="B86"/>
  <c r="B87"/>
  <c r="B88"/>
  <c r="B89"/>
  <c r="B90"/>
  <c r="B91"/>
  <c r="B92"/>
  <c r="B93"/>
  <c r="B94"/>
  <c r="B95"/>
  <c r="B96"/>
  <c r="B97"/>
  <c r="B98"/>
  <c r="B99"/>
  <c r="B100"/>
  <c r="B101"/>
  <c r="B102"/>
  <c r="B103"/>
  <c r="B104"/>
  <c r="B105"/>
  <c r="B106"/>
  <c r="B107"/>
  <c r="B108"/>
  <c r="B109"/>
  <c r="B110"/>
  <c r="B111"/>
  <c r="B112"/>
  <c r="B113"/>
  <c r="A2"/>
  <c r="A3"/>
  <c r="A4"/>
  <c r="A5"/>
  <c r="A6"/>
  <c r="A7"/>
  <c r="A8"/>
  <c r="A9"/>
  <c r="A10"/>
  <c r="A11"/>
  <c r="A13"/>
  <c r="A14"/>
  <c r="A15"/>
  <c r="A16"/>
  <c r="A17"/>
  <c r="A18"/>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D57" i="1"/>
  <c r="E57" i="5" s="1"/>
  <c r="E57" i="1"/>
  <c r="G57" i="5" s="1"/>
  <c r="F57" i="1"/>
  <c r="I57" i="5" s="1"/>
  <c r="G57" i="1"/>
  <c r="K57" i="5" s="1"/>
  <c r="H57" i="1"/>
  <c r="M57" i="5" s="1"/>
  <c r="O57"/>
  <c r="J57" i="1"/>
  <c r="Q57" i="5" s="1"/>
  <c r="K57" i="1"/>
  <c r="S57" i="5" s="1"/>
  <c r="L57" i="1"/>
  <c r="U57" i="5" s="1"/>
  <c r="M57" i="1"/>
  <c r="W57" i="5" s="1"/>
  <c r="N57" i="1"/>
  <c r="Y57" i="5" s="1"/>
  <c r="O57" i="1"/>
  <c r="AA57" i="5" s="1"/>
  <c r="P57" i="1"/>
  <c r="AC57" i="5" s="1"/>
  <c r="Q57" i="1"/>
  <c r="AE57" i="5" s="1"/>
  <c r="R57" i="1"/>
  <c r="AG57" i="5" s="1"/>
  <c r="S57" i="1"/>
  <c r="AI57" i="5" s="1"/>
  <c r="T57" i="1"/>
  <c r="AK57" i="5" s="1"/>
  <c r="W57" i="1"/>
  <c r="AM57" i="5" s="1"/>
  <c r="X57" i="1"/>
  <c r="AO57" i="5" s="1"/>
  <c r="C57" i="1"/>
  <c r="C57" i="5" s="1"/>
  <c r="D68" i="1"/>
  <c r="E68" i="5" s="1"/>
  <c r="E47"/>
  <c r="C47"/>
  <c r="D1" i="1"/>
  <c r="E1" s="1"/>
  <c r="Q119"/>
  <c r="R119" s="1"/>
  <c r="S119" s="1"/>
  <c r="T119" s="1"/>
  <c r="W119" s="1"/>
  <c r="X119" s="1"/>
  <c r="AO119" i="5" s="1"/>
  <c r="E15" i="1"/>
  <c r="G15" i="5" s="1"/>
  <c r="F15" i="1"/>
  <c r="I15" i="5" s="1"/>
  <c r="G15" i="1"/>
  <c r="K15" i="5" s="1"/>
  <c r="H15" i="1"/>
  <c r="M15" i="5" s="1"/>
  <c r="I15" i="1"/>
  <c r="O15" i="5" s="1"/>
  <c r="J15" i="1"/>
  <c r="Q15" i="5" s="1"/>
  <c r="K15" i="1"/>
  <c r="S15" i="5" s="1"/>
  <c r="L15" i="1"/>
  <c r="U15" i="5" s="1"/>
  <c r="AK15"/>
  <c r="X15" i="1"/>
  <c r="AO15" i="5" s="1"/>
  <c r="E78"/>
  <c r="D79" i="1"/>
  <c r="E79" i="5" s="1"/>
  <c r="C79" i="1"/>
  <c r="C79" i="5" s="1"/>
  <c r="C78"/>
  <c r="A1"/>
  <c r="B1"/>
  <c r="C1"/>
  <c r="E1"/>
  <c r="E68" i="1"/>
  <c r="G68" i="5" s="1"/>
  <c r="F68" i="1"/>
  <c r="I68" i="5" s="1"/>
  <c r="G68" i="1"/>
  <c r="K68" i="5" s="1"/>
  <c r="H68" i="1"/>
  <c r="M68" i="5" s="1"/>
  <c r="I68" i="1"/>
  <c r="O68" i="5" s="1"/>
  <c r="J68" i="1"/>
  <c r="Q68" i="5" s="1"/>
  <c r="K68" i="1"/>
  <c r="S68" i="5" s="1"/>
  <c r="L68" i="1"/>
  <c r="U68" i="5" s="1"/>
  <c r="M68" i="1"/>
  <c r="W68" i="5" s="1"/>
  <c r="N68" i="1"/>
  <c r="Y68" i="5" s="1"/>
  <c r="O68" i="1"/>
  <c r="AA68" i="5" s="1"/>
  <c r="P68" i="1"/>
  <c r="AC68" i="5" s="1"/>
  <c r="Q68" i="1"/>
  <c r="AE68" i="5" s="1"/>
  <c r="R68" i="1"/>
  <c r="AG68" i="5" s="1"/>
  <c r="S68" i="1"/>
  <c r="AI68" i="5" s="1"/>
  <c r="T68" i="1"/>
  <c r="AK68" i="5" s="1"/>
  <c r="W68" i="1"/>
  <c r="AM68" i="5" s="1"/>
  <c r="X68" i="1"/>
  <c r="AO68" i="5" s="1"/>
  <c r="Q112" i="1" l="1"/>
  <c r="AG78" i="5"/>
  <c r="AE78"/>
  <c r="I112" i="1"/>
  <c r="E114" i="5"/>
  <c r="F81" s="1"/>
  <c r="C114"/>
  <c r="D81" s="1"/>
  <c r="R112" i="1"/>
  <c r="S112"/>
  <c r="P90" i="5"/>
  <c r="L90"/>
  <c r="H90"/>
  <c r="W112" i="1"/>
  <c r="P112"/>
  <c r="E112"/>
  <c r="G112"/>
  <c r="J112"/>
  <c r="K112"/>
  <c r="T112"/>
  <c r="X112"/>
  <c r="AK119" i="5"/>
  <c r="AO18"/>
  <c r="AO8"/>
  <c r="AI119"/>
  <c r="AM119"/>
  <c r="AE119"/>
  <c r="AG119"/>
  <c r="G1"/>
  <c r="F1" i="1"/>
  <c r="E16" i="5"/>
  <c r="D17" i="1"/>
  <c r="E17" i="5" s="1"/>
  <c r="D99" i="1"/>
  <c r="E99" i="5" s="1"/>
  <c r="E25"/>
  <c r="E8" i="1"/>
  <c r="G16" i="5"/>
  <c r="E17" i="1"/>
  <c r="G17" i="5" s="1"/>
  <c r="E64" i="1"/>
  <c r="G64" i="5" s="1"/>
  <c r="E74" i="1"/>
  <c r="B167"/>
  <c r="E85"/>
  <c r="G85" i="5" s="1"/>
  <c r="H85" s="1"/>
  <c r="G86"/>
  <c r="H86" s="1"/>
  <c r="G25"/>
  <c r="F8" i="1"/>
  <c r="F17"/>
  <c r="I17" i="5" s="1"/>
  <c r="F64" i="1"/>
  <c r="I64" i="5" s="1"/>
  <c r="F74" i="1"/>
  <c r="F81" s="1"/>
  <c r="I84" i="5"/>
  <c r="J84" s="1"/>
  <c r="I25"/>
  <c r="G8" i="1"/>
  <c r="G76" s="1"/>
  <c r="K16" i="5"/>
  <c r="G17" i="1"/>
  <c r="K17" i="5" s="1"/>
  <c r="G64" i="1"/>
  <c r="K64" i="5" s="1"/>
  <c r="G74" i="1"/>
  <c r="K84" i="5"/>
  <c r="L84" s="1"/>
  <c r="G85" i="1"/>
  <c r="K85" i="5" s="1"/>
  <c r="L85" s="1"/>
  <c r="K86"/>
  <c r="L86" s="1"/>
  <c r="K25"/>
  <c r="H76" i="1"/>
  <c r="H110" s="1"/>
  <c r="M16" i="5"/>
  <c r="H17" i="1"/>
  <c r="M17" i="5" s="1"/>
  <c r="H64" i="1"/>
  <c r="M64" i="5" s="1"/>
  <c r="H74" i="1"/>
  <c r="H81" s="1"/>
  <c r="M84" i="5"/>
  <c r="N84" s="1"/>
  <c r="M86"/>
  <c r="N86" s="1"/>
  <c r="M25"/>
  <c r="I8" i="1"/>
  <c r="I76" s="1"/>
  <c r="I137"/>
  <c r="I64" s="1"/>
  <c r="O64" i="5" s="1"/>
  <c r="I74" i="1"/>
  <c r="I136"/>
  <c r="I138"/>
  <c r="I85" s="1"/>
  <c r="O85" i="5" s="1"/>
  <c r="P85" s="1"/>
  <c r="I140" i="1"/>
  <c r="J8"/>
  <c r="J142"/>
  <c r="J143"/>
  <c r="J17" s="1"/>
  <c r="Q17" i="5" s="1"/>
  <c r="J140" i="1"/>
  <c r="K8"/>
  <c r="K76" s="1"/>
  <c r="K142"/>
  <c r="K128"/>
  <c r="K143"/>
  <c r="K17" s="1"/>
  <c r="S17" i="5" s="1"/>
  <c r="K140" i="1"/>
  <c r="L8"/>
  <c r="L76" s="1"/>
  <c r="L142"/>
  <c r="L143"/>
  <c r="L17" s="1"/>
  <c r="U17" i="5" s="1"/>
  <c r="L140" i="1"/>
  <c r="M8"/>
  <c r="M76" s="1"/>
  <c r="M128"/>
  <c r="M84" s="1"/>
  <c r="M143"/>
  <c r="M17" s="1"/>
  <c r="W17" i="5" s="1"/>
  <c r="M137" i="1"/>
  <c r="M64" s="1"/>
  <c r="M74"/>
  <c r="M81" s="1"/>
  <c r="M85"/>
  <c r="W85" i="5" s="1"/>
  <c r="X85" s="1"/>
  <c r="M140" i="1"/>
  <c r="M25" s="1"/>
  <c r="N8"/>
  <c r="N76" s="1"/>
  <c r="O8"/>
  <c r="O76" s="1"/>
  <c r="O128"/>
  <c r="O140"/>
  <c r="P8"/>
  <c r="P76" s="1"/>
  <c r="P143"/>
  <c r="P17" s="1"/>
  <c r="AC17" i="5" s="1"/>
  <c r="P140" i="1"/>
  <c r="Q8"/>
  <c r="Q76" s="1"/>
  <c r="AE16" i="5"/>
  <c r="R8" i="1"/>
  <c r="R76" s="1"/>
  <c r="AG16" i="5"/>
  <c r="R17" i="1"/>
  <c r="AG17" i="5" s="1"/>
  <c r="S8" i="1"/>
  <c r="S76" s="1"/>
  <c r="S17"/>
  <c r="AI17" i="5" s="1"/>
  <c r="AI25"/>
  <c r="T8" i="1"/>
  <c r="T17"/>
  <c r="AK17" i="5" s="1"/>
  <c r="T64" i="1"/>
  <c r="AK64" i="5" s="1"/>
  <c r="T74" i="1"/>
  <c r="T81" s="1"/>
  <c r="AK84" i="5"/>
  <c r="AL84" s="1"/>
  <c r="T85" i="1"/>
  <c r="AK85" i="5" s="1"/>
  <c r="AL85" s="1"/>
  <c r="AK86"/>
  <c r="AL86" s="1"/>
  <c r="AK25"/>
  <c r="W8" i="1"/>
  <c r="AM16" i="5"/>
  <c r="W17" i="1"/>
  <c r="AM17" i="5" s="1"/>
  <c r="W74" i="1"/>
  <c r="W81" s="1"/>
  <c r="W85"/>
  <c r="AM85" i="5" s="1"/>
  <c r="AN85" s="1"/>
  <c r="AM86"/>
  <c r="AM25"/>
  <c r="AO16"/>
  <c r="X17" i="1"/>
  <c r="AO17" i="5" s="1"/>
  <c r="X64" i="1"/>
  <c r="AO64" i="5" s="1"/>
  <c r="X74" i="1"/>
  <c r="X81" s="1"/>
  <c r="AO84" i="5"/>
  <c r="AP84" s="1"/>
  <c r="X85" i="1"/>
  <c r="AO85" i="5" s="1"/>
  <c r="AP85" s="1"/>
  <c r="AO86"/>
  <c r="AP86" s="1"/>
  <c r="AO25"/>
  <c r="C16"/>
  <c r="C17" i="1"/>
  <c r="C17" i="5" s="1"/>
  <c r="C99" i="1"/>
  <c r="C99" i="5" s="1"/>
  <c r="C25"/>
  <c r="D64" i="1"/>
  <c r="E64" i="5" s="1"/>
  <c r="Q64" i="1"/>
  <c r="AE64" i="5" s="1"/>
  <c r="R64" i="1"/>
  <c r="AG64" i="5" s="1"/>
  <c r="S64" i="1"/>
  <c r="AI64" i="5" s="1"/>
  <c r="C64" i="1"/>
  <c r="C74"/>
  <c r="C74" i="5" s="1"/>
  <c r="C84"/>
  <c r="D84" s="1"/>
  <c r="C85" i="1"/>
  <c r="C85" i="5" s="1"/>
  <c r="D85" s="1"/>
  <c r="C86"/>
  <c r="D86" s="1"/>
  <c r="D74" i="1"/>
  <c r="E74" i="5" s="1"/>
  <c r="E84"/>
  <c r="F84" s="1"/>
  <c r="D85" i="1"/>
  <c r="E85" i="5" s="1"/>
  <c r="F85" s="1"/>
  <c r="E86"/>
  <c r="F86" s="1"/>
  <c r="I47"/>
  <c r="AE47"/>
  <c r="AK47"/>
  <c r="AM47"/>
  <c r="AO47"/>
  <c r="Q85" i="1"/>
  <c r="AE85" i="5" s="1"/>
  <c r="AF85" s="1"/>
  <c r="R85" i="1"/>
  <c r="AG85" i="5" s="1"/>
  <c r="AH85" s="1"/>
  <c r="S85" i="1"/>
  <c r="AI85" i="5" s="1"/>
  <c r="AJ85" s="1"/>
  <c r="AE86"/>
  <c r="AF86" s="1"/>
  <c r="AG86"/>
  <c r="AH86" s="1"/>
  <c r="AE84"/>
  <c r="AF84" s="1"/>
  <c r="AG84"/>
  <c r="AH84" s="1"/>
  <c r="AI84"/>
  <c r="AJ84" s="1"/>
  <c r="D116" i="1"/>
  <c r="E116" i="5" s="1"/>
  <c r="E116" i="1"/>
  <c r="F116"/>
  <c r="I116" i="5" s="1"/>
  <c r="G116" i="1"/>
  <c r="H116"/>
  <c r="M116" i="5" s="1"/>
  <c r="X118" i="1"/>
  <c r="X30" s="1"/>
  <c r="W118"/>
  <c r="C116"/>
  <c r="C116" i="5" s="1"/>
  <c r="M47"/>
  <c r="I116" i="1"/>
  <c r="O116" i="5" s="1"/>
  <c r="J116" i="1"/>
  <c r="Q116" i="5" s="1"/>
  <c r="K116" i="1"/>
  <c r="S116" i="5" s="1"/>
  <c r="L116" i="1"/>
  <c r="U116" i="5" s="1"/>
  <c r="M116" i="1"/>
  <c r="W116" i="5" s="1"/>
  <c r="N116" i="1"/>
  <c r="Y116" i="5" s="1"/>
  <c r="O116" i="1"/>
  <c r="AA116" i="5" s="1"/>
  <c r="P116" i="1"/>
  <c r="AC116" i="5" s="1"/>
  <c r="Q116" i="1"/>
  <c r="AE116" i="5" s="1"/>
  <c r="R116" i="1"/>
  <c r="AG116" i="5" s="1"/>
  <c r="S116" i="1"/>
  <c r="AI116" i="5" s="1"/>
  <c r="T116" i="1"/>
  <c r="AK116" i="5" s="1"/>
  <c r="W116" i="1"/>
  <c r="AM116" i="5" s="1"/>
  <c r="X116" i="1"/>
  <c r="AO116" i="5" s="1"/>
  <c r="B153" i="1"/>
  <c r="P142"/>
  <c r="O142"/>
  <c r="N142"/>
  <c r="M142"/>
  <c r="P141"/>
  <c r="O141"/>
  <c r="N141"/>
  <c r="M141"/>
  <c r="L141"/>
  <c r="K141"/>
  <c r="J141"/>
  <c r="I141"/>
  <c r="P139"/>
  <c r="O139"/>
  <c r="N139"/>
  <c r="N25" s="1"/>
  <c r="L139"/>
  <c r="K139"/>
  <c r="J139"/>
  <c r="I139"/>
  <c r="P138"/>
  <c r="P85" s="1"/>
  <c r="AC85" i="5" s="1"/>
  <c r="AD85" s="1"/>
  <c r="O138" i="1"/>
  <c r="O85" s="1"/>
  <c r="AA85" i="5" s="1"/>
  <c r="AB85" s="1"/>
  <c r="N138" i="1"/>
  <c r="N85" s="1"/>
  <c r="Y85" i="5" s="1"/>
  <c r="Z85" s="1"/>
  <c r="L138" i="1"/>
  <c r="L85" s="1"/>
  <c r="U85" i="5" s="1"/>
  <c r="V85" s="1"/>
  <c r="K138" i="1"/>
  <c r="K85" s="1"/>
  <c r="S85" i="5" s="1"/>
  <c r="T85" s="1"/>
  <c r="J138" i="1"/>
  <c r="J85" s="1"/>
  <c r="Q85" i="5" s="1"/>
  <c r="R85" s="1"/>
  <c r="P137" i="1"/>
  <c r="P64" s="1"/>
  <c r="AC64" i="5" s="1"/>
  <c r="O137" i="1"/>
  <c r="O64" s="1"/>
  <c r="AA64" i="5" s="1"/>
  <c r="L137" i="1"/>
  <c r="L64" s="1"/>
  <c r="U64" i="5" s="1"/>
  <c r="K137" i="1"/>
  <c r="K64" s="1"/>
  <c r="S64" i="5" s="1"/>
  <c r="J137" i="1"/>
  <c r="J64" s="1"/>
  <c r="Q64" i="5" s="1"/>
  <c r="P136" i="1"/>
  <c r="O136"/>
  <c r="N136"/>
  <c r="L136"/>
  <c r="K136"/>
  <c r="J136"/>
  <c r="P135"/>
  <c r="O135"/>
  <c r="N135"/>
  <c r="M135"/>
  <c r="L135"/>
  <c r="K135"/>
  <c r="J135"/>
  <c r="G47" i="5"/>
  <c r="N130" i="1"/>
  <c r="L130"/>
  <c r="J128"/>
  <c r="Q86" i="5" s="1"/>
  <c r="R86" s="1"/>
  <c r="S74" i="1"/>
  <c r="S81" s="1"/>
  <c r="Q74"/>
  <c r="Q81" s="1"/>
  <c r="R74"/>
  <c r="R81" s="1"/>
  <c r="L74"/>
  <c r="L81" s="1"/>
  <c r="N74"/>
  <c r="N81" s="1"/>
  <c r="K74"/>
  <c r="K81" s="1"/>
  <c r="J74"/>
  <c r="J81" s="1"/>
  <c r="O74"/>
  <c r="O81" s="1"/>
  <c r="P74"/>
  <c r="P81" s="1"/>
  <c r="I81" l="1"/>
  <c r="K116" i="5"/>
  <c r="G81" i="1"/>
  <c r="G116" i="5"/>
  <c r="E81" i="1"/>
  <c r="E90" s="1"/>
  <c r="O25"/>
  <c r="J25"/>
  <c r="Q25" i="5" s="1"/>
  <c r="I25" i="1"/>
  <c r="L25"/>
  <c r="U25" i="5" s="1"/>
  <c r="K25" i="1"/>
  <c r="S25" i="5" s="1"/>
  <c r="P25" i="1"/>
  <c r="AC25" i="5" s="1"/>
  <c r="Y25"/>
  <c r="L84" i="1"/>
  <c r="U84" i="5" s="1"/>
  <c r="V84" s="1"/>
  <c r="N84" i="1"/>
  <c r="Y84" i="5" s="1"/>
  <c r="Z84" s="1"/>
  <c r="K84" i="1"/>
  <c r="S84" i="5" s="1"/>
  <c r="T84" s="1"/>
  <c r="P84" i="1"/>
  <c r="AC84" i="5" s="1"/>
  <c r="AD84" s="1"/>
  <c r="J84" i="1"/>
  <c r="Q84" i="5" s="1"/>
  <c r="R84" s="1"/>
  <c r="O84" i="1"/>
  <c r="AA84" i="5" s="1"/>
  <c r="AB84" s="1"/>
  <c r="I84" i="1"/>
  <c r="O84" i="5" s="1"/>
  <c r="P84" s="1"/>
  <c r="O16" i="1"/>
  <c r="AA16" i="5" s="1"/>
  <c r="M16" i="1"/>
  <c r="W16" i="5" s="1"/>
  <c r="K16" i="1"/>
  <c r="S16" i="5" s="1"/>
  <c r="AP18"/>
  <c r="M118"/>
  <c r="AC118"/>
  <c r="W76" i="1"/>
  <c r="W15"/>
  <c r="AM15" i="5" s="1"/>
  <c r="J76" i="1"/>
  <c r="Q76" i="5" s="1"/>
  <c r="J11" i="1"/>
  <c r="C118" i="5"/>
  <c r="S118"/>
  <c r="AA118"/>
  <c r="AI118"/>
  <c r="E76" i="1"/>
  <c r="I118" i="5"/>
  <c r="Q118"/>
  <c r="Y118"/>
  <c r="AG118"/>
  <c r="AO118"/>
  <c r="F76" i="1"/>
  <c r="E118" i="5"/>
  <c r="U118"/>
  <c r="AK118"/>
  <c r="W64"/>
  <c r="M66" i="1"/>
  <c r="W66" i="5" s="1"/>
  <c r="K118"/>
  <c r="G118"/>
  <c r="O118"/>
  <c r="W118"/>
  <c r="AE118"/>
  <c r="AM118"/>
  <c r="C64"/>
  <c r="M74"/>
  <c r="AO74"/>
  <c r="Y74"/>
  <c r="AM74"/>
  <c r="AK74"/>
  <c r="Q74"/>
  <c r="AG74"/>
  <c r="W74"/>
  <c r="I74"/>
  <c r="G74"/>
  <c r="AA74"/>
  <c r="U74"/>
  <c r="AC74"/>
  <c r="AI74"/>
  <c r="S74"/>
  <c r="AE74"/>
  <c r="O74"/>
  <c r="K74"/>
  <c r="T76" i="1"/>
  <c r="AK76" i="5" s="1"/>
  <c r="T11" i="1"/>
  <c r="G84" i="5"/>
  <c r="H84" s="1"/>
  <c r="AE25"/>
  <c r="AG25"/>
  <c r="W25"/>
  <c r="O25"/>
  <c r="AA25"/>
  <c r="K83" i="1"/>
  <c r="J83"/>
  <c r="E18"/>
  <c r="G18" i="5" s="1"/>
  <c r="G8"/>
  <c r="L47" i="1"/>
  <c r="U47" i="5" s="1"/>
  <c r="P47" i="1"/>
  <c r="AC47" i="5" s="1"/>
  <c r="AM8"/>
  <c r="AN18" s="1"/>
  <c r="W83" i="1"/>
  <c r="AI8" i="5"/>
  <c r="S83" i="1"/>
  <c r="S18"/>
  <c r="AI18" i="5" s="1"/>
  <c r="O83" i="1"/>
  <c r="AA8" i="5"/>
  <c r="O18" i="1"/>
  <c r="AA18" i="5" s="1"/>
  <c r="F18" i="1"/>
  <c r="I18" i="5" s="1"/>
  <c r="I8"/>
  <c r="K47" i="1"/>
  <c r="S47" i="5" s="1"/>
  <c r="O47" i="1"/>
  <c r="AA47" i="5" s="1"/>
  <c r="J47" i="1"/>
  <c r="Q47" i="5" s="1"/>
  <c r="N47" i="1"/>
  <c r="Y47" i="5" s="1"/>
  <c r="Q18" i="1"/>
  <c r="AE18" i="5" s="1"/>
  <c r="Q83" i="1"/>
  <c r="AE8" i="5"/>
  <c r="Y8"/>
  <c r="N18" i="1"/>
  <c r="Y18" i="5" s="1"/>
  <c r="N83" i="1"/>
  <c r="K18"/>
  <c r="S18" i="5" s="1"/>
  <c r="S8"/>
  <c r="J18" i="1"/>
  <c r="Q18" i="5" s="1"/>
  <c r="Q8"/>
  <c r="K8"/>
  <c r="G18" i="1"/>
  <c r="K18" i="5" s="1"/>
  <c r="L83" i="1"/>
  <c r="M47"/>
  <c r="W47" i="5" s="1"/>
  <c r="AK8"/>
  <c r="P18" i="1"/>
  <c r="AC18" i="5" s="1"/>
  <c r="AC8"/>
  <c r="M18" i="1"/>
  <c r="W18" i="5" s="1"/>
  <c r="M83" i="1"/>
  <c r="W8" i="5"/>
  <c r="U8"/>
  <c r="L18" i="1"/>
  <c r="U18" i="5" s="1"/>
  <c r="O18"/>
  <c r="O8"/>
  <c r="H83" i="1"/>
  <c r="M8" i="5"/>
  <c r="H18" i="1"/>
  <c r="M18" i="5" s="1"/>
  <c r="R18" i="1"/>
  <c r="AG18" i="5" s="1"/>
  <c r="R83" i="1"/>
  <c r="AG8" i="5"/>
  <c r="P83" i="1"/>
  <c r="O17"/>
  <c r="AA17" i="5" s="1"/>
  <c r="Q17" i="1"/>
  <c r="AE17" i="5" s="1"/>
  <c r="N17" i="1"/>
  <c r="Y17" i="5" s="1"/>
  <c r="M76"/>
  <c r="E20" i="1"/>
  <c r="AI16" i="5"/>
  <c r="B155" i="1"/>
  <c r="B154" s="1"/>
  <c r="C65"/>
  <c r="C65" i="5" s="1"/>
  <c r="D65" i="1"/>
  <c r="F20"/>
  <c r="I20" i="5" s="1"/>
  <c r="D94" i="1"/>
  <c r="E94" i="5" s="1"/>
  <c r="C94" i="1"/>
  <c r="C94" i="5" s="1"/>
  <c r="G1" i="1"/>
  <c r="I1" i="5"/>
  <c r="AI86"/>
  <c r="AJ86" s="1"/>
  <c r="I20" i="1"/>
  <c r="O20" i="5" s="1"/>
  <c r="AA76"/>
  <c r="G76"/>
  <c r="Y76"/>
  <c r="N20" i="1"/>
  <c r="Y20" i="5" s="1"/>
  <c r="S76"/>
  <c r="U76"/>
  <c r="W84"/>
  <c r="X84" s="1"/>
  <c r="F85" i="1"/>
  <c r="I85" i="5" s="1"/>
  <c r="J85" s="1"/>
  <c r="S15" i="1"/>
  <c r="AI15" i="5" s="1"/>
  <c r="R15" i="1"/>
  <c r="AG15" i="5" s="1"/>
  <c r="AC15"/>
  <c r="M15" i="1"/>
  <c r="W15" i="5" s="1"/>
  <c r="N15" i="1"/>
  <c r="Y15" i="5" s="1"/>
  <c r="G83" i="1"/>
  <c r="E83"/>
  <c r="R20"/>
  <c r="AG20" i="5" s="1"/>
  <c r="M20" i="1"/>
  <c r="W20" i="5" s="1"/>
  <c r="K20" i="1"/>
  <c r="S20" i="5" s="1"/>
  <c r="H85" i="1"/>
  <c r="M85" i="5" s="1"/>
  <c r="N85" s="1"/>
  <c r="I16"/>
  <c r="Q15" i="1"/>
  <c r="AE15" i="5" s="1"/>
  <c r="O15" i="1"/>
  <c r="AA15" i="5" s="1"/>
  <c r="AG76"/>
  <c r="AC76"/>
  <c r="AM84"/>
  <c r="AN84" s="1"/>
  <c r="AC16"/>
  <c r="H20" i="1"/>
  <c r="M20" i="5" s="1"/>
  <c r="AA86"/>
  <c r="AB86" s="1"/>
  <c r="AE76"/>
  <c r="Y86"/>
  <c r="Z86" s="1"/>
  <c r="AO76"/>
  <c r="I86"/>
  <c r="J86" s="1"/>
  <c r="U86"/>
  <c r="V86" s="1"/>
  <c r="AC86"/>
  <c r="AD86" s="1"/>
  <c r="X20" i="1"/>
  <c r="AO20" i="5" s="1"/>
  <c r="O11" i="1"/>
  <c r="W76" i="5"/>
  <c r="O86"/>
  <c r="P86" s="1"/>
  <c r="I76"/>
  <c r="S86"/>
  <c r="T86" s="1"/>
  <c r="AM76"/>
  <c r="P20" i="1"/>
  <c r="AC20" i="5" s="1"/>
  <c r="O20" i="1"/>
  <c r="AA20" i="5" s="1"/>
  <c r="Y16"/>
  <c r="U16"/>
  <c r="Q16"/>
  <c r="K76"/>
  <c r="AI76"/>
  <c r="W20" i="1"/>
  <c r="S20"/>
  <c r="AI20" i="5" s="1"/>
  <c r="G20" i="1"/>
  <c r="K20" i="5" s="1"/>
  <c r="L11" i="1"/>
  <c r="C77"/>
  <c r="C77" i="5" s="1"/>
  <c r="N11" i="1"/>
  <c r="O17" i="5"/>
  <c r="D77" i="1"/>
  <c r="E77" i="5" s="1"/>
  <c r="AK20"/>
  <c r="Q20" i="1"/>
  <c r="AE20" i="5" s="1"/>
  <c r="M11" i="1"/>
  <c r="L20"/>
  <c r="U20" i="5" s="1"/>
  <c r="J20" i="1"/>
  <c r="Q20" i="5" s="1"/>
  <c r="O76"/>
  <c r="G11" i="1"/>
  <c r="R66"/>
  <c r="AG66" i="5" s="1"/>
  <c r="S66" i="1"/>
  <c r="AI66" i="5" s="1"/>
  <c r="X66" i="1"/>
  <c r="AO66" i="5" s="1"/>
  <c r="T66" i="1"/>
  <c r="AK66" i="5" s="1"/>
  <c r="F66" i="1"/>
  <c r="I66" i="5" s="1"/>
  <c r="E66" i="1"/>
  <c r="G66" i="5" s="1"/>
  <c r="H66" i="1"/>
  <c r="M66" i="5" s="1"/>
  <c r="X13" i="1"/>
  <c r="X108" s="1"/>
  <c r="G66"/>
  <c r="K66" i="5" s="1"/>
  <c r="Q66" i="1"/>
  <c r="AE66" i="5" s="1"/>
  <c r="W86"/>
  <c r="X86" s="1"/>
  <c r="K66" i="1"/>
  <c r="S66" i="5" s="1"/>
  <c r="I66" i="1"/>
  <c r="O66" i="5" s="1"/>
  <c r="J66" i="1"/>
  <c r="Q66" i="5" s="1"/>
  <c r="O66" i="1"/>
  <c r="AA66" i="5" s="1"/>
  <c r="L66" i="1"/>
  <c r="U66" i="5" s="1"/>
  <c r="P66" i="1"/>
  <c r="AC66" i="5" s="1"/>
  <c r="F29" l="1"/>
  <c r="F30"/>
  <c r="Z29"/>
  <c r="Z30"/>
  <c r="AJ29"/>
  <c r="AJ30"/>
  <c r="AD29"/>
  <c r="AD30"/>
  <c r="AF29"/>
  <c r="AF30"/>
  <c r="L29"/>
  <c r="L30"/>
  <c r="V29"/>
  <c r="V30"/>
  <c r="AH29"/>
  <c r="AH30"/>
  <c r="D29"/>
  <c r="D30"/>
  <c r="AN29"/>
  <c r="AN30"/>
  <c r="H29"/>
  <c r="H30"/>
  <c r="AL29"/>
  <c r="AL30"/>
  <c r="AP29"/>
  <c r="AP30"/>
  <c r="J29"/>
  <c r="J30"/>
  <c r="T29"/>
  <c r="T30"/>
  <c r="X29"/>
  <c r="X30"/>
  <c r="P29"/>
  <c r="P30"/>
  <c r="R29"/>
  <c r="R30"/>
  <c r="AB29"/>
  <c r="AB30"/>
  <c r="N29"/>
  <c r="N30"/>
  <c r="V18"/>
  <c r="AD18"/>
  <c r="G20"/>
  <c r="E21" i="1"/>
  <c r="H77"/>
  <c r="H78"/>
  <c r="H79"/>
  <c r="M79" i="5" s="1"/>
  <c r="N18"/>
  <c r="L18"/>
  <c r="AH18"/>
  <c r="Z18"/>
  <c r="AF18"/>
  <c r="AB18"/>
  <c r="H18"/>
  <c r="X18"/>
  <c r="AL18"/>
  <c r="P18"/>
  <c r="T18"/>
  <c r="J18"/>
  <c r="AJ18"/>
  <c r="R18"/>
  <c r="Q79"/>
  <c r="Q78"/>
  <c r="Y83"/>
  <c r="AE83"/>
  <c r="AI83"/>
  <c r="AG83"/>
  <c r="AA83"/>
  <c r="AM83"/>
  <c r="W83"/>
  <c r="E65"/>
  <c r="D60" i="1"/>
  <c r="E60" i="5" s="1"/>
  <c r="M83"/>
  <c r="I83"/>
  <c r="AC83"/>
  <c r="U83"/>
  <c r="Q83"/>
  <c r="C66" i="1"/>
  <c r="C66" i="5" s="1"/>
  <c r="K83"/>
  <c r="AK83"/>
  <c r="G83"/>
  <c r="S83"/>
  <c r="O83"/>
  <c r="AO13"/>
  <c r="X21" i="1"/>
  <c r="X93" s="1"/>
  <c r="X111" s="1"/>
  <c r="W11" i="5"/>
  <c r="X11" s="1"/>
  <c r="O79"/>
  <c r="O78"/>
  <c r="O11"/>
  <c r="P11" s="1"/>
  <c r="U11"/>
  <c r="V11" s="1"/>
  <c r="M11"/>
  <c r="N11" s="1"/>
  <c r="Q11"/>
  <c r="R11" s="1"/>
  <c r="AK11"/>
  <c r="S11"/>
  <c r="T11" s="1"/>
  <c r="AG11"/>
  <c r="AH11" s="1"/>
  <c r="Y11"/>
  <c r="Z11" s="1"/>
  <c r="AM11"/>
  <c r="AN11" s="1"/>
  <c r="AA11"/>
  <c r="AB11" s="1"/>
  <c r="G79"/>
  <c r="G78"/>
  <c r="G11"/>
  <c r="H11" s="1"/>
  <c r="I11"/>
  <c r="J11" s="1"/>
  <c r="AO11"/>
  <c r="AP11" s="1"/>
  <c r="AI11"/>
  <c r="AJ11" s="1"/>
  <c r="K78"/>
  <c r="K79"/>
  <c r="K11"/>
  <c r="L11" s="1"/>
  <c r="AC11"/>
  <c r="AD11" s="1"/>
  <c r="AE11"/>
  <c r="AF11" s="1"/>
  <c r="M110"/>
  <c r="AC110"/>
  <c r="F13" i="1"/>
  <c r="I13" i="5" s="1"/>
  <c r="I13" i="1"/>
  <c r="O13" i="5" s="1"/>
  <c r="L13" i="1"/>
  <c r="U13" i="5" s="1"/>
  <c r="Q110"/>
  <c r="K1"/>
  <c r="H1" i="1"/>
  <c r="O13"/>
  <c r="AA13" i="5" s="1"/>
  <c r="AM110"/>
  <c r="M13" i="1"/>
  <c r="W13" i="5" s="1"/>
  <c r="R13" i="1"/>
  <c r="AA110" i="5"/>
  <c r="Y110"/>
  <c r="AI106"/>
  <c r="I110"/>
  <c r="G110"/>
  <c r="Q13" i="1"/>
  <c r="AE13" i="5" s="1"/>
  <c r="N13" i="1"/>
  <c r="Y13" i="5" s="1"/>
  <c r="G106"/>
  <c r="P13" i="1"/>
  <c r="AC13" i="5" s="1"/>
  <c r="W110"/>
  <c r="AI110"/>
  <c r="AG110"/>
  <c r="AK110"/>
  <c r="U110"/>
  <c r="S110"/>
  <c r="G13" i="1"/>
  <c r="K13" i="5" s="1"/>
  <c r="O106"/>
  <c r="AO110"/>
  <c r="G13"/>
  <c r="U106"/>
  <c r="S13" i="1"/>
  <c r="AI13" i="5" s="1"/>
  <c r="K13" i="1"/>
  <c r="S13" i="5" s="1"/>
  <c r="AA106"/>
  <c r="J13" i="1"/>
  <c r="Q13" i="5" s="1"/>
  <c r="AE110"/>
  <c r="AM106"/>
  <c r="I106"/>
  <c r="M106"/>
  <c r="AC106"/>
  <c r="AE106"/>
  <c r="Y106"/>
  <c r="W13" i="1"/>
  <c r="AM13" i="5" s="1"/>
  <c r="K110"/>
  <c r="H13" i="1"/>
  <c r="M13" i="5" s="1"/>
  <c r="T13" i="1"/>
  <c r="AK13" i="5" s="1"/>
  <c r="AK106"/>
  <c r="AO106"/>
  <c r="S106"/>
  <c r="AG106"/>
  <c r="K106"/>
  <c r="O110"/>
  <c r="W106"/>
  <c r="Q106"/>
  <c r="X43" i="1"/>
  <c r="AO43" i="5" s="1"/>
  <c r="H112" i="1" l="1"/>
  <c r="M78" i="5"/>
  <c r="K108" i="1"/>
  <c r="L108"/>
  <c r="T108"/>
  <c r="M77" i="5"/>
  <c r="H90" i="1"/>
  <c r="AO77" i="5"/>
  <c r="Y77"/>
  <c r="N90" i="1"/>
  <c r="D66"/>
  <c r="E66" i="5" s="1"/>
  <c r="I108" i="1"/>
  <c r="E108"/>
  <c r="G108"/>
  <c r="AG77" i="5"/>
  <c r="R90" i="1"/>
  <c r="AC77" i="5"/>
  <c r="P90" i="1"/>
  <c r="AA77" i="5"/>
  <c r="O90" i="1"/>
  <c r="S77" i="5"/>
  <c r="K90" i="1"/>
  <c r="AE77" i="5"/>
  <c r="Q90" i="1"/>
  <c r="AI77" i="5"/>
  <c r="S90" i="1"/>
  <c r="AM77" i="5"/>
  <c r="AK77"/>
  <c r="T90" i="1"/>
  <c r="U77" i="5"/>
  <c r="L90" i="1"/>
  <c r="F108"/>
  <c r="J108"/>
  <c r="P108"/>
  <c r="H108"/>
  <c r="W77" i="5"/>
  <c r="M90" i="1"/>
  <c r="K77" i="5"/>
  <c r="G90" i="1"/>
  <c r="I77" i="5"/>
  <c r="G77"/>
  <c r="Q77"/>
  <c r="O77"/>
  <c r="I90" i="1"/>
  <c r="AO21" i="5"/>
  <c r="AO93"/>
  <c r="AK81"/>
  <c r="F21" i="1"/>
  <c r="F93" s="1"/>
  <c r="F111" s="1"/>
  <c r="R43"/>
  <c r="AG43" i="5" s="1"/>
  <c r="AG13"/>
  <c r="O43" i="1"/>
  <c r="AA43" i="5" s="1"/>
  <c r="L43" i="1"/>
  <c r="U43" i="5" s="1"/>
  <c r="I21" i="1"/>
  <c r="I93" s="1"/>
  <c r="I111" s="1"/>
  <c r="P43"/>
  <c r="AC43" i="5" s="1"/>
  <c r="W21" i="1"/>
  <c r="W93" s="1"/>
  <c r="W111" s="1"/>
  <c r="Q43"/>
  <c r="AE43" i="5" s="1"/>
  <c r="T21" i="1"/>
  <c r="T93" s="1"/>
  <c r="T111" s="1"/>
  <c r="S21"/>
  <c r="S93" s="1"/>
  <c r="S111" s="1"/>
  <c r="F43"/>
  <c r="I43" i="5" s="1"/>
  <c r="G43" i="1"/>
  <c r="K43" i="5" s="1"/>
  <c r="R21" i="1"/>
  <c r="R93" s="1"/>
  <c r="R111" s="1"/>
  <c r="M21"/>
  <c r="M93" s="1"/>
  <c r="M111" s="1"/>
  <c r="N21"/>
  <c r="N93" s="1"/>
  <c r="N111" s="1"/>
  <c r="P21"/>
  <c r="P93" s="1"/>
  <c r="P111" s="1"/>
  <c r="J43"/>
  <c r="Q43" i="5" s="1"/>
  <c r="O21" i="1"/>
  <c r="O93" s="1"/>
  <c r="O111" s="1"/>
  <c r="M43"/>
  <c r="W43" i="5" s="1"/>
  <c r="I43" i="1"/>
  <c r="O43" i="5" s="1"/>
  <c r="L21" i="1"/>
  <c r="L93" s="1"/>
  <c r="L111" s="1"/>
  <c r="M1" i="5"/>
  <c r="I1" i="1"/>
  <c r="Q21"/>
  <c r="Q93" s="1"/>
  <c r="Q111" s="1"/>
  <c r="N43"/>
  <c r="Y43" i="5" s="1"/>
  <c r="W43" i="1"/>
  <c r="AM43" i="5" s="1"/>
  <c r="E93" i="1"/>
  <c r="E111" s="1"/>
  <c r="E43"/>
  <c r="G43" i="5" s="1"/>
  <c r="G21" i="1"/>
  <c r="G93" s="1"/>
  <c r="G111" s="1"/>
  <c r="I112" i="5"/>
  <c r="AM112"/>
  <c r="S43" i="1"/>
  <c r="AI43" i="5" s="1"/>
  <c r="K21" i="1"/>
  <c r="K93" s="1"/>
  <c r="K111" s="1"/>
  <c r="S43" i="5"/>
  <c r="J21" i="1"/>
  <c r="J93" s="1"/>
  <c r="J111" s="1"/>
  <c r="D43"/>
  <c r="E43" i="5" s="1"/>
  <c r="G112"/>
  <c r="AA112"/>
  <c r="T43" i="1"/>
  <c r="AK43" i="5" s="1"/>
  <c r="C43" i="1"/>
  <c r="C43" i="5" s="1"/>
  <c r="AI112"/>
  <c r="AC112"/>
  <c r="AO112"/>
  <c r="W112"/>
  <c r="AG112"/>
  <c r="S112"/>
  <c r="H21" i="1"/>
  <c r="H93" s="1"/>
  <c r="H111" s="1"/>
  <c r="H43"/>
  <c r="M43" i="5" s="1"/>
  <c r="O112"/>
  <c r="U112"/>
  <c r="AE112"/>
  <c r="AK112"/>
  <c r="Q112"/>
  <c r="K112"/>
  <c r="Y112"/>
  <c r="AO107"/>
  <c r="X23" i="1"/>
  <c r="AO23" i="5" s="1"/>
  <c r="AI81" l="1"/>
  <c r="U81"/>
  <c r="Q81"/>
  <c r="J90" i="1"/>
  <c r="J99" s="1"/>
  <c r="Q99" i="5" s="1"/>
  <c r="AM81"/>
  <c r="W90" i="1"/>
  <c r="AM90" i="5" s="1"/>
  <c r="AN90" s="1"/>
  <c r="AO81"/>
  <c r="X90" i="1"/>
  <c r="AO90" i="5" s="1"/>
  <c r="AP90" s="1"/>
  <c r="AA81"/>
  <c r="I81"/>
  <c r="F90" i="1"/>
  <c r="I90" i="5" s="1"/>
  <c r="J90" s="1"/>
  <c r="S81"/>
  <c r="AC81"/>
  <c r="AG81"/>
  <c r="AE81"/>
  <c r="Y81"/>
  <c r="W81"/>
  <c r="M21"/>
  <c r="M93"/>
  <c r="AM21"/>
  <c r="AM93"/>
  <c r="G21"/>
  <c r="I21"/>
  <c r="AG21"/>
  <c r="AG93"/>
  <c r="AK21"/>
  <c r="K21"/>
  <c r="K93"/>
  <c r="AG90"/>
  <c r="AH90" s="1"/>
  <c r="Y90"/>
  <c r="Z90" s="1"/>
  <c r="S90"/>
  <c r="T90" s="1"/>
  <c r="AC90"/>
  <c r="AD90" s="1"/>
  <c r="U90"/>
  <c r="V90" s="1"/>
  <c r="AE90"/>
  <c r="AF90" s="1"/>
  <c r="AA90"/>
  <c r="AB90" s="1"/>
  <c r="W90"/>
  <c r="X90" s="1"/>
  <c r="AI90"/>
  <c r="AJ90" s="1"/>
  <c r="AK90"/>
  <c r="AL90" s="1"/>
  <c r="U21"/>
  <c r="U93"/>
  <c r="Y21"/>
  <c r="Y93"/>
  <c r="Q21"/>
  <c r="Q93"/>
  <c r="AC21"/>
  <c r="O21"/>
  <c r="O93"/>
  <c r="S21"/>
  <c r="S93"/>
  <c r="AA21"/>
  <c r="AA93"/>
  <c r="W21"/>
  <c r="T23" i="1"/>
  <c r="AK23" i="5" s="1"/>
  <c r="I93"/>
  <c r="F23" i="1"/>
  <c r="I23" i="5" s="1"/>
  <c r="AC99"/>
  <c r="G81"/>
  <c r="H81" s="1"/>
  <c r="K81"/>
  <c r="L81" s="1"/>
  <c r="I107"/>
  <c r="AK107"/>
  <c r="O81"/>
  <c r="P81" s="1"/>
  <c r="AO99"/>
  <c r="AI93"/>
  <c r="AI21"/>
  <c r="AE93"/>
  <c r="AE21"/>
  <c r="I23" i="1"/>
  <c r="O23" i="5" s="1"/>
  <c r="AG107"/>
  <c r="G107"/>
  <c r="O107"/>
  <c r="AM107"/>
  <c r="R23" i="1"/>
  <c r="AG23" i="5" s="1"/>
  <c r="K107"/>
  <c r="W107"/>
  <c r="T99" i="1"/>
  <c r="W23"/>
  <c r="AM23" i="5" s="1"/>
  <c r="AC107"/>
  <c r="Q23" i="1"/>
  <c r="AE23" i="5" s="1"/>
  <c r="AI107"/>
  <c r="M23" i="1"/>
  <c r="W23" i="5" s="1"/>
  <c r="S23" i="1"/>
  <c r="AI23" i="5" s="1"/>
  <c r="L99" i="1"/>
  <c r="U99" i="5" s="1"/>
  <c r="O99" i="1"/>
  <c r="O23"/>
  <c r="AA23" i="5" s="1"/>
  <c r="N23" i="1"/>
  <c r="Y23" i="5" s="1"/>
  <c r="U107"/>
  <c r="Y107"/>
  <c r="P23" i="1"/>
  <c r="AC23" i="5" s="1"/>
  <c r="AA107"/>
  <c r="L23" i="1"/>
  <c r="U23" i="5" s="1"/>
  <c r="AE107"/>
  <c r="O1"/>
  <c r="J1" i="1"/>
  <c r="E23"/>
  <c r="G23" i="5" s="1"/>
  <c r="AG47"/>
  <c r="R99" i="1"/>
  <c r="AG99" i="5" s="1"/>
  <c r="S99" i="1"/>
  <c r="AI99" i="5" s="1"/>
  <c r="N99" i="1"/>
  <c r="Y99" i="5" s="1"/>
  <c r="K99" i="1"/>
  <c r="S99" i="5" s="1"/>
  <c r="Q107"/>
  <c r="G23" i="1"/>
  <c r="K23" i="5" s="1"/>
  <c r="J23" i="1"/>
  <c r="Q23" i="5" s="1"/>
  <c r="M99" i="1"/>
  <c r="W99" i="5" s="1"/>
  <c r="Q99" i="1"/>
  <c r="AE99" i="5" s="1"/>
  <c r="AI47"/>
  <c r="K23" i="1"/>
  <c r="S23" i="5" s="1"/>
  <c r="S107"/>
  <c r="M112"/>
  <c r="H23" i="1"/>
  <c r="M23" i="5" s="1"/>
  <c r="M107"/>
  <c r="AO111"/>
  <c r="T94" i="1" l="1"/>
  <c r="AK94" i="5" s="1"/>
  <c r="T24" i="1"/>
  <c r="T28" s="1"/>
  <c r="J24"/>
  <c r="J28" s="1"/>
  <c r="J30" s="1"/>
  <c r="W99"/>
  <c r="W94" s="1"/>
  <c r="AM94" i="5" s="1"/>
  <c r="F99" i="1"/>
  <c r="I99" i="5" s="1"/>
  <c r="J94" i="1"/>
  <c r="Q94" i="5" s="1"/>
  <c r="Q90"/>
  <c r="R90" s="1"/>
  <c r="G93"/>
  <c r="G90"/>
  <c r="O47"/>
  <c r="K47"/>
  <c r="AK93"/>
  <c r="AK111"/>
  <c r="AM111"/>
  <c r="I111"/>
  <c r="AG111"/>
  <c r="AI111"/>
  <c r="P94" i="1"/>
  <c r="AC94" i="5" s="1"/>
  <c r="P24" i="1"/>
  <c r="AO94" i="5"/>
  <c r="K90"/>
  <c r="O90"/>
  <c r="M81"/>
  <c r="X24" i="1"/>
  <c r="U111" i="5"/>
  <c r="O24" i="1"/>
  <c r="O28" s="1"/>
  <c r="O30" s="1"/>
  <c r="AA99" i="5"/>
  <c r="AK99"/>
  <c r="AC111"/>
  <c r="AC93"/>
  <c r="O111"/>
  <c r="AE111"/>
  <c r="W111"/>
  <c r="W93"/>
  <c r="L94" i="1"/>
  <c r="U94" i="5" s="1"/>
  <c r="O94" i="1"/>
  <c r="AA94" i="5" s="1"/>
  <c r="K111"/>
  <c r="Q94" i="1"/>
  <c r="AE94" i="5" s="1"/>
  <c r="S94" i="1"/>
  <c r="AI94" i="5" s="1"/>
  <c r="G111"/>
  <c r="L24" i="1"/>
  <c r="L28" s="1"/>
  <c r="AG94" i="5"/>
  <c r="M94" i="1"/>
  <c r="W94" i="5" s="1"/>
  <c r="N94" i="1"/>
  <c r="Y94" i="5" s="1"/>
  <c r="K94" i="1"/>
  <c r="S94" i="5" s="1"/>
  <c r="Y111"/>
  <c r="AA111"/>
  <c r="Q1"/>
  <c r="K1" i="1"/>
  <c r="Q111" i="5"/>
  <c r="R24" i="1"/>
  <c r="R28" s="1"/>
  <c r="R30" s="1"/>
  <c r="S24"/>
  <c r="S28" s="1"/>
  <c r="N24"/>
  <c r="N28" s="1"/>
  <c r="N30" s="1"/>
  <c r="K24"/>
  <c r="K28" s="1"/>
  <c r="K30" s="1"/>
  <c r="M24"/>
  <c r="M28" s="1"/>
  <c r="M30" s="1"/>
  <c r="Q24"/>
  <c r="Q28" s="1"/>
  <c r="S111" i="5"/>
  <c r="I99" i="1"/>
  <c r="O99" i="5" s="1"/>
  <c r="G99" i="1"/>
  <c r="K99" i="5" s="1"/>
  <c r="E99" i="1"/>
  <c r="M111" i="5"/>
  <c r="Q24" l="1"/>
  <c r="R24" s="1"/>
  <c r="W24" i="1"/>
  <c r="W28" s="1"/>
  <c r="AM99" i="5"/>
  <c r="F94" i="1"/>
  <c r="I94" i="5" s="1"/>
  <c r="F24" i="1"/>
  <c r="F28" s="1"/>
  <c r="G99" i="5"/>
  <c r="Q28"/>
  <c r="Q30"/>
  <c r="Y30"/>
  <c r="AA30"/>
  <c r="S30"/>
  <c r="W30"/>
  <c r="AG30"/>
  <c r="AK30"/>
  <c r="AE30"/>
  <c r="AI30"/>
  <c r="U30"/>
  <c r="P28" i="1"/>
  <c r="P30" s="1"/>
  <c r="X28"/>
  <c r="M90" i="5"/>
  <c r="N90" s="1"/>
  <c r="AC24"/>
  <c r="AD24" s="1"/>
  <c r="AO24"/>
  <c r="AP24" s="1"/>
  <c r="Y24"/>
  <c r="Z24" s="1"/>
  <c r="Y28"/>
  <c r="AA24"/>
  <c r="AB24" s="1"/>
  <c r="AA28"/>
  <c r="W24"/>
  <c r="X24" s="1"/>
  <c r="W28"/>
  <c r="AG24"/>
  <c r="AH24" s="1"/>
  <c r="AG28"/>
  <c r="AK24"/>
  <c r="AL24" s="1"/>
  <c r="AE24"/>
  <c r="AE28"/>
  <c r="AI24"/>
  <c r="AJ24" s="1"/>
  <c r="AI28"/>
  <c r="U24"/>
  <c r="V24" s="1"/>
  <c r="U28"/>
  <c r="S24"/>
  <c r="T24" s="1"/>
  <c r="S28"/>
  <c r="G94" i="1"/>
  <c r="K94" i="5" s="1"/>
  <c r="E94" i="1"/>
  <c r="G94" i="5" s="1"/>
  <c r="D88" i="1"/>
  <c r="S1" i="5"/>
  <c r="L1" i="1"/>
  <c r="E24"/>
  <c r="E28" s="1"/>
  <c r="E30" s="1"/>
  <c r="H99"/>
  <c r="M99" i="5" s="1"/>
  <c r="I24" i="1"/>
  <c r="I28" s="1"/>
  <c r="I30" s="1"/>
  <c r="G24"/>
  <c r="G28" s="1"/>
  <c r="G30" s="1"/>
  <c r="AM28" i="5" l="1"/>
  <c r="W30" i="1"/>
  <c r="AM30" i="5" s="1"/>
  <c r="I28"/>
  <c r="F30" i="1"/>
  <c r="I30" i="5" s="1"/>
  <c r="AM24"/>
  <c r="AN24" s="1"/>
  <c r="I24"/>
  <c r="J24" s="1"/>
  <c r="E88"/>
  <c r="D5" i="1"/>
  <c r="E5" i="5" s="1"/>
  <c r="C88" i="1"/>
  <c r="C5" s="1"/>
  <c r="J32"/>
  <c r="Q32" i="5" s="1"/>
  <c r="K30"/>
  <c r="G30"/>
  <c r="T32" i="1"/>
  <c r="AK32" i="5" s="1"/>
  <c r="O30"/>
  <c r="AC30"/>
  <c r="AO28"/>
  <c r="AO30"/>
  <c r="AC28"/>
  <c r="AF24"/>
  <c r="AK28"/>
  <c r="G24"/>
  <c r="H24" s="1"/>
  <c r="G28"/>
  <c r="L32" i="1"/>
  <c r="O24" i="5"/>
  <c r="P24" s="1"/>
  <c r="O28"/>
  <c r="K24"/>
  <c r="L24" s="1"/>
  <c r="K28"/>
  <c r="O32" i="1"/>
  <c r="Q32"/>
  <c r="H94"/>
  <c r="M94" i="5" s="1"/>
  <c r="M1" i="1"/>
  <c r="U1" i="5"/>
  <c r="R32" i="1"/>
  <c r="S32"/>
  <c r="N32"/>
  <c r="K32"/>
  <c r="M32"/>
  <c r="H24"/>
  <c r="H28" s="1"/>
  <c r="H30" s="1"/>
  <c r="W32" l="1"/>
  <c r="AM32" i="5" s="1"/>
  <c r="F32" i="1"/>
  <c r="F42" s="1"/>
  <c r="I42" i="5" s="1"/>
  <c r="F5"/>
  <c r="Q108"/>
  <c r="J42" i="1"/>
  <c r="Q42" i="5" s="1"/>
  <c r="T42" i="1"/>
  <c r="AK42" i="5" s="1"/>
  <c r="M30"/>
  <c r="AK108"/>
  <c r="Y32"/>
  <c r="N42" i="1"/>
  <c r="Y42" i="5" s="1"/>
  <c r="AE32"/>
  <c r="Q42" i="1"/>
  <c r="AE42" i="5" s="1"/>
  <c r="AA32"/>
  <c r="O42" i="1"/>
  <c r="W32" i="5"/>
  <c r="M42" i="1"/>
  <c r="W42" i="5" s="1"/>
  <c r="AG32"/>
  <c r="R42" i="1"/>
  <c r="AG42" i="5" s="1"/>
  <c r="X32" i="1"/>
  <c r="AO108" i="5" s="1"/>
  <c r="S32"/>
  <c r="K42" i="1"/>
  <c r="S42" i="5" s="1"/>
  <c r="AI32"/>
  <c r="S42" i="1"/>
  <c r="AI42" i="5" s="1"/>
  <c r="U32"/>
  <c r="L42" i="1"/>
  <c r="U42" i="5" s="1"/>
  <c r="P32" i="1"/>
  <c r="P42" s="1"/>
  <c r="U108" i="5"/>
  <c r="M24"/>
  <c r="N24" s="1"/>
  <c r="M28"/>
  <c r="C88"/>
  <c r="C5"/>
  <c r="AA108"/>
  <c r="AM108"/>
  <c r="E32" i="1"/>
  <c r="I32"/>
  <c r="G32"/>
  <c r="D8"/>
  <c r="D18" s="1"/>
  <c r="W1" i="5"/>
  <c r="N1" i="1"/>
  <c r="AI108" i="5"/>
  <c r="AG108"/>
  <c r="Y108"/>
  <c r="S108"/>
  <c r="W108"/>
  <c r="AE108"/>
  <c r="F53" i="1" l="1"/>
  <c r="F39" s="1"/>
  <c r="I39" i="5" s="1"/>
  <c r="W42" i="1"/>
  <c r="AM42" i="5" s="1"/>
  <c r="I32"/>
  <c r="J53" i="1"/>
  <c r="Q53" i="5" s="1"/>
  <c r="D83" i="1"/>
  <c r="D90" s="1"/>
  <c r="E18" i="5"/>
  <c r="T53" i="1"/>
  <c r="K32" i="5"/>
  <c r="G42" i="1"/>
  <c r="K42" i="5" s="1"/>
  <c r="G32"/>
  <c r="E42" i="1"/>
  <c r="G42" i="5" s="1"/>
  <c r="AO32"/>
  <c r="X42" i="1"/>
  <c r="AO42" i="5" s="1"/>
  <c r="O32"/>
  <c r="I42" i="1"/>
  <c r="O42" i="5" s="1"/>
  <c r="AC32"/>
  <c r="AC108"/>
  <c r="D5"/>
  <c r="L53" i="1"/>
  <c r="I53" i="5"/>
  <c r="AA42"/>
  <c r="O53" i="1"/>
  <c r="O39" s="1"/>
  <c r="E8" i="5"/>
  <c r="H32" i="1"/>
  <c r="C8"/>
  <c r="M53"/>
  <c r="M39" s="1"/>
  <c r="Y1" i="5"/>
  <c r="O1" i="1"/>
  <c r="R53"/>
  <c r="R39" s="1"/>
  <c r="S53"/>
  <c r="S39" s="1"/>
  <c r="N53"/>
  <c r="K53"/>
  <c r="K39" s="1"/>
  <c r="Q53"/>
  <c r="Q39" s="1"/>
  <c r="O108" i="5"/>
  <c r="W53" i="1" l="1"/>
  <c r="F18" i="5"/>
  <c r="K108"/>
  <c r="E90"/>
  <c r="F90" s="1"/>
  <c r="J39" i="1"/>
  <c r="Q39" i="5" s="1"/>
  <c r="I108"/>
  <c r="C83" i="1"/>
  <c r="C90" s="1"/>
  <c r="L39"/>
  <c r="U39" i="5" s="1"/>
  <c r="T39" i="1"/>
  <c r="AK39" i="5" s="1"/>
  <c r="AK53"/>
  <c r="M32"/>
  <c r="H42" i="1"/>
  <c r="M42" i="5" s="1"/>
  <c r="X53" i="1"/>
  <c r="AC42" i="5"/>
  <c r="P53" i="1"/>
  <c r="P39" s="1"/>
  <c r="AM53" i="5"/>
  <c r="U53"/>
  <c r="AE53"/>
  <c r="AE39"/>
  <c r="AI53"/>
  <c r="AI39"/>
  <c r="W53"/>
  <c r="W39"/>
  <c r="Y53"/>
  <c r="S53"/>
  <c r="S39"/>
  <c r="AG53"/>
  <c r="AG39"/>
  <c r="AA53"/>
  <c r="AA39"/>
  <c r="C8"/>
  <c r="C18" i="1"/>
  <c r="E83" i="5"/>
  <c r="D21" i="1"/>
  <c r="E21" i="5" s="1"/>
  <c r="AA1"/>
  <c r="P1" i="1"/>
  <c r="N64"/>
  <c r="Y64" i="5" s="1"/>
  <c r="I53" i="1"/>
  <c r="I39" s="1"/>
  <c r="M108" i="5"/>
  <c r="E53" i="1"/>
  <c r="E39" s="1"/>
  <c r="G53"/>
  <c r="G39" s="1"/>
  <c r="C90" i="5" l="1"/>
  <c r="D90" s="1"/>
  <c r="G108"/>
  <c r="C18"/>
  <c r="D18" s="1"/>
  <c r="C21" i="1"/>
  <c r="C23" s="1"/>
  <c r="C83" i="5"/>
  <c r="AO53"/>
  <c r="X39" i="1"/>
  <c r="AO39" i="5" s="1"/>
  <c r="AC39"/>
  <c r="AC53"/>
  <c r="AM64"/>
  <c r="W66" i="1"/>
  <c r="O53" i="5"/>
  <c r="O39"/>
  <c r="K53"/>
  <c r="K39"/>
  <c r="G53"/>
  <c r="G39"/>
  <c r="D23" i="1"/>
  <c r="Q1"/>
  <c r="AC1" i="5"/>
  <c r="N66" i="1"/>
  <c r="H53"/>
  <c r="H39" s="1"/>
  <c r="C21" i="5" l="1"/>
  <c r="C28" i="1"/>
  <c r="C30" s="1"/>
  <c r="Y66" i="5"/>
  <c r="N39" i="1"/>
  <c r="Y39" i="5" s="1"/>
  <c r="AM66"/>
  <c r="W39" i="1"/>
  <c r="AM39" i="5" s="1"/>
  <c r="E23"/>
  <c r="D28" i="1"/>
  <c r="D30" s="1"/>
  <c r="M53" i="5"/>
  <c r="M39"/>
  <c r="AE1"/>
  <c r="R1" i="1"/>
  <c r="E28" i="5" l="1"/>
  <c r="E30"/>
  <c r="C23"/>
  <c r="C32" i="1"/>
  <c r="AG1" i="5"/>
  <c r="S1" i="1"/>
  <c r="D32" l="1"/>
  <c r="C28" i="5"/>
  <c r="C30"/>
  <c r="T1" i="1"/>
  <c r="AI1" i="5"/>
  <c r="E32" l="1"/>
  <c r="D42" i="1"/>
  <c r="D53" s="1"/>
  <c r="D39" s="1"/>
  <c r="W1"/>
  <c r="AK1" i="5"/>
  <c r="E42" l="1"/>
  <c r="C32"/>
  <c r="C42" i="1"/>
  <c r="E53" i="5"/>
  <c r="E39"/>
  <c r="X1" i="1"/>
  <c r="AO1" i="5" s="1"/>
  <c r="AM1"/>
  <c r="W95" i="1"/>
  <c r="L95"/>
  <c r="X95"/>
  <c r="P95"/>
  <c r="S95"/>
  <c r="C95"/>
  <c r="R95"/>
  <c r="AG95" i="5" s="1"/>
  <c r="O95" i="1"/>
  <c r="D95"/>
  <c r="E95" i="5" s="1"/>
  <c r="I95" i="1"/>
  <c r="O95" i="5" s="1"/>
  <c r="J95" i="1"/>
  <c r="Q95" i="5" s="1"/>
  <c r="G95" i="1"/>
  <c r="Q95"/>
  <c r="AE95" i="5" s="1"/>
  <c r="K95" i="1"/>
  <c r="S95" i="5" s="1"/>
  <c r="E95" i="1"/>
  <c r="G95" i="5" s="1"/>
  <c r="F95" i="1"/>
  <c r="N95"/>
  <c r="Y95" i="5" s="1"/>
  <c r="M95" i="1"/>
  <c r="W95" i="5" s="1"/>
  <c r="H95" i="1"/>
  <c r="M95" i="5" s="1"/>
  <c r="T95" i="1"/>
  <c r="AK95" i="5" s="1"/>
  <c r="C42" l="1"/>
  <c r="C53" i="1"/>
  <c r="I100"/>
  <c r="R100"/>
  <c r="X100"/>
  <c r="X102" s="1"/>
  <c r="AO102" i="5" s="1"/>
  <c r="AP102" s="1"/>
  <c r="AO95"/>
  <c r="C100" i="1"/>
  <c r="C95" i="5"/>
  <c r="F100" i="1"/>
  <c r="F102" s="1"/>
  <c r="I102" i="5" s="1"/>
  <c r="J102" s="1"/>
  <c r="I95"/>
  <c r="G100" i="1"/>
  <c r="G102" s="1"/>
  <c r="K102" i="5" s="1"/>
  <c r="K95"/>
  <c r="L100" i="1"/>
  <c r="L102" s="1"/>
  <c r="U102" i="5" s="1"/>
  <c r="V102" s="1"/>
  <c r="U95"/>
  <c r="P100" i="1"/>
  <c r="P102" s="1"/>
  <c r="AC102" i="5" s="1"/>
  <c r="AD102" s="1"/>
  <c r="AC95"/>
  <c r="O100" i="1"/>
  <c r="O102" s="1"/>
  <c r="AA102" i="5" s="1"/>
  <c r="AB102" s="1"/>
  <c r="AA95"/>
  <c r="S100" i="1"/>
  <c r="S102" s="1"/>
  <c r="AI102" i="5" s="1"/>
  <c r="AJ102" s="1"/>
  <c r="AI95"/>
  <c r="W100" i="1"/>
  <c r="W102" s="1"/>
  <c r="AM102" i="5" s="1"/>
  <c r="AN102" s="1"/>
  <c r="AM95"/>
  <c r="H100" i="1"/>
  <c r="H102" s="1"/>
  <c r="M102" i="5" s="1"/>
  <c r="N102" s="1"/>
  <c r="E100" i="1"/>
  <c r="Q100"/>
  <c r="J100"/>
  <c r="T100"/>
  <c r="T102" s="1"/>
  <c r="AK102" i="5" s="1"/>
  <c r="AL102" s="1"/>
  <c r="M100" i="1"/>
  <c r="N100"/>
  <c r="D100"/>
  <c r="D102" s="1"/>
  <c r="E102" i="5" s="1"/>
  <c r="F102" s="1"/>
  <c r="K100" i="1"/>
  <c r="K102" s="1"/>
  <c r="S102" i="5" s="1"/>
  <c r="T102" s="1"/>
  <c r="C102" i="1" l="1"/>
  <c r="C102" i="5" s="1"/>
  <c r="D102" s="1"/>
  <c r="C39" i="1"/>
  <c r="C39" i="5" s="1"/>
  <c r="C53"/>
  <c r="N102" i="1"/>
  <c r="Y102" i="5" s="1"/>
  <c r="Z102" s="1"/>
  <c r="Q102" i="1"/>
  <c r="AE102" i="5" s="1"/>
  <c r="AF102" s="1"/>
  <c r="Q103"/>
  <c r="J102" i="1"/>
  <c r="Q102" i="5" s="1"/>
  <c r="R102" s="1"/>
  <c r="O103"/>
  <c r="I102" i="1"/>
  <c r="O102" i="5" s="1"/>
  <c r="M102" i="1"/>
  <c r="W102" i="5" s="1"/>
  <c r="X102" s="1"/>
  <c r="E102" i="1"/>
  <c r="G102" i="5" s="1"/>
  <c r="AG103"/>
  <c r="R102" i="1"/>
  <c r="AG102" i="5" s="1"/>
  <c r="AH102" s="1"/>
  <c r="O100"/>
  <c r="AG100"/>
  <c r="S100"/>
  <c r="S103"/>
  <c r="AK100"/>
  <c r="AK103"/>
  <c r="M100"/>
  <c r="M103"/>
  <c r="AI100"/>
  <c r="AI103"/>
  <c r="AC100"/>
  <c r="AC103"/>
  <c r="U100"/>
  <c r="U103"/>
  <c r="I100"/>
  <c r="I103"/>
  <c r="AO100"/>
  <c r="AO103"/>
  <c r="E100"/>
  <c r="E103"/>
  <c r="AM100"/>
  <c r="AM103"/>
  <c r="AA100"/>
  <c r="AA103"/>
  <c r="K100"/>
  <c r="K103"/>
  <c r="C100"/>
  <c r="C103"/>
  <c r="Q100"/>
  <c r="W103"/>
  <c r="W100"/>
  <c r="G103"/>
  <c r="G100"/>
  <c r="Y103"/>
  <c r="Y100"/>
  <c r="AE103"/>
  <c r="AE100"/>
</calcChain>
</file>

<file path=xl/comments1.xml><?xml version="1.0" encoding="utf-8"?>
<comments xmlns="http://schemas.openxmlformats.org/spreadsheetml/2006/main">
  <authors>
    <author>sjckrobi</author>
  </authors>
  <commentList>
    <comment ref="M132" authorId="0">
      <text>
        <r>
          <rPr>
            <b/>
            <sz val="9"/>
            <color indexed="81"/>
            <rFont val="Tahoma"/>
            <family val="2"/>
          </rPr>
          <t>sjckrobi:</t>
        </r>
        <r>
          <rPr>
            <sz val="9"/>
            <color indexed="81"/>
            <rFont val="Tahoma"/>
            <family val="2"/>
          </rPr>
          <t xml:space="preserve">
all tea sellers have low margins (there are too many)
</t>
        </r>
      </text>
    </comment>
    <comment ref="Q132" authorId="0">
      <text>
        <r>
          <rPr>
            <b/>
            <sz val="9"/>
            <color indexed="81"/>
            <rFont val="Tahoma"/>
            <family val="2"/>
          </rPr>
          <t>sjckrobi:</t>
        </r>
        <r>
          <rPr>
            <sz val="9"/>
            <color indexed="81"/>
            <rFont val="Tahoma"/>
            <family val="2"/>
          </rPr>
          <t xml:space="preserve">
sjckrobi:
all tea sellers have low margins (there are too many)
</t>
        </r>
      </text>
    </comment>
    <comment ref="R132" authorId="0">
      <text>
        <r>
          <rPr>
            <b/>
            <sz val="9"/>
            <color indexed="81"/>
            <rFont val="Tahoma"/>
            <family val="2"/>
          </rPr>
          <t>sjckrobi:</t>
        </r>
        <r>
          <rPr>
            <sz val="9"/>
            <color indexed="81"/>
            <rFont val="Tahoma"/>
            <family val="2"/>
          </rPr>
          <t xml:space="preserve">
sjckrobi:
all tea sellers have low margins (there are too many)
</t>
        </r>
      </text>
    </comment>
    <comment ref="S132" authorId="0">
      <text>
        <r>
          <rPr>
            <b/>
            <sz val="9"/>
            <color indexed="81"/>
            <rFont val="Tahoma"/>
            <family val="2"/>
          </rPr>
          <t>sjckrobi:</t>
        </r>
        <r>
          <rPr>
            <sz val="9"/>
            <color indexed="81"/>
            <rFont val="Tahoma"/>
            <family val="2"/>
          </rPr>
          <t xml:space="preserve">
sjckrobi:
all tea sellers have low margins (there are too many)
</t>
        </r>
      </text>
    </comment>
  </commentList>
</comments>
</file>

<file path=xl/sharedStrings.xml><?xml version="1.0" encoding="utf-8"?>
<sst xmlns="http://schemas.openxmlformats.org/spreadsheetml/2006/main" count="693" uniqueCount="317">
  <si>
    <t>Assets</t>
  </si>
  <si>
    <t>Cash and cash equivalents</t>
  </si>
  <si>
    <t>Inventories</t>
  </si>
  <si>
    <t>Goodwill</t>
  </si>
  <si>
    <t>Deferred tax asset</t>
  </si>
  <si>
    <t>Intangible assets</t>
  </si>
  <si>
    <t>Mortgage loans</t>
  </si>
  <si>
    <t>Liabilities</t>
  </si>
  <si>
    <t>Consumer deposits</t>
  </si>
  <si>
    <t>Total current liabilities</t>
  </si>
  <si>
    <t>Long-term debt</t>
  </si>
  <si>
    <t>Statement of Operations</t>
  </si>
  <si>
    <t>Revenue</t>
  </si>
  <si>
    <t>Revenue from operating activities</t>
  </si>
  <si>
    <t>Revenue from interest</t>
  </si>
  <si>
    <t>Costs and expenses</t>
  </si>
  <si>
    <t>Cost of goods sold</t>
  </si>
  <si>
    <t>Provision for loan loss</t>
  </si>
  <si>
    <t>Other operating expenses</t>
  </si>
  <si>
    <t>Income (loss) from operations</t>
  </si>
  <si>
    <t>Other income (expense)</t>
  </si>
  <si>
    <t>Income before taxes</t>
  </si>
  <si>
    <t>Net Income</t>
  </si>
  <si>
    <t>Consolidated Statement of Cash Flows</t>
  </si>
  <si>
    <t>Cash from operating activities</t>
  </si>
  <si>
    <t>Provision for loan losses</t>
  </si>
  <si>
    <t>Stock-based compensation</t>
  </si>
  <si>
    <t>Increase (decrease) in assets</t>
  </si>
  <si>
    <t>Decrease (increase) in accounts recievable</t>
  </si>
  <si>
    <t>Increase (decrease) in accounts payable</t>
  </si>
  <si>
    <t>Decrease (increase) in Inventories</t>
  </si>
  <si>
    <t>Additions to unearned revenue</t>
  </si>
  <si>
    <t>Net cash flows from operating activities</t>
  </si>
  <si>
    <t>Cash flows from investing activities</t>
  </si>
  <si>
    <t>Sale (purchase) of fixed assets</t>
  </si>
  <si>
    <t>Cash flows from financing activities</t>
  </si>
  <si>
    <t>Repurchase of common stock</t>
  </si>
  <si>
    <t>Proceeds from exercise of stock options</t>
  </si>
  <si>
    <t>Dividend payment</t>
  </si>
  <si>
    <t>H</t>
  </si>
  <si>
    <t>B</t>
  </si>
  <si>
    <t>S</t>
  </si>
  <si>
    <t>P</t>
  </si>
  <si>
    <t>A</t>
  </si>
  <si>
    <t>R</t>
  </si>
  <si>
    <t>V</t>
  </si>
  <si>
    <t>D</t>
  </si>
  <si>
    <t>E</t>
  </si>
  <si>
    <t>U</t>
  </si>
  <si>
    <t>Intangible Assets</t>
  </si>
  <si>
    <t>Pays dividend</t>
  </si>
  <si>
    <t>share buyback</t>
  </si>
  <si>
    <t>Random Index for Puzzle Page List</t>
  </si>
  <si>
    <t>Index</t>
  </si>
  <si>
    <t>URL</t>
  </si>
  <si>
    <t>Company</t>
  </si>
  <si>
    <t>Description</t>
  </si>
  <si>
    <t>Mechanism</t>
  </si>
  <si>
    <t>Notes</t>
  </si>
  <si>
    <t>2A</t>
  </si>
  <si>
    <t>Ebony &amp; Birch</t>
  </si>
  <si>
    <t>Gryphon's very popular shoe polish shop, specializing in blacking and whiting.  The shop has been operating for as long as most people can remember, out of a single location near a well-visited park that Gryphon inherited from his father.</t>
  </si>
  <si>
    <t>Single customer shop.  Low margins, high COGS, high industry turnover.  Rent comparable to Magnanimouse's.</t>
  </si>
  <si>
    <t>hbsp.harvard.edu</t>
  </si>
  <si>
    <t>4A</t>
  </si>
  <si>
    <t>Purple Walrus</t>
  </si>
  <si>
    <t>Walrus's Oyster bar chain with several locations.  Customers include many wonderland commoners, including hedgehogs.  Flamingoes pay a small fee to stand in the oyster water. All customers are cash only.   Purple Walrus locations have not been doing well recently.</t>
  </si>
  <si>
    <t>Restaurant chain with very low COGS.  Small donation to the croquet club, high marketing expenses.  No A/R.</t>
  </si>
  <si>
    <t>Case #13024:</t>
  </si>
  <si>
    <t>1A</t>
  </si>
  <si>
    <t>Hare &amp; Rabbit</t>
  </si>
  <si>
    <t>White Rabbit's watch manufacturer: sells the highest-quality watches to select customers.  Contracts with distributors to get featured spots in customer shops.</t>
  </si>
  <si>
    <t>Manufacturer.  Low rent.  High accounts recievable.  Marketing cost.  Low inventory turnover.</t>
  </si>
  <si>
    <t>Winning the War for Talent in Emerging Markets: Why Women Are the Solution</t>
  </si>
  <si>
    <t>3A</t>
  </si>
  <si>
    <t>Rust Works and Chemical Supply</t>
  </si>
  <si>
    <t>Walrus's industrial production company.  Supplies polishes to Ebony &amp; Birch, Trains and tracks to Wonderland Travel Company, automation for warehouses and manufacturing, and other users of industrial goods.  No significant competition.</t>
  </si>
  <si>
    <t>Industrialist, monopolist.  Fat margins.</t>
  </si>
  <si>
    <t>Testsolve solution: WOMEN</t>
  </si>
  <si>
    <t>2B</t>
  </si>
  <si>
    <t>Caterpillar &amp; Son</t>
  </si>
  <si>
    <t>More industrial business, most banking online or remote.  Walrus is primary shareholder.</t>
  </si>
  <si>
    <t>high line for underwriting loans</t>
  </si>
  <si>
    <t>5B</t>
  </si>
  <si>
    <t>Magnanimouse Banking</t>
  </si>
  <si>
    <t>Known for good customer service.  Ten easily-accessible locations.</t>
  </si>
  <si>
    <t>7B</t>
  </si>
  <si>
    <t>Emerald tea leaf</t>
  </si>
  <si>
    <t>Dormouse's spinoff tea company. One location in a nice outdoor area.  Competes with Hatter &amp; Hatter.</t>
  </si>
  <si>
    <t>Customer shop. Similar to Hatter &amp; Hatter, but most numbers get divided by 4.  Rent comparable to Ebony &amp; Birch.</t>
  </si>
  <si>
    <t>1B</t>
  </si>
  <si>
    <t>Hatter &amp; Co.</t>
  </si>
  <si>
    <t>Hatter's chain of tea shops, which also sells teapots and teacups.  Known for helpful staff.  Steady business due to unbirthday parties, but operates on trust and has difficulty getting customers to pay.</t>
  </si>
  <si>
    <t>Consumer shop with high salary costs and high accounts recievable.</t>
  </si>
  <si>
    <t>6B</t>
  </si>
  <si>
    <t>Right Raven</t>
  </si>
  <si>
    <t>Hatter's furniture company, specializing in hand-made writing desks and tea tables. Each piece of wood is made by hand using traditional tools, sanded by hand, and joined using the strong double dovetail. Employees work outdoors for inspiration. Some sales are direct, some are through distributors.</t>
  </si>
  <si>
    <t>Low facility costs.  High labor costs.  A/R and cash nearly equivalent.</t>
  </si>
  <si>
    <t>3B</t>
  </si>
  <si>
    <t>First Wonderland Holding Company</t>
  </si>
  <si>
    <t>Corporate owner of Wonderland pie shop, Wonderland potion bottling company, and numerous restaurant brands acquired over the years. Owned in full by the court of the Red Queen who values the holding for its size and collects handsome dividends</t>
  </si>
  <si>
    <t>Dividends paid.  High goodwill from acquisitions.</t>
  </si>
  <si>
    <t>4B</t>
  </si>
  <si>
    <t>Travels with Turtles</t>
  </si>
  <si>
    <t>Mock Turtle's Wonderland-wide travel company. The transportation is highly dependable and provided by state-of-the-art trains. Trains run regularly regardless of demand.  Management keeps trains new by selling old trains to the Blue Diamond Croquet Club (or someone else).</t>
  </si>
  <si>
    <t>All costs are fixed. Depreciation is high, and new equipment is purchased regularly.</t>
  </si>
  <si>
    <t>1C</t>
  </si>
  <si>
    <t>Emblaze</t>
  </si>
  <si>
    <t>Cheshire cat's line of toothpaste</t>
  </si>
  <si>
    <t>High marketing costs, high intangible assets</t>
  </si>
  <si>
    <t>3C</t>
  </si>
  <si>
    <t>Blue Diamond Croquet Club</t>
  </si>
  <si>
    <t>Open croquet ground for Wonderland commoners, jointly run by the Flamingo League and Hedgehog Society, where normal croquet balls are used for play</t>
  </si>
  <si>
    <t xml:space="preserve">All income is from a donation.  </t>
  </si>
  <si>
    <t>2C</t>
  </si>
  <si>
    <t>Edgewood Gadgets</t>
  </si>
  <si>
    <t>High-growth software company serving all of Wonderland.</t>
  </si>
  <si>
    <t>High R&amp;D costs, high personnel costs.  Fast growth: large changes in cash-flow statement.</t>
  </si>
  <si>
    <t>ideas:</t>
  </si>
  <si>
    <t xml:space="preserve">make Walrus an industrialist … give him a steel plant.  </t>
  </si>
  <si>
    <t>Sells tobacco produced by Caterpillar Farms by mail order. Warehouses are automated.</t>
  </si>
  <si>
    <t>Distribution company.  Low salary &amp; benefits costs, high capital goods costs.</t>
  </si>
  <si>
    <t>also give him a consumer shop, but make it a pyramid scheme and use lots of tax credits.</t>
  </si>
  <si>
    <t>Use "intangible assets" where a brand is important.</t>
  </si>
  <si>
    <t>goodwill -- acquisitions</t>
  </si>
  <si>
    <t>dividends paid</t>
  </si>
  <si>
    <t>sewage treatment company that also sells effluent to area oysters.  Makes a donation to the save-an-oyster foundation.</t>
  </si>
  <si>
    <t>bank</t>
  </si>
  <si>
    <t>Letter to encode</t>
  </si>
  <si>
    <t>Real ordering:</t>
  </si>
  <si>
    <t>2 banks</t>
  </si>
  <si>
    <t>3 large</t>
  </si>
  <si>
    <t>1 toothpaste manufacturer</t>
  </si>
  <si>
    <t>1 travel company</t>
  </si>
  <si>
    <t>3 restaurants</t>
  </si>
  <si>
    <t>one retail: mortgages, small shop working capital loans, higher interest in general</t>
  </si>
  <si>
    <t>one commercial, with terrible credit card payment policy, low interest, &amp; especially low interest for walrus's oyster bar</t>
  </si>
  <si>
    <t>high salaries, R&amp;D costs, high-growth.  (design modules to add on to mechanical calculating machines)  Cash reserves.</t>
  </si>
  <si>
    <t>1 internet site (Dovetail Mfg), owned by Carpenter.</t>
  </si>
  <si>
    <t>Size: 1 - 3</t>
  </si>
  <si>
    <t>Rental costs</t>
  </si>
  <si>
    <t>Mfg: 0 - 2 (1 is some mfg)</t>
  </si>
  <si>
    <t>Debt-financed</t>
  </si>
  <si>
    <t>Bank: consumer deposits, higher interest</t>
  </si>
  <si>
    <t>Bank with credit card &amp; low interest</t>
  </si>
  <si>
    <t>only manufacturer of chemicals for blacking and whiting and dyes for toothpaste.  (high margin)  Loses money some years. (deferred tax asset).   High invested capital.  Low A/R</t>
  </si>
  <si>
    <t>one spin-off from hatter's.  Privately-owned, no debt, growing.</t>
  </si>
  <si>
    <t>one with high A/R, high A/P (hatter's); high gross margin but low net margin.  Debt-financed.  Shrinking.</t>
  </si>
  <si>
    <t>4 small</t>
  </si>
  <si>
    <t>1 dye, flavor, and potion manufacturer</t>
  </si>
  <si>
    <t>2 manufacturers</t>
  </si>
  <si>
    <t>one contract manufacturer for Dovetail Design, also makes tooling for watch manufacturer, mirror manufacturer.</t>
  </si>
  <si>
    <t>walrus's oyster bar: low COGS, low interest from bank.  Grumpy staff.</t>
  </si>
  <si>
    <t xml:space="preserve">one small, privately-owned, operates out of a house in the red queen's court.  Cheerful staff.  </t>
  </si>
  <si>
    <t>1 blacking / whiting mfg company.</t>
  </si>
  <si>
    <t>1 industrialist</t>
  </si>
  <si>
    <t>1 watch manufacturer</t>
  </si>
  <si>
    <t>7 customer shops:</t>
  </si>
  <si>
    <t>C</t>
  </si>
  <si>
    <t>high margin</t>
  </si>
  <si>
    <t>margin</t>
  </si>
  <si>
    <t>low margin</t>
  </si>
  <si>
    <t>days inv / AR / AP</t>
  </si>
  <si>
    <t>high days inv / AR / AP</t>
  </si>
  <si>
    <t>low days inv / AR / AP</t>
  </si>
  <si>
    <t>high cash / assets / legal fees</t>
  </si>
  <si>
    <t>depreciation</t>
  </si>
  <si>
    <t>depr / fixed assets</t>
  </si>
  <si>
    <t>large revenue</t>
  </si>
  <si>
    <t>med revenue</t>
  </si>
  <si>
    <t>low revenue</t>
  </si>
  <si>
    <t>magic number</t>
  </si>
  <si>
    <t>fixed assets / revenue</t>
  </si>
  <si>
    <t>high fixed assets / revenue</t>
  </si>
  <si>
    <t>gross margin</t>
  </si>
  <si>
    <t>net margin</t>
  </si>
  <si>
    <t>high</t>
  </si>
  <si>
    <t>low</t>
  </si>
  <si>
    <t>interest</t>
  </si>
  <si>
    <t>slow</t>
  </si>
  <si>
    <t>slow depr / fixed assets</t>
  </si>
  <si>
    <t>fast depr / fixed assets</t>
  </si>
  <si>
    <t>operating margin</t>
  </si>
  <si>
    <t>salary costs</t>
  </si>
  <si>
    <t>salary / costs</t>
  </si>
  <si>
    <t>high salary / costs</t>
  </si>
  <si>
    <t>low salary / costs</t>
  </si>
  <si>
    <t>growth</t>
  </si>
  <si>
    <t>growing</t>
  </si>
  <si>
    <t>receivables days</t>
  </si>
  <si>
    <t>payables days</t>
  </si>
  <si>
    <t>inventory days</t>
  </si>
  <si>
    <t>dye</t>
  </si>
  <si>
    <t>gears</t>
  </si>
  <si>
    <t>R&amp;D cost</t>
  </si>
  <si>
    <t>marketing cost</t>
  </si>
  <si>
    <t>calc</t>
  </si>
  <si>
    <t>low interest</t>
  </si>
  <si>
    <t>very low interest</t>
  </si>
  <si>
    <t>high interest</t>
  </si>
  <si>
    <t>Red herring letter to encode</t>
  </si>
  <si>
    <t>T</t>
  </si>
  <si>
    <t>X</t>
  </si>
  <si>
    <t>F</t>
  </si>
  <si>
    <t>O</t>
  </si>
  <si>
    <t>M</t>
  </si>
  <si>
    <t>I</t>
  </si>
  <si>
    <t>N</t>
  </si>
  <si>
    <t>G</t>
  </si>
  <si>
    <t>x</t>
  </si>
  <si>
    <t>invested capital / fixed assets / PP&amp;E</t>
  </si>
  <si>
    <t>dye days inv / AR / AP</t>
  </si>
  <si>
    <t>gears days inv / AR / AP</t>
  </si>
  <si>
    <t>high marketing cost (% revenue)</t>
  </si>
  <si>
    <t>low marketing cost (% revenue)</t>
  </si>
  <si>
    <t>check this .. Need to tax EBIT?</t>
  </si>
  <si>
    <t>Occupancy costs</t>
  </si>
  <si>
    <t>makes steel for railroad and for non-chemical CM.  Mines raw materials.</t>
  </si>
  <si>
    <t>large, high invested capital, high GM, intangible assets, debt-financed (commercial bank)</t>
  </si>
  <si>
    <t>growing.  Privately-owned.  High fixed costs.  High A/R</t>
  </si>
  <si>
    <t>low margins, squeaking by on net margin.    Invested a lot in precision manufacturing equipment (high depreciation).  Low  A/R</t>
  </si>
  <si>
    <t>does not bank with walrus.  Intangible assets.  Sells through lots of stores.</t>
  </si>
  <si>
    <t>large, with high brand worth.  High invested capital.  (dye) payables.  High GM.  Majority of costs: advertising.</t>
  </si>
  <si>
    <t>blacking &amp; whiting (very popular lately: low inventory).   Low A/P.  Debt-financed.</t>
  </si>
  <si>
    <t>exclusive (few customers / low inventory turn).  Intangible assets.</t>
  </si>
  <si>
    <t xml:space="preserve">one with legal payment, high goodwill, &amp; lost money last year (deferred tax asset).  Debt-financed.  </t>
  </si>
  <si>
    <t>only sales outlet for watch mfr, black&amp;white, toothpaste.  Many locations.  Grew organically (stable now).  "gryph" AP</t>
  </si>
  <si>
    <t>one cash only &amp; with exclusive license for drinkme and eatme potions (high margins).  "dye" A/P</t>
  </si>
  <si>
    <t xml:space="preserve">one paying dividends &amp; with integrated manufacturing, high brand worth, high R&amp;D.    </t>
  </si>
  <si>
    <t>one shop of many that sells looking glasses, toothpaste, magic potions.  Owns its location.  Strong brand (intangibles)</t>
  </si>
  <si>
    <t xml:space="preserve">one cash only (tweedledee and tweedledum shop.  </t>
  </si>
  <si>
    <t>one large &amp; with lots of goodwill, financed with low-interest bond (Owned by Red Queen).  Grumpy staff: low salary, liability to employees</t>
  </si>
  <si>
    <t>Other OpEx / revenue</t>
  </si>
  <si>
    <t>0m</t>
  </si>
  <si>
    <t>0u</t>
  </si>
  <si>
    <t>0s</t>
  </si>
  <si>
    <t>0h</t>
  </si>
  <si>
    <t>Statement of Assets \&amp; Liabilities</t>
  </si>
  <si>
    <t>Total Liabilities \&amp; Stockholders' Equity</t>
  </si>
  <si>
    <t>shop</t>
  </si>
  <si>
    <t>Inventory</t>
  </si>
  <si>
    <t>Low equipment: operates out of someone's house.</t>
  </si>
  <si>
    <t>small</t>
  </si>
  <si>
    <t>Interest expense</t>
  </si>
  <si>
    <t>Walrus tricks oysters into coming in for free.</t>
  </si>
  <si>
    <t>\mybox{Revenue from fees}</t>
  </si>
  <si>
    <t>Credit card fees</t>
  </si>
  <si>
    <t>Consumer loans</t>
  </si>
  <si>
    <t>one time legal payment</t>
  </si>
  <si>
    <t>one time legal award</t>
  </si>
  <si>
    <t>Chess set development</t>
  </si>
  <si>
    <t>Property \&amp; fixed assets</t>
  </si>
  <si>
    <t>Current portion of long-term loan assets</t>
  </si>
  <si>
    <t>Proceeds from issuance (repurchase) of long-term debt</t>
  </si>
  <si>
    <t>Deposits</t>
  </si>
  <si>
    <t>Loan assets</t>
  </si>
  <si>
    <t>Other revenue</t>
  </si>
  <si>
    <t>random number</t>
  </si>
  <si>
    <t>Purchases of treasury shares</t>
  </si>
  <si>
    <t>Purchase of financial assets</t>
  </si>
  <si>
    <t>Interest paid</t>
  </si>
  <si>
    <t>Depreciation is 1/100 fixed assets</t>
  </si>
  <si>
    <t>Depreciation is 1/20 fixed assets</t>
  </si>
  <si>
    <t>Investing in its own growth</t>
  </si>
  <si>
    <t>fast</t>
  </si>
  <si>
    <t>Depreciation years</t>
  </si>
  <si>
    <t>(fixed assets) / depreciation</t>
  </si>
  <si>
    <t>New debt incurred (repayed)</t>
  </si>
  <si>
    <t>Court upkeep</t>
  </si>
  <si>
    <t>experimentation</t>
  </si>
  <si>
    <t>Tea combination development</t>
  </si>
  <si>
    <t>Brand value</t>
  </si>
  <si>
    <t>Guards keep income low since it'd go to the Queen</t>
  </si>
  <si>
    <t>Manufacturing inventory</t>
  </si>
  <si>
    <t>Net cash flows from financing activities</t>
  </si>
  <si>
    <t>Net cash flows from investing activities</t>
  </si>
  <si>
    <t>Depreciation \&amp; amortization</t>
  </si>
  <si>
    <t>Research \&amp; development</t>
  </si>
  <si>
    <t>Salary and benefits</t>
  </si>
  <si>
    <t>Total revenue</t>
  </si>
  <si>
    <t>Advertising and marketing costs</t>
  </si>
  <si>
    <t>Total operating expenses</t>
  </si>
  <si>
    <t>Net income</t>
  </si>
  <si>
    <t>Cash and cash equivalents: beginning of period</t>
  </si>
  <si>
    <t>Cash and cash equivalents: end of period</t>
  </si>
  <si>
    <t>Current assets</t>
  </si>
  <si>
    <t>Accounts receivable</t>
  </si>
  <si>
    <t>Material inventory</t>
  </si>
  <si>
    <t>Finished goods inventory</t>
  </si>
  <si>
    <t>Total current assets</t>
  </si>
  <si>
    <t>Other assets</t>
  </si>
  <si>
    <t>Total assets</t>
  </si>
  <si>
    <t>Accounts payable</t>
  </si>
  <si>
    <t>Total liabilities</t>
  </si>
  <si>
    <t>Common stock</t>
  </si>
  <si>
    <t>Receivables days (days sales outstanding)</t>
  </si>
  <si>
    <t>Payables days</t>
  </si>
  <si>
    <t>Inventory days</t>
  </si>
  <si>
    <t>Income taxes paid</t>
  </si>
  <si>
    <t>Stockholders' equity</t>
  </si>
  <si>
    <t>(Accounts receivable) / (Revenue/365)</t>
  </si>
  <si>
    <t>(Accounts payable) / (operating expenses / 365)</t>
  </si>
  <si>
    <t>(Inventory) / (COGS per day)</t>
  </si>
  <si>
    <t>Current portion of debt</t>
  </si>
  <si>
    <t>Banking fees</t>
  </si>
  <si>
    <t>Special payment to small business owner</t>
  </si>
  <si>
    <t>Purple Walrus ``Fee'' returned to Walrus</t>
  </si>
  <si>
    <t>Untaxed revenue passed through Walrus's bank</t>
  </si>
  <si>
    <t>Deferred tax claimed (to offset future taxes)</t>
  </si>
  <si>
    <t>Cash to Red Queen</t>
  </si>
  <si>
    <t>Goodwill \&amp; Intangible assets</t>
  </si>
  <si>
    <t>One-time settlement in legal dispute</t>
  </si>
  <si>
    <t>BEFORE BACKUP HACK</t>
  </si>
  <si>
    <t>W</t>
  </si>
  <si>
    <t>K</t>
  </si>
  <si>
    <t>L</t>
  </si>
  <si>
    <t>Tax line red herring:</t>
  </si>
</sst>
</file>

<file path=xl/styles.xml><?xml version="1.0" encoding="utf-8"?>
<styleSheet xmlns="http://schemas.openxmlformats.org/spreadsheetml/2006/main">
  <numFmts count="1">
    <numFmt numFmtId="164" formatCode="0.0"/>
  </numFmts>
  <fonts count="23">
    <font>
      <sz val="11"/>
      <color theme="1"/>
      <name val="Calibri"/>
      <family val="2"/>
      <scheme val="minor"/>
    </font>
    <font>
      <b/>
      <sz val="11"/>
      <color theme="1"/>
      <name val="Calibri"/>
      <family val="2"/>
      <scheme val="minor"/>
    </font>
    <font>
      <sz val="11"/>
      <name val="Calibri"/>
      <family val="2"/>
      <scheme val="minor"/>
    </font>
    <font>
      <sz val="11"/>
      <color theme="3" tint="0.39997558519241921"/>
      <name val="Calibri"/>
      <family val="2"/>
      <scheme val="minor"/>
    </font>
    <font>
      <sz val="11"/>
      <color theme="3" tint="-0.249977111117893"/>
      <name val="Calibri"/>
      <family val="2"/>
      <scheme val="minor"/>
    </font>
    <font>
      <sz val="11"/>
      <color theme="4" tint="-0.249977111117893"/>
      <name val="Calibri"/>
      <family val="2"/>
      <scheme val="minor"/>
    </font>
    <font>
      <sz val="11"/>
      <color theme="0" tint="-0.34998626667073579"/>
      <name val="Calibri"/>
      <family val="2"/>
      <scheme val="minor"/>
    </font>
    <font>
      <u/>
      <sz val="11"/>
      <color theme="10"/>
      <name val="Calibri"/>
      <family val="2"/>
    </font>
    <font>
      <sz val="11"/>
      <color theme="1"/>
      <name val="Arial"/>
      <family val="2"/>
    </font>
    <font>
      <b/>
      <sz val="11"/>
      <color rgb="FF000000"/>
      <name val="Arial"/>
      <family val="2"/>
    </font>
    <font>
      <b/>
      <sz val="10"/>
      <color rgb="FF000000"/>
      <name val="Arial"/>
      <family val="2"/>
    </font>
    <font>
      <b/>
      <sz val="11"/>
      <color theme="1"/>
      <name val="Arial"/>
      <family val="2"/>
    </font>
    <font>
      <b/>
      <sz val="10"/>
      <color theme="1"/>
      <name val="Arial"/>
      <family val="2"/>
    </font>
    <font>
      <sz val="11"/>
      <color rgb="FF000000"/>
      <name val="Arial"/>
      <family val="2"/>
    </font>
    <font>
      <sz val="10"/>
      <color rgb="FF000000"/>
      <name val="Arial"/>
      <family val="2"/>
    </font>
    <font>
      <sz val="10"/>
      <color theme="1"/>
      <name val="Arial"/>
      <family val="2"/>
    </font>
    <font>
      <sz val="9"/>
      <color indexed="81"/>
      <name val="Tahoma"/>
      <family val="2"/>
    </font>
    <font>
      <b/>
      <sz val="9"/>
      <color indexed="81"/>
      <name val="Tahoma"/>
      <family val="2"/>
    </font>
    <font>
      <sz val="11"/>
      <color theme="3"/>
      <name val="Calibri"/>
      <family val="2"/>
      <scheme val="minor"/>
    </font>
    <font>
      <sz val="11"/>
      <color rgb="FF00B050"/>
      <name val="Calibri"/>
      <family val="2"/>
      <scheme val="minor"/>
    </font>
    <font>
      <sz val="11"/>
      <color theme="4"/>
      <name val="Calibri"/>
      <family val="2"/>
      <scheme val="minor"/>
    </font>
    <font>
      <sz val="11"/>
      <color theme="9" tint="-0.499984740745262"/>
      <name val="Calibri"/>
      <family val="2"/>
      <scheme val="minor"/>
    </font>
    <font>
      <b/>
      <sz val="11"/>
      <color theme="9" tint="-0.499984740745262"/>
      <name val="Calibri"/>
      <family val="2"/>
      <scheme val="minor"/>
    </font>
  </fonts>
  <fills count="5">
    <fill>
      <patternFill patternType="none"/>
    </fill>
    <fill>
      <patternFill patternType="gray125"/>
    </fill>
    <fill>
      <patternFill patternType="solid">
        <fgColor theme="1"/>
        <bgColor indexed="64"/>
      </patternFill>
    </fill>
    <fill>
      <patternFill patternType="solid">
        <fgColor rgb="FFB7B7B7"/>
        <bgColor indexed="64"/>
      </patternFill>
    </fill>
    <fill>
      <patternFill patternType="solid">
        <fgColor rgb="FFFFFFFF"/>
        <bgColor indexed="64"/>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000000"/>
      </bottom>
      <diagonal/>
    </border>
    <border>
      <left/>
      <right style="medium">
        <color rgb="FFCCCCCC"/>
      </right>
      <top/>
      <bottom style="medium">
        <color rgb="FFCCCCCC"/>
      </bottom>
      <diagonal/>
    </border>
    <border>
      <left style="medium">
        <color rgb="FF000000"/>
      </left>
      <right style="medium">
        <color rgb="FF000000"/>
      </right>
      <top/>
      <bottom style="medium">
        <color rgb="FFCCCCCC"/>
      </bottom>
      <diagonal/>
    </border>
    <border>
      <left/>
      <right style="medium">
        <color rgb="FF000000"/>
      </right>
      <top/>
      <bottom style="medium">
        <color rgb="FFCCCCCC"/>
      </bottom>
      <diagonal/>
    </border>
    <border>
      <left/>
      <right style="medium">
        <color rgb="FF000000"/>
      </right>
      <top/>
      <bottom style="medium">
        <color rgb="FF000000"/>
      </bottom>
      <diagonal/>
    </border>
    <border>
      <left/>
      <right style="medium">
        <color rgb="FFCCCCCC"/>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0">
    <xf numFmtId="0" fontId="0" fillId="0" borderId="0" xfId="0"/>
    <xf numFmtId="0" fontId="1" fillId="0" borderId="0" xfId="0" applyFont="1"/>
    <xf numFmtId="0" fontId="2" fillId="0" borderId="0" xfId="0" applyFont="1" applyAlignment="1">
      <alignment horizontal="left" indent="3"/>
    </xf>
    <xf numFmtId="0" fontId="3" fillId="0" borderId="0" xfId="0" applyFont="1" applyAlignment="1">
      <alignment horizontal="left" indent="2"/>
    </xf>
    <xf numFmtId="0" fontId="0" fillId="0" borderId="0" xfId="0" applyAlignment="1">
      <alignment horizontal="left" indent="1"/>
    </xf>
    <xf numFmtId="0" fontId="4" fillId="0" borderId="0" xfId="0" applyFont="1"/>
    <xf numFmtId="0" fontId="4" fillId="0" borderId="0" xfId="0" applyFont="1" applyAlignment="1">
      <alignment horizontal="left"/>
    </xf>
    <xf numFmtId="0" fontId="0" fillId="0" borderId="0" xfId="0" applyAlignment="1">
      <alignment horizontal="left"/>
    </xf>
    <xf numFmtId="0" fontId="4" fillId="0" borderId="0" xfId="0" applyFont="1" applyAlignment="1">
      <alignment horizontal="left" indent="1"/>
    </xf>
    <xf numFmtId="0" fontId="0" fillId="2" borderId="0" xfId="0" applyFill="1"/>
    <xf numFmtId="0" fontId="0" fillId="0" borderId="0" xfId="0" applyFont="1" applyAlignment="1">
      <alignment horizontal="left" indent="1"/>
    </xf>
    <xf numFmtId="0" fontId="2" fillId="0" borderId="0" xfId="0" applyFont="1" applyAlignment="1">
      <alignment horizontal="left" indent="1"/>
    </xf>
    <xf numFmtId="0" fontId="5" fillId="0" borderId="0" xfId="0" applyFont="1" applyAlignment="1">
      <alignment horizontal="left"/>
    </xf>
    <xf numFmtId="0" fontId="5" fillId="0" borderId="0" xfId="0" applyFont="1"/>
    <xf numFmtId="0" fontId="6" fillId="0" borderId="0" xfId="0" applyFont="1" applyAlignment="1">
      <alignment horizontal="left" indent="1"/>
    </xf>
    <xf numFmtId="0" fontId="7" fillId="0" borderId="0" xfId="1" applyAlignment="1" applyProtection="1"/>
    <xf numFmtId="0" fontId="6" fillId="0" borderId="0" xfId="0" applyFont="1"/>
    <xf numFmtId="0" fontId="9" fillId="3" borderId="1" xfId="0" applyFont="1" applyFill="1" applyBorder="1" applyAlignment="1">
      <alignment horizontal="left" wrapText="1" readingOrder="1"/>
    </xf>
    <xf numFmtId="0" fontId="10" fillId="3" borderId="2" xfId="0" applyFont="1" applyFill="1" applyBorder="1" applyAlignment="1">
      <alignment horizontal="left" wrapText="1" readingOrder="1"/>
    </xf>
    <xf numFmtId="0" fontId="11" fillId="3" borderId="2" xfId="0" applyFont="1" applyFill="1" applyBorder="1" applyAlignment="1">
      <alignment wrapText="1"/>
    </xf>
    <xf numFmtId="0" fontId="12" fillId="3" borderId="2" xfId="0" applyFont="1" applyFill="1" applyBorder="1" applyAlignment="1">
      <alignment wrapText="1"/>
    </xf>
    <xf numFmtId="0" fontId="8" fillId="4" borderId="3" xfId="0" applyFont="1" applyFill="1" applyBorder="1" applyAlignment="1">
      <alignment wrapText="1"/>
    </xf>
    <xf numFmtId="0" fontId="8" fillId="4" borderId="4" xfId="0" applyFont="1" applyFill="1" applyBorder="1" applyAlignment="1">
      <alignment wrapText="1"/>
    </xf>
    <xf numFmtId="0" fontId="8" fillId="4" borderId="5" xfId="0" applyFont="1" applyFill="1" applyBorder="1" applyAlignment="1">
      <alignment wrapText="1"/>
    </xf>
    <xf numFmtId="0" fontId="8" fillId="4" borderId="6" xfId="0" applyFont="1" applyFill="1" applyBorder="1" applyAlignment="1">
      <alignment wrapText="1"/>
    </xf>
    <xf numFmtId="0" fontId="8" fillId="4" borderId="7" xfId="0" applyFont="1" applyFill="1" applyBorder="1" applyAlignment="1">
      <alignment wrapText="1"/>
    </xf>
    <xf numFmtId="0" fontId="13" fillId="4" borderId="6" xfId="0" applyFont="1" applyFill="1" applyBorder="1" applyAlignment="1">
      <alignment horizontal="right" wrapText="1"/>
    </xf>
    <xf numFmtId="0" fontId="14" fillId="0" borderId="5" xfId="0" applyFont="1" applyBorder="1" applyAlignment="1">
      <alignment horizontal="right" wrapText="1"/>
    </xf>
    <xf numFmtId="0" fontId="14" fillId="0" borderId="5" xfId="0" applyFont="1" applyBorder="1" applyAlignment="1">
      <alignment horizontal="left" wrapText="1" readingOrder="1"/>
    </xf>
    <xf numFmtId="0" fontId="15" fillId="0" borderId="7" xfId="0" applyFont="1" applyBorder="1" applyAlignment="1">
      <alignment wrapText="1"/>
    </xf>
    <xf numFmtId="0" fontId="15" fillId="0" borderId="5" xfId="0" applyFont="1" applyBorder="1" applyAlignment="1">
      <alignment wrapText="1"/>
    </xf>
    <xf numFmtId="0" fontId="7" fillId="0" borderId="5" xfId="1" applyBorder="1" applyAlignment="1" applyProtection="1">
      <alignment horizontal="left" wrapText="1" readingOrder="1"/>
    </xf>
    <xf numFmtId="0" fontId="8" fillId="4" borderId="8" xfId="0" applyFont="1" applyFill="1" applyBorder="1" applyAlignment="1">
      <alignment wrapText="1"/>
    </xf>
    <xf numFmtId="0" fontId="13" fillId="4" borderId="6" xfId="0" applyFont="1" applyFill="1" applyBorder="1" applyAlignment="1">
      <alignment horizontal="left" wrapText="1"/>
    </xf>
    <xf numFmtId="0" fontId="14" fillId="0" borderId="5" xfId="0" applyFont="1" applyBorder="1" applyAlignment="1">
      <alignment horizontal="left" wrapText="1"/>
    </xf>
    <xf numFmtId="0" fontId="0" fillId="0" borderId="0" xfId="0" applyAlignment="1">
      <alignment wrapText="1"/>
    </xf>
    <xf numFmtId="0" fontId="14" fillId="0" borderId="7" xfId="0" applyFont="1" applyBorder="1" applyAlignment="1">
      <alignment horizontal="left" wrapText="1" readingOrder="1"/>
    </xf>
    <xf numFmtId="0" fontId="13" fillId="4" borderId="6" xfId="0" applyFont="1" applyFill="1" applyBorder="1" applyAlignment="1">
      <alignment horizontal="right" wrapText="1" readingOrder="1"/>
    </xf>
    <xf numFmtId="0" fontId="14" fillId="4" borderId="5" xfId="0" applyFont="1" applyFill="1" applyBorder="1" applyAlignment="1">
      <alignment horizontal="right" wrapText="1" readingOrder="1"/>
    </xf>
    <xf numFmtId="0" fontId="14" fillId="4" borderId="5" xfId="0" applyFont="1" applyFill="1" applyBorder="1" applyAlignment="1">
      <alignment horizontal="left" wrapText="1" readingOrder="1"/>
    </xf>
    <xf numFmtId="0" fontId="14" fillId="4" borderId="7" xfId="0" applyFont="1" applyFill="1" applyBorder="1" applyAlignment="1">
      <alignment horizontal="left" wrapText="1" readingOrder="1"/>
    </xf>
    <xf numFmtId="0" fontId="15" fillId="4" borderId="5" xfId="0" applyFont="1" applyFill="1" applyBorder="1" applyAlignment="1">
      <alignment wrapText="1"/>
    </xf>
    <xf numFmtId="0" fontId="14" fillId="0" borderId="9" xfId="0" applyFont="1" applyFill="1" applyBorder="1" applyAlignment="1">
      <alignment horizontal="left" wrapText="1" readingOrder="1"/>
    </xf>
    <xf numFmtId="0" fontId="15" fillId="0" borderId="4" xfId="0" applyFont="1" applyBorder="1" applyAlignment="1">
      <alignment wrapText="1"/>
    </xf>
    <xf numFmtId="0" fontId="15" fillId="0" borderId="8" xfId="0" applyFont="1" applyBorder="1" applyAlignment="1">
      <alignment wrapText="1"/>
    </xf>
    <xf numFmtId="0" fontId="1" fillId="0" borderId="10" xfId="0" applyFont="1" applyBorder="1"/>
    <xf numFmtId="0" fontId="1"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10" fontId="0" fillId="0" borderId="13" xfId="0" applyNumberFormat="1" applyBorder="1"/>
    <xf numFmtId="9" fontId="0" fillId="0" borderId="13" xfId="0" applyNumberFormat="1" applyBorder="1"/>
    <xf numFmtId="0" fontId="18" fillId="0" borderId="0" xfId="0" applyFont="1" applyAlignment="1">
      <alignment horizontal="left" indent="1"/>
    </xf>
    <xf numFmtId="0" fontId="18" fillId="0" borderId="0" xfId="0" applyFont="1"/>
    <xf numFmtId="0" fontId="18" fillId="0" borderId="0" xfId="0" applyFont="1" applyAlignment="1">
      <alignment horizontal="left" indent="2"/>
    </xf>
    <xf numFmtId="0" fontId="18" fillId="0" borderId="0" xfId="0" applyFont="1" applyAlignment="1">
      <alignment horizontal="left"/>
    </xf>
    <xf numFmtId="0" fontId="19" fillId="0" borderId="0" xfId="0" applyFont="1" applyAlignment="1">
      <alignment horizontal="left"/>
    </xf>
    <xf numFmtId="0" fontId="19" fillId="0" borderId="0" xfId="0" applyFont="1"/>
    <xf numFmtId="0" fontId="20" fillId="0" borderId="0" xfId="0" applyFont="1" applyAlignment="1">
      <alignment horizontal="left" indent="1"/>
    </xf>
    <xf numFmtId="0" fontId="20" fillId="0" borderId="0" xfId="0" applyFont="1"/>
    <xf numFmtId="0" fontId="20" fillId="0" borderId="0" xfId="0" applyFont="1" applyAlignment="1">
      <alignment horizontal="left"/>
    </xf>
    <xf numFmtId="164" fontId="0" fillId="0" borderId="0" xfId="0" applyNumberFormat="1"/>
    <xf numFmtId="0" fontId="21" fillId="0" borderId="0" xfId="0" applyFont="1"/>
    <xf numFmtId="0" fontId="21" fillId="2" borderId="0" xfId="0" applyFont="1" applyFill="1"/>
    <xf numFmtId="164" fontId="21" fillId="0" borderId="0" xfId="0" applyNumberFormat="1" applyFont="1"/>
    <xf numFmtId="3" fontId="21" fillId="0" borderId="0" xfId="0" applyNumberFormat="1" applyFont="1"/>
    <xf numFmtId="3" fontId="18" fillId="0" borderId="0" xfId="0" applyNumberFormat="1" applyFont="1"/>
    <xf numFmtId="0" fontId="22" fillId="0" borderId="0" xfId="0" applyFont="1"/>
    <xf numFmtId="0" fontId="21" fillId="0" borderId="0" xfId="0" applyFont="1" applyAlignment="1">
      <alignment horizontal="left" inden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oogle.com/url?q=http://hbsp.harvard.edu&amp;usd=2&amp;usg=ALhdy29bS2ZYIH9n3pG_965uMtzUbCAX0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06"/>
  <sheetViews>
    <sheetView topLeftCell="A10" workbookViewId="0">
      <selection activeCell="D1" sqref="D1"/>
    </sheetView>
  </sheetViews>
  <sheetFormatPr defaultRowHeight="15"/>
  <cols>
    <col min="1" max="1" width="39.5703125" customWidth="1"/>
    <col min="4" max="4" width="15.7109375" customWidth="1"/>
    <col min="5" max="5" width="43.42578125" customWidth="1"/>
    <col min="7" max="7" width="29.85546875" customWidth="1"/>
    <col min="9" max="9" width="4.140625" customWidth="1"/>
    <col min="10" max="10" width="25.5703125" customWidth="1"/>
  </cols>
  <sheetData>
    <row r="1" spans="1:18" ht="15.75" thickBot="1">
      <c r="A1" s="17" t="s">
        <v>52</v>
      </c>
      <c r="B1" s="18" t="s">
        <v>53</v>
      </c>
      <c r="C1" s="18" t="s">
        <v>54</v>
      </c>
      <c r="D1" s="18" t="s">
        <v>55</v>
      </c>
      <c r="E1" s="18" t="s">
        <v>56</v>
      </c>
      <c r="F1" s="19"/>
      <c r="G1" s="18" t="s">
        <v>57</v>
      </c>
      <c r="H1" s="18" t="s">
        <v>58</v>
      </c>
      <c r="I1" s="20"/>
      <c r="J1" s="20"/>
      <c r="K1" s="20"/>
      <c r="L1" s="20"/>
      <c r="M1" s="20"/>
      <c r="N1" s="20"/>
      <c r="O1" s="20"/>
      <c r="P1" s="20"/>
      <c r="Q1" s="20"/>
      <c r="R1" s="20"/>
    </row>
    <row r="2" spans="1:18" ht="15.75" thickBot="1">
      <c r="A2" s="21"/>
      <c r="B2" s="22"/>
      <c r="C2" s="22"/>
      <c r="D2" s="22"/>
      <c r="E2" s="22"/>
      <c r="F2" s="22"/>
      <c r="G2" s="22"/>
      <c r="H2" s="22"/>
      <c r="I2" s="23"/>
      <c r="J2" s="23"/>
      <c r="K2" s="23"/>
      <c r="L2" s="23"/>
      <c r="M2" s="23"/>
      <c r="N2" s="23"/>
      <c r="O2" s="23"/>
      <c r="P2" s="23"/>
      <c r="Q2" s="23"/>
      <c r="R2" s="23"/>
    </row>
    <row r="3" spans="1:18" ht="15.75" thickBot="1">
      <c r="A3" s="24"/>
      <c r="B3" s="23"/>
      <c r="C3" s="23"/>
      <c r="D3" s="23"/>
      <c r="E3" s="23"/>
      <c r="F3" s="23"/>
      <c r="G3" s="23"/>
      <c r="H3" s="25"/>
      <c r="I3" s="23"/>
      <c r="J3" s="23"/>
      <c r="K3" s="23"/>
      <c r="L3" s="23"/>
      <c r="M3" s="23"/>
      <c r="N3" s="23"/>
      <c r="O3" s="23"/>
      <c r="P3" s="23"/>
      <c r="Q3" s="23"/>
      <c r="R3" s="23"/>
    </row>
    <row r="4" spans="1:18" ht="65.25" thickBot="1">
      <c r="A4" s="26">
        <v>1.2</v>
      </c>
      <c r="B4" s="27" t="s">
        <v>59</v>
      </c>
      <c r="C4" s="28" t="s">
        <v>40</v>
      </c>
      <c r="D4" s="28" t="s">
        <v>60</v>
      </c>
      <c r="E4" s="28" t="s">
        <v>61</v>
      </c>
      <c r="F4" s="23"/>
      <c r="G4" s="28" t="s">
        <v>62</v>
      </c>
      <c r="H4" s="29"/>
      <c r="I4" s="30"/>
      <c r="J4" s="31" t="s">
        <v>63</v>
      </c>
      <c r="K4" s="30"/>
      <c r="L4" s="30"/>
      <c r="M4" s="30"/>
      <c r="N4" s="30"/>
      <c r="O4" s="30"/>
      <c r="P4" s="30"/>
      <c r="Q4" s="30"/>
      <c r="R4" s="30"/>
    </row>
    <row r="5" spans="1:18" ht="78" thickBot="1">
      <c r="A5" s="26">
        <v>8.4</v>
      </c>
      <c r="B5" s="27" t="s">
        <v>64</v>
      </c>
      <c r="C5" s="28" t="s">
        <v>42</v>
      </c>
      <c r="D5" s="28" t="s">
        <v>65</v>
      </c>
      <c r="E5" s="28" t="s">
        <v>66</v>
      </c>
      <c r="F5" s="23"/>
      <c r="G5" s="28" t="s">
        <v>67</v>
      </c>
      <c r="H5" s="29"/>
      <c r="I5" s="30"/>
      <c r="J5" s="28" t="s">
        <v>68</v>
      </c>
      <c r="K5" s="30"/>
      <c r="L5" s="30"/>
      <c r="M5" s="30"/>
      <c r="N5" s="30"/>
      <c r="O5" s="30"/>
      <c r="P5" s="30"/>
      <c r="Q5" s="30"/>
      <c r="R5" s="30"/>
    </row>
    <row r="6" spans="1:18" ht="58.5" customHeight="1" thickBot="1">
      <c r="A6" s="26">
        <v>8.1</v>
      </c>
      <c r="B6" s="27" t="s">
        <v>69</v>
      </c>
      <c r="C6" s="28" t="s">
        <v>39</v>
      </c>
      <c r="D6" s="28" t="s">
        <v>70</v>
      </c>
      <c r="E6" s="28" t="s">
        <v>71</v>
      </c>
      <c r="F6" s="23"/>
      <c r="G6" s="28" t="s">
        <v>72</v>
      </c>
      <c r="H6" s="29"/>
      <c r="I6" s="30"/>
      <c r="J6" s="28" t="s">
        <v>73</v>
      </c>
      <c r="K6" s="30"/>
      <c r="L6" s="30"/>
      <c r="M6" s="30"/>
      <c r="N6" s="30"/>
      <c r="O6" s="30"/>
      <c r="P6" s="30"/>
      <c r="Q6" s="30"/>
      <c r="R6" s="30"/>
    </row>
    <row r="7" spans="1:18" ht="67.5" customHeight="1" thickBot="1">
      <c r="A7" s="26">
        <v>1.1000000000000001</v>
      </c>
      <c r="B7" s="27" t="s">
        <v>74</v>
      </c>
      <c r="C7" s="28" t="s">
        <v>41</v>
      </c>
      <c r="D7" s="28" t="s">
        <v>75</v>
      </c>
      <c r="E7" s="28" t="s">
        <v>76</v>
      </c>
      <c r="F7" s="23"/>
      <c r="G7" s="28" t="s">
        <v>77</v>
      </c>
      <c r="H7" s="29"/>
      <c r="I7" s="30"/>
      <c r="J7" s="28" t="s">
        <v>78</v>
      </c>
      <c r="K7" s="30"/>
      <c r="L7" s="30"/>
      <c r="M7" s="30"/>
      <c r="N7" s="30"/>
      <c r="O7" s="30"/>
      <c r="P7" s="30"/>
      <c r="Q7" s="30"/>
      <c r="R7" s="30"/>
    </row>
    <row r="8" spans="1:18" ht="15.75" thickBot="1">
      <c r="A8" s="24"/>
      <c r="B8" s="22"/>
      <c r="C8" s="22"/>
      <c r="D8" s="22"/>
      <c r="E8" s="22"/>
      <c r="F8" s="22"/>
      <c r="G8" s="22"/>
      <c r="H8" s="32"/>
      <c r="I8" s="23"/>
      <c r="J8" s="23"/>
      <c r="K8" s="23"/>
      <c r="L8" s="23"/>
      <c r="M8" s="23"/>
      <c r="N8" s="23"/>
      <c r="O8" s="23"/>
      <c r="P8" s="23"/>
      <c r="Q8" s="23"/>
      <c r="R8" s="23"/>
    </row>
    <row r="9" spans="1:18" ht="15.75" thickBot="1">
      <c r="A9" s="21"/>
      <c r="B9" s="22"/>
      <c r="C9" s="22"/>
      <c r="D9" s="22"/>
      <c r="E9" s="22"/>
      <c r="F9" s="22"/>
      <c r="G9" s="22"/>
      <c r="H9" s="22"/>
      <c r="I9" s="23"/>
      <c r="J9" s="23"/>
      <c r="K9" s="23"/>
      <c r="L9" s="23"/>
      <c r="M9" s="23"/>
      <c r="N9" s="23"/>
      <c r="O9" s="23"/>
      <c r="P9" s="23"/>
      <c r="Q9" s="23"/>
      <c r="R9" s="23"/>
    </row>
    <row r="10" spans="1:18" ht="15.75" thickBot="1">
      <c r="A10" s="33"/>
      <c r="B10" s="34"/>
      <c r="C10" s="28"/>
      <c r="D10" s="28"/>
      <c r="E10" s="28"/>
      <c r="F10" s="23"/>
      <c r="G10" s="28"/>
      <c r="H10" s="29"/>
      <c r="I10" s="30"/>
      <c r="J10" s="30"/>
      <c r="K10" s="30"/>
      <c r="L10" s="30"/>
      <c r="M10" s="30"/>
      <c r="N10" s="30"/>
      <c r="O10" s="30"/>
      <c r="P10" s="30"/>
      <c r="Q10" s="30"/>
      <c r="R10" s="30"/>
    </row>
    <row r="11" spans="1:18" ht="30.75" thickBot="1">
      <c r="A11" s="26">
        <v>8</v>
      </c>
      <c r="B11" s="27" t="s">
        <v>79</v>
      </c>
      <c r="C11" s="28" t="s">
        <v>43</v>
      </c>
      <c r="D11" s="28" t="s">
        <v>80</v>
      </c>
      <c r="E11" s="35" t="s">
        <v>81</v>
      </c>
      <c r="G11" t="s">
        <v>82</v>
      </c>
      <c r="H11" s="29"/>
      <c r="I11" s="30"/>
      <c r="J11" s="30"/>
      <c r="K11" s="30"/>
      <c r="L11" s="30"/>
      <c r="M11" s="30"/>
      <c r="N11" s="30"/>
      <c r="O11" s="30"/>
      <c r="P11" s="30"/>
      <c r="Q11" s="30"/>
      <c r="R11" s="30"/>
    </row>
    <row r="12" spans="1:18" ht="30.75" thickBot="1">
      <c r="A12" s="26">
        <v>3.7</v>
      </c>
      <c r="B12" s="27" t="s">
        <v>83</v>
      </c>
      <c r="C12" s="28" t="s">
        <v>43</v>
      </c>
      <c r="D12" s="28" t="s">
        <v>84</v>
      </c>
      <c r="E12" s="35" t="s">
        <v>85</v>
      </c>
      <c r="H12" s="36"/>
      <c r="I12" s="30"/>
      <c r="J12" s="30"/>
      <c r="K12" s="30"/>
      <c r="L12" s="30"/>
      <c r="M12" s="30"/>
      <c r="N12" s="30"/>
      <c r="O12" s="30"/>
      <c r="P12" s="30"/>
      <c r="Q12" s="30"/>
      <c r="R12" s="30"/>
    </row>
    <row r="13" spans="1:18" ht="52.5" thickBot="1">
      <c r="A13" s="26">
        <v>1.8</v>
      </c>
      <c r="B13" s="27" t="s">
        <v>86</v>
      </c>
      <c r="C13" s="28" t="s">
        <v>46</v>
      </c>
      <c r="D13" s="28" t="s">
        <v>87</v>
      </c>
      <c r="E13" s="28" t="s">
        <v>88</v>
      </c>
      <c r="F13" s="23"/>
      <c r="G13" s="28" t="s">
        <v>89</v>
      </c>
      <c r="H13" s="36"/>
      <c r="I13" s="30"/>
      <c r="J13" s="30"/>
      <c r="K13" s="30"/>
      <c r="L13" s="30"/>
      <c r="M13" s="30"/>
      <c r="N13" s="30"/>
      <c r="O13" s="30"/>
      <c r="P13" s="30"/>
      <c r="Q13" s="30"/>
      <c r="R13" s="30"/>
    </row>
    <row r="14" spans="1:18" ht="65.25" thickBot="1">
      <c r="A14" s="26">
        <v>3.7</v>
      </c>
      <c r="B14" s="27" t="s">
        <v>90</v>
      </c>
      <c r="C14" s="28" t="s">
        <v>39</v>
      </c>
      <c r="D14" s="28" t="s">
        <v>91</v>
      </c>
      <c r="E14" s="28" t="s">
        <v>92</v>
      </c>
      <c r="F14" s="23"/>
      <c r="G14" s="28" t="s">
        <v>93</v>
      </c>
      <c r="H14" s="36"/>
      <c r="I14" s="30"/>
      <c r="J14" s="30"/>
      <c r="K14" s="30"/>
      <c r="L14" s="30"/>
      <c r="M14" s="30"/>
      <c r="N14" s="30"/>
      <c r="O14" s="30"/>
      <c r="P14" s="30"/>
      <c r="Q14" s="30"/>
      <c r="R14" s="30"/>
    </row>
    <row r="15" spans="1:18" ht="90.75" thickBot="1">
      <c r="A15" s="37">
        <v>1.6</v>
      </c>
      <c r="B15" s="38" t="s">
        <v>94</v>
      </c>
      <c r="C15" s="39" t="s">
        <v>44</v>
      </c>
      <c r="D15" s="39" t="s">
        <v>95</v>
      </c>
      <c r="E15" s="39" t="s">
        <v>96</v>
      </c>
      <c r="F15" s="23"/>
      <c r="G15" s="39" t="s">
        <v>97</v>
      </c>
      <c r="H15" s="40"/>
      <c r="I15" s="41"/>
      <c r="J15" s="41"/>
      <c r="K15" s="41"/>
      <c r="L15" s="41"/>
      <c r="M15" s="41"/>
      <c r="N15" s="41"/>
      <c r="O15" s="41"/>
      <c r="P15" s="41"/>
      <c r="Q15" s="41"/>
      <c r="R15" s="41"/>
    </row>
    <row r="16" spans="1:18" ht="78" thickBot="1">
      <c r="A16" s="26">
        <v>5.2</v>
      </c>
      <c r="B16" s="27" t="s">
        <v>98</v>
      </c>
      <c r="C16" s="28" t="s">
        <v>44</v>
      </c>
      <c r="D16" s="28" t="s">
        <v>99</v>
      </c>
      <c r="E16" s="28" t="s">
        <v>100</v>
      </c>
      <c r="F16" s="23"/>
      <c r="G16" s="42" t="s">
        <v>101</v>
      </c>
      <c r="H16" s="36"/>
      <c r="I16" s="30"/>
      <c r="J16" s="30"/>
      <c r="K16" s="30"/>
      <c r="L16" s="30"/>
      <c r="M16" s="30"/>
      <c r="N16" s="30"/>
      <c r="O16" s="30"/>
      <c r="P16" s="30"/>
      <c r="Q16" s="30"/>
      <c r="R16" s="30"/>
    </row>
    <row r="17" spans="1:18" ht="78" thickBot="1">
      <c r="A17" s="26">
        <v>3.3</v>
      </c>
      <c r="B17" s="27" t="s">
        <v>102</v>
      </c>
      <c r="C17" s="28" t="s">
        <v>45</v>
      </c>
      <c r="D17" s="28" t="s">
        <v>103</v>
      </c>
      <c r="E17" s="28" t="s">
        <v>104</v>
      </c>
      <c r="F17" s="23"/>
      <c r="G17" s="28" t="s">
        <v>105</v>
      </c>
      <c r="H17" s="29"/>
      <c r="I17" s="30"/>
      <c r="J17" s="30"/>
      <c r="K17" s="30"/>
      <c r="L17" s="30"/>
      <c r="M17" s="30"/>
      <c r="N17" s="30"/>
      <c r="O17" s="30"/>
      <c r="P17" s="30"/>
      <c r="Q17" s="30"/>
      <c r="R17" s="30"/>
    </row>
    <row r="18" spans="1:18" ht="15.75" thickBot="1">
      <c r="A18" s="24"/>
      <c r="B18" s="22"/>
      <c r="C18" s="22"/>
      <c r="D18" s="22"/>
      <c r="E18" s="22"/>
      <c r="F18" s="22"/>
      <c r="G18" s="22"/>
      <c r="H18" s="32"/>
      <c r="I18" s="23"/>
      <c r="J18" s="23"/>
      <c r="K18" s="23"/>
      <c r="L18" s="23"/>
      <c r="M18" s="23"/>
      <c r="N18" s="23"/>
      <c r="O18" s="23"/>
      <c r="P18" s="23"/>
      <c r="Q18" s="23"/>
      <c r="R18" s="23"/>
    </row>
    <row r="19" spans="1:18" ht="15.75" thickBot="1">
      <c r="A19" s="21"/>
      <c r="B19" s="22"/>
      <c r="C19" s="22"/>
      <c r="D19" s="22"/>
      <c r="E19" s="22"/>
      <c r="F19" s="22"/>
      <c r="G19" s="22"/>
      <c r="H19" s="22"/>
      <c r="I19" s="23"/>
      <c r="J19" s="23"/>
      <c r="K19" s="23"/>
      <c r="L19" s="23"/>
      <c r="M19" s="23"/>
      <c r="N19" s="23"/>
      <c r="O19" s="23"/>
      <c r="P19" s="23"/>
      <c r="Q19" s="23"/>
      <c r="R19" s="23"/>
    </row>
    <row r="20" spans="1:18" ht="15.75" thickBot="1">
      <c r="A20" s="24"/>
      <c r="B20" s="30"/>
      <c r="C20" s="30"/>
      <c r="D20" s="30"/>
      <c r="E20" s="30"/>
      <c r="F20" s="23"/>
      <c r="G20" s="30"/>
      <c r="H20" s="29"/>
      <c r="I20" s="30"/>
      <c r="J20" s="30"/>
      <c r="K20" s="30"/>
      <c r="L20" s="30"/>
      <c r="M20" s="30"/>
      <c r="N20" s="30"/>
      <c r="O20" s="30"/>
      <c r="P20" s="30"/>
      <c r="Q20" s="30"/>
      <c r="R20" s="30"/>
    </row>
    <row r="21" spans="1:18" ht="27" thickBot="1">
      <c r="A21" s="26">
        <v>4.3</v>
      </c>
      <c r="B21" s="27" t="s">
        <v>106</v>
      </c>
      <c r="C21" s="28" t="s">
        <v>47</v>
      </c>
      <c r="D21" s="28" t="s">
        <v>107</v>
      </c>
      <c r="E21" s="28" t="s">
        <v>108</v>
      </c>
      <c r="F21" s="23"/>
      <c r="G21" s="30" t="s">
        <v>109</v>
      </c>
      <c r="H21" s="29"/>
      <c r="I21" s="30"/>
      <c r="J21" s="30"/>
      <c r="K21" s="30"/>
      <c r="L21" s="30"/>
      <c r="M21" s="30"/>
      <c r="N21" s="30"/>
      <c r="O21" s="30"/>
      <c r="P21" s="30"/>
      <c r="Q21" s="30"/>
      <c r="R21" s="30"/>
    </row>
    <row r="22" spans="1:18" ht="52.5" thickBot="1">
      <c r="A22" s="26">
        <v>1.7</v>
      </c>
      <c r="B22" s="27" t="s">
        <v>110</v>
      </c>
      <c r="C22" s="28" t="s">
        <v>48</v>
      </c>
      <c r="D22" s="28" t="s">
        <v>111</v>
      </c>
      <c r="E22" s="28" t="s">
        <v>112</v>
      </c>
      <c r="F22" s="23"/>
      <c r="G22" s="30" t="s">
        <v>113</v>
      </c>
      <c r="H22" s="29"/>
      <c r="I22" s="30"/>
      <c r="J22" s="30"/>
      <c r="K22" s="30"/>
      <c r="L22" s="30"/>
      <c r="M22" s="30"/>
      <c r="N22" s="30"/>
      <c r="O22" s="30"/>
      <c r="P22" s="30"/>
      <c r="Q22" s="30"/>
      <c r="R22" s="30"/>
    </row>
    <row r="23" spans="1:18" ht="39.75" thickBot="1">
      <c r="A23" s="26">
        <v>4.0999999999999996</v>
      </c>
      <c r="B23" s="27" t="s">
        <v>114</v>
      </c>
      <c r="C23" s="28" t="s">
        <v>46</v>
      </c>
      <c r="D23" s="28" t="s">
        <v>115</v>
      </c>
      <c r="E23" s="28" t="s">
        <v>116</v>
      </c>
      <c r="F23" s="23"/>
      <c r="G23" s="28" t="s">
        <v>117</v>
      </c>
      <c r="H23" s="29"/>
      <c r="I23" s="30"/>
      <c r="J23" s="30"/>
      <c r="K23" s="30"/>
      <c r="L23" s="30"/>
      <c r="M23" s="30"/>
      <c r="N23" s="30"/>
      <c r="O23" s="30"/>
      <c r="P23" s="30"/>
      <c r="Q23" s="30"/>
      <c r="R23" s="30"/>
    </row>
    <row r="24" spans="1:18" ht="15.75" thickBot="1">
      <c r="A24" s="24"/>
      <c r="B24" s="43"/>
      <c r="C24" s="43"/>
      <c r="D24" s="43"/>
      <c r="E24" s="43"/>
      <c r="F24" s="22"/>
      <c r="G24" s="43"/>
      <c r="H24" s="44"/>
      <c r="I24" s="30"/>
      <c r="J24" s="30"/>
      <c r="K24" s="30"/>
      <c r="L24" s="30"/>
      <c r="M24" s="30"/>
      <c r="N24" s="30"/>
      <c r="O24" s="30"/>
      <c r="P24" s="30"/>
      <c r="Q24" s="30"/>
      <c r="R24" s="30"/>
    </row>
    <row r="25" spans="1:18" ht="15.75" thickBot="1">
      <c r="A25" s="21"/>
      <c r="B25" s="30"/>
      <c r="C25" s="30"/>
      <c r="D25" s="30"/>
      <c r="E25" s="30"/>
      <c r="F25" s="23"/>
      <c r="G25" s="30"/>
      <c r="H25" s="30"/>
      <c r="I25" s="30"/>
      <c r="J25" s="30"/>
      <c r="K25" s="30"/>
      <c r="L25" s="30"/>
      <c r="M25" s="30"/>
      <c r="N25" s="30"/>
      <c r="O25" s="30"/>
      <c r="P25" s="30"/>
      <c r="Q25" s="30"/>
      <c r="R25" s="30"/>
    </row>
    <row r="26" spans="1:18" ht="15.75" thickBot="1">
      <c r="A26" s="21" t="s">
        <v>118</v>
      </c>
      <c r="B26" s="30"/>
      <c r="C26" s="30"/>
      <c r="D26" s="30"/>
      <c r="E26" s="30"/>
      <c r="F26" s="23"/>
      <c r="G26" s="30"/>
      <c r="H26" s="30"/>
      <c r="I26" s="30"/>
      <c r="J26" s="30"/>
      <c r="K26" s="30"/>
      <c r="L26" s="30"/>
      <c r="M26" s="30"/>
      <c r="N26" s="30"/>
      <c r="O26" s="30"/>
      <c r="P26" s="30"/>
      <c r="Q26" s="30"/>
      <c r="R26" s="30"/>
    </row>
    <row r="27" spans="1:18" ht="39.75" thickBot="1">
      <c r="A27" s="21" t="s">
        <v>119</v>
      </c>
      <c r="E27" s="28" t="s">
        <v>120</v>
      </c>
      <c r="F27" s="23"/>
      <c r="G27" s="28" t="s">
        <v>121</v>
      </c>
      <c r="H27" s="30"/>
      <c r="I27" s="30"/>
      <c r="J27" s="30"/>
      <c r="K27" s="30"/>
      <c r="L27" s="30"/>
      <c r="M27" s="30"/>
      <c r="N27" s="30"/>
      <c r="O27" s="30"/>
      <c r="P27" s="30"/>
      <c r="Q27" s="30"/>
      <c r="R27" s="30"/>
    </row>
    <row r="28" spans="1:18" ht="52.5" thickBot="1">
      <c r="A28" s="21" t="s">
        <v>122</v>
      </c>
      <c r="B28" s="30"/>
      <c r="C28" s="30"/>
      <c r="D28" s="30"/>
      <c r="E28" s="28" t="s">
        <v>88</v>
      </c>
      <c r="F28" s="23"/>
      <c r="G28" s="28" t="s">
        <v>89</v>
      </c>
      <c r="H28" s="30"/>
      <c r="I28" s="30"/>
      <c r="J28" s="30"/>
      <c r="K28" s="30"/>
      <c r="L28" s="30"/>
      <c r="M28" s="30"/>
      <c r="N28" s="30"/>
      <c r="O28" s="30"/>
      <c r="P28" s="30"/>
      <c r="Q28" s="30"/>
      <c r="R28" s="30"/>
    </row>
    <row r="29" spans="1:18" ht="15.75" thickBot="1">
      <c r="A29" s="21"/>
      <c r="B29" s="30"/>
      <c r="C29" s="30"/>
      <c r="D29" s="30"/>
      <c r="E29" s="30"/>
      <c r="F29" s="23"/>
      <c r="G29" s="30"/>
      <c r="H29" s="30"/>
      <c r="I29" s="30"/>
      <c r="J29" s="30"/>
      <c r="K29" s="30"/>
      <c r="L29" s="30"/>
      <c r="M29" s="30"/>
      <c r="N29" s="30"/>
      <c r="O29" s="30"/>
      <c r="P29" s="30"/>
      <c r="Q29" s="30"/>
      <c r="R29" s="30"/>
    </row>
    <row r="30" spans="1:18" ht="30" thickBot="1">
      <c r="A30" s="21" t="s">
        <v>123</v>
      </c>
      <c r="B30" s="30"/>
      <c r="C30" s="30"/>
      <c r="D30" s="30"/>
      <c r="E30" s="30"/>
      <c r="F30" s="23"/>
      <c r="G30" s="30"/>
      <c r="H30" s="30"/>
      <c r="I30" s="30"/>
      <c r="J30" s="30"/>
      <c r="K30" s="30"/>
      <c r="L30" s="30"/>
      <c r="M30" s="30"/>
      <c r="N30" s="30"/>
      <c r="O30" s="30"/>
      <c r="P30" s="30"/>
      <c r="Q30" s="30"/>
      <c r="R30" s="30"/>
    </row>
    <row r="31" spans="1:18" ht="15.75" thickBot="1">
      <c r="A31" s="21"/>
      <c r="B31" s="30"/>
      <c r="C31" s="30"/>
      <c r="D31" s="30"/>
      <c r="E31" s="30"/>
      <c r="F31" s="23"/>
      <c r="G31" s="30"/>
      <c r="H31" s="30"/>
      <c r="I31" s="30"/>
      <c r="J31" s="30"/>
      <c r="K31" s="30"/>
      <c r="L31" s="30"/>
      <c r="M31" s="30"/>
      <c r="N31" s="30"/>
      <c r="O31" s="30"/>
      <c r="P31" s="30"/>
      <c r="Q31" s="30"/>
      <c r="R31" s="30"/>
    </row>
    <row r="32" spans="1:18" ht="15.75" thickBot="1">
      <c r="A32" s="21" t="s">
        <v>124</v>
      </c>
      <c r="B32" s="30"/>
      <c r="C32" s="30"/>
      <c r="D32" s="30"/>
      <c r="E32" s="30"/>
      <c r="F32" s="23"/>
      <c r="G32" s="30"/>
      <c r="H32" s="30"/>
      <c r="I32" s="30"/>
      <c r="J32" s="30"/>
      <c r="K32" s="30"/>
      <c r="L32" s="30"/>
      <c r="M32" s="30"/>
      <c r="N32" s="30"/>
      <c r="O32" s="30"/>
      <c r="P32" s="30"/>
      <c r="Q32" s="30"/>
      <c r="R32" s="30"/>
    </row>
    <row r="33" spans="1:18" ht="15.75" thickBot="1">
      <c r="A33" s="21"/>
      <c r="B33" s="30"/>
      <c r="C33" s="30"/>
      <c r="D33" s="30"/>
      <c r="E33" s="30"/>
      <c r="F33" s="23"/>
      <c r="G33" s="30"/>
      <c r="H33" s="30"/>
      <c r="I33" s="30"/>
      <c r="J33" s="30"/>
      <c r="K33" s="30"/>
      <c r="L33" s="30"/>
      <c r="M33" s="30"/>
      <c r="N33" s="30"/>
      <c r="O33" s="30"/>
      <c r="P33" s="30"/>
      <c r="Q33" s="30"/>
      <c r="R33" s="30"/>
    </row>
    <row r="34" spans="1:18" ht="15.75" thickBot="1">
      <c r="A34" s="21" t="s">
        <v>125</v>
      </c>
      <c r="B34" s="30"/>
      <c r="C34" s="30"/>
      <c r="D34" s="30"/>
      <c r="E34" s="30"/>
      <c r="F34" s="23"/>
      <c r="G34" s="30"/>
      <c r="H34" s="30"/>
      <c r="I34" s="30"/>
      <c r="J34" s="30"/>
      <c r="K34" s="30"/>
      <c r="L34" s="30"/>
      <c r="M34" s="30"/>
      <c r="N34" s="30"/>
      <c r="O34" s="30"/>
      <c r="P34" s="30"/>
      <c r="Q34" s="30"/>
      <c r="R34" s="30"/>
    </row>
    <row r="35" spans="1:18" ht="15.75" thickBot="1">
      <c r="A35" s="21"/>
      <c r="B35" s="30"/>
      <c r="C35" s="30"/>
      <c r="D35" s="30"/>
      <c r="E35" s="30"/>
      <c r="F35" s="23"/>
      <c r="G35" s="30"/>
      <c r="H35" s="30"/>
      <c r="I35" s="30"/>
      <c r="J35" s="30"/>
      <c r="K35" s="30"/>
      <c r="L35" s="30"/>
      <c r="M35" s="30"/>
      <c r="N35" s="30"/>
      <c r="O35" s="30"/>
      <c r="P35" s="30"/>
      <c r="Q35" s="30"/>
      <c r="R35" s="30"/>
    </row>
    <row r="36" spans="1:18" ht="58.5" thickBot="1">
      <c r="A36" s="21" t="s">
        <v>126</v>
      </c>
      <c r="B36" s="30"/>
      <c r="C36" s="30"/>
      <c r="D36" s="30"/>
      <c r="E36" s="30"/>
      <c r="F36" s="23"/>
      <c r="G36" s="30"/>
      <c r="H36" s="30"/>
      <c r="I36" s="30"/>
      <c r="J36" s="30"/>
      <c r="K36" s="30"/>
      <c r="L36" s="30"/>
      <c r="M36" s="30"/>
      <c r="N36" s="30"/>
      <c r="O36" s="30"/>
      <c r="P36" s="30"/>
      <c r="Q36" s="30"/>
      <c r="R36" s="30"/>
    </row>
    <row r="37" spans="1:18" ht="15.75" thickBot="1">
      <c r="A37" s="21"/>
      <c r="B37" s="30"/>
      <c r="C37" s="30"/>
      <c r="D37" s="30"/>
      <c r="E37" s="30"/>
      <c r="F37" s="23"/>
      <c r="G37" s="30"/>
      <c r="H37" s="30"/>
      <c r="I37" s="30"/>
      <c r="J37" s="30"/>
      <c r="K37" s="30"/>
      <c r="L37" s="30"/>
      <c r="M37" s="30"/>
      <c r="N37" s="30"/>
      <c r="O37" s="30"/>
      <c r="P37" s="30"/>
      <c r="Q37" s="30"/>
      <c r="R37" s="30"/>
    </row>
    <row r="38" spans="1:18" ht="15.75" thickBot="1">
      <c r="A38" s="21" t="s">
        <v>127</v>
      </c>
      <c r="B38" s="30"/>
      <c r="C38" s="30"/>
      <c r="D38" s="30"/>
      <c r="E38" s="30"/>
      <c r="F38" s="23"/>
      <c r="G38" s="30"/>
      <c r="H38" s="30"/>
      <c r="I38" s="30"/>
      <c r="J38" s="30"/>
      <c r="K38" s="30"/>
      <c r="L38" s="30"/>
      <c r="M38" s="30"/>
      <c r="N38" s="30"/>
      <c r="O38" s="30"/>
      <c r="P38" s="30"/>
      <c r="Q38" s="30"/>
      <c r="R38" s="30"/>
    </row>
    <row r="39" spans="1:18" ht="15.75" thickBot="1">
      <c r="A39" s="21"/>
      <c r="B39" s="30"/>
      <c r="C39" s="30"/>
      <c r="D39" s="30"/>
      <c r="E39" s="30"/>
      <c r="F39" s="23"/>
      <c r="G39" s="30"/>
      <c r="H39" s="30"/>
      <c r="I39" s="30"/>
      <c r="J39" s="30"/>
      <c r="K39" s="30"/>
      <c r="L39" s="30"/>
      <c r="M39" s="30"/>
      <c r="N39" s="30"/>
      <c r="O39" s="30"/>
      <c r="P39" s="30"/>
      <c r="Q39" s="30"/>
      <c r="R39" s="30"/>
    </row>
    <row r="40" spans="1:18" ht="15.75" thickBot="1">
      <c r="A40" s="21"/>
      <c r="B40" s="30"/>
      <c r="C40" s="30"/>
      <c r="D40" s="30"/>
      <c r="E40" s="30"/>
      <c r="F40" s="23"/>
      <c r="G40" s="30"/>
      <c r="H40" s="30"/>
      <c r="I40" s="30"/>
      <c r="J40" s="30"/>
      <c r="K40" s="30"/>
      <c r="L40" s="30"/>
      <c r="M40" s="30"/>
      <c r="N40" s="30"/>
      <c r="O40" s="30"/>
      <c r="P40" s="30"/>
      <c r="Q40" s="30"/>
      <c r="R40" s="30"/>
    </row>
    <row r="41" spans="1:18" ht="15.75" thickBot="1">
      <c r="A41" s="21"/>
      <c r="B41" s="30"/>
      <c r="C41" s="30"/>
      <c r="D41" s="30"/>
      <c r="E41" s="30"/>
      <c r="F41" s="23"/>
      <c r="G41" s="30"/>
      <c r="H41" s="30"/>
      <c r="I41" s="30"/>
      <c r="J41" s="30"/>
      <c r="K41" s="30"/>
      <c r="L41" s="30"/>
      <c r="M41" s="30"/>
      <c r="N41" s="30"/>
      <c r="O41" s="30"/>
      <c r="P41" s="30"/>
      <c r="Q41" s="30"/>
      <c r="R41" s="30"/>
    </row>
    <row r="42" spans="1:18" ht="15.75" thickBot="1">
      <c r="A42" s="21"/>
      <c r="B42" s="30"/>
      <c r="C42" s="30"/>
      <c r="D42" s="30"/>
      <c r="E42" s="30"/>
      <c r="F42" s="23"/>
      <c r="G42" s="30"/>
      <c r="H42" s="30"/>
      <c r="I42" s="30"/>
      <c r="J42" s="30"/>
      <c r="K42" s="30"/>
      <c r="L42" s="30"/>
      <c r="M42" s="30"/>
      <c r="N42" s="30"/>
      <c r="O42" s="30"/>
      <c r="P42" s="30"/>
      <c r="Q42" s="30"/>
      <c r="R42" s="30"/>
    </row>
    <row r="43" spans="1:18" ht="15.75" thickBot="1">
      <c r="A43" s="21"/>
      <c r="B43" s="30"/>
      <c r="C43" s="30"/>
      <c r="D43" s="30"/>
      <c r="E43" s="30"/>
      <c r="F43" s="23"/>
      <c r="G43" s="30"/>
      <c r="H43" s="30"/>
      <c r="I43" s="30"/>
      <c r="J43" s="30"/>
      <c r="K43" s="30"/>
      <c r="L43" s="30"/>
      <c r="M43" s="30"/>
      <c r="N43" s="30"/>
      <c r="O43" s="30"/>
      <c r="P43" s="30"/>
      <c r="Q43" s="30"/>
      <c r="R43" s="30"/>
    </row>
    <row r="44" spans="1:18" ht="15.75" thickBot="1">
      <c r="A44" s="21"/>
      <c r="B44" s="30"/>
      <c r="C44" s="30"/>
      <c r="D44" s="30"/>
      <c r="E44" s="30"/>
      <c r="F44" s="23"/>
      <c r="G44" s="30"/>
      <c r="H44" s="30"/>
      <c r="I44" s="30"/>
      <c r="J44" s="30"/>
      <c r="K44" s="30"/>
      <c r="L44" s="30"/>
      <c r="M44" s="30"/>
      <c r="N44" s="30"/>
      <c r="O44" s="30"/>
      <c r="P44" s="30"/>
      <c r="Q44" s="30"/>
      <c r="R44" s="30"/>
    </row>
    <row r="45" spans="1:18" ht="15.75" thickBot="1">
      <c r="A45" s="21"/>
      <c r="B45" s="30"/>
      <c r="C45" s="30"/>
      <c r="D45" s="30"/>
      <c r="E45" s="30"/>
      <c r="F45" s="23"/>
      <c r="G45" s="30"/>
      <c r="H45" s="30"/>
      <c r="I45" s="30"/>
      <c r="J45" s="30"/>
      <c r="K45" s="30"/>
      <c r="L45" s="30"/>
      <c r="M45" s="30"/>
      <c r="N45" s="30"/>
      <c r="O45" s="30"/>
      <c r="P45" s="30"/>
      <c r="Q45" s="30"/>
      <c r="R45" s="30"/>
    </row>
    <row r="46" spans="1:18" ht="15.75" thickBot="1">
      <c r="A46" s="21"/>
      <c r="B46" s="30"/>
      <c r="C46" s="30"/>
      <c r="D46" s="30"/>
      <c r="E46" s="30"/>
      <c r="F46" s="23"/>
      <c r="G46" s="30"/>
      <c r="H46" s="30"/>
      <c r="I46" s="30"/>
      <c r="J46" s="30"/>
      <c r="K46" s="30"/>
      <c r="L46" s="30"/>
      <c r="M46" s="30"/>
      <c r="N46" s="30"/>
      <c r="O46" s="30"/>
      <c r="P46" s="30"/>
      <c r="Q46" s="30"/>
      <c r="R46" s="30"/>
    </row>
    <row r="47" spans="1:18" ht="15.75" thickBot="1">
      <c r="A47" s="21"/>
      <c r="B47" s="30"/>
      <c r="C47" s="30"/>
      <c r="D47" s="30"/>
      <c r="E47" s="30"/>
      <c r="F47" s="23"/>
      <c r="G47" s="30"/>
      <c r="H47" s="30"/>
      <c r="I47" s="30"/>
      <c r="J47" s="30"/>
      <c r="K47" s="30"/>
      <c r="L47" s="30"/>
      <c r="M47" s="30"/>
      <c r="N47" s="30"/>
      <c r="O47" s="30"/>
      <c r="P47" s="30"/>
      <c r="Q47" s="30"/>
      <c r="R47" s="30"/>
    </row>
    <row r="48" spans="1:18" ht="15.75" thickBot="1">
      <c r="A48" s="21"/>
      <c r="B48" s="30"/>
      <c r="C48" s="30"/>
      <c r="D48" s="30"/>
      <c r="E48" s="30"/>
      <c r="F48" s="23"/>
      <c r="G48" s="30"/>
      <c r="H48" s="30"/>
      <c r="I48" s="30"/>
      <c r="J48" s="30"/>
      <c r="K48" s="30"/>
      <c r="L48" s="30"/>
      <c r="M48" s="30"/>
      <c r="N48" s="30"/>
      <c r="O48" s="30"/>
      <c r="P48" s="30"/>
      <c r="Q48" s="30"/>
      <c r="R48" s="30"/>
    </row>
    <row r="49" spans="1:18" ht="15.75" thickBot="1">
      <c r="A49" s="21"/>
      <c r="B49" s="30"/>
      <c r="C49" s="30"/>
      <c r="D49" s="30"/>
      <c r="E49" s="30"/>
      <c r="F49" s="23"/>
      <c r="G49" s="30"/>
      <c r="H49" s="30"/>
      <c r="I49" s="30"/>
      <c r="J49" s="30"/>
      <c r="K49" s="30"/>
      <c r="L49" s="30"/>
      <c r="M49" s="30"/>
      <c r="N49" s="30"/>
      <c r="O49" s="30"/>
      <c r="P49" s="30"/>
      <c r="Q49" s="30"/>
      <c r="R49" s="30"/>
    </row>
    <row r="50" spans="1:18" ht="15.75" thickBot="1">
      <c r="A50" s="21"/>
      <c r="B50" s="30"/>
      <c r="C50" s="30"/>
      <c r="D50" s="30"/>
      <c r="E50" s="30"/>
      <c r="F50" s="23"/>
      <c r="G50" s="30"/>
      <c r="H50" s="30"/>
      <c r="I50" s="30"/>
      <c r="J50" s="30"/>
      <c r="K50" s="30"/>
      <c r="L50" s="30"/>
      <c r="M50" s="30"/>
      <c r="N50" s="30"/>
      <c r="O50" s="30"/>
      <c r="P50" s="30"/>
      <c r="Q50" s="30"/>
      <c r="R50" s="30"/>
    </row>
    <row r="51" spans="1:18" ht="15.75" thickBot="1">
      <c r="A51" s="21"/>
      <c r="B51" s="30"/>
      <c r="C51" s="30"/>
      <c r="D51" s="30"/>
      <c r="E51" s="30"/>
      <c r="F51" s="23"/>
      <c r="G51" s="30"/>
      <c r="H51" s="30"/>
      <c r="I51" s="30"/>
      <c r="J51" s="30"/>
      <c r="K51" s="30"/>
      <c r="L51" s="30"/>
      <c r="M51" s="30"/>
      <c r="N51" s="30"/>
      <c r="O51" s="30"/>
      <c r="P51" s="30"/>
      <c r="Q51" s="30"/>
      <c r="R51" s="30"/>
    </row>
    <row r="52" spans="1:18" ht="15.75" thickBot="1">
      <c r="A52" s="21"/>
      <c r="B52" s="30"/>
      <c r="C52" s="30"/>
      <c r="D52" s="30"/>
      <c r="E52" s="30"/>
      <c r="F52" s="23"/>
      <c r="G52" s="30"/>
      <c r="H52" s="30"/>
      <c r="I52" s="30"/>
      <c r="J52" s="30"/>
      <c r="K52" s="30"/>
      <c r="L52" s="30"/>
      <c r="M52" s="30"/>
      <c r="N52" s="30"/>
      <c r="O52" s="30"/>
      <c r="P52" s="30"/>
      <c r="Q52" s="30"/>
      <c r="R52" s="30"/>
    </row>
    <row r="53" spans="1:18" ht="15.75" thickBot="1">
      <c r="A53" s="21"/>
      <c r="B53" s="30"/>
      <c r="C53" s="30"/>
      <c r="D53" s="30"/>
      <c r="E53" s="30"/>
      <c r="F53" s="23"/>
      <c r="G53" s="30"/>
      <c r="H53" s="30"/>
      <c r="I53" s="30"/>
      <c r="J53" s="30"/>
      <c r="K53" s="30"/>
      <c r="L53" s="30"/>
      <c r="M53" s="30"/>
      <c r="N53" s="30"/>
      <c r="O53" s="30"/>
      <c r="P53" s="30"/>
      <c r="Q53" s="30"/>
      <c r="R53" s="30"/>
    </row>
    <row r="54" spans="1:18" ht="15.75" thickBot="1">
      <c r="A54" s="21"/>
      <c r="B54" s="30"/>
      <c r="C54" s="30"/>
      <c r="D54" s="30"/>
      <c r="E54" s="30"/>
      <c r="F54" s="23"/>
      <c r="G54" s="30"/>
      <c r="H54" s="30"/>
      <c r="I54" s="30"/>
      <c r="J54" s="30"/>
      <c r="K54" s="30"/>
      <c r="L54" s="30"/>
      <c r="M54" s="30"/>
      <c r="N54" s="30"/>
      <c r="O54" s="30"/>
      <c r="P54" s="30"/>
      <c r="Q54" s="30"/>
      <c r="R54" s="30"/>
    </row>
    <row r="55" spans="1:18" ht="15.75" thickBot="1">
      <c r="A55" s="21"/>
      <c r="B55" s="30"/>
      <c r="C55" s="30"/>
      <c r="D55" s="30"/>
      <c r="E55" s="30"/>
      <c r="F55" s="23"/>
      <c r="G55" s="30"/>
      <c r="H55" s="30"/>
      <c r="I55" s="30"/>
      <c r="J55" s="30"/>
      <c r="K55" s="30"/>
      <c r="L55" s="30"/>
      <c r="M55" s="30"/>
      <c r="N55" s="30"/>
      <c r="O55" s="30"/>
      <c r="P55" s="30"/>
      <c r="Q55" s="30"/>
      <c r="R55" s="30"/>
    </row>
    <row r="56" spans="1:18" ht="15.75" thickBot="1">
      <c r="A56" s="21"/>
      <c r="B56" s="30"/>
      <c r="C56" s="30"/>
      <c r="D56" s="30"/>
      <c r="E56" s="30"/>
      <c r="F56" s="23"/>
      <c r="G56" s="30"/>
      <c r="H56" s="30"/>
      <c r="I56" s="30"/>
      <c r="J56" s="30"/>
      <c r="K56" s="30"/>
      <c r="L56" s="30"/>
      <c r="M56" s="30"/>
      <c r="N56" s="30"/>
      <c r="O56" s="30"/>
      <c r="P56" s="30"/>
      <c r="Q56" s="30"/>
      <c r="R56" s="30"/>
    </row>
    <row r="57" spans="1:18" ht="15.75" thickBot="1">
      <c r="A57" s="21"/>
      <c r="B57" s="30"/>
      <c r="C57" s="30"/>
      <c r="D57" s="30"/>
      <c r="E57" s="30"/>
      <c r="F57" s="23"/>
      <c r="G57" s="30"/>
      <c r="H57" s="30"/>
      <c r="I57" s="30"/>
      <c r="J57" s="30"/>
      <c r="K57" s="30"/>
      <c r="L57" s="30"/>
      <c r="M57" s="30"/>
      <c r="N57" s="30"/>
      <c r="O57" s="30"/>
      <c r="P57" s="30"/>
      <c r="Q57" s="30"/>
      <c r="R57" s="30"/>
    </row>
    <row r="58" spans="1:18" ht="15.75" thickBot="1">
      <c r="A58" s="21"/>
      <c r="B58" s="30"/>
      <c r="C58" s="30"/>
      <c r="D58" s="30"/>
      <c r="E58" s="30"/>
      <c r="F58" s="23"/>
      <c r="G58" s="30"/>
      <c r="H58" s="30"/>
      <c r="I58" s="30"/>
      <c r="J58" s="30"/>
      <c r="K58" s="30"/>
      <c r="L58" s="30"/>
      <c r="M58" s="30"/>
      <c r="N58" s="30"/>
      <c r="O58" s="30"/>
      <c r="P58" s="30"/>
      <c r="Q58" s="30"/>
      <c r="R58" s="30"/>
    </row>
    <row r="59" spans="1:18" ht="15.75" thickBot="1">
      <c r="A59" s="21"/>
      <c r="B59" s="30"/>
      <c r="C59" s="30"/>
      <c r="D59" s="30"/>
      <c r="E59" s="30"/>
      <c r="F59" s="23"/>
      <c r="G59" s="30"/>
      <c r="H59" s="30"/>
      <c r="I59" s="30"/>
      <c r="J59" s="30"/>
      <c r="K59" s="30"/>
      <c r="L59" s="30"/>
      <c r="M59" s="30"/>
      <c r="N59" s="30"/>
      <c r="O59" s="30"/>
      <c r="P59" s="30"/>
      <c r="Q59" s="30"/>
      <c r="R59" s="30"/>
    </row>
    <row r="60" spans="1:18" ht="15.75" thickBot="1">
      <c r="A60" s="21"/>
      <c r="B60" s="30"/>
      <c r="C60" s="30"/>
      <c r="D60" s="30"/>
      <c r="E60" s="30"/>
      <c r="F60" s="23"/>
      <c r="G60" s="30"/>
      <c r="H60" s="30"/>
      <c r="I60" s="30"/>
      <c r="J60" s="30"/>
      <c r="K60" s="30"/>
      <c r="L60" s="30"/>
      <c r="M60" s="30"/>
      <c r="N60" s="30"/>
      <c r="O60" s="30"/>
      <c r="P60" s="30"/>
      <c r="Q60" s="30"/>
      <c r="R60" s="30"/>
    </row>
    <row r="61" spans="1:18" ht="15.75" thickBot="1">
      <c r="A61" s="21"/>
      <c r="B61" s="30"/>
      <c r="C61" s="30"/>
      <c r="D61" s="30"/>
      <c r="E61" s="30"/>
      <c r="F61" s="23"/>
      <c r="G61" s="30"/>
      <c r="H61" s="30"/>
      <c r="I61" s="30"/>
      <c r="J61" s="30"/>
      <c r="K61" s="30"/>
      <c r="L61" s="30"/>
      <c r="M61" s="30"/>
      <c r="N61" s="30"/>
      <c r="O61" s="30"/>
      <c r="P61" s="30"/>
      <c r="Q61" s="30"/>
      <c r="R61" s="30"/>
    </row>
    <row r="62" spans="1:18" ht="15.75" thickBot="1">
      <c r="A62" s="21"/>
      <c r="B62" s="30"/>
      <c r="C62" s="30"/>
      <c r="D62" s="30"/>
      <c r="E62" s="30"/>
      <c r="F62" s="23"/>
      <c r="G62" s="30"/>
      <c r="H62" s="30"/>
      <c r="I62" s="30"/>
      <c r="J62" s="30"/>
      <c r="K62" s="30"/>
      <c r="L62" s="30"/>
      <c r="M62" s="30"/>
      <c r="N62" s="30"/>
      <c r="O62" s="30"/>
      <c r="P62" s="30"/>
      <c r="Q62" s="30"/>
      <c r="R62" s="30"/>
    </row>
    <row r="63" spans="1:18" ht="15.75" thickBot="1">
      <c r="A63" s="21"/>
      <c r="B63" s="30"/>
      <c r="C63" s="30"/>
      <c r="D63" s="30"/>
      <c r="E63" s="30"/>
      <c r="F63" s="23"/>
      <c r="G63" s="30"/>
      <c r="H63" s="30"/>
      <c r="I63" s="30"/>
      <c r="J63" s="30"/>
      <c r="K63" s="30"/>
      <c r="L63" s="30"/>
      <c r="M63" s="30"/>
      <c r="N63" s="30"/>
      <c r="O63" s="30"/>
      <c r="P63" s="30"/>
      <c r="Q63" s="30"/>
      <c r="R63" s="30"/>
    </row>
    <row r="64" spans="1:18" ht="15.75" thickBot="1">
      <c r="A64" s="21"/>
      <c r="B64" s="30"/>
      <c r="C64" s="30"/>
      <c r="D64" s="30"/>
      <c r="E64" s="30"/>
      <c r="F64" s="23"/>
      <c r="G64" s="30"/>
      <c r="H64" s="30"/>
      <c r="I64" s="30"/>
      <c r="J64" s="30"/>
      <c r="K64" s="30"/>
      <c r="L64" s="30"/>
      <c r="M64" s="30"/>
      <c r="N64" s="30"/>
      <c r="O64" s="30"/>
      <c r="P64" s="30"/>
      <c r="Q64" s="30"/>
      <c r="R64" s="30"/>
    </row>
    <row r="65" spans="1:18" ht="15.75" thickBot="1">
      <c r="A65" s="21"/>
      <c r="B65" s="30"/>
      <c r="C65" s="30"/>
      <c r="D65" s="30"/>
      <c r="E65" s="30"/>
      <c r="F65" s="23"/>
      <c r="G65" s="30"/>
      <c r="H65" s="30"/>
      <c r="I65" s="30"/>
      <c r="J65" s="30"/>
      <c r="K65" s="30"/>
      <c r="L65" s="30"/>
      <c r="M65" s="30"/>
      <c r="N65" s="30"/>
      <c r="O65" s="30"/>
      <c r="P65" s="30"/>
      <c r="Q65" s="30"/>
      <c r="R65" s="30"/>
    </row>
    <row r="66" spans="1:18" ht="15.75" thickBot="1">
      <c r="A66" s="21"/>
      <c r="B66" s="30"/>
      <c r="C66" s="30"/>
      <c r="D66" s="30"/>
      <c r="E66" s="30"/>
      <c r="F66" s="23"/>
      <c r="G66" s="30"/>
      <c r="H66" s="30"/>
      <c r="I66" s="30"/>
      <c r="J66" s="30"/>
      <c r="K66" s="30"/>
      <c r="L66" s="30"/>
      <c r="M66" s="30"/>
      <c r="N66" s="30"/>
      <c r="O66" s="30"/>
      <c r="P66" s="30"/>
      <c r="Q66" s="30"/>
      <c r="R66" s="30"/>
    </row>
    <row r="67" spans="1:18" ht="15.75" thickBot="1">
      <c r="A67" s="21"/>
      <c r="B67" s="30"/>
      <c r="C67" s="30"/>
      <c r="D67" s="30"/>
      <c r="E67" s="30"/>
      <c r="F67" s="23"/>
      <c r="G67" s="30"/>
      <c r="H67" s="30"/>
      <c r="I67" s="30"/>
      <c r="J67" s="30"/>
      <c r="K67" s="30"/>
      <c r="L67" s="30"/>
      <c r="M67" s="30"/>
      <c r="N67" s="30"/>
      <c r="O67" s="30"/>
      <c r="P67" s="30"/>
      <c r="Q67" s="30"/>
      <c r="R67" s="30"/>
    </row>
    <row r="68" spans="1:18" ht="15.75" thickBot="1">
      <c r="A68" s="21"/>
      <c r="B68" s="30"/>
      <c r="C68" s="30"/>
      <c r="D68" s="30"/>
      <c r="E68" s="30"/>
      <c r="F68" s="23"/>
      <c r="G68" s="30"/>
      <c r="H68" s="30"/>
      <c r="I68" s="30"/>
      <c r="J68" s="30"/>
      <c r="K68" s="30"/>
      <c r="L68" s="30"/>
      <c r="M68" s="30"/>
      <c r="N68" s="30"/>
      <c r="O68" s="30"/>
      <c r="P68" s="30"/>
      <c r="Q68" s="30"/>
      <c r="R68" s="30"/>
    </row>
    <row r="69" spans="1:18" ht="15.75" thickBot="1">
      <c r="A69" s="21"/>
      <c r="B69" s="30"/>
      <c r="C69" s="30"/>
      <c r="D69" s="30"/>
      <c r="E69" s="30"/>
      <c r="F69" s="23"/>
      <c r="G69" s="30"/>
      <c r="H69" s="30"/>
      <c r="I69" s="30"/>
      <c r="J69" s="30"/>
      <c r="K69" s="30"/>
      <c r="L69" s="30"/>
      <c r="M69" s="30"/>
      <c r="N69" s="30"/>
      <c r="O69" s="30"/>
      <c r="P69" s="30"/>
      <c r="Q69" s="30"/>
      <c r="R69" s="30"/>
    </row>
    <row r="70" spans="1:18" ht="15.75" thickBot="1">
      <c r="A70" s="21"/>
      <c r="B70" s="30"/>
      <c r="C70" s="30"/>
      <c r="D70" s="30"/>
      <c r="E70" s="30"/>
      <c r="F70" s="23"/>
      <c r="G70" s="30"/>
      <c r="H70" s="30"/>
      <c r="I70" s="30"/>
      <c r="J70" s="30"/>
      <c r="K70" s="30"/>
      <c r="L70" s="30"/>
      <c r="M70" s="30"/>
      <c r="N70" s="30"/>
      <c r="O70" s="30"/>
      <c r="P70" s="30"/>
      <c r="Q70" s="30"/>
      <c r="R70" s="30"/>
    </row>
    <row r="71" spans="1:18" ht="15.75" thickBot="1">
      <c r="A71" s="21"/>
      <c r="B71" s="30"/>
      <c r="C71" s="30"/>
      <c r="D71" s="30"/>
      <c r="E71" s="30"/>
      <c r="F71" s="23"/>
      <c r="G71" s="30"/>
      <c r="H71" s="30"/>
      <c r="I71" s="30"/>
      <c r="J71" s="30"/>
      <c r="K71" s="30"/>
      <c r="L71" s="30"/>
      <c r="M71" s="30"/>
      <c r="N71" s="30"/>
      <c r="O71" s="30"/>
      <c r="P71" s="30"/>
      <c r="Q71" s="30"/>
      <c r="R71" s="30"/>
    </row>
    <row r="72" spans="1:18" ht="15.75" thickBot="1">
      <c r="A72" s="21"/>
      <c r="B72" s="30"/>
      <c r="C72" s="30"/>
      <c r="D72" s="30"/>
      <c r="E72" s="30"/>
      <c r="F72" s="23"/>
      <c r="G72" s="30"/>
      <c r="H72" s="30"/>
      <c r="I72" s="30"/>
      <c r="J72" s="30"/>
      <c r="K72" s="30"/>
      <c r="L72" s="30"/>
      <c r="M72" s="30"/>
      <c r="N72" s="30"/>
      <c r="O72" s="30"/>
      <c r="P72" s="30"/>
      <c r="Q72" s="30"/>
      <c r="R72" s="30"/>
    </row>
    <row r="73" spans="1:18" ht="15.75" thickBot="1">
      <c r="A73" s="21"/>
      <c r="B73" s="30"/>
      <c r="C73" s="30"/>
      <c r="D73" s="30"/>
      <c r="E73" s="30"/>
      <c r="F73" s="23"/>
      <c r="G73" s="30"/>
      <c r="H73" s="30"/>
      <c r="I73" s="30"/>
      <c r="J73" s="30"/>
      <c r="K73" s="30"/>
      <c r="L73" s="30"/>
      <c r="M73" s="30"/>
      <c r="N73" s="30"/>
      <c r="O73" s="30"/>
      <c r="P73" s="30"/>
      <c r="Q73" s="30"/>
      <c r="R73" s="30"/>
    </row>
    <row r="74" spans="1:18" ht="15.75" thickBot="1">
      <c r="A74" s="21"/>
      <c r="B74" s="30"/>
      <c r="C74" s="30"/>
      <c r="D74" s="30"/>
      <c r="E74" s="30"/>
      <c r="F74" s="23"/>
      <c r="G74" s="30"/>
      <c r="H74" s="30"/>
      <c r="I74" s="30"/>
      <c r="J74" s="30"/>
      <c r="K74" s="30"/>
      <c r="L74" s="30"/>
      <c r="M74" s="30"/>
      <c r="N74" s="30"/>
      <c r="O74" s="30"/>
      <c r="P74" s="30"/>
      <c r="Q74" s="30"/>
      <c r="R74" s="30"/>
    </row>
    <row r="75" spans="1:18" ht="15.75" thickBot="1">
      <c r="A75" s="21"/>
      <c r="B75" s="30"/>
      <c r="C75" s="30"/>
      <c r="D75" s="30"/>
      <c r="E75" s="30"/>
      <c r="F75" s="23"/>
      <c r="G75" s="30"/>
      <c r="H75" s="30"/>
      <c r="I75" s="30"/>
      <c r="J75" s="30"/>
      <c r="K75" s="30"/>
      <c r="L75" s="30"/>
      <c r="M75" s="30"/>
      <c r="N75" s="30"/>
      <c r="O75" s="30"/>
      <c r="P75" s="30"/>
      <c r="Q75" s="30"/>
      <c r="R75" s="30"/>
    </row>
    <row r="76" spans="1:18" ht="15.75" thickBot="1">
      <c r="A76" s="21"/>
      <c r="B76" s="30"/>
      <c r="C76" s="30"/>
      <c r="D76" s="30"/>
      <c r="E76" s="30"/>
      <c r="F76" s="23"/>
      <c r="G76" s="30"/>
      <c r="H76" s="30"/>
      <c r="I76" s="30"/>
      <c r="J76" s="30"/>
      <c r="K76" s="30"/>
      <c r="L76" s="30"/>
      <c r="M76" s="30"/>
      <c r="N76" s="30"/>
      <c r="O76" s="30"/>
      <c r="P76" s="30"/>
      <c r="Q76" s="30"/>
      <c r="R76" s="30"/>
    </row>
    <row r="77" spans="1:18" ht="15.75" thickBot="1">
      <c r="A77" s="21"/>
      <c r="B77" s="30"/>
      <c r="C77" s="30"/>
      <c r="D77" s="30"/>
      <c r="E77" s="30"/>
      <c r="F77" s="23"/>
      <c r="G77" s="30"/>
      <c r="H77" s="30"/>
      <c r="I77" s="30"/>
      <c r="J77" s="30"/>
      <c r="K77" s="30"/>
      <c r="L77" s="30"/>
      <c r="M77" s="30"/>
      <c r="N77" s="30"/>
      <c r="O77" s="30"/>
      <c r="P77" s="30"/>
      <c r="Q77" s="30"/>
      <c r="R77" s="30"/>
    </row>
    <row r="78" spans="1:18" ht="15.75" thickBot="1">
      <c r="A78" s="21"/>
      <c r="B78" s="30"/>
      <c r="C78" s="30"/>
      <c r="D78" s="30"/>
      <c r="E78" s="30"/>
      <c r="F78" s="23"/>
      <c r="G78" s="30"/>
      <c r="H78" s="30"/>
      <c r="I78" s="30"/>
      <c r="J78" s="30"/>
      <c r="K78" s="30"/>
      <c r="L78" s="30"/>
      <c r="M78" s="30"/>
      <c r="N78" s="30"/>
      <c r="O78" s="30"/>
      <c r="P78" s="30"/>
      <c r="Q78" s="30"/>
      <c r="R78" s="30"/>
    </row>
    <row r="79" spans="1:18" ht="15.75" thickBot="1">
      <c r="A79" s="21"/>
      <c r="B79" s="30"/>
      <c r="C79" s="30"/>
      <c r="D79" s="30"/>
      <c r="E79" s="30"/>
      <c r="F79" s="23"/>
      <c r="G79" s="30"/>
      <c r="H79" s="30"/>
      <c r="I79" s="30"/>
      <c r="J79" s="30"/>
      <c r="K79" s="30"/>
      <c r="L79" s="30"/>
      <c r="M79" s="30"/>
      <c r="N79" s="30"/>
      <c r="O79" s="30"/>
      <c r="P79" s="30"/>
      <c r="Q79" s="30"/>
      <c r="R79" s="30"/>
    </row>
    <row r="80" spans="1:18" ht="15.75" thickBot="1">
      <c r="A80" s="21"/>
      <c r="B80" s="30"/>
      <c r="C80" s="30"/>
      <c r="D80" s="30"/>
      <c r="E80" s="30"/>
      <c r="F80" s="23"/>
      <c r="G80" s="30"/>
      <c r="H80" s="30"/>
      <c r="I80" s="30"/>
      <c r="J80" s="30"/>
      <c r="K80" s="30"/>
      <c r="L80" s="30"/>
      <c r="M80" s="30"/>
      <c r="N80" s="30"/>
      <c r="O80" s="30"/>
      <c r="P80" s="30"/>
      <c r="Q80" s="30"/>
      <c r="R80" s="30"/>
    </row>
    <row r="81" spans="1:18" ht="15.75" thickBot="1">
      <c r="A81" s="21"/>
      <c r="B81" s="30"/>
      <c r="C81" s="30"/>
      <c r="D81" s="30"/>
      <c r="E81" s="30"/>
      <c r="F81" s="23"/>
      <c r="G81" s="30"/>
      <c r="H81" s="30"/>
      <c r="I81" s="30"/>
      <c r="J81" s="30"/>
      <c r="K81" s="30"/>
      <c r="L81" s="30"/>
      <c r="M81" s="30"/>
      <c r="N81" s="30"/>
      <c r="O81" s="30"/>
      <c r="P81" s="30"/>
      <c r="Q81" s="30"/>
      <c r="R81" s="30"/>
    </row>
    <row r="82" spans="1:18" ht="15.75" thickBot="1">
      <c r="A82" s="21"/>
      <c r="B82" s="30"/>
      <c r="C82" s="30"/>
      <c r="D82" s="30"/>
      <c r="E82" s="30"/>
      <c r="F82" s="23"/>
      <c r="G82" s="30"/>
      <c r="H82" s="30"/>
      <c r="I82" s="30"/>
      <c r="J82" s="30"/>
      <c r="K82" s="30"/>
      <c r="L82" s="30"/>
      <c r="M82" s="30"/>
      <c r="N82" s="30"/>
      <c r="O82" s="30"/>
      <c r="P82" s="30"/>
      <c r="Q82" s="30"/>
      <c r="R82" s="30"/>
    </row>
    <row r="83" spans="1:18" ht="15.75" thickBot="1">
      <c r="A83" s="21"/>
      <c r="B83" s="30"/>
      <c r="C83" s="30"/>
      <c r="D83" s="30"/>
      <c r="E83" s="30"/>
      <c r="F83" s="23"/>
      <c r="G83" s="30"/>
      <c r="H83" s="30"/>
      <c r="I83" s="30"/>
      <c r="J83" s="30"/>
      <c r="K83" s="30"/>
      <c r="L83" s="30"/>
      <c r="M83" s="30"/>
      <c r="N83" s="30"/>
      <c r="O83" s="30"/>
      <c r="P83" s="30"/>
      <c r="Q83" s="30"/>
      <c r="R83" s="30"/>
    </row>
    <row r="84" spans="1:18" ht="15.75" thickBot="1">
      <c r="A84" s="21"/>
      <c r="B84" s="30"/>
      <c r="C84" s="30"/>
      <c r="D84" s="30"/>
      <c r="E84" s="30"/>
      <c r="F84" s="23"/>
      <c r="G84" s="30"/>
      <c r="H84" s="30"/>
      <c r="I84" s="30"/>
      <c r="J84" s="30"/>
      <c r="K84" s="30"/>
      <c r="L84" s="30"/>
      <c r="M84" s="30"/>
      <c r="N84" s="30"/>
      <c r="O84" s="30"/>
      <c r="P84" s="30"/>
      <c r="Q84" s="30"/>
      <c r="R84" s="30"/>
    </row>
    <row r="85" spans="1:18" ht="15.75" thickBot="1">
      <c r="A85" s="21"/>
      <c r="B85" s="30"/>
      <c r="C85" s="30"/>
      <c r="D85" s="30"/>
      <c r="E85" s="30"/>
      <c r="F85" s="23"/>
      <c r="G85" s="30"/>
      <c r="H85" s="30"/>
      <c r="I85" s="30"/>
      <c r="J85" s="30"/>
      <c r="K85" s="30"/>
      <c r="L85" s="30"/>
      <c r="M85" s="30"/>
      <c r="N85" s="30"/>
      <c r="O85" s="30"/>
      <c r="P85" s="30"/>
      <c r="Q85" s="30"/>
      <c r="R85" s="30"/>
    </row>
    <row r="86" spans="1:18" ht="15.75" thickBot="1">
      <c r="A86" s="21"/>
      <c r="B86" s="30"/>
      <c r="C86" s="30"/>
      <c r="D86" s="30"/>
      <c r="E86" s="30"/>
      <c r="F86" s="23"/>
      <c r="G86" s="30"/>
      <c r="H86" s="30"/>
      <c r="I86" s="30"/>
      <c r="J86" s="30"/>
      <c r="K86" s="30"/>
      <c r="L86" s="30"/>
      <c r="M86" s="30"/>
      <c r="N86" s="30"/>
      <c r="O86" s="30"/>
      <c r="P86" s="30"/>
      <c r="Q86" s="30"/>
      <c r="R86" s="30"/>
    </row>
    <row r="87" spans="1:18" ht="15.75" thickBot="1">
      <c r="A87" s="21"/>
      <c r="B87" s="30"/>
      <c r="C87" s="30"/>
      <c r="D87" s="30"/>
      <c r="E87" s="30"/>
      <c r="F87" s="23"/>
      <c r="G87" s="30"/>
      <c r="H87" s="30"/>
      <c r="I87" s="30"/>
      <c r="J87" s="30"/>
      <c r="K87" s="30"/>
      <c r="L87" s="30"/>
      <c r="M87" s="30"/>
      <c r="N87" s="30"/>
      <c r="O87" s="30"/>
      <c r="P87" s="30"/>
      <c r="Q87" s="30"/>
      <c r="R87" s="30"/>
    </row>
    <row r="88" spans="1:18" ht="15.75" thickBot="1">
      <c r="A88" s="21"/>
      <c r="B88" s="30"/>
      <c r="C88" s="30"/>
      <c r="D88" s="30"/>
      <c r="E88" s="30"/>
      <c r="F88" s="23"/>
      <c r="G88" s="30"/>
      <c r="H88" s="30"/>
      <c r="I88" s="30"/>
      <c r="J88" s="30"/>
      <c r="K88" s="30"/>
      <c r="L88" s="30"/>
      <c r="M88" s="30"/>
      <c r="N88" s="30"/>
      <c r="O88" s="30"/>
      <c r="P88" s="30"/>
      <c r="Q88" s="30"/>
      <c r="R88" s="30"/>
    </row>
    <row r="89" spans="1:18" ht="15.75" thickBot="1">
      <c r="A89" s="21"/>
      <c r="B89" s="30"/>
      <c r="C89" s="30"/>
      <c r="D89" s="30"/>
      <c r="E89" s="30"/>
      <c r="F89" s="23"/>
      <c r="G89" s="30"/>
      <c r="H89" s="30"/>
      <c r="I89" s="30"/>
      <c r="J89" s="30"/>
      <c r="K89" s="30"/>
      <c r="L89" s="30"/>
      <c r="M89" s="30"/>
      <c r="N89" s="30"/>
      <c r="O89" s="30"/>
      <c r="P89" s="30"/>
      <c r="Q89" s="30"/>
      <c r="R89" s="30"/>
    </row>
    <row r="90" spans="1:18" ht="15.75" thickBot="1">
      <c r="A90" s="21"/>
      <c r="B90" s="30"/>
      <c r="C90" s="30"/>
      <c r="D90" s="30"/>
      <c r="E90" s="30"/>
      <c r="F90" s="23"/>
      <c r="G90" s="30"/>
      <c r="H90" s="30"/>
      <c r="I90" s="30"/>
      <c r="J90" s="30"/>
      <c r="K90" s="30"/>
      <c r="L90" s="30"/>
      <c r="M90" s="30"/>
      <c r="N90" s="30"/>
      <c r="O90" s="30"/>
      <c r="P90" s="30"/>
      <c r="Q90" s="30"/>
      <c r="R90" s="30"/>
    </row>
    <row r="91" spans="1:18" ht="15.75" thickBot="1">
      <c r="A91" s="21"/>
      <c r="B91" s="30"/>
      <c r="C91" s="30"/>
      <c r="D91" s="30"/>
      <c r="E91" s="30"/>
      <c r="F91" s="23"/>
      <c r="G91" s="30"/>
      <c r="H91" s="30"/>
      <c r="I91" s="30"/>
      <c r="J91" s="30"/>
      <c r="K91" s="30"/>
      <c r="L91" s="30"/>
      <c r="M91" s="30"/>
      <c r="N91" s="30"/>
      <c r="O91" s="30"/>
      <c r="P91" s="30"/>
      <c r="Q91" s="30"/>
      <c r="R91" s="30"/>
    </row>
    <row r="92" spans="1:18" ht="15.75" thickBot="1">
      <c r="A92" s="21"/>
      <c r="B92" s="30"/>
      <c r="C92" s="30"/>
      <c r="D92" s="30"/>
      <c r="E92" s="30"/>
      <c r="F92" s="23"/>
      <c r="G92" s="30"/>
      <c r="H92" s="30"/>
      <c r="I92" s="30"/>
      <c r="J92" s="30"/>
      <c r="K92" s="30"/>
      <c r="L92" s="30"/>
      <c r="M92" s="30"/>
      <c r="N92" s="30"/>
      <c r="O92" s="30"/>
      <c r="P92" s="30"/>
      <c r="Q92" s="30"/>
      <c r="R92" s="30"/>
    </row>
    <row r="93" spans="1:18" ht="15.75" thickBot="1">
      <c r="A93" s="21"/>
      <c r="B93" s="30"/>
      <c r="C93" s="30"/>
      <c r="D93" s="30"/>
      <c r="E93" s="30"/>
      <c r="F93" s="23"/>
      <c r="G93" s="30"/>
      <c r="H93" s="30"/>
      <c r="I93" s="30"/>
      <c r="J93" s="30"/>
      <c r="K93" s="30"/>
      <c r="L93" s="30"/>
      <c r="M93" s="30"/>
      <c r="N93" s="30"/>
      <c r="O93" s="30"/>
      <c r="P93" s="30"/>
      <c r="Q93" s="30"/>
      <c r="R93" s="30"/>
    </row>
    <row r="94" spans="1:18" ht="15.75" thickBot="1">
      <c r="A94" s="21"/>
      <c r="B94" s="30"/>
      <c r="C94" s="30"/>
      <c r="D94" s="30"/>
      <c r="E94" s="30"/>
      <c r="F94" s="23"/>
      <c r="G94" s="30"/>
      <c r="H94" s="30"/>
      <c r="I94" s="30"/>
      <c r="J94" s="30"/>
      <c r="K94" s="30"/>
      <c r="L94" s="30"/>
      <c r="M94" s="30"/>
      <c r="N94" s="30"/>
      <c r="O94" s="30"/>
      <c r="P94" s="30"/>
      <c r="Q94" s="30"/>
      <c r="R94" s="30"/>
    </row>
    <row r="95" spans="1:18" ht="15.75" thickBot="1">
      <c r="A95" s="21"/>
      <c r="B95" s="30"/>
      <c r="C95" s="30"/>
      <c r="D95" s="30"/>
      <c r="E95" s="30"/>
      <c r="F95" s="23"/>
      <c r="G95" s="30"/>
      <c r="H95" s="30"/>
      <c r="I95" s="30"/>
      <c r="J95" s="30"/>
      <c r="K95" s="30"/>
      <c r="L95" s="30"/>
      <c r="M95" s="30"/>
      <c r="N95" s="30"/>
      <c r="O95" s="30"/>
      <c r="P95" s="30"/>
      <c r="Q95" s="30"/>
      <c r="R95" s="30"/>
    </row>
    <row r="96" spans="1:18" ht="15.75" thickBot="1">
      <c r="A96" s="21"/>
      <c r="B96" s="30"/>
      <c r="C96" s="30"/>
      <c r="D96" s="30"/>
      <c r="E96" s="30"/>
      <c r="F96" s="23"/>
      <c r="G96" s="30"/>
      <c r="H96" s="30"/>
      <c r="I96" s="30"/>
      <c r="J96" s="30"/>
      <c r="K96" s="30"/>
      <c r="L96" s="30"/>
      <c r="M96" s="30"/>
      <c r="N96" s="30"/>
      <c r="O96" s="30"/>
      <c r="P96" s="30"/>
      <c r="Q96" s="30"/>
      <c r="R96" s="30"/>
    </row>
    <row r="97" spans="1:18" ht="15.75" thickBot="1">
      <c r="A97" s="21"/>
      <c r="B97" s="30"/>
      <c r="C97" s="30"/>
      <c r="D97" s="30"/>
      <c r="E97" s="30"/>
      <c r="F97" s="23"/>
      <c r="G97" s="30"/>
      <c r="H97" s="30"/>
      <c r="I97" s="30"/>
      <c r="J97" s="30"/>
      <c r="K97" s="30"/>
      <c r="L97" s="30"/>
      <c r="M97" s="30"/>
      <c r="N97" s="30"/>
      <c r="O97" s="30"/>
      <c r="P97" s="30"/>
      <c r="Q97" s="30"/>
      <c r="R97" s="30"/>
    </row>
    <row r="98" spans="1:18" ht="15.75" thickBot="1">
      <c r="A98" s="21"/>
      <c r="B98" s="30"/>
      <c r="C98" s="30"/>
      <c r="D98" s="30"/>
      <c r="E98" s="30"/>
      <c r="F98" s="23"/>
      <c r="G98" s="30"/>
      <c r="H98" s="30"/>
      <c r="I98" s="30"/>
      <c r="J98" s="30"/>
      <c r="K98" s="30"/>
      <c r="L98" s="30"/>
      <c r="M98" s="30"/>
      <c r="N98" s="30"/>
      <c r="O98" s="30"/>
      <c r="P98" s="30"/>
      <c r="Q98" s="30"/>
      <c r="R98" s="30"/>
    </row>
    <row r="99" spans="1:18" ht="15.75" thickBot="1">
      <c r="A99" s="21"/>
      <c r="B99" s="30"/>
      <c r="C99" s="30"/>
      <c r="D99" s="30"/>
      <c r="E99" s="30"/>
      <c r="F99" s="23"/>
      <c r="G99" s="30"/>
      <c r="H99" s="30"/>
      <c r="I99" s="30"/>
      <c r="J99" s="30"/>
      <c r="K99" s="30"/>
      <c r="L99" s="30"/>
      <c r="M99" s="30"/>
      <c r="N99" s="30"/>
      <c r="O99" s="30"/>
      <c r="P99" s="30"/>
      <c r="Q99" s="30"/>
      <c r="R99" s="30"/>
    </row>
    <row r="100" spans="1:18" ht="15.75" thickBot="1">
      <c r="A100" s="21"/>
      <c r="B100" s="30"/>
      <c r="C100" s="30"/>
      <c r="D100" s="30"/>
      <c r="E100" s="30"/>
      <c r="F100" s="23"/>
      <c r="G100" s="30"/>
      <c r="H100" s="30"/>
      <c r="I100" s="30"/>
      <c r="J100" s="30"/>
      <c r="K100" s="30"/>
      <c r="L100" s="30"/>
      <c r="M100" s="30"/>
      <c r="N100" s="30"/>
      <c r="O100" s="30"/>
      <c r="P100" s="30"/>
      <c r="Q100" s="30"/>
      <c r="R100" s="30"/>
    </row>
    <row r="101" spans="1:18" ht="15.75" thickBot="1">
      <c r="A101" s="21"/>
      <c r="B101" s="30"/>
      <c r="C101" s="30"/>
      <c r="D101" s="30"/>
      <c r="E101" s="30"/>
      <c r="F101" s="23"/>
      <c r="G101" s="30"/>
      <c r="H101" s="30"/>
      <c r="I101" s="30"/>
      <c r="J101" s="30"/>
      <c r="K101" s="30"/>
      <c r="L101" s="30"/>
      <c r="M101" s="30"/>
      <c r="N101" s="30"/>
      <c r="O101" s="30"/>
      <c r="P101" s="30"/>
      <c r="Q101" s="30"/>
      <c r="R101" s="30"/>
    </row>
    <row r="102" spans="1:18" ht="15.75" thickBot="1">
      <c r="A102" s="21"/>
      <c r="B102" s="30"/>
      <c r="C102" s="30"/>
      <c r="D102" s="30"/>
      <c r="E102" s="30"/>
      <c r="F102" s="23"/>
      <c r="G102" s="30"/>
      <c r="H102" s="30"/>
      <c r="I102" s="30"/>
      <c r="J102" s="30"/>
      <c r="K102" s="30"/>
      <c r="L102" s="30"/>
      <c r="M102" s="30"/>
      <c r="N102" s="30"/>
      <c r="O102" s="30"/>
      <c r="P102" s="30"/>
      <c r="Q102" s="30"/>
      <c r="R102" s="30"/>
    </row>
    <row r="103" spans="1:18" ht="15.75" thickBot="1">
      <c r="A103" s="21"/>
      <c r="B103" s="30"/>
      <c r="C103" s="30"/>
      <c r="D103" s="30"/>
      <c r="E103" s="30"/>
      <c r="F103" s="23"/>
      <c r="G103" s="30"/>
      <c r="H103" s="30"/>
      <c r="I103" s="30"/>
      <c r="J103" s="30"/>
      <c r="K103" s="30"/>
      <c r="L103" s="30"/>
      <c r="M103" s="30"/>
      <c r="N103" s="30"/>
      <c r="O103" s="30"/>
      <c r="P103" s="30"/>
      <c r="Q103" s="30"/>
      <c r="R103" s="30"/>
    </row>
    <row r="104" spans="1:18" ht="15.75" thickBot="1">
      <c r="A104" s="21"/>
      <c r="B104" s="30"/>
      <c r="C104" s="30"/>
      <c r="D104" s="30"/>
      <c r="E104" s="30"/>
      <c r="F104" s="23"/>
      <c r="G104" s="30"/>
      <c r="H104" s="30"/>
      <c r="I104" s="30"/>
      <c r="J104" s="30"/>
      <c r="K104" s="30"/>
      <c r="L104" s="30"/>
      <c r="M104" s="30"/>
      <c r="N104" s="30"/>
      <c r="O104" s="30"/>
      <c r="P104" s="30"/>
      <c r="Q104" s="30"/>
      <c r="R104" s="30"/>
    </row>
    <row r="105" spans="1:18" ht="15.75" thickBot="1">
      <c r="A105" s="21"/>
      <c r="B105" s="30"/>
      <c r="C105" s="30"/>
      <c r="D105" s="30"/>
      <c r="E105" s="30"/>
      <c r="F105" s="23"/>
      <c r="G105" s="30"/>
      <c r="H105" s="30"/>
      <c r="I105" s="30"/>
      <c r="J105" s="30"/>
      <c r="K105" s="30"/>
      <c r="L105" s="30"/>
      <c r="M105" s="30"/>
      <c r="N105" s="30"/>
      <c r="O105" s="30"/>
      <c r="P105" s="30"/>
      <c r="Q105" s="30"/>
      <c r="R105" s="30"/>
    </row>
    <row r="106" spans="1:18" ht="15.75" thickBot="1">
      <c r="A106" s="21"/>
      <c r="B106" s="30"/>
      <c r="C106" s="30"/>
      <c r="D106" s="30"/>
      <c r="E106" s="30"/>
      <c r="F106" s="23"/>
      <c r="G106" s="30"/>
      <c r="H106" s="30"/>
      <c r="I106" s="30"/>
      <c r="J106" s="30"/>
      <c r="K106" s="30"/>
      <c r="L106" s="30"/>
      <c r="M106" s="30"/>
      <c r="N106" s="30"/>
      <c r="O106" s="30"/>
      <c r="P106" s="30"/>
      <c r="Q106" s="30"/>
      <c r="R106" s="30"/>
    </row>
  </sheetData>
  <hyperlinks>
    <hyperlink ref="J4" r:id="rId1" display="http://www.google.com/url?q=http://hbsp.harvard.edu&amp;usd=2&amp;usg=ALhdy29bS2ZYIH9n3pG_965uMtzUbCAX0Q"/>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2:E38"/>
  <sheetViews>
    <sheetView workbookViewId="0"/>
  </sheetViews>
  <sheetFormatPr defaultRowHeight="15"/>
  <sheetData>
    <row r="2" spans="1:4">
      <c r="B2" t="s">
        <v>130</v>
      </c>
    </row>
    <row r="3" spans="1:4">
      <c r="A3" t="s">
        <v>41</v>
      </c>
      <c r="C3" t="s">
        <v>136</v>
      </c>
    </row>
    <row r="4" spans="1:4">
      <c r="A4" t="s">
        <v>47</v>
      </c>
      <c r="C4" t="s">
        <v>135</v>
      </c>
    </row>
    <row r="5" spans="1:4">
      <c r="B5" t="s">
        <v>155</v>
      </c>
    </row>
    <row r="6" spans="1:4">
      <c r="A6" t="s">
        <v>43</v>
      </c>
      <c r="C6" t="s">
        <v>217</v>
      </c>
    </row>
    <row r="7" spans="1:4">
      <c r="B7" t="s">
        <v>133</v>
      </c>
    </row>
    <row r="8" spans="1:4">
      <c r="A8" t="s">
        <v>44</v>
      </c>
      <c r="D8" t="s">
        <v>218</v>
      </c>
    </row>
    <row r="9" spans="1:4">
      <c r="B9" t="s">
        <v>150</v>
      </c>
    </row>
    <row r="10" spans="1:4">
      <c r="A10" t="s">
        <v>158</v>
      </c>
      <c r="C10" t="s">
        <v>149</v>
      </c>
    </row>
    <row r="11" spans="1:4">
      <c r="D11" t="s">
        <v>145</v>
      </c>
    </row>
    <row r="12" spans="1:4">
      <c r="D12" t="s">
        <v>219</v>
      </c>
    </row>
    <row r="13" spans="1:4">
      <c r="A13" t="s">
        <v>39</v>
      </c>
      <c r="C13" t="s">
        <v>151</v>
      </c>
    </row>
    <row r="14" spans="1:4">
      <c r="D14" t="s">
        <v>220</v>
      </c>
    </row>
    <row r="15" spans="1:4">
      <c r="B15" t="s">
        <v>138</v>
      </c>
    </row>
    <row r="16" spans="1:4">
      <c r="A16" t="s">
        <v>39</v>
      </c>
      <c r="D16" t="s">
        <v>137</v>
      </c>
    </row>
    <row r="17" spans="1:5">
      <c r="D17" t="s">
        <v>221</v>
      </c>
    </row>
    <row r="18" spans="1:5">
      <c r="B18" t="s">
        <v>132</v>
      </c>
    </row>
    <row r="19" spans="1:5">
      <c r="A19" t="s">
        <v>40</v>
      </c>
      <c r="D19" t="s">
        <v>222</v>
      </c>
    </row>
    <row r="20" spans="1:5">
      <c r="B20" t="s">
        <v>154</v>
      </c>
    </row>
    <row r="21" spans="1:5">
      <c r="A21" t="s">
        <v>41</v>
      </c>
      <c r="D21" t="s">
        <v>223</v>
      </c>
    </row>
    <row r="22" spans="1:5">
      <c r="B22" t="s">
        <v>156</v>
      </c>
    </row>
    <row r="23" spans="1:5">
      <c r="A23" t="s">
        <v>42</v>
      </c>
      <c r="D23" t="s">
        <v>224</v>
      </c>
    </row>
    <row r="24" spans="1:5">
      <c r="B24" t="s">
        <v>157</v>
      </c>
    </row>
    <row r="25" spans="1:5">
      <c r="C25" t="s">
        <v>131</v>
      </c>
    </row>
    <row r="26" spans="1:5">
      <c r="A26" t="s">
        <v>39</v>
      </c>
      <c r="D26" t="s">
        <v>225</v>
      </c>
    </row>
    <row r="27" spans="1:5">
      <c r="A27" t="s">
        <v>43</v>
      </c>
      <c r="D27" t="s">
        <v>228</v>
      </c>
    </row>
    <row r="28" spans="1:5">
      <c r="E28" t="s">
        <v>226</v>
      </c>
    </row>
    <row r="29" spans="1:5">
      <c r="A29" t="s">
        <v>44</v>
      </c>
      <c r="D29" t="s">
        <v>227</v>
      </c>
    </row>
    <row r="30" spans="1:5">
      <c r="C30" t="s">
        <v>148</v>
      </c>
    </row>
    <row r="31" spans="1:5">
      <c r="A31" t="s">
        <v>45</v>
      </c>
      <c r="D31" t="s">
        <v>229</v>
      </c>
    </row>
    <row r="32" spans="1:5">
      <c r="A32" t="s">
        <v>43</v>
      </c>
      <c r="D32" t="s">
        <v>230</v>
      </c>
    </row>
    <row r="33" spans="1:4">
      <c r="A33" t="s">
        <v>44</v>
      </c>
      <c r="D33" t="s">
        <v>147</v>
      </c>
    </row>
    <row r="34" spans="1:4">
      <c r="A34" t="s">
        <v>46</v>
      </c>
      <c r="D34" t="s">
        <v>146</v>
      </c>
    </row>
    <row r="35" spans="1:4">
      <c r="B35" t="s">
        <v>134</v>
      </c>
    </row>
    <row r="36" spans="1:4">
      <c r="A36" t="s">
        <v>47</v>
      </c>
      <c r="D36" t="s">
        <v>152</v>
      </c>
    </row>
    <row r="37" spans="1:4">
      <c r="A37" t="s">
        <v>46</v>
      </c>
      <c r="D37" t="s">
        <v>231</v>
      </c>
    </row>
    <row r="38" spans="1:4">
      <c r="A38" t="s">
        <v>48</v>
      </c>
      <c r="D38" t="s">
        <v>153</v>
      </c>
    </row>
  </sheetData>
  <pageMargins left="0.7" right="0.7" top="0.75" bottom="0.75" header="0.3" footer="0.3"/>
  <pageSetup scale="88" orientation="landscape" horizontalDpi="4294967293" r:id="rId1"/>
</worksheet>
</file>

<file path=xl/worksheets/sheet3.xml><?xml version="1.0" encoding="utf-8"?>
<worksheet xmlns="http://schemas.openxmlformats.org/spreadsheetml/2006/main" xmlns:r="http://schemas.openxmlformats.org/officeDocument/2006/relationships">
  <dimension ref="A1:Z194"/>
  <sheetViews>
    <sheetView zoomScale="70" zoomScaleNormal="70" workbookViewId="0">
      <pane xSplit="1" ySplit="1" topLeftCell="Q2" activePane="bottomRight" state="frozen"/>
      <selection pane="topRight" activeCell="B1" sqref="B1"/>
      <selection pane="bottomLeft" activeCell="A2" sqref="A2"/>
      <selection pane="bottomRight" activeCell="U1" sqref="U1:U1048576"/>
    </sheetView>
  </sheetViews>
  <sheetFormatPr defaultRowHeight="15"/>
  <cols>
    <col min="1" max="1" width="44.85546875" customWidth="1"/>
    <col min="3" max="3" width="10.28515625" style="63" customWidth="1"/>
    <col min="4" max="4" width="12" style="63" bestFit="1" customWidth="1"/>
    <col min="5" max="9" width="11.140625" bestFit="1" customWidth="1"/>
    <col min="10" max="10" width="12.42578125" customWidth="1"/>
    <col min="11" max="15" width="11.140625" bestFit="1" customWidth="1"/>
    <col min="16" max="17" width="10.7109375" bestFit="1" customWidth="1"/>
    <col min="18" max="18" width="11.140625" bestFit="1" customWidth="1"/>
    <col min="19" max="20" width="10.7109375" bestFit="1" customWidth="1"/>
    <col min="21" max="22" width="10.7109375" customWidth="1"/>
    <col min="23" max="23" width="11.140625" bestFit="1" customWidth="1"/>
    <col min="24" max="24" width="10.7109375" bestFit="1" customWidth="1"/>
  </cols>
  <sheetData>
    <row r="1" spans="1:25">
      <c r="A1" s="1" t="s">
        <v>11</v>
      </c>
      <c r="B1" t="s">
        <v>233</v>
      </c>
      <c r="C1" s="60">
        <v>1</v>
      </c>
      <c r="D1" s="60">
        <f>C1+1</f>
        <v>2</v>
      </c>
      <c r="E1" s="60">
        <f t="shared" ref="E1:X1" si="0">D1+1</f>
        <v>3</v>
      </c>
      <c r="F1" s="60">
        <f t="shared" si="0"/>
        <v>4</v>
      </c>
      <c r="G1" s="60">
        <f t="shared" si="0"/>
        <v>5</v>
      </c>
      <c r="H1" s="60">
        <f t="shared" si="0"/>
        <v>6</v>
      </c>
      <c r="I1" s="60">
        <f t="shared" si="0"/>
        <v>7</v>
      </c>
      <c r="J1" s="60">
        <f t="shared" si="0"/>
        <v>8</v>
      </c>
      <c r="K1" s="60">
        <f t="shared" si="0"/>
        <v>9</v>
      </c>
      <c r="L1" s="60">
        <f t="shared" si="0"/>
        <v>10</v>
      </c>
      <c r="M1" s="60">
        <f t="shared" si="0"/>
        <v>11</v>
      </c>
      <c r="N1" s="60">
        <f t="shared" si="0"/>
        <v>12</v>
      </c>
      <c r="O1" s="60">
        <f t="shared" si="0"/>
        <v>13</v>
      </c>
      <c r="P1" s="60">
        <f t="shared" si="0"/>
        <v>14</v>
      </c>
      <c r="Q1" s="60">
        <f t="shared" si="0"/>
        <v>15</v>
      </c>
      <c r="R1" s="60">
        <f t="shared" si="0"/>
        <v>16</v>
      </c>
      <c r="S1" s="60">
        <f t="shared" si="0"/>
        <v>17</v>
      </c>
      <c r="T1" s="60">
        <f t="shared" si="0"/>
        <v>18</v>
      </c>
      <c r="U1" s="60"/>
      <c r="V1" s="60"/>
      <c r="W1" s="60">
        <f>T1+1</f>
        <v>19</v>
      </c>
      <c r="X1" s="60">
        <f t="shared" si="0"/>
        <v>20</v>
      </c>
      <c r="Y1" t="s">
        <v>209</v>
      </c>
    </row>
    <row r="2" spans="1:25">
      <c r="Y2" t="s">
        <v>209</v>
      </c>
    </row>
    <row r="3" spans="1:25">
      <c r="A3" s="1" t="s">
        <v>12</v>
      </c>
      <c r="B3" t="s">
        <v>234</v>
      </c>
      <c r="Y3" t="s">
        <v>209</v>
      </c>
    </row>
    <row r="4" spans="1:25">
      <c r="A4" s="10" t="s">
        <v>13</v>
      </c>
      <c r="B4">
        <v>1</v>
      </c>
      <c r="Y4" t="s">
        <v>209</v>
      </c>
    </row>
    <row r="5" spans="1:25">
      <c r="A5" s="4" t="s">
        <v>14</v>
      </c>
      <c r="B5">
        <v>1</v>
      </c>
      <c r="C5" s="63">
        <f>ROUND(SUM(C87:C89)*IF(C124="low",$B183,IF(C124="high",$B185,0)),0)</f>
        <v>24654</v>
      </c>
      <c r="D5" s="63">
        <f>SUM(D87:D89)*IF(D124="low",$B183,IF(D124="high",$B185,0))</f>
        <v>5588</v>
      </c>
      <c r="Y5" t="s">
        <v>209</v>
      </c>
    </row>
    <row r="6" spans="1:25">
      <c r="A6" s="4" t="s">
        <v>245</v>
      </c>
      <c r="B6">
        <v>1</v>
      </c>
      <c r="C6" s="63">
        <f>20000+C19</f>
        <v>34689</v>
      </c>
      <c r="Y6" t="s">
        <v>209</v>
      </c>
    </row>
    <row r="7" spans="1:25">
      <c r="A7" s="4" t="s">
        <v>256</v>
      </c>
      <c r="B7">
        <v>1</v>
      </c>
      <c r="D7" s="63">
        <v>40000</v>
      </c>
      <c r="Y7" t="s">
        <v>209</v>
      </c>
    </row>
    <row r="8" spans="1:25" s="54" customFormat="1">
      <c r="A8" s="54" t="s">
        <v>279</v>
      </c>
      <c r="B8" t="s">
        <v>235</v>
      </c>
      <c r="C8" s="66">
        <f>SUM(C4:C7)</f>
        <v>59343</v>
      </c>
      <c r="D8" s="66">
        <f>SUM(D4:D7)</f>
        <v>45588</v>
      </c>
      <c r="E8" s="67">
        <f t="shared" ref="E8:X8" si="1">10000*E125</f>
        <v>50000</v>
      </c>
      <c r="F8" s="67">
        <f t="shared" si="1"/>
        <v>50000</v>
      </c>
      <c r="G8" s="67">
        <f t="shared" si="1"/>
        <v>50000</v>
      </c>
      <c r="H8" s="67">
        <f t="shared" si="1"/>
        <v>30000</v>
      </c>
      <c r="I8" s="67">
        <f t="shared" si="1"/>
        <v>40000</v>
      </c>
      <c r="J8" s="67">
        <f t="shared" si="1"/>
        <v>40000</v>
      </c>
      <c r="K8" s="67">
        <f t="shared" si="1"/>
        <v>10000</v>
      </c>
      <c r="L8" s="67">
        <f t="shared" si="1"/>
        <v>30000</v>
      </c>
      <c r="M8" s="67">
        <f t="shared" si="1"/>
        <v>30000</v>
      </c>
      <c r="N8" s="67">
        <f t="shared" si="1"/>
        <v>10000</v>
      </c>
      <c r="O8" s="67">
        <f t="shared" si="1"/>
        <v>30000</v>
      </c>
      <c r="P8" s="67">
        <f t="shared" si="1"/>
        <v>10000</v>
      </c>
      <c r="Q8" s="67">
        <f t="shared" si="1"/>
        <v>30000</v>
      </c>
      <c r="R8" s="67">
        <f t="shared" si="1"/>
        <v>10000</v>
      </c>
      <c r="S8" s="67">
        <f t="shared" si="1"/>
        <v>30000</v>
      </c>
      <c r="T8" s="67">
        <f t="shared" si="1"/>
        <v>20000</v>
      </c>
      <c r="U8" s="67"/>
      <c r="V8" s="67"/>
      <c r="W8" s="67">
        <f t="shared" si="1"/>
        <v>40000</v>
      </c>
      <c r="X8" s="67">
        <f t="shared" si="1"/>
        <v>10000</v>
      </c>
      <c r="Y8" s="54" t="s">
        <v>209</v>
      </c>
    </row>
    <row r="9" spans="1:25">
      <c r="Y9" t="s">
        <v>209</v>
      </c>
    </row>
    <row r="10" spans="1:25">
      <c r="A10" s="1" t="s">
        <v>15</v>
      </c>
      <c r="B10" t="s">
        <v>234</v>
      </c>
      <c r="Y10" t="s">
        <v>209</v>
      </c>
    </row>
    <row r="11" spans="1:25" s="54" customFormat="1">
      <c r="A11" s="53" t="s">
        <v>16</v>
      </c>
      <c r="B11">
        <v>1</v>
      </c>
      <c r="C11" s="63"/>
      <c r="D11" s="63"/>
      <c r="E11" s="63">
        <v>29000</v>
      </c>
      <c r="F11" s="63">
        <v>20000</v>
      </c>
      <c r="G11" s="54">
        <f t="shared" ref="G11:O11" si="2">G8*(1-IF(G132="high",$B158,IF(G132="low",$B159,$B157)))</f>
        <v>32500</v>
      </c>
      <c r="H11" s="63">
        <v>24000</v>
      </c>
      <c r="I11" s="54">
        <f t="shared" si="2"/>
        <v>31200</v>
      </c>
      <c r="J11" s="54">
        <f t="shared" si="2"/>
        <v>26000</v>
      </c>
      <c r="K11" s="63">
        <v>8200</v>
      </c>
      <c r="L11" s="54">
        <f t="shared" si="2"/>
        <v>23400</v>
      </c>
      <c r="M11" s="54">
        <f t="shared" si="2"/>
        <v>19500</v>
      </c>
      <c r="N11" s="54">
        <f t="shared" si="2"/>
        <v>7800</v>
      </c>
      <c r="O11" s="54">
        <f t="shared" si="2"/>
        <v>19500</v>
      </c>
      <c r="P11" s="63">
        <v>8500</v>
      </c>
      <c r="Q11" s="63">
        <v>20000</v>
      </c>
      <c r="R11" s="63">
        <v>7000</v>
      </c>
      <c r="S11" s="63">
        <v>24000</v>
      </c>
      <c r="T11" s="63">
        <f>T8*(1-IF(T132="high",$B158,IF(T132="low",$B159,$B157)))/8</f>
        <v>1625</v>
      </c>
      <c r="U11" s="63"/>
      <c r="V11" s="63"/>
      <c r="W11" s="63">
        <v>34000</v>
      </c>
      <c r="X11" s="63">
        <v>6700</v>
      </c>
      <c r="Y11" s="54" t="s">
        <v>209</v>
      </c>
    </row>
    <row r="12" spans="1:25" s="54" customFormat="1">
      <c r="A12" s="53" t="s">
        <v>260</v>
      </c>
      <c r="B12">
        <v>1</v>
      </c>
      <c r="C12" s="63">
        <f>SUM(C97:C98)*IF(C124="low",0.04,0.07)</f>
        <v>16000</v>
      </c>
      <c r="D12" s="63">
        <f>SUM(D97:D98)*IF(D124="low",0.04,0.07)</f>
        <v>3500.0000000000005</v>
      </c>
      <c r="E12" s="63"/>
      <c r="F12" s="63"/>
      <c r="T12" s="63"/>
      <c r="U12" s="63"/>
      <c r="V12" s="63"/>
    </row>
    <row r="13" spans="1:25">
      <c r="A13" s="8" t="s">
        <v>276</v>
      </c>
      <c r="B13">
        <v>1</v>
      </c>
      <c r="C13" s="63">
        <v>0</v>
      </c>
      <c r="D13" s="63">
        <v>0</v>
      </c>
      <c r="E13">
        <f t="shared" ref="E13:X13" si="3">E83*IF(E146="slow",$B175,IF(E146="fast",$B177,$B176))</f>
        <v>2500</v>
      </c>
      <c r="F13">
        <f t="shared" si="3"/>
        <v>5000</v>
      </c>
      <c r="G13">
        <f t="shared" si="3"/>
        <v>6250</v>
      </c>
      <c r="H13">
        <f t="shared" si="3"/>
        <v>3750</v>
      </c>
      <c r="I13">
        <f t="shared" si="3"/>
        <v>300</v>
      </c>
      <c r="J13">
        <f t="shared" si="3"/>
        <v>4000</v>
      </c>
      <c r="K13">
        <f t="shared" si="3"/>
        <v>500</v>
      </c>
      <c r="L13">
        <f t="shared" si="3"/>
        <v>1500</v>
      </c>
      <c r="M13">
        <f t="shared" si="3"/>
        <v>0</v>
      </c>
      <c r="N13">
        <f t="shared" si="3"/>
        <v>0</v>
      </c>
      <c r="O13">
        <f t="shared" si="3"/>
        <v>0</v>
      </c>
      <c r="P13">
        <f t="shared" si="3"/>
        <v>500</v>
      </c>
      <c r="Q13">
        <f t="shared" si="3"/>
        <v>0</v>
      </c>
      <c r="R13">
        <f t="shared" si="3"/>
        <v>0</v>
      </c>
      <c r="S13">
        <f t="shared" si="3"/>
        <v>0</v>
      </c>
      <c r="T13">
        <f t="shared" si="3"/>
        <v>500</v>
      </c>
      <c r="W13">
        <f t="shared" si="3"/>
        <v>0</v>
      </c>
      <c r="X13">
        <f t="shared" si="3"/>
        <v>5</v>
      </c>
      <c r="Y13" t="s">
        <v>209</v>
      </c>
    </row>
    <row r="14" spans="1:25">
      <c r="A14" s="11" t="s">
        <v>17</v>
      </c>
      <c r="B14">
        <v>1</v>
      </c>
      <c r="C14" s="63">
        <v>5000</v>
      </c>
      <c r="D14" s="63">
        <v>1000</v>
      </c>
      <c r="Y14" t="s">
        <v>209</v>
      </c>
    </row>
    <row r="15" spans="1:25" s="60" customFormat="1">
      <c r="A15" s="59" t="s">
        <v>216</v>
      </c>
      <c r="B15">
        <v>1</v>
      </c>
      <c r="C15" s="60">
        <v>100</v>
      </c>
      <c r="D15" s="60">
        <v>600</v>
      </c>
      <c r="E15" s="60">
        <f t="shared" ref="E15:X15" si="4">IF(E147="",0,IF(E147="high",2,IF(E147="low",1,1))*E8*0.02)</f>
        <v>0</v>
      </c>
      <c r="F15" s="60">
        <f t="shared" si="4"/>
        <v>0</v>
      </c>
      <c r="G15" s="60">
        <f t="shared" si="4"/>
        <v>0</v>
      </c>
      <c r="H15" s="60">
        <f t="shared" si="4"/>
        <v>0</v>
      </c>
      <c r="I15" s="60">
        <f t="shared" si="4"/>
        <v>0</v>
      </c>
      <c r="J15" s="60">
        <f t="shared" si="4"/>
        <v>0</v>
      </c>
      <c r="K15" s="60">
        <f t="shared" si="4"/>
        <v>0</v>
      </c>
      <c r="L15" s="60">
        <f t="shared" si="4"/>
        <v>0</v>
      </c>
      <c r="M15" s="60">
        <f t="shared" si="4"/>
        <v>600</v>
      </c>
      <c r="N15" s="60">
        <f t="shared" si="4"/>
        <v>200</v>
      </c>
      <c r="O15" s="60">
        <f t="shared" si="4"/>
        <v>600</v>
      </c>
      <c r="P15" s="63">
        <v>0</v>
      </c>
      <c r="Q15" s="60">
        <f t="shared" si="4"/>
        <v>600</v>
      </c>
      <c r="R15" s="60">
        <f t="shared" si="4"/>
        <v>200</v>
      </c>
      <c r="S15" s="60">
        <f t="shared" si="4"/>
        <v>600</v>
      </c>
      <c r="T15" s="63">
        <v>1000</v>
      </c>
      <c r="U15" s="63"/>
      <c r="V15" s="63"/>
      <c r="W15" s="60">
        <f t="shared" si="4"/>
        <v>800</v>
      </c>
      <c r="X15" s="60">
        <f t="shared" si="4"/>
        <v>0</v>
      </c>
      <c r="Y15" s="60" t="s">
        <v>209</v>
      </c>
    </row>
    <row r="16" spans="1:25" s="54" customFormat="1">
      <c r="A16" s="53" t="s">
        <v>280</v>
      </c>
      <c r="B16">
        <v>1</v>
      </c>
      <c r="C16" s="54" t="str">
        <f t="shared" ref="C16:T16" si="5">IF(OR(C144="high",C144=1),$B169*C8,IF(C128="","",$B170*C8))</f>
        <v/>
      </c>
      <c r="D16" s="54" t="str">
        <f t="shared" si="5"/>
        <v/>
      </c>
      <c r="E16" s="54" t="str">
        <f t="shared" si="5"/>
        <v/>
      </c>
      <c r="F16" s="54">
        <f t="shared" si="5"/>
        <v>250</v>
      </c>
      <c r="G16" s="54" t="str">
        <f t="shared" si="5"/>
        <v/>
      </c>
      <c r="H16" s="54" t="str">
        <f t="shared" si="5"/>
        <v/>
      </c>
      <c r="I16" s="54">
        <f t="shared" si="5"/>
        <v>200</v>
      </c>
      <c r="J16" s="54">
        <f t="shared" si="5"/>
        <v>2000</v>
      </c>
      <c r="K16" s="54" t="str">
        <f t="shared" si="5"/>
        <v/>
      </c>
      <c r="L16" s="54">
        <f t="shared" si="5"/>
        <v>150</v>
      </c>
      <c r="M16" s="54" t="str">
        <f t="shared" si="5"/>
        <v/>
      </c>
      <c r="N16" s="54">
        <f t="shared" si="5"/>
        <v>50</v>
      </c>
      <c r="O16" s="54" t="str">
        <f t="shared" si="5"/>
        <v/>
      </c>
      <c r="P16" s="54" t="str">
        <f t="shared" si="5"/>
        <v/>
      </c>
      <c r="Q16" s="54" t="str">
        <f t="shared" si="5"/>
        <v/>
      </c>
      <c r="R16" s="54" t="str">
        <f t="shared" si="5"/>
        <v/>
      </c>
      <c r="S16" s="54">
        <f t="shared" si="5"/>
        <v>150</v>
      </c>
      <c r="T16" s="54" t="str">
        <f t="shared" si="5"/>
        <v/>
      </c>
      <c r="W16" s="63">
        <v>1000</v>
      </c>
      <c r="X16" s="54" t="str">
        <f>IF(OR(X144="high",X144=1),$B169*X8,IF(X128="","",$B170*X8))</f>
        <v/>
      </c>
      <c r="Y16" s="54" t="s">
        <v>209</v>
      </c>
    </row>
    <row r="17" spans="1:26" s="60" customFormat="1">
      <c r="A17" s="59" t="s">
        <v>277</v>
      </c>
      <c r="B17">
        <v>1</v>
      </c>
      <c r="C17" s="63">
        <f t="shared" ref="C17:X17" si="6">IF(C143="",0,C8*0.08)</f>
        <v>0</v>
      </c>
      <c r="D17" s="63">
        <f t="shared" si="6"/>
        <v>0</v>
      </c>
      <c r="E17" s="60">
        <f t="shared" si="6"/>
        <v>0</v>
      </c>
      <c r="F17" s="60">
        <f t="shared" si="6"/>
        <v>0</v>
      </c>
      <c r="G17" s="60">
        <f t="shared" si="6"/>
        <v>0</v>
      </c>
      <c r="H17" s="60">
        <f t="shared" si="6"/>
        <v>0</v>
      </c>
      <c r="I17" s="60">
        <f t="shared" si="6"/>
        <v>3200</v>
      </c>
      <c r="J17" s="60">
        <f t="shared" si="6"/>
        <v>0</v>
      </c>
      <c r="K17" s="60">
        <f t="shared" si="6"/>
        <v>0</v>
      </c>
      <c r="L17" s="60">
        <f t="shared" si="6"/>
        <v>0</v>
      </c>
      <c r="M17" s="60">
        <f t="shared" si="6"/>
        <v>0</v>
      </c>
      <c r="N17" s="60">
        <f t="shared" si="6"/>
        <v>800</v>
      </c>
      <c r="O17" s="60">
        <f t="shared" si="6"/>
        <v>2400</v>
      </c>
      <c r="P17" s="60">
        <f t="shared" si="6"/>
        <v>0</v>
      </c>
      <c r="Q17" s="60">
        <f t="shared" si="6"/>
        <v>2400</v>
      </c>
      <c r="R17" s="60">
        <f t="shared" si="6"/>
        <v>0</v>
      </c>
      <c r="S17" s="60">
        <f t="shared" si="6"/>
        <v>0</v>
      </c>
      <c r="T17" s="60">
        <f t="shared" si="6"/>
        <v>0</v>
      </c>
      <c r="W17" s="60">
        <f t="shared" si="6"/>
        <v>0</v>
      </c>
      <c r="X17" s="60">
        <f t="shared" si="6"/>
        <v>0</v>
      </c>
      <c r="Y17" s="60" t="s">
        <v>209</v>
      </c>
    </row>
    <row r="18" spans="1:26" s="60" customFormat="1">
      <c r="A18" s="59" t="s">
        <v>278</v>
      </c>
      <c r="B18">
        <v>1</v>
      </c>
      <c r="C18" s="54">
        <f>ROUND(C8*IF(C145="",$B179,IF(C145="high",$B180,IF(C145="low",$B181))),0)</f>
        <v>1780</v>
      </c>
      <c r="D18" s="54">
        <f>ROUND(D8*IF(D145="",$B179,IF(D145="high",$B180+0.1,IF(D145="low",$B181))),0)/2</f>
        <v>7978</v>
      </c>
      <c r="E18" s="54">
        <f>ROUND(E8*IF(E145="",$B179,IF(E145="high",$B180,IF(E145="low",$B181))),0)</f>
        <v>1500</v>
      </c>
      <c r="F18" s="54">
        <f>ROUND(F8*IF(F145="",$B179,IF(F145="high",$B180,IF(F145="low",$B181))),0)</f>
        <v>12500</v>
      </c>
      <c r="G18" s="54">
        <f>ROUND(G8*IF(G145="",$B179,IF(G145="high",$B180,IF(G145="low",$B181))),0)</f>
        <v>5000</v>
      </c>
      <c r="H18" s="54">
        <f>ROUND(H8*IF(H145="",$B179,IF(H145="high",$B180,IF(H145="low",$B181))),0)</f>
        <v>900</v>
      </c>
      <c r="I18" s="54">
        <f>ROUND(I8*IF(I145="",$B179,IF(I145="high",$B180,IF(I145="low",$B181))),0)</f>
        <v>4000</v>
      </c>
      <c r="J18" s="54">
        <f t="shared" ref="J18:S18" si="7">ROUND(J8*IF(J145="",$B179,IF(J145="high",$B180,IF(J145="low",$B181))),0)</f>
        <v>4000</v>
      </c>
      <c r="K18" s="54">
        <f t="shared" si="7"/>
        <v>1000</v>
      </c>
      <c r="L18" s="54">
        <f t="shared" si="7"/>
        <v>3000</v>
      </c>
      <c r="M18" s="54">
        <f t="shared" si="7"/>
        <v>3000</v>
      </c>
      <c r="N18" s="54">
        <f t="shared" si="7"/>
        <v>1000</v>
      </c>
      <c r="O18" s="54">
        <f t="shared" si="7"/>
        <v>3000</v>
      </c>
      <c r="P18" s="54">
        <f t="shared" si="7"/>
        <v>300</v>
      </c>
      <c r="Q18" s="54">
        <f t="shared" si="7"/>
        <v>3000</v>
      </c>
      <c r="R18" s="54">
        <f t="shared" si="7"/>
        <v>1000</v>
      </c>
      <c r="S18" s="54">
        <f t="shared" si="7"/>
        <v>3000</v>
      </c>
      <c r="T18" s="63">
        <v>2300</v>
      </c>
      <c r="U18" s="63"/>
      <c r="V18" s="63"/>
      <c r="W18" s="63">
        <v>3500</v>
      </c>
      <c r="X18" s="63">
        <v>2700</v>
      </c>
      <c r="Y18" s="60" t="s">
        <v>209</v>
      </c>
    </row>
    <row r="19" spans="1:26" s="60" customFormat="1">
      <c r="A19" s="59" t="s">
        <v>305</v>
      </c>
      <c r="B19"/>
      <c r="C19" s="60">
        <v>14689</v>
      </c>
      <c r="D19" s="54"/>
      <c r="E19" s="54"/>
      <c r="F19" s="54"/>
      <c r="G19" s="54"/>
      <c r="H19" s="54"/>
      <c r="I19" s="63"/>
      <c r="J19" s="54"/>
      <c r="K19" s="54"/>
      <c r="L19" s="54"/>
      <c r="M19" s="54"/>
      <c r="N19" s="54"/>
      <c r="O19" s="54"/>
      <c r="P19" s="54"/>
      <c r="Q19" s="54"/>
      <c r="R19" s="54"/>
      <c r="S19" s="54"/>
      <c r="T19" s="63"/>
      <c r="U19" s="63"/>
      <c r="V19" s="63"/>
      <c r="W19" s="63"/>
      <c r="X19" s="63"/>
    </row>
    <row r="20" spans="1:26" s="60" customFormat="1">
      <c r="A20" s="59" t="s">
        <v>304</v>
      </c>
      <c r="B20">
        <v>1</v>
      </c>
      <c r="C20" s="63"/>
      <c r="D20" s="63"/>
      <c r="E20" s="60">
        <f t="shared" ref="E20:X20" si="8">IF(E149="",0,$B187)*E8</f>
        <v>0</v>
      </c>
      <c r="F20" s="60">
        <f t="shared" si="8"/>
        <v>0</v>
      </c>
      <c r="G20" s="60">
        <f t="shared" si="8"/>
        <v>0</v>
      </c>
      <c r="H20" s="60">
        <f t="shared" si="8"/>
        <v>0</v>
      </c>
      <c r="I20" s="60">
        <f t="shared" si="8"/>
        <v>0</v>
      </c>
      <c r="J20" s="60">
        <f t="shared" si="8"/>
        <v>0</v>
      </c>
      <c r="K20" s="60">
        <f t="shared" si="8"/>
        <v>0</v>
      </c>
      <c r="L20" s="60">
        <f t="shared" si="8"/>
        <v>0</v>
      </c>
      <c r="M20" s="60">
        <f t="shared" si="8"/>
        <v>0</v>
      </c>
      <c r="N20" s="60">
        <f t="shared" si="8"/>
        <v>0</v>
      </c>
      <c r="O20" s="60">
        <f t="shared" si="8"/>
        <v>0</v>
      </c>
      <c r="P20" s="60">
        <f t="shared" si="8"/>
        <v>0</v>
      </c>
      <c r="Q20" s="60">
        <f t="shared" si="8"/>
        <v>0</v>
      </c>
      <c r="R20" s="60">
        <f t="shared" si="8"/>
        <v>0</v>
      </c>
      <c r="S20" s="60">
        <f t="shared" si="8"/>
        <v>0</v>
      </c>
      <c r="T20" s="63">
        <v>13889</v>
      </c>
      <c r="U20" s="63"/>
      <c r="V20" s="63"/>
      <c r="W20" s="60">
        <f t="shared" si="8"/>
        <v>0</v>
      </c>
      <c r="X20" s="60">
        <f t="shared" si="8"/>
        <v>0</v>
      </c>
      <c r="Y20" s="60" t="s">
        <v>209</v>
      </c>
    </row>
    <row r="21" spans="1:26" s="60" customFormat="1">
      <c r="A21" s="61" t="s">
        <v>281</v>
      </c>
      <c r="B21" s="60" t="s">
        <v>235</v>
      </c>
      <c r="C21" s="60">
        <f>SUM(C11:C20)</f>
        <v>37569</v>
      </c>
      <c r="D21" s="60">
        <f t="shared" ref="D21:W21" si="9">SUM(D11:D20)</f>
        <v>13078</v>
      </c>
      <c r="E21" s="60">
        <f>SUM(E11:E20)</f>
        <v>33000</v>
      </c>
      <c r="F21" s="60">
        <f t="shared" si="9"/>
        <v>37750</v>
      </c>
      <c r="G21" s="60">
        <f t="shared" si="9"/>
        <v>43750</v>
      </c>
      <c r="H21" s="60">
        <f t="shared" si="9"/>
        <v>28650</v>
      </c>
      <c r="I21" s="60">
        <f t="shared" si="9"/>
        <v>38900</v>
      </c>
      <c r="J21" s="60">
        <f t="shared" si="9"/>
        <v>36000</v>
      </c>
      <c r="K21" s="60">
        <f t="shared" si="9"/>
        <v>9700</v>
      </c>
      <c r="L21" s="60">
        <f t="shared" si="9"/>
        <v>28050</v>
      </c>
      <c r="M21" s="60">
        <f t="shared" si="9"/>
        <v>23100</v>
      </c>
      <c r="N21" s="60">
        <f t="shared" si="9"/>
        <v>9850</v>
      </c>
      <c r="O21" s="60">
        <f t="shared" si="9"/>
        <v>25500</v>
      </c>
      <c r="P21" s="60">
        <f t="shared" si="9"/>
        <v>9300</v>
      </c>
      <c r="Q21" s="60">
        <f t="shared" si="9"/>
        <v>26000</v>
      </c>
      <c r="R21" s="60">
        <f t="shared" si="9"/>
        <v>8200</v>
      </c>
      <c r="S21" s="60">
        <f t="shared" si="9"/>
        <v>27750</v>
      </c>
      <c r="T21" s="60">
        <f t="shared" si="9"/>
        <v>19314</v>
      </c>
      <c r="W21" s="60">
        <f t="shared" si="9"/>
        <v>39300</v>
      </c>
      <c r="X21" s="60">
        <f>SUM(X11:X20)</f>
        <v>9405</v>
      </c>
      <c r="Y21" s="60" t="s">
        <v>209</v>
      </c>
    </row>
    <row r="22" spans="1:26">
      <c r="A22" s="7"/>
      <c r="Y22" t="s">
        <v>209</v>
      </c>
    </row>
    <row r="23" spans="1:26">
      <c r="A23" s="13" t="s">
        <v>19</v>
      </c>
      <c r="B23">
        <v>0</v>
      </c>
      <c r="C23" s="66">
        <f>C8-C21</f>
        <v>21774</v>
      </c>
      <c r="D23" s="63">
        <f t="shared" ref="D23:X23" si="10">D8-D21</f>
        <v>32510</v>
      </c>
      <c r="E23">
        <f t="shared" si="10"/>
        <v>17000</v>
      </c>
      <c r="F23">
        <f t="shared" si="10"/>
        <v>12250</v>
      </c>
      <c r="G23">
        <f t="shared" si="10"/>
        <v>6250</v>
      </c>
      <c r="H23">
        <f t="shared" si="10"/>
        <v>1350</v>
      </c>
      <c r="I23">
        <f t="shared" si="10"/>
        <v>1100</v>
      </c>
      <c r="J23">
        <f t="shared" si="10"/>
        <v>4000</v>
      </c>
      <c r="K23">
        <f t="shared" si="10"/>
        <v>300</v>
      </c>
      <c r="L23">
        <f t="shared" si="10"/>
        <v>1950</v>
      </c>
      <c r="M23">
        <f t="shared" si="10"/>
        <v>6900</v>
      </c>
      <c r="N23">
        <f t="shared" si="10"/>
        <v>150</v>
      </c>
      <c r="O23">
        <f t="shared" si="10"/>
        <v>4500</v>
      </c>
      <c r="P23">
        <f t="shared" si="10"/>
        <v>700</v>
      </c>
      <c r="Q23">
        <f>Q8-Q21</f>
        <v>4000</v>
      </c>
      <c r="R23">
        <f t="shared" si="10"/>
        <v>1800</v>
      </c>
      <c r="S23">
        <f t="shared" si="10"/>
        <v>2250</v>
      </c>
      <c r="T23">
        <f t="shared" si="10"/>
        <v>686</v>
      </c>
      <c r="W23">
        <f t="shared" si="10"/>
        <v>700</v>
      </c>
      <c r="X23">
        <f t="shared" si="10"/>
        <v>595</v>
      </c>
      <c r="Y23" t="s">
        <v>209</v>
      </c>
    </row>
    <row r="24" spans="1:26" s="54" customFormat="1">
      <c r="A24" s="53" t="s">
        <v>243</v>
      </c>
      <c r="B24">
        <v>1</v>
      </c>
      <c r="E24" s="54">
        <f t="shared" ref="E24:X24" si="11">-E99*IF(E124="low",$B$183,IF(E124="high",$B$185,IF(E124="verylow",$B$184,0)))</f>
        <v>-13716</v>
      </c>
      <c r="F24" s="54">
        <f t="shared" si="11"/>
        <v>-6576</v>
      </c>
      <c r="G24" s="54">
        <f t="shared" si="11"/>
        <v>-666</v>
      </c>
      <c r="H24" s="54">
        <f t="shared" si="11"/>
        <v>-492</v>
      </c>
      <c r="I24" s="54">
        <f t="shared" si="11"/>
        <v>-275</v>
      </c>
      <c r="J24" s="54">
        <f t="shared" si="11"/>
        <v>-252</v>
      </c>
      <c r="K24" s="54">
        <f t="shared" si="11"/>
        <v>-176</v>
      </c>
      <c r="L24" s="54">
        <f t="shared" si="11"/>
        <v>-306</v>
      </c>
      <c r="M24" s="54">
        <f t="shared" si="11"/>
        <v>-1656</v>
      </c>
      <c r="N24" s="54">
        <f t="shared" si="11"/>
        <v>-198</v>
      </c>
      <c r="O24" s="54">
        <f t="shared" si="11"/>
        <v>-99</v>
      </c>
      <c r="P24" s="54">
        <f t="shared" si="11"/>
        <v>-275</v>
      </c>
      <c r="Q24" s="54">
        <f t="shared" si="11"/>
        <v>-1562</v>
      </c>
      <c r="R24" s="54">
        <f t="shared" si="11"/>
        <v>-924</v>
      </c>
      <c r="S24" s="54">
        <f t="shared" si="11"/>
        <v>-209</v>
      </c>
      <c r="T24" s="54">
        <f t="shared" si="11"/>
        <v>-96</v>
      </c>
      <c r="W24" s="54">
        <f t="shared" si="11"/>
        <v>-114</v>
      </c>
      <c r="X24" s="54">
        <f t="shared" si="11"/>
        <v>-550</v>
      </c>
      <c r="Y24" s="54" t="s">
        <v>209</v>
      </c>
    </row>
    <row r="25" spans="1:26" s="54" customFormat="1">
      <c r="A25" s="53" t="s">
        <v>311</v>
      </c>
      <c r="B25">
        <v>1</v>
      </c>
      <c r="C25" s="63">
        <f>IF(C140="",0,500)-IF(C139="",0,500)</f>
        <v>0</v>
      </c>
      <c r="D25" s="63">
        <f t="shared" ref="D25:X25" si="12">IF(D140="",0,500)-IF(D139="",0,500)</f>
        <v>0</v>
      </c>
      <c r="E25" s="63">
        <f t="shared" si="12"/>
        <v>0</v>
      </c>
      <c r="F25" s="63">
        <f t="shared" si="12"/>
        <v>0</v>
      </c>
      <c r="G25" s="63">
        <f t="shared" si="12"/>
        <v>0</v>
      </c>
      <c r="H25" s="63">
        <f t="shared" si="12"/>
        <v>0</v>
      </c>
      <c r="I25" s="63">
        <f t="shared" si="12"/>
        <v>0</v>
      </c>
      <c r="J25" s="63">
        <f t="shared" si="12"/>
        <v>0</v>
      </c>
      <c r="K25" s="63">
        <f t="shared" si="12"/>
        <v>0</v>
      </c>
      <c r="L25" s="63">
        <f t="shared" si="12"/>
        <v>0</v>
      </c>
      <c r="M25" s="63">
        <f t="shared" si="12"/>
        <v>-500</v>
      </c>
      <c r="N25" s="63">
        <f t="shared" si="12"/>
        <v>500</v>
      </c>
      <c r="O25" s="63">
        <f t="shared" si="12"/>
        <v>0</v>
      </c>
      <c r="P25" s="63">
        <f t="shared" si="12"/>
        <v>0</v>
      </c>
      <c r="Q25" s="63">
        <f t="shared" si="12"/>
        <v>500</v>
      </c>
      <c r="R25" s="63">
        <f t="shared" si="12"/>
        <v>-500</v>
      </c>
      <c r="S25" s="63">
        <f t="shared" si="12"/>
        <v>0</v>
      </c>
      <c r="T25" s="63">
        <f t="shared" si="12"/>
        <v>0</v>
      </c>
      <c r="U25" s="63"/>
      <c r="V25" s="63"/>
      <c r="W25" s="63">
        <f t="shared" si="12"/>
        <v>0</v>
      </c>
      <c r="X25" s="63">
        <f t="shared" si="12"/>
        <v>0</v>
      </c>
      <c r="Y25" s="54" t="s">
        <v>209</v>
      </c>
    </row>
    <row r="26" spans="1:26">
      <c r="A26" s="8"/>
      <c r="Y26" t="s">
        <v>209</v>
      </c>
    </row>
    <row r="27" spans="1:26">
      <c r="A27" s="4" t="s">
        <v>20</v>
      </c>
      <c r="Y27" t="s">
        <v>209</v>
      </c>
    </row>
    <row r="28" spans="1:26">
      <c r="A28" s="12" t="s">
        <v>21</v>
      </c>
      <c r="B28" t="s">
        <v>235</v>
      </c>
      <c r="C28" s="67">
        <f>ROUND(C23+SUM(C24:C25),0)</f>
        <v>21774</v>
      </c>
      <c r="D28" s="54">
        <f t="shared" ref="D28:W28" si="13">ROUND(D23+SUM(D24:D25),0)</f>
        <v>32510</v>
      </c>
      <c r="E28" s="54">
        <f t="shared" si="13"/>
        <v>3284</v>
      </c>
      <c r="F28" s="54">
        <f t="shared" si="13"/>
        <v>5674</v>
      </c>
      <c r="G28" s="54">
        <f t="shared" si="13"/>
        <v>5584</v>
      </c>
      <c r="H28" s="54">
        <f t="shared" si="13"/>
        <v>858</v>
      </c>
      <c r="I28" s="54">
        <f t="shared" si="13"/>
        <v>825</v>
      </c>
      <c r="J28" s="54">
        <f t="shared" si="13"/>
        <v>3748</v>
      </c>
      <c r="K28" s="54">
        <f t="shared" si="13"/>
        <v>124</v>
      </c>
      <c r="L28" s="54">
        <f t="shared" si="13"/>
        <v>1644</v>
      </c>
      <c r="M28" s="54">
        <f t="shared" si="13"/>
        <v>4744</v>
      </c>
      <c r="N28" s="54">
        <f t="shared" si="13"/>
        <v>452</v>
      </c>
      <c r="O28" s="54">
        <f t="shared" si="13"/>
        <v>4401</v>
      </c>
      <c r="P28" s="54">
        <f t="shared" si="13"/>
        <v>425</v>
      </c>
      <c r="Q28" s="54">
        <f t="shared" si="13"/>
        <v>2938</v>
      </c>
      <c r="R28" s="54">
        <f t="shared" si="13"/>
        <v>376</v>
      </c>
      <c r="S28" s="54">
        <f t="shared" si="13"/>
        <v>2041</v>
      </c>
      <c r="T28" s="54">
        <f t="shared" si="13"/>
        <v>590</v>
      </c>
      <c r="U28" s="54"/>
      <c r="V28" s="54"/>
      <c r="W28" s="54">
        <f t="shared" si="13"/>
        <v>586</v>
      </c>
      <c r="X28" s="54">
        <f>ROUND(X23+SUM(X24:X25),0)</f>
        <v>45</v>
      </c>
      <c r="Y28" t="s">
        <v>209</v>
      </c>
      <c r="Z28" s="54"/>
    </row>
    <row r="29" spans="1:26" s="63" customFormat="1">
      <c r="A29" s="69" t="s">
        <v>308</v>
      </c>
      <c r="B29" s="63">
        <v>1</v>
      </c>
      <c r="Y29" s="63" t="s">
        <v>209</v>
      </c>
    </row>
    <row r="30" spans="1:26" s="63" customFormat="1">
      <c r="A30" s="69" t="s">
        <v>298</v>
      </c>
      <c r="B30" s="63">
        <v>1</v>
      </c>
      <c r="C30" s="54">
        <f>TRUNC(C28/3000)*1000+C118</f>
        <v>7020</v>
      </c>
      <c r="D30" s="54">
        <f t="shared" ref="D30:X30" si="14">TRUNC(D28/3000)*1000+D118</f>
        <v>10001</v>
      </c>
      <c r="E30" s="54">
        <f t="shared" si="14"/>
        <v>1024</v>
      </c>
      <c r="F30" s="54">
        <f t="shared" si="14"/>
        <v>1012</v>
      </c>
      <c r="G30" s="54">
        <f t="shared" si="14"/>
        <v>1009</v>
      </c>
      <c r="H30" s="54">
        <f t="shared" si="14"/>
        <v>14</v>
      </c>
      <c r="I30" s="54">
        <f t="shared" si="14"/>
        <v>5</v>
      </c>
      <c r="J30" s="54">
        <f t="shared" si="14"/>
        <v>1018</v>
      </c>
      <c r="K30" s="54">
        <f t="shared" si="14"/>
        <v>5</v>
      </c>
      <c r="L30" s="63">
        <v>404</v>
      </c>
      <c r="M30" s="54">
        <f t="shared" si="14"/>
        <v>1008</v>
      </c>
      <c r="N30" s="54">
        <f t="shared" si="14"/>
        <v>5</v>
      </c>
      <c r="O30" s="54">
        <f t="shared" si="14"/>
        <v>1018</v>
      </c>
      <c r="P30" s="54">
        <f t="shared" si="14"/>
        <v>18</v>
      </c>
      <c r="Q30" s="63">
        <v>909</v>
      </c>
      <c r="R30" s="54">
        <f t="shared" si="14"/>
        <v>14</v>
      </c>
      <c r="S30" s="63">
        <v>707</v>
      </c>
      <c r="T30" s="63">
        <v>100</v>
      </c>
      <c r="W30" s="54">
        <f t="shared" si="14"/>
        <v>14</v>
      </c>
      <c r="X30" s="54">
        <f t="shared" si="14"/>
        <v>7</v>
      </c>
      <c r="Y30" s="63" t="s">
        <v>209</v>
      </c>
    </row>
    <row r="31" spans="1:26">
      <c r="A31" s="10"/>
      <c r="G31">
        <v>106</v>
      </c>
      <c r="L31">
        <v>501</v>
      </c>
      <c r="Q31" s="63">
        <v>1005</v>
      </c>
      <c r="S31" s="63">
        <v>1018</v>
      </c>
      <c r="T31" s="63">
        <v>109</v>
      </c>
      <c r="U31" s="63"/>
      <c r="Y31" t="s">
        <v>209</v>
      </c>
    </row>
    <row r="32" spans="1:26">
      <c r="A32" s="6" t="s">
        <v>282</v>
      </c>
      <c r="B32" t="s">
        <v>235</v>
      </c>
      <c r="C32" s="63">
        <f>C28-C30</f>
        <v>14754</v>
      </c>
      <c r="D32" s="63">
        <f t="shared" ref="D32:X32" si="15">D28-D30</f>
        <v>22509</v>
      </c>
      <c r="E32" s="63">
        <f t="shared" si="15"/>
        <v>2260</v>
      </c>
      <c r="F32" s="63">
        <f t="shared" si="15"/>
        <v>4662</v>
      </c>
      <c r="G32" s="63">
        <f t="shared" si="15"/>
        <v>4575</v>
      </c>
      <c r="H32" s="63">
        <f t="shared" si="15"/>
        <v>844</v>
      </c>
      <c r="I32" s="63">
        <f t="shared" si="15"/>
        <v>820</v>
      </c>
      <c r="J32" s="63">
        <f t="shared" si="15"/>
        <v>2730</v>
      </c>
      <c r="K32" s="63">
        <f t="shared" si="15"/>
        <v>119</v>
      </c>
      <c r="L32" s="63">
        <f t="shared" si="15"/>
        <v>1240</v>
      </c>
      <c r="M32" s="63">
        <f t="shared" si="15"/>
        <v>3736</v>
      </c>
      <c r="N32" s="63">
        <f t="shared" si="15"/>
        <v>447</v>
      </c>
      <c r="O32" s="63">
        <f t="shared" si="15"/>
        <v>3383</v>
      </c>
      <c r="P32" s="63">
        <f t="shared" si="15"/>
        <v>407</v>
      </c>
      <c r="Q32" s="63">
        <f t="shared" si="15"/>
        <v>2029</v>
      </c>
      <c r="R32" s="63">
        <f t="shared" si="15"/>
        <v>362</v>
      </c>
      <c r="S32" s="63">
        <f t="shared" si="15"/>
        <v>1334</v>
      </c>
      <c r="T32" s="63">
        <f t="shared" si="15"/>
        <v>490</v>
      </c>
      <c r="U32" s="63"/>
      <c r="V32" s="63"/>
      <c r="W32" s="63">
        <f t="shared" si="15"/>
        <v>572</v>
      </c>
      <c r="X32" s="63">
        <f t="shared" si="15"/>
        <v>38</v>
      </c>
      <c r="Y32" t="s">
        <v>209</v>
      </c>
    </row>
    <row r="33" spans="1:26">
      <c r="A33" s="6"/>
      <c r="Y33" t="s">
        <v>209</v>
      </c>
    </row>
    <row r="34" spans="1:26">
      <c r="Y34" t="s">
        <v>209</v>
      </c>
    </row>
    <row r="35" spans="1:26">
      <c r="A35" s="9"/>
      <c r="C35" s="64"/>
      <c r="D35" s="64"/>
      <c r="E35" s="9"/>
      <c r="F35" s="9"/>
      <c r="G35" s="9"/>
      <c r="H35" s="9"/>
      <c r="I35" s="9"/>
      <c r="J35" s="9"/>
      <c r="K35" s="9"/>
      <c r="L35" s="9"/>
      <c r="M35" s="9"/>
      <c r="N35" s="9"/>
      <c r="O35" s="9"/>
      <c r="P35" s="9"/>
      <c r="Q35" s="9"/>
      <c r="R35" s="9"/>
      <c r="S35" s="9"/>
      <c r="T35" s="9"/>
      <c r="U35" s="9"/>
      <c r="V35" s="9"/>
      <c r="W35" s="9"/>
      <c r="X35" s="9"/>
      <c r="Y35" t="s">
        <v>209</v>
      </c>
    </row>
    <row r="36" spans="1:26">
      <c r="Y36" t="s">
        <v>209</v>
      </c>
    </row>
    <row r="37" spans="1:26">
      <c r="A37" s="1" t="s">
        <v>23</v>
      </c>
      <c r="B37" t="s">
        <v>233</v>
      </c>
      <c r="Y37" t="s">
        <v>209</v>
      </c>
    </row>
    <row r="38" spans="1:26">
      <c r="A38" s="1"/>
      <c r="Y38" t="s">
        <v>209</v>
      </c>
    </row>
    <row r="39" spans="1:26" s="54" customFormat="1">
      <c r="A39" s="54" t="s">
        <v>283</v>
      </c>
      <c r="B39" s="54">
        <v>0</v>
      </c>
      <c r="C39" s="54">
        <f>ROUND(C68-SUM(C53,C57,C66),0)</f>
        <v>5246</v>
      </c>
      <c r="D39" s="54">
        <f t="shared" ref="D39:X39" si="16">ROUND(D68-SUM(D53,D57,D66),0)</f>
        <v>7491</v>
      </c>
      <c r="E39" s="54">
        <f t="shared" si="16"/>
        <v>15240</v>
      </c>
      <c r="F39" s="54">
        <f t="shared" si="16"/>
        <v>10338</v>
      </c>
      <c r="G39" s="54">
        <f t="shared" si="16"/>
        <v>19175</v>
      </c>
      <c r="H39" s="54">
        <f t="shared" si="16"/>
        <v>5406</v>
      </c>
      <c r="I39" s="54">
        <f t="shared" si="16"/>
        <v>11880</v>
      </c>
      <c r="J39" s="54">
        <f t="shared" si="16"/>
        <v>3270</v>
      </c>
      <c r="K39" s="54">
        <f t="shared" si="16"/>
        <v>9681</v>
      </c>
      <c r="L39" s="54">
        <f t="shared" si="16"/>
        <v>7260</v>
      </c>
      <c r="M39" s="54">
        <f t="shared" si="16"/>
        <v>-8736</v>
      </c>
      <c r="N39" s="54">
        <f t="shared" si="16"/>
        <v>9665</v>
      </c>
      <c r="O39" s="54">
        <f t="shared" si="16"/>
        <v>6617</v>
      </c>
      <c r="P39" s="54">
        <f t="shared" si="16"/>
        <v>9093</v>
      </c>
      <c r="Q39" s="54">
        <f t="shared" si="16"/>
        <v>7971</v>
      </c>
      <c r="R39" s="54">
        <f t="shared" si="16"/>
        <v>-5362</v>
      </c>
      <c r="S39" s="54">
        <f t="shared" si="16"/>
        <v>8666</v>
      </c>
      <c r="T39" s="54">
        <f t="shared" si="16"/>
        <v>9010</v>
      </c>
      <c r="W39" s="54">
        <f t="shared" si="16"/>
        <v>9228</v>
      </c>
      <c r="X39" s="54">
        <f t="shared" si="16"/>
        <v>9957</v>
      </c>
      <c r="Y39" s="54" t="s">
        <v>209</v>
      </c>
    </row>
    <row r="40" spans="1:26">
      <c r="Y40" t="s">
        <v>209</v>
      </c>
    </row>
    <row r="41" spans="1:26">
      <c r="A41" t="s">
        <v>24</v>
      </c>
      <c r="B41" t="s">
        <v>236</v>
      </c>
      <c r="Y41" t="s">
        <v>209</v>
      </c>
    </row>
    <row r="42" spans="1:26">
      <c r="A42" s="5" t="s">
        <v>22</v>
      </c>
      <c r="B42">
        <v>1</v>
      </c>
      <c r="C42" s="54">
        <f>ROUND(C32,0)</f>
        <v>14754</v>
      </c>
      <c r="D42" s="54">
        <f t="shared" ref="D42:X42" si="17">ROUND(D32,0)</f>
        <v>22509</v>
      </c>
      <c r="E42" s="54">
        <f t="shared" si="17"/>
        <v>2260</v>
      </c>
      <c r="F42" s="54">
        <f t="shared" si="17"/>
        <v>4662</v>
      </c>
      <c r="G42" s="54">
        <f t="shared" si="17"/>
        <v>4575</v>
      </c>
      <c r="H42" s="54">
        <f t="shared" si="17"/>
        <v>844</v>
      </c>
      <c r="I42" s="54">
        <f t="shared" si="17"/>
        <v>820</v>
      </c>
      <c r="J42" s="54">
        <f t="shared" si="17"/>
        <v>2730</v>
      </c>
      <c r="K42" s="54">
        <f t="shared" si="17"/>
        <v>119</v>
      </c>
      <c r="L42" s="54">
        <f t="shared" si="17"/>
        <v>1240</v>
      </c>
      <c r="M42" s="54">
        <f t="shared" si="17"/>
        <v>3736</v>
      </c>
      <c r="N42" s="54">
        <f t="shared" si="17"/>
        <v>447</v>
      </c>
      <c r="O42" s="54">
        <f t="shared" si="17"/>
        <v>3383</v>
      </c>
      <c r="P42" s="54">
        <f t="shared" si="17"/>
        <v>407</v>
      </c>
      <c r="Q42" s="54">
        <f t="shared" si="17"/>
        <v>2029</v>
      </c>
      <c r="R42" s="54">
        <f t="shared" si="17"/>
        <v>362</v>
      </c>
      <c r="S42" s="54">
        <f t="shared" si="17"/>
        <v>1334</v>
      </c>
      <c r="T42" s="54">
        <f t="shared" si="17"/>
        <v>490</v>
      </c>
      <c r="U42" s="54"/>
      <c r="V42" s="54"/>
      <c r="W42" s="54">
        <f t="shared" si="17"/>
        <v>572</v>
      </c>
      <c r="X42" s="54">
        <f t="shared" si="17"/>
        <v>38</v>
      </c>
      <c r="Y42" t="s">
        <v>209</v>
      </c>
      <c r="Z42" t="s">
        <v>215</v>
      </c>
    </row>
    <row r="43" spans="1:26">
      <c r="A43" s="4" t="s">
        <v>276</v>
      </c>
      <c r="B43">
        <v>1</v>
      </c>
      <c r="C43" s="63">
        <f>C13:X13</f>
        <v>0</v>
      </c>
      <c r="D43" s="63">
        <f>D13:Y13</f>
        <v>0</v>
      </c>
      <c r="E43">
        <f>E13:Z13</f>
        <v>2500</v>
      </c>
      <c r="F43">
        <f>F13:AA13</f>
        <v>5000</v>
      </c>
      <c r="G43">
        <f>G13:AB13</f>
        <v>6250</v>
      </c>
      <c r="H43">
        <f>H13:AC13</f>
        <v>3750</v>
      </c>
      <c r="I43">
        <f>I13:AD13</f>
        <v>300</v>
      </c>
      <c r="J43">
        <f>J13:AE13</f>
        <v>4000</v>
      </c>
      <c r="K43" s="63">
        <v>200</v>
      </c>
      <c r="L43">
        <f>L13:AG13</f>
        <v>1500</v>
      </c>
      <c r="M43">
        <f>M13:AH13</f>
        <v>0</v>
      </c>
      <c r="N43">
        <f>N13:AI13</f>
        <v>0</v>
      </c>
      <c r="O43">
        <f>O13:AJ13</f>
        <v>0</v>
      </c>
      <c r="P43">
        <f>P13:AK13</f>
        <v>500</v>
      </c>
      <c r="Q43">
        <f>Q13:AL13</f>
        <v>0</v>
      </c>
      <c r="R43">
        <f>R13:AM13</f>
        <v>0</v>
      </c>
      <c r="S43">
        <f>S13:AN13</f>
        <v>0</v>
      </c>
      <c r="T43">
        <f>T13:AO13</f>
        <v>500</v>
      </c>
      <c r="W43">
        <f t="shared" ref="W43:X43" si="18">W13:AP13</f>
        <v>0</v>
      </c>
      <c r="X43">
        <f t="shared" si="18"/>
        <v>5</v>
      </c>
      <c r="Y43" t="s">
        <v>209</v>
      </c>
    </row>
    <row r="44" spans="1:26">
      <c r="A44" s="4" t="s">
        <v>25</v>
      </c>
      <c r="B44">
        <v>1</v>
      </c>
      <c r="Y44" t="s">
        <v>209</v>
      </c>
    </row>
    <row r="45" spans="1:26">
      <c r="A45" s="4" t="s">
        <v>26</v>
      </c>
      <c r="B45">
        <v>1</v>
      </c>
      <c r="Y45" t="s">
        <v>209</v>
      </c>
    </row>
    <row r="46" spans="1:26">
      <c r="A46" s="4"/>
      <c r="Y46" t="s">
        <v>209</v>
      </c>
    </row>
    <row r="47" spans="1:26" s="54" customFormat="1">
      <c r="A47" s="53" t="s">
        <v>27</v>
      </c>
      <c r="B47">
        <v>1</v>
      </c>
      <c r="C47" s="63"/>
      <c r="D47" s="63"/>
      <c r="E47" s="54">
        <f t="shared" ref="E47:X47" si="19">ROUND(IF(E135="growing",E90*0.1,IF(E135="shrinking",0-E90*0.1,0)),0)</f>
        <v>0</v>
      </c>
      <c r="F47" s="54">
        <f t="shared" si="19"/>
        <v>0</v>
      </c>
      <c r="G47" s="63">
        <v>0</v>
      </c>
      <c r="H47" s="63">
        <f t="shared" si="19"/>
        <v>0</v>
      </c>
      <c r="I47" s="63">
        <v>0</v>
      </c>
      <c r="J47" s="54">
        <f t="shared" si="19"/>
        <v>0</v>
      </c>
      <c r="K47" s="54">
        <f t="shared" si="19"/>
        <v>0</v>
      </c>
      <c r="L47" s="54">
        <f t="shared" si="19"/>
        <v>0</v>
      </c>
      <c r="M47" s="54">
        <f t="shared" si="19"/>
        <v>0</v>
      </c>
      <c r="N47" s="54">
        <f t="shared" si="19"/>
        <v>0</v>
      </c>
      <c r="O47" s="54">
        <f t="shared" si="19"/>
        <v>0</v>
      </c>
      <c r="P47" s="54">
        <f t="shared" si="19"/>
        <v>0</v>
      </c>
      <c r="Q47" s="54">
        <f t="shared" si="19"/>
        <v>0</v>
      </c>
      <c r="R47" s="54">
        <f t="shared" si="19"/>
        <v>0</v>
      </c>
      <c r="S47" s="54">
        <f t="shared" si="19"/>
        <v>0</v>
      </c>
      <c r="T47" s="54">
        <f t="shared" si="19"/>
        <v>0</v>
      </c>
      <c r="W47" s="54">
        <f t="shared" si="19"/>
        <v>0</v>
      </c>
      <c r="X47" s="54">
        <f t="shared" si="19"/>
        <v>0</v>
      </c>
      <c r="Y47" s="54" t="s">
        <v>209</v>
      </c>
    </row>
    <row r="48" spans="1:26">
      <c r="A48" s="4" t="s">
        <v>259</v>
      </c>
      <c r="B48">
        <v>1</v>
      </c>
      <c r="Y48" t="s">
        <v>209</v>
      </c>
    </row>
    <row r="49" spans="1:25">
      <c r="A49" s="4" t="s">
        <v>28</v>
      </c>
      <c r="B49">
        <v>1</v>
      </c>
      <c r="Y49" t="s">
        <v>209</v>
      </c>
    </row>
    <row r="50" spans="1:25">
      <c r="A50" s="4" t="s">
        <v>29</v>
      </c>
      <c r="B50">
        <v>1</v>
      </c>
      <c r="Y50" t="s">
        <v>209</v>
      </c>
    </row>
    <row r="51" spans="1:25">
      <c r="A51" s="4" t="s">
        <v>30</v>
      </c>
      <c r="B51">
        <v>1</v>
      </c>
      <c r="Y51" t="s">
        <v>209</v>
      </c>
    </row>
    <row r="52" spans="1:25">
      <c r="A52" s="4" t="s">
        <v>31</v>
      </c>
      <c r="B52">
        <v>1</v>
      </c>
      <c r="Y52" t="s">
        <v>209</v>
      </c>
    </row>
    <row r="53" spans="1:25" s="58" customFormat="1">
      <c r="A53" s="57" t="s">
        <v>32</v>
      </c>
      <c r="B53" t="s">
        <v>235</v>
      </c>
      <c r="C53" s="63">
        <f>SUM(C42:C52)</f>
        <v>14754</v>
      </c>
      <c r="D53" s="63">
        <f t="shared" ref="D53:X53" si="20">SUM(D42:D52)</f>
        <v>22509</v>
      </c>
      <c r="E53" s="54">
        <f t="shared" si="20"/>
        <v>4760</v>
      </c>
      <c r="F53" s="54">
        <f t="shared" si="20"/>
        <v>9662</v>
      </c>
      <c r="G53" s="54">
        <f t="shared" si="20"/>
        <v>10825</v>
      </c>
      <c r="H53" s="54">
        <f t="shared" si="20"/>
        <v>4594</v>
      </c>
      <c r="I53" s="54">
        <f t="shared" si="20"/>
        <v>1120</v>
      </c>
      <c r="J53" s="54">
        <f t="shared" si="20"/>
        <v>6730</v>
      </c>
      <c r="K53" s="54">
        <f t="shared" si="20"/>
        <v>319</v>
      </c>
      <c r="L53" s="54">
        <f t="shared" si="20"/>
        <v>2740</v>
      </c>
      <c r="M53" s="54">
        <f t="shared" si="20"/>
        <v>3736</v>
      </c>
      <c r="N53" s="54">
        <f t="shared" si="20"/>
        <v>447</v>
      </c>
      <c r="O53" s="54">
        <f t="shared" si="20"/>
        <v>3383</v>
      </c>
      <c r="P53" s="54">
        <f t="shared" si="20"/>
        <v>907</v>
      </c>
      <c r="Q53" s="54">
        <f t="shared" si="20"/>
        <v>2029</v>
      </c>
      <c r="R53" s="54">
        <f t="shared" si="20"/>
        <v>362</v>
      </c>
      <c r="S53" s="54">
        <f t="shared" si="20"/>
        <v>1334</v>
      </c>
      <c r="T53" s="54">
        <f t="shared" si="20"/>
        <v>990</v>
      </c>
      <c r="U53" s="54"/>
      <c r="V53" s="54"/>
      <c r="W53" s="54">
        <f t="shared" si="20"/>
        <v>572</v>
      </c>
      <c r="X53" s="54">
        <f t="shared" si="20"/>
        <v>43</v>
      </c>
      <c r="Y53" s="58" t="s">
        <v>209</v>
      </c>
    </row>
    <row r="54" spans="1:25">
      <c r="A54" s="7"/>
      <c r="Y54" t="s">
        <v>209</v>
      </c>
    </row>
    <row r="55" spans="1:25">
      <c r="A55" t="s">
        <v>33</v>
      </c>
      <c r="B55" t="s">
        <v>236</v>
      </c>
      <c r="Y55" t="s">
        <v>209</v>
      </c>
    </row>
    <row r="56" spans="1:25">
      <c r="A56" s="4" t="s">
        <v>34</v>
      </c>
      <c r="B56">
        <v>1</v>
      </c>
      <c r="Y56" t="s">
        <v>209</v>
      </c>
    </row>
    <row r="57" spans="1:25">
      <c r="A57" s="13" t="s">
        <v>275</v>
      </c>
      <c r="B57" t="s">
        <v>235</v>
      </c>
      <c r="C57" s="54">
        <f>SUM(C56)</f>
        <v>0</v>
      </c>
      <c r="D57" s="54">
        <f t="shared" ref="D57:X57" si="21">SUM(D56)</f>
        <v>0</v>
      </c>
      <c r="E57" s="54">
        <f t="shared" si="21"/>
        <v>0</v>
      </c>
      <c r="F57" s="54">
        <f t="shared" si="21"/>
        <v>0</v>
      </c>
      <c r="G57" s="54">
        <f t="shared" si="21"/>
        <v>0</v>
      </c>
      <c r="H57" s="54">
        <f t="shared" si="21"/>
        <v>0</v>
      </c>
      <c r="I57" s="63">
        <v>-3000</v>
      </c>
      <c r="J57" s="54">
        <f t="shared" si="21"/>
        <v>0</v>
      </c>
      <c r="K57" s="54">
        <f t="shared" si="21"/>
        <v>0</v>
      </c>
      <c r="L57" s="54">
        <f t="shared" si="21"/>
        <v>0</v>
      </c>
      <c r="M57" s="54">
        <f t="shared" si="21"/>
        <v>0</v>
      </c>
      <c r="N57" s="54">
        <f t="shared" si="21"/>
        <v>0</v>
      </c>
      <c r="O57" s="54">
        <f t="shared" si="21"/>
        <v>0</v>
      </c>
      <c r="P57" s="54">
        <f t="shared" si="21"/>
        <v>0</v>
      </c>
      <c r="Q57" s="54">
        <f t="shared" si="21"/>
        <v>0</v>
      </c>
      <c r="R57" s="54">
        <f t="shared" si="21"/>
        <v>0</v>
      </c>
      <c r="S57" s="54">
        <f t="shared" si="21"/>
        <v>0</v>
      </c>
      <c r="T57" s="54">
        <f t="shared" si="21"/>
        <v>0</v>
      </c>
      <c r="U57" s="54"/>
      <c r="V57" s="54"/>
      <c r="W57" s="54">
        <f t="shared" si="21"/>
        <v>0</v>
      </c>
      <c r="X57" s="54">
        <f t="shared" si="21"/>
        <v>0</v>
      </c>
      <c r="Y57" s="54" t="s">
        <v>209</v>
      </c>
    </row>
    <row r="58" spans="1:25">
      <c r="Y58" t="s">
        <v>209</v>
      </c>
    </row>
    <row r="59" spans="1:25">
      <c r="A59" t="s">
        <v>35</v>
      </c>
      <c r="Y59" t="s">
        <v>209</v>
      </c>
    </row>
    <row r="60" spans="1:25">
      <c r="A60" s="4" t="s">
        <v>258</v>
      </c>
      <c r="B60">
        <v>1</v>
      </c>
      <c r="D60" s="63">
        <f>D65</f>
        <v>-10000</v>
      </c>
      <c r="Y60" t="s">
        <v>209</v>
      </c>
    </row>
    <row r="61" spans="1:25">
      <c r="A61" s="4" t="s">
        <v>36</v>
      </c>
      <c r="B61">
        <v>1</v>
      </c>
      <c r="Y61" t="s">
        <v>209</v>
      </c>
    </row>
    <row r="62" spans="1:25">
      <c r="A62" s="4" t="s">
        <v>37</v>
      </c>
      <c r="B62">
        <v>1</v>
      </c>
      <c r="Y62" t="s">
        <v>209</v>
      </c>
    </row>
    <row r="63" spans="1:25">
      <c r="A63" s="4" t="s">
        <v>267</v>
      </c>
      <c r="B63">
        <v>1</v>
      </c>
      <c r="E63">
        <v>-10000</v>
      </c>
      <c r="F63">
        <v>-10000</v>
      </c>
      <c r="G63">
        <v>-20000</v>
      </c>
      <c r="M63">
        <v>15000</v>
      </c>
      <c r="R63">
        <v>15000</v>
      </c>
      <c r="W63" s="63">
        <v>1000</v>
      </c>
    </row>
    <row r="64" spans="1:25" s="60" customFormat="1">
      <c r="A64" s="59" t="s">
        <v>38</v>
      </c>
      <c r="B64">
        <v>1</v>
      </c>
      <c r="C64" s="63">
        <f t="shared" ref="C64:X64" si="22">IF(C137="",0,-C53/4)</f>
        <v>0</v>
      </c>
      <c r="D64" s="63">
        <f t="shared" si="22"/>
        <v>0</v>
      </c>
      <c r="E64" s="60">
        <f t="shared" si="22"/>
        <v>0</v>
      </c>
      <c r="F64" s="60">
        <f t="shared" si="22"/>
        <v>0</v>
      </c>
      <c r="G64" s="60">
        <f t="shared" si="22"/>
        <v>0</v>
      </c>
      <c r="H64" s="60">
        <f t="shared" si="22"/>
        <v>0</v>
      </c>
      <c r="I64" s="60">
        <f t="shared" si="22"/>
        <v>0</v>
      </c>
      <c r="J64" s="60">
        <f t="shared" si="22"/>
        <v>0</v>
      </c>
      <c r="K64" s="60">
        <f t="shared" si="22"/>
        <v>0</v>
      </c>
      <c r="L64" s="60">
        <f t="shared" si="22"/>
        <v>0</v>
      </c>
      <c r="M64" s="60">
        <f t="shared" si="22"/>
        <v>0</v>
      </c>
      <c r="N64" s="60">
        <f t="shared" si="22"/>
        <v>-111.75</v>
      </c>
      <c r="O64" s="60">
        <f t="shared" si="22"/>
        <v>0</v>
      </c>
      <c r="P64" s="60">
        <f t="shared" si="22"/>
        <v>0</v>
      </c>
      <c r="Q64" s="60">
        <f t="shared" si="22"/>
        <v>0</v>
      </c>
      <c r="R64" s="60">
        <f t="shared" si="22"/>
        <v>0</v>
      </c>
      <c r="S64" s="60">
        <f t="shared" si="22"/>
        <v>0</v>
      </c>
      <c r="T64" s="60">
        <f t="shared" si="22"/>
        <v>0</v>
      </c>
      <c r="W64" s="63">
        <v>-800</v>
      </c>
      <c r="X64" s="60">
        <f t="shared" si="22"/>
        <v>0</v>
      </c>
      <c r="Y64" s="60" t="s">
        <v>209</v>
      </c>
    </row>
    <row r="65" spans="1:25">
      <c r="A65" s="4" t="s">
        <v>253</v>
      </c>
      <c r="B65">
        <v>1</v>
      </c>
      <c r="C65" s="63">
        <f>-$B153</f>
        <v>-10000</v>
      </c>
      <c r="D65" s="63">
        <f>-$B153</f>
        <v>-10000</v>
      </c>
      <c r="Y65" t="s">
        <v>209</v>
      </c>
    </row>
    <row r="66" spans="1:25" s="60" customFormat="1">
      <c r="A66" s="61" t="s">
        <v>274</v>
      </c>
      <c r="B66" t="s">
        <v>235</v>
      </c>
      <c r="C66" s="63">
        <f>SUM(C60:C65)</f>
        <v>-10000</v>
      </c>
      <c r="D66" s="63">
        <f t="shared" ref="D66:X66" si="23">SUM(D60:D65)</f>
        <v>-20000</v>
      </c>
      <c r="E66" s="60">
        <f t="shared" si="23"/>
        <v>-10000</v>
      </c>
      <c r="F66" s="60">
        <f t="shared" si="23"/>
        <v>-10000</v>
      </c>
      <c r="G66" s="60">
        <f t="shared" si="23"/>
        <v>-20000</v>
      </c>
      <c r="H66" s="60">
        <f t="shared" si="23"/>
        <v>0</v>
      </c>
      <c r="I66" s="60">
        <f t="shared" si="23"/>
        <v>0</v>
      </c>
      <c r="J66" s="60">
        <f t="shared" si="23"/>
        <v>0</v>
      </c>
      <c r="K66" s="60">
        <f t="shared" si="23"/>
        <v>0</v>
      </c>
      <c r="L66" s="60">
        <f t="shared" si="23"/>
        <v>0</v>
      </c>
      <c r="M66" s="60">
        <f>SUM(M60:M65)</f>
        <v>15000</v>
      </c>
      <c r="N66" s="60">
        <f t="shared" si="23"/>
        <v>-111.75</v>
      </c>
      <c r="O66" s="60">
        <f t="shared" si="23"/>
        <v>0</v>
      </c>
      <c r="P66" s="60">
        <f t="shared" si="23"/>
        <v>0</v>
      </c>
      <c r="Q66" s="60">
        <f t="shared" si="23"/>
        <v>0</v>
      </c>
      <c r="R66" s="60">
        <f t="shared" si="23"/>
        <v>15000</v>
      </c>
      <c r="S66" s="60">
        <f t="shared" si="23"/>
        <v>0</v>
      </c>
      <c r="T66" s="60">
        <f t="shared" si="23"/>
        <v>0</v>
      </c>
      <c r="W66" s="60">
        <f t="shared" si="23"/>
        <v>200</v>
      </c>
      <c r="X66" s="60">
        <f t="shared" si="23"/>
        <v>0</v>
      </c>
      <c r="Y66" s="60" t="s">
        <v>209</v>
      </c>
    </row>
    <row r="67" spans="1:25">
      <c r="Y67" t="s">
        <v>209</v>
      </c>
    </row>
    <row r="68" spans="1:25" s="54" customFormat="1">
      <c r="A68" s="56" t="s">
        <v>284</v>
      </c>
      <c r="B68">
        <v>0</v>
      </c>
      <c r="C68" s="54">
        <f t="shared" ref="C68:X68" si="24">$B$151</f>
        <v>10000</v>
      </c>
      <c r="D68" s="54">
        <f t="shared" si="24"/>
        <v>10000</v>
      </c>
      <c r="E68" s="54">
        <f t="shared" si="24"/>
        <v>10000</v>
      </c>
      <c r="F68" s="54">
        <f t="shared" si="24"/>
        <v>10000</v>
      </c>
      <c r="G68" s="54">
        <f t="shared" si="24"/>
        <v>10000</v>
      </c>
      <c r="H68" s="54">
        <f t="shared" si="24"/>
        <v>10000</v>
      </c>
      <c r="I68" s="54">
        <f t="shared" si="24"/>
        <v>10000</v>
      </c>
      <c r="J68" s="54">
        <f t="shared" si="24"/>
        <v>10000</v>
      </c>
      <c r="K68" s="54">
        <f t="shared" si="24"/>
        <v>10000</v>
      </c>
      <c r="L68" s="54">
        <f t="shared" si="24"/>
        <v>10000</v>
      </c>
      <c r="M68" s="54">
        <f t="shared" si="24"/>
        <v>10000</v>
      </c>
      <c r="N68" s="54">
        <f t="shared" si="24"/>
        <v>10000</v>
      </c>
      <c r="O68" s="54">
        <f t="shared" si="24"/>
        <v>10000</v>
      </c>
      <c r="P68" s="54">
        <f t="shared" si="24"/>
        <v>10000</v>
      </c>
      <c r="Q68" s="54">
        <f t="shared" si="24"/>
        <v>10000</v>
      </c>
      <c r="R68" s="54">
        <f t="shared" si="24"/>
        <v>10000</v>
      </c>
      <c r="S68" s="54">
        <f t="shared" si="24"/>
        <v>10000</v>
      </c>
      <c r="T68" s="54">
        <f t="shared" si="24"/>
        <v>10000</v>
      </c>
      <c r="W68" s="54">
        <f t="shared" si="24"/>
        <v>10000</v>
      </c>
      <c r="X68" s="54">
        <f t="shared" si="24"/>
        <v>10000</v>
      </c>
      <c r="Y68" s="54" t="s">
        <v>209</v>
      </c>
    </row>
    <row r="69" spans="1:25">
      <c r="Y69" t="s">
        <v>209</v>
      </c>
    </row>
    <row r="70" spans="1:25">
      <c r="A70" s="9"/>
      <c r="C70" s="64"/>
      <c r="D70" s="64"/>
      <c r="E70" s="9"/>
      <c r="F70" s="9"/>
      <c r="G70" s="9"/>
      <c r="H70" s="9"/>
      <c r="I70" s="9"/>
      <c r="J70" s="9"/>
      <c r="K70" s="9"/>
      <c r="L70" s="9"/>
      <c r="M70" s="9"/>
      <c r="N70" s="9"/>
      <c r="O70" s="9"/>
      <c r="P70" s="9"/>
      <c r="Q70" s="9"/>
      <c r="R70" s="9"/>
      <c r="S70" s="9"/>
      <c r="T70" s="9"/>
      <c r="U70" s="9"/>
      <c r="V70" s="9"/>
      <c r="W70" s="9"/>
      <c r="X70" s="9"/>
      <c r="Y70" t="s">
        <v>209</v>
      </c>
    </row>
    <row r="71" spans="1:25">
      <c r="A71" t="s">
        <v>237</v>
      </c>
      <c r="B71" t="s">
        <v>233</v>
      </c>
      <c r="Y71" t="s">
        <v>209</v>
      </c>
    </row>
    <row r="72" spans="1:25">
      <c r="A72" s="1" t="s">
        <v>0</v>
      </c>
      <c r="B72" t="s">
        <v>234</v>
      </c>
      <c r="Y72" t="s">
        <v>209</v>
      </c>
    </row>
    <row r="73" spans="1:25">
      <c r="A73" s="1" t="s">
        <v>285</v>
      </c>
      <c r="B73" t="s">
        <v>236</v>
      </c>
      <c r="Y73" t="s">
        <v>209</v>
      </c>
    </row>
    <row r="74" spans="1:25" s="54" customFormat="1">
      <c r="A74" s="55" t="s">
        <v>1</v>
      </c>
      <c r="B74">
        <v>1</v>
      </c>
      <c r="C74" s="63">
        <f>C68</f>
        <v>10000</v>
      </c>
      <c r="D74" s="63">
        <f t="shared" ref="D74:X74" si="25">D68</f>
        <v>10000</v>
      </c>
      <c r="E74" s="54">
        <f t="shared" si="25"/>
        <v>10000</v>
      </c>
      <c r="F74" s="54">
        <f t="shared" si="25"/>
        <v>10000</v>
      </c>
      <c r="G74" s="54">
        <f t="shared" si="25"/>
        <v>10000</v>
      </c>
      <c r="H74" s="54">
        <f t="shared" si="25"/>
        <v>10000</v>
      </c>
      <c r="I74" s="54">
        <f t="shared" si="25"/>
        <v>10000</v>
      </c>
      <c r="J74" s="54">
        <f t="shared" si="25"/>
        <v>10000</v>
      </c>
      <c r="K74" s="54">
        <f t="shared" si="25"/>
        <v>10000</v>
      </c>
      <c r="L74" s="54">
        <f t="shared" si="25"/>
        <v>10000</v>
      </c>
      <c r="M74" s="54">
        <f t="shared" si="25"/>
        <v>10000</v>
      </c>
      <c r="N74" s="54">
        <f t="shared" si="25"/>
        <v>10000</v>
      </c>
      <c r="O74" s="54">
        <f t="shared" si="25"/>
        <v>10000</v>
      </c>
      <c r="P74" s="54">
        <f t="shared" si="25"/>
        <v>10000</v>
      </c>
      <c r="Q74" s="54">
        <f t="shared" si="25"/>
        <v>10000</v>
      </c>
      <c r="R74" s="54">
        <f t="shared" si="25"/>
        <v>10000</v>
      </c>
      <c r="S74" s="54">
        <f t="shared" si="25"/>
        <v>10000</v>
      </c>
      <c r="T74" s="54">
        <f t="shared" si="25"/>
        <v>10000</v>
      </c>
      <c r="W74" s="54">
        <f t="shared" si="25"/>
        <v>10000</v>
      </c>
      <c r="X74" s="54">
        <f t="shared" si="25"/>
        <v>10000</v>
      </c>
      <c r="Y74" s="54" t="s">
        <v>209</v>
      </c>
    </row>
    <row r="75" spans="1:25" s="54" customFormat="1">
      <c r="A75" s="55" t="s">
        <v>252</v>
      </c>
      <c r="B75">
        <v>1</v>
      </c>
      <c r="C75" s="63">
        <v>0</v>
      </c>
      <c r="D75" s="63">
        <v>0</v>
      </c>
    </row>
    <row r="76" spans="1:25" s="54" customFormat="1">
      <c r="A76" s="55" t="s">
        <v>286</v>
      </c>
      <c r="B76">
        <v>1</v>
      </c>
      <c r="C76" s="63">
        <v>0</v>
      </c>
      <c r="D76" s="63">
        <v>0</v>
      </c>
      <c r="E76" s="54">
        <f>TRUNC(IF(E129="dye",$B$164,IF(E129="gears",$B$165,IF(E129="high",$B$162,IF(E129="low",$B$163,IF(E129=0,0,$B$161)))))*E$8/360/100)*100</f>
        <v>10400</v>
      </c>
      <c r="F76" s="54">
        <f t="shared" ref="F76:X76" si="26">TRUNC(IF(F129="dye",$B$164,IF(F129="gears",$B$165,IF(F129="high",$B$162,IF(F129="low",$B$163,IF(F129=0,0,$B$161)))))*F$8/360/100)*100</f>
        <v>4100</v>
      </c>
      <c r="G76" s="54">
        <f t="shared" si="26"/>
        <v>1300</v>
      </c>
      <c r="H76" s="54">
        <f t="shared" si="26"/>
        <v>6200</v>
      </c>
      <c r="I76" s="54">
        <f>TRUNC(IF(I129="dye",$B$164,IF(I129="gears",$B$165,IF(I129="high",$B$162,IF(I129="low",$B$163,IF(I129=0,0,$B$161)))))*I$8/360/100)*100</f>
        <v>3300</v>
      </c>
      <c r="J76" s="54">
        <f t="shared" si="26"/>
        <v>1100</v>
      </c>
      <c r="K76" s="54">
        <f t="shared" si="26"/>
        <v>200</v>
      </c>
      <c r="L76" s="54">
        <f t="shared" si="26"/>
        <v>6200</v>
      </c>
      <c r="M76" s="54">
        <f t="shared" si="26"/>
        <v>0</v>
      </c>
      <c r="N76" s="54">
        <f t="shared" si="26"/>
        <v>0</v>
      </c>
      <c r="O76" s="54">
        <f t="shared" si="26"/>
        <v>0</v>
      </c>
      <c r="P76" s="54">
        <f t="shared" si="26"/>
        <v>0</v>
      </c>
      <c r="Q76" s="54">
        <f t="shared" si="26"/>
        <v>6200</v>
      </c>
      <c r="R76" s="54">
        <f t="shared" si="26"/>
        <v>0</v>
      </c>
      <c r="S76" s="54">
        <f t="shared" si="26"/>
        <v>0</v>
      </c>
      <c r="T76" s="54">
        <f t="shared" si="26"/>
        <v>0</v>
      </c>
      <c r="W76" s="54">
        <f t="shared" si="26"/>
        <v>0</v>
      </c>
      <c r="X76" s="54">
        <f t="shared" si="26"/>
        <v>0</v>
      </c>
      <c r="Y76" s="54" t="s">
        <v>209</v>
      </c>
    </row>
    <row r="77" spans="1:25">
      <c r="A77" s="3" t="s">
        <v>240</v>
      </c>
      <c r="B77">
        <v>1</v>
      </c>
      <c r="C77" s="63">
        <f>IF(C131="high",$B162,IF(C131="low",$B163,IF(OR(C126=1,C127&gt;0),$B161,0)))*C11/360</f>
        <v>0</v>
      </c>
      <c r="D77" s="63">
        <f>IF(D131="high",$B162,IF(D131="low",$B163,IF(OR(D126=1,D127&gt;0),$B161,0)))*D11/360</f>
        <v>0</v>
      </c>
      <c r="E77">
        <f t="shared" ref="E77:S77" si="27">ROUND(IF(E131="high",$B162,IF(E131="low",$B163,IF(E126=1,$B161,0)))*E11/365,0)</f>
        <v>0</v>
      </c>
      <c r="F77">
        <f t="shared" si="27"/>
        <v>0</v>
      </c>
      <c r="G77">
        <f t="shared" si="27"/>
        <v>0</v>
      </c>
      <c r="H77">
        <f t="shared" si="27"/>
        <v>0</v>
      </c>
      <c r="I77">
        <f t="shared" si="27"/>
        <v>0</v>
      </c>
      <c r="J77">
        <f t="shared" si="27"/>
        <v>0</v>
      </c>
      <c r="L77">
        <f t="shared" si="27"/>
        <v>4808</v>
      </c>
      <c r="M77">
        <f t="shared" si="27"/>
        <v>1603</v>
      </c>
      <c r="N77">
        <f t="shared" si="27"/>
        <v>641</v>
      </c>
      <c r="O77">
        <f t="shared" si="27"/>
        <v>1603</v>
      </c>
      <c r="P77">
        <f t="shared" si="27"/>
        <v>233</v>
      </c>
      <c r="Q77">
        <f t="shared" si="27"/>
        <v>1644</v>
      </c>
      <c r="R77">
        <f t="shared" si="27"/>
        <v>575</v>
      </c>
      <c r="S77">
        <f t="shared" si="27"/>
        <v>1973</v>
      </c>
      <c r="T77" s="63">
        <f>ROUND(8*T11/365,0)</f>
        <v>36</v>
      </c>
      <c r="U77" s="63"/>
      <c r="V77" s="63"/>
      <c r="W77" s="63">
        <f>ROUND(8*W11/365,0)</f>
        <v>745</v>
      </c>
      <c r="X77" s="63">
        <f>ROUND(2*X11/365,0)</f>
        <v>37</v>
      </c>
      <c r="Y77" t="s">
        <v>209</v>
      </c>
    </row>
    <row r="78" spans="1:25">
      <c r="A78" s="2" t="s">
        <v>287</v>
      </c>
      <c r="B78">
        <v>1</v>
      </c>
      <c r="C78">
        <f t="shared" ref="C78:D78" si="28">ROUND(IF(C127&gt;0,IF(C131="high",$B162,IF(C131="low",$B163,$B161))*C11/365,0)/3,0)</f>
        <v>0</v>
      </c>
      <c r="D78">
        <f t="shared" si="28"/>
        <v>0</v>
      </c>
      <c r="E78">
        <f t="shared" ref="E78:K78" si="29">ROUND(IF(E127&gt;0,IF(E131="high",$B162,IF(E131="low",$B163,$B161))*E11/365,0)/3,0)</f>
        <v>795</v>
      </c>
      <c r="F78">
        <f t="shared" si="29"/>
        <v>0</v>
      </c>
      <c r="G78">
        <f t="shared" si="29"/>
        <v>890</v>
      </c>
      <c r="H78">
        <f t="shared" si="29"/>
        <v>658</v>
      </c>
      <c r="I78">
        <f t="shared" si="29"/>
        <v>855</v>
      </c>
      <c r="J78">
        <f t="shared" si="29"/>
        <v>712</v>
      </c>
      <c r="K78">
        <f t="shared" si="29"/>
        <v>75</v>
      </c>
      <c r="L78">
        <f t="shared" ref="L78:S78" si="30">ROUND(IF(L127&gt;0,IF(L131="high",$B162,IF(L131="low",$B163,$B161))*L11/365,0)/3,0)</f>
        <v>0</v>
      </c>
      <c r="M78">
        <f t="shared" si="30"/>
        <v>0</v>
      </c>
      <c r="N78">
        <f t="shared" si="30"/>
        <v>0</v>
      </c>
      <c r="O78">
        <f t="shared" si="30"/>
        <v>0</v>
      </c>
      <c r="P78">
        <f t="shared" si="30"/>
        <v>0</v>
      </c>
      <c r="Q78">
        <f t="shared" si="30"/>
        <v>0</v>
      </c>
      <c r="R78">
        <f t="shared" si="30"/>
        <v>0</v>
      </c>
      <c r="S78">
        <f t="shared" si="30"/>
        <v>0</v>
      </c>
      <c r="T78">
        <f>ROUND(IF(T127&gt;0,IF(T131="high",$B162,IF(T131="low",$B163,$B161))*T11/365,0)/3,0)</f>
        <v>0</v>
      </c>
      <c r="W78">
        <f>ROUND(IF(W127&gt;0,IF(W131="high",$B162,IF(W131="low",$B163,$B161))*W11/365,0)/3,0)</f>
        <v>0</v>
      </c>
      <c r="X78">
        <f>ROUND(IF(X127&gt;0,IF(X131="high",$B162,IF(X131="low",$B163,$B161))*X11/365,0)/3,0)</f>
        <v>0</v>
      </c>
      <c r="Y78" t="s">
        <v>209</v>
      </c>
    </row>
    <row r="79" spans="1:25">
      <c r="A79" s="2" t="s">
        <v>288</v>
      </c>
      <c r="B79">
        <v>1</v>
      </c>
      <c r="C79" s="63">
        <f>IF(C127=0,0,C77*(3-C127)/3)</f>
        <v>0</v>
      </c>
      <c r="D79" s="63">
        <f>IF(D127=0,0,D77*(3-D127)/3)</f>
        <v>0</v>
      </c>
      <c r="E79">
        <f>ROUND(IF(E127&gt;0,IF(E131="high",$B162,IF(E131="low",$B163,$B161))*E11/365,0)/3*2,0)</f>
        <v>1589</v>
      </c>
      <c r="F79">
        <f t="shared" ref="F79:X79" si="31">ROUND(IF(F127&gt;0,IF(F131="high",$B162,IF(F131="low",$B163,$B161))*F11/365,0)/3*2,0)</f>
        <v>0</v>
      </c>
      <c r="G79">
        <f t="shared" si="31"/>
        <v>1781</v>
      </c>
      <c r="H79">
        <f t="shared" si="31"/>
        <v>1315</v>
      </c>
      <c r="I79">
        <f t="shared" si="31"/>
        <v>1710</v>
      </c>
      <c r="J79">
        <f t="shared" si="31"/>
        <v>1425</v>
      </c>
      <c r="K79">
        <f t="shared" si="31"/>
        <v>150</v>
      </c>
      <c r="L79">
        <f t="shared" si="31"/>
        <v>0</v>
      </c>
      <c r="M79">
        <f t="shared" si="31"/>
        <v>0</v>
      </c>
      <c r="N79">
        <f t="shared" si="31"/>
        <v>0</v>
      </c>
      <c r="O79">
        <f t="shared" si="31"/>
        <v>0</v>
      </c>
      <c r="P79">
        <f t="shared" si="31"/>
        <v>0</v>
      </c>
      <c r="Q79">
        <f t="shared" si="31"/>
        <v>0</v>
      </c>
      <c r="R79">
        <f t="shared" si="31"/>
        <v>0</v>
      </c>
      <c r="S79">
        <f t="shared" si="31"/>
        <v>0</v>
      </c>
      <c r="T79">
        <f t="shared" si="31"/>
        <v>0</v>
      </c>
      <c r="W79">
        <f t="shared" si="31"/>
        <v>0</v>
      </c>
      <c r="X79">
        <f t="shared" si="31"/>
        <v>0</v>
      </c>
      <c r="Y79" t="s">
        <v>209</v>
      </c>
    </row>
    <row r="80" spans="1:25">
      <c r="A80" s="3" t="s">
        <v>2</v>
      </c>
      <c r="B80">
        <v>0</v>
      </c>
      <c r="C80">
        <v>0</v>
      </c>
      <c r="D80">
        <v>0</v>
      </c>
      <c r="E80">
        <v>0</v>
      </c>
      <c r="F80">
        <v>0</v>
      </c>
      <c r="G80">
        <v>0</v>
      </c>
      <c r="H80">
        <v>0</v>
      </c>
      <c r="I80">
        <v>0</v>
      </c>
      <c r="J80">
        <v>0</v>
      </c>
      <c r="K80">
        <v>0</v>
      </c>
      <c r="L80">
        <v>0</v>
      </c>
      <c r="M80">
        <v>0</v>
      </c>
      <c r="N80">
        <v>0</v>
      </c>
      <c r="O80">
        <v>0</v>
      </c>
      <c r="P80">
        <v>0</v>
      </c>
      <c r="Q80">
        <v>0</v>
      </c>
      <c r="R80">
        <v>0</v>
      </c>
      <c r="S80">
        <v>0</v>
      </c>
      <c r="T80">
        <v>0</v>
      </c>
      <c r="W80">
        <v>0</v>
      </c>
      <c r="X80">
        <v>0</v>
      </c>
      <c r="Y80" t="s">
        <v>209</v>
      </c>
    </row>
    <row r="81" spans="1:25" s="60" customFormat="1">
      <c r="A81" s="60" t="s">
        <v>289</v>
      </c>
      <c r="B81" t="s">
        <v>235</v>
      </c>
      <c r="C81" s="63">
        <v>0</v>
      </c>
      <c r="D81" s="63">
        <v>0</v>
      </c>
      <c r="E81" s="60">
        <f>MAX(SUM(E78:E79),E77)+SUM(E74:E76)+IF(E114=0,E116,0)</f>
        <v>22798</v>
      </c>
      <c r="F81" s="60">
        <f t="shared" ref="F81:X81" si="32">MAX(SUM(F78:F79),F77)+SUM(F74:F76)+IF(F114=0,F116,0)</f>
        <v>14100</v>
      </c>
      <c r="G81" s="60">
        <f t="shared" si="32"/>
        <v>13994</v>
      </c>
      <c r="H81" s="60">
        <f t="shared" si="32"/>
        <v>18173</v>
      </c>
      <c r="I81" s="60">
        <f t="shared" si="32"/>
        <v>15885</v>
      </c>
      <c r="J81" s="60">
        <f t="shared" si="32"/>
        <v>13237</v>
      </c>
      <c r="K81" s="60">
        <f>MAX(SUM(K78:K79),K77)+SUM(K74:K76)+IF(K114=0,K116,0)</f>
        <v>10425</v>
      </c>
      <c r="L81" s="60">
        <f t="shared" si="32"/>
        <v>21008</v>
      </c>
      <c r="M81" s="60">
        <f t="shared" si="32"/>
        <v>11603</v>
      </c>
      <c r="N81" s="60">
        <f t="shared" si="32"/>
        <v>10641</v>
      </c>
      <c r="O81" s="60">
        <f t="shared" si="32"/>
        <v>11603</v>
      </c>
      <c r="P81" s="60">
        <f t="shared" si="32"/>
        <v>10233</v>
      </c>
      <c r="Q81" s="60">
        <f t="shared" si="32"/>
        <v>17844</v>
      </c>
      <c r="R81" s="60">
        <f t="shared" si="32"/>
        <v>10575</v>
      </c>
      <c r="S81" s="60">
        <f t="shared" si="32"/>
        <v>11973</v>
      </c>
      <c r="T81" s="60">
        <f t="shared" si="32"/>
        <v>10036</v>
      </c>
      <c r="W81" s="60">
        <f t="shared" si="32"/>
        <v>10745</v>
      </c>
      <c r="X81" s="60">
        <f t="shared" si="32"/>
        <v>10037</v>
      </c>
      <c r="Y81" s="60" t="s">
        <v>209</v>
      </c>
    </row>
    <row r="82" spans="1:25">
      <c r="Y82" t="s">
        <v>209</v>
      </c>
    </row>
    <row r="83" spans="1:25" s="54" customFormat="1">
      <c r="A83" s="53" t="s">
        <v>251</v>
      </c>
      <c r="B83">
        <v>1</v>
      </c>
      <c r="C83" s="54">
        <f>ROUND(IF(C147=1,0,IF(C142="high",$B173,IF(C142="low",$B172,TRUNC(AVERAGE($B172,$B173)))))*C8,0)</f>
        <v>5934</v>
      </c>
      <c r="D83" s="54">
        <f>ROUND(IF(D147=1,0,IF(D142="high",$B173,IF(D142="low",$B172,TRUNC(AVERAGE($B172,$B173)))))*D8,0)</f>
        <v>4559</v>
      </c>
      <c r="E83" s="63">
        <f>(2.5+IF(E147=1,0,IF(E142="high",$B173,IF(E142="low",$B172,TRUNC(AVERAGE($B172,$B173))))))*E8</f>
        <v>250000</v>
      </c>
      <c r="F83" s="63">
        <v>100000</v>
      </c>
      <c r="G83" s="54">
        <f t="shared" ref="G83:W83" si="33">IF(G147=1,0,IF(G142="high",$B173,IF(G142="low",$B172,TRUNC(AVERAGE($B172,$B173)))))*G8</f>
        <v>125000</v>
      </c>
      <c r="H83" s="54">
        <f t="shared" si="33"/>
        <v>75000</v>
      </c>
      <c r="I83" s="54">
        <v>3000</v>
      </c>
      <c r="J83" s="54">
        <f t="shared" si="33"/>
        <v>40000</v>
      </c>
      <c r="K83" s="54">
        <f t="shared" si="33"/>
        <v>10000</v>
      </c>
      <c r="L83" s="54">
        <f t="shared" si="33"/>
        <v>30000</v>
      </c>
      <c r="M83" s="54">
        <f t="shared" si="33"/>
        <v>0</v>
      </c>
      <c r="N83" s="54">
        <f t="shared" si="33"/>
        <v>0</v>
      </c>
      <c r="O83" s="54">
        <f t="shared" si="33"/>
        <v>0</v>
      </c>
      <c r="P83" s="54">
        <f t="shared" si="33"/>
        <v>10000</v>
      </c>
      <c r="Q83" s="54">
        <f t="shared" si="33"/>
        <v>0</v>
      </c>
      <c r="R83" s="54">
        <f t="shared" si="33"/>
        <v>0</v>
      </c>
      <c r="S83" s="54">
        <f t="shared" si="33"/>
        <v>0</v>
      </c>
      <c r="T83" s="63">
        <v>10000</v>
      </c>
      <c r="U83" s="63"/>
      <c r="V83" s="63"/>
      <c r="W83" s="54">
        <f t="shared" si="33"/>
        <v>0</v>
      </c>
      <c r="X83" s="63">
        <v>100</v>
      </c>
      <c r="Y83" s="54" t="s">
        <v>209</v>
      </c>
    </row>
    <row r="84" spans="1:25" s="54" customFormat="1">
      <c r="A84" s="53" t="s">
        <v>310</v>
      </c>
      <c r="B84">
        <v>1</v>
      </c>
      <c r="C84" s="54">
        <f>IF(C136="",0,13000)+IF(C128="",0,13000)</f>
        <v>0</v>
      </c>
      <c r="D84" s="54">
        <f t="shared" ref="D84:X84" si="34">IF(D136="",0,13000)+IF(D128="",0,13000)</f>
        <v>0</v>
      </c>
      <c r="E84" s="54">
        <f t="shared" si="34"/>
        <v>13000</v>
      </c>
      <c r="F84" s="54">
        <f t="shared" si="34"/>
        <v>13000</v>
      </c>
      <c r="G84" s="54">
        <f t="shared" si="34"/>
        <v>0</v>
      </c>
      <c r="H84" s="54">
        <f t="shared" si="34"/>
        <v>0</v>
      </c>
      <c r="I84" s="54">
        <f t="shared" si="34"/>
        <v>13000</v>
      </c>
      <c r="J84" s="54">
        <f t="shared" si="34"/>
        <v>0</v>
      </c>
      <c r="K84" s="54">
        <f t="shared" si="34"/>
        <v>0</v>
      </c>
      <c r="L84" s="54">
        <f t="shared" si="34"/>
        <v>13000</v>
      </c>
      <c r="M84" s="54">
        <f t="shared" si="34"/>
        <v>13000</v>
      </c>
      <c r="N84" s="54">
        <f t="shared" si="34"/>
        <v>13000</v>
      </c>
      <c r="O84" s="54">
        <f t="shared" si="34"/>
        <v>0</v>
      </c>
      <c r="P84" s="54">
        <f t="shared" si="34"/>
        <v>0</v>
      </c>
      <c r="Q84" s="54">
        <f t="shared" si="34"/>
        <v>0</v>
      </c>
      <c r="R84" s="54">
        <f t="shared" si="34"/>
        <v>0</v>
      </c>
      <c r="S84" s="54">
        <f t="shared" si="34"/>
        <v>13000</v>
      </c>
      <c r="T84" s="63">
        <f>IF(T136="",0,13000)+IF(T128="",0,13000)+500</f>
        <v>500</v>
      </c>
      <c r="U84" s="63"/>
      <c r="V84" s="63"/>
      <c r="W84" s="63">
        <f>IF(W136="",0,13000)+IF(W128="",0,13000)+500</f>
        <v>13500</v>
      </c>
      <c r="X84" s="54">
        <f t="shared" si="34"/>
        <v>0</v>
      </c>
      <c r="Y84" s="54" t="s">
        <v>209</v>
      </c>
    </row>
    <row r="85" spans="1:25" s="54" customFormat="1">
      <c r="A85" s="53" t="s">
        <v>4</v>
      </c>
      <c r="B85">
        <v>1</v>
      </c>
      <c r="C85" s="63" t="str">
        <f t="shared" ref="C85:X85" si="35">IF(C138="","",$B167)</f>
        <v/>
      </c>
      <c r="D85" s="63" t="str">
        <f t="shared" si="35"/>
        <v/>
      </c>
      <c r="E85" s="54" t="str">
        <f t="shared" si="35"/>
        <v/>
      </c>
      <c r="F85" s="54">
        <f t="shared" si="35"/>
        <v>10000</v>
      </c>
      <c r="G85" s="54" t="str">
        <f t="shared" si="35"/>
        <v/>
      </c>
      <c r="H85" s="54">
        <f t="shared" si="35"/>
        <v>10000</v>
      </c>
      <c r="I85" s="54" t="str">
        <f t="shared" si="35"/>
        <v/>
      </c>
      <c r="J85" s="54" t="str">
        <f t="shared" si="35"/>
        <v/>
      </c>
      <c r="K85" s="54" t="str">
        <f t="shared" si="35"/>
        <v/>
      </c>
      <c r="L85" s="54" t="str">
        <f t="shared" si="35"/>
        <v/>
      </c>
      <c r="M85" s="54">
        <f t="shared" si="35"/>
        <v>10000</v>
      </c>
      <c r="N85" s="54" t="str">
        <f t="shared" si="35"/>
        <v/>
      </c>
      <c r="O85" s="54" t="str">
        <f t="shared" si="35"/>
        <v/>
      </c>
      <c r="P85" s="54" t="str">
        <f t="shared" si="35"/>
        <v/>
      </c>
      <c r="Q85" s="54" t="str">
        <f t="shared" si="35"/>
        <v/>
      </c>
      <c r="R85" s="54" t="str">
        <f t="shared" si="35"/>
        <v/>
      </c>
      <c r="S85" s="54" t="str">
        <f t="shared" si="35"/>
        <v/>
      </c>
      <c r="T85" s="54" t="str">
        <f t="shared" si="35"/>
        <v/>
      </c>
      <c r="W85" s="54" t="str">
        <f t="shared" si="35"/>
        <v/>
      </c>
      <c r="X85" s="54" t="str">
        <f t="shared" si="35"/>
        <v/>
      </c>
      <c r="Y85" s="54" t="s">
        <v>209</v>
      </c>
    </row>
    <row r="86" spans="1:25" s="54" customFormat="1">
      <c r="A86" s="53" t="s">
        <v>5</v>
      </c>
      <c r="B86">
        <v>1</v>
      </c>
      <c r="C86"/>
      <c r="D86"/>
      <c r="E86"/>
      <c r="F86"/>
      <c r="G86"/>
      <c r="H86"/>
      <c r="I86"/>
      <c r="J86"/>
      <c r="K86"/>
      <c r="L86"/>
      <c r="M86"/>
      <c r="N86"/>
      <c r="O86"/>
      <c r="P86"/>
      <c r="Q86"/>
      <c r="R86"/>
      <c r="S86"/>
      <c r="T86"/>
      <c r="U86"/>
      <c r="V86"/>
      <c r="W86"/>
      <c r="X86"/>
      <c r="Y86" s="54" t="s">
        <v>209</v>
      </c>
    </row>
    <row r="87" spans="1:25">
      <c r="A87" s="4" t="s">
        <v>6</v>
      </c>
      <c r="B87">
        <v>1</v>
      </c>
      <c r="D87" s="63">
        <v>12000</v>
      </c>
      <c r="Y87" t="s">
        <v>209</v>
      </c>
    </row>
    <row r="88" spans="1:25">
      <c r="A88" s="4" t="s">
        <v>255</v>
      </c>
      <c r="B88">
        <v>1</v>
      </c>
      <c r="C88" s="63">
        <f>SUMIF($E124:$X124,"="&amp;"low",$E99:$X99)</f>
        <v>397900</v>
      </c>
      <c r="D88" s="63">
        <f>SUMIF($E124:$X124,"="&amp;"high",$E99:$X99)</f>
        <v>38800</v>
      </c>
      <c r="Y88" t="s">
        <v>209</v>
      </c>
    </row>
    <row r="89" spans="1:25">
      <c r="A89" s="4" t="s">
        <v>290</v>
      </c>
      <c r="B89">
        <v>1</v>
      </c>
      <c r="C89" s="63">
        <v>13000</v>
      </c>
      <c r="Y89" t="s">
        <v>209</v>
      </c>
    </row>
    <row r="90" spans="1:25" s="54" customFormat="1">
      <c r="A90" s="54" t="s">
        <v>291</v>
      </c>
      <c r="B90" t="s">
        <v>235</v>
      </c>
      <c r="C90" s="54">
        <f>SUM(C74:C89)+IF(AND(C114&lt;0.5,C114&gt;0),C116,0)</f>
        <v>426834</v>
      </c>
      <c r="D90" s="54">
        <f>SUM(D74:D89)+IF(AND(D114&lt;0.5,D114&gt;0),D116,0)</f>
        <v>65359</v>
      </c>
      <c r="E90" s="54">
        <f>SUM(E81:E89)+IF(AND(E114&lt;0.5,E114&gt;0),E116,0)</f>
        <v>285798</v>
      </c>
      <c r="F90" s="54">
        <f t="shared" ref="F90:X90" si="36">SUM(F81:F89)+IF(AND(F114&lt;0.5,F114&gt;0),F116,0)</f>
        <v>137100</v>
      </c>
      <c r="G90" s="54">
        <f t="shared" si="36"/>
        <v>138994</v>
      </c>
      <c r="H90" s="54">
        <f t="shared" si="36"/>
        <v>103173</v>
      </c>
      <c r="I90" s="54">
        <f t="shared" si="36"/>
        <v>31885</v>
      </c>
      <c r="J90" s="54">
        <f t="shared" si="36"/>
        <v>53237</v>
      </c>
      <c r="K90" s="54">
        <f t="shared" si="36"/>
        <v>20428</v>
      </c>
      <c r="L90" s="54">
        <f t="shared" si="36"/>
        <v>64008</v>
      </c>
      <c r="M90" s="54">
        <f t="shared" si="36"/>
        <v>34618</v>
      </c>
      <c r="N90" s="54">
        <f t="shared" si="36"/>
        <v>23647</v>
      </c>
      <c r="O90" s="54">
        <f t="shared" si="36"/>
        <v>11609</v>
      </c>
      <c r="P90" s="54">
        <f t="shared" si="36"/>
        <v>20233</v>
      </c>
      <c r="Q90" s="54">
        <f t="shared" si="36"/>
        <v>17844</v>
      </c>
      <c r="R90" s="54">
        <f t="shared" si="36"/>
        <v>10575</v>
      </c>
      <c r="S90" s="54">
        <f t="shared" si="36"/>
        <v>24973</v>
      </c>
      <c r="T90" s="54">
        <f t="shared" si="36"/>
        <v>20543</v>
      </c>
      <c r="W90" s="54">
        <f t="shared" si="36"/>
        <v>24249</v>
      </c>
      <c r="X90" s="54">
        <f t="shared" si="36"/>
        <v>10137</v>
      </c>
      <c r="Y90" s="54" t="s">
        <v>209</v>
      </c>
    </row>
    <row r="91" spans="1:25">
      <c r="Y91" t="s">
        <v>209</v>
      </c>
    </row>
    <row r="92" spans="1:25">
      <c r="A92" s="1" t="s">
        <v>7</v>
      </c>
      <c r="B92" t="s">
        <v>234</v>
      </c>
      <c r="Y92" t="s">
        <v>209</v>
      </c>
    </row>
    <row r="93" spans="1:25">
      <c r="A93" s="4" t="s">
        <v>292</v>
      </c>
      <c r="B93">
        <v>1</v>
      </c>
      <c r="C93" s="63">
        <v>0</v>
      </c>
      <c r="D93" s="63">
        <v>0</v>
      </c>
      <c r="E93" s="54">
        <f>TRUNC(IF(OR(E130="dye",E130="low"),$B$164,IF(OR(E130="high",E130="gears"),$B$165,$B$161))*E$21/365/100)*100</f>
        <v>6700</v>
      </c>
      <c r="F93" s="54">
        <f t="shared" ref="F93:X93" si="37">TRUNC(IF(OR(F130="dye",F130="low"),$B$164,IF(OR(F130="high",F130="gears"),$B$165,$B$161))*F$21/365/100)*100</f>
        <v>3100</v>
      </c>
      <c r="G93" s="54">
        <f t="shared" si="37"/>
        <v>1100</v>
      </c>
      <c r="H93" s="54">
        <f t="shared" si="37"/>
        <v>5800</v>
      </c>
      <c r="I93" s="54">
        <f t="shared" si="37"/>
        <v>7900</v>
      </c>
      <c r="J93" s="54">
        <f t="shared" si="37"/>
        <v>900</v>
      </c>
      <c r="K93" s="54">
        <f t="shared" si="37"/>
        <v>200</v>
      </c>
      <c r="L93" s="54">
        <f t="shared" si="37"/>
        <v>2300</v>
      </c>
      <c r="M93" s="54">
        <f t="shared" si="37"/>
        <v>1800</v>
      </c>
      <c r="N93" s="54">
        <f t="shared" si="37"/>
        <v>800</v>
      </c>
      <c r="O93" s="54">
        <f t="shared" si="37"/>
        <v>600</v>
      </c>
      <c r="P93" s="54">
        <f t="shared" si="37"/>
        <v>1900</v>
      </c>
      <c r="Q93" s="54">
        <f t="shared" si="37"/>
        <v>2100</v>
      </c>
      <c r="R93" s="54">
        <f t="shared" si="37"/>
        <v>600</v>
      </c>
      <c r="S93" s="54">
        <f t="shared" si="37"/>
        <v>5700</v>
      </c>
      <c r="T93" s="54">
        <f t="shared" si="37"/>
        <v>1500</v>
      </c>
      <c r="U93" s="54"/>
      <c r="V93" s="54"/>
      <c r="W93" s="54">
        <f t="shared" si="37"/>
        <v>3200</v>
      </c>
      <c r="X93" s="54">
        <f t="shared" si="37"/>
        <v>700</v>
      </c>
      <c r="Y93" t="s">
        <v>209</v>
      </c>
    </row>
    <row r="94" spans="1:25" s="54" customFormat="1">
      <c r="A94" s="53" t="s">
        <v>303</v>
      </c>
      <c r="B94">
        <v>1</v>
      </c>
      <c r="C94" s="63">
        <f>$C$99/20</f>
        <v>0</v>
      </c>
      <c r="D94" s="63">
        <f>$D$99/20</f>
        <v>0</v>
      </c>
      <c r="E94" s="54">
        <f>$E$99/20</f>
        <v>11430</v>
      </c>
      <c r="F94" s="54">
        <f>$F$99/20</f>
        <v>5480</v>
      </c>
      <c r="G94" s="54">
        <f>$G$99/20</f>
        <v>555</v>
      </c>
      <c r="H94" s="54">
        <f>$H$99/20</f>
        <v>410</v>
      </c>
      <c r="I94" s="54">
        <v>0</v>
      </c>
      <c r="J94" s="54">
        <f>$J$99/20</f>
        <v>210</v>
      </c>
      <c r="K94" s="54">
        <f>$K$99/20</f>
        <v>80</v>
      </c>
      <c r="L94" s="54">
        <f>$L$99/20</f>
        <v>255</v>
      </c>
      <c r="M94" s="54">
        <f>$M$99/20</f>
        <v>1380</v>
      </c>
      <c r="N94" s="54">
        <f>$N$99/20</f>
        <v>90</v>
      </c>
      <c r="O94" s="54">
        <f>$O$99/20</f>
        <v>45</v>
      </c>
      <c r="P94" s="54">
        <f>$P$99/20</f>
        <v>125</v>
      </c>
      <c r="Q94" s="54">
        <f>$Q$99/20</f>
        <v>710</v>
      </c>
      <c r="R94" s="63">
        <v>0</v>
      </c>
      <c r="S94" s="54">
        <f>$S$99/20</f>
        <v>95</v>
      </c>
      <c r="T94" s="54">
        <f>$T$99/20</f>
        <v>80</v>
      </c>
      <c r="W94" s="54">
        <f>$W$99/20</f>
        <v>95</v>
      </c>
      <c r="X94" s="63">
        <v>0</v>
      </c>
      <c r="Y94" s="54" t="s">
        <v>209</v>
      </c>
    </row>
    <row r="95" spans="1:25" s="54" customFormat="1">
      <c r="A95" s="56" t="s">
        <v>9</v>
      </c>
      <c r="B95" t="s">
        <v>235</v>
      </c>
      <c r="C95" s="63">
        <f>SUM($C$93:$C$94)</f>
        <v>0</v>
      </c>
      <c r="D95" s="63">
        <f>SUM($D$93:$D$94)</f>
        <v>0</v>
      </c>
      <c r="E95" s="54">
        <f>SUM($E$93:$E$94)</f>
        <v>18130</v>
      </c>
      <c r="F95" s="54">
        <f>SUM($F$93:$F$94)</f>
        <v>8580</v>
      </c>
      <c r="G95" s="54">
        <f>SUM($G$93:$G$94)</f>
        <v>1655</v>
      </c>
      <c r="H95" s="54">
        <f>SUM($H$93:$H$94)</f>
        <v>6210</v>
      </c>
      <c r="I95" s="54">
        <f>SUM($I$93:$I$94)</f>
        <v>7900</v>
      </c>
      <c r="J95" s="54">
        <f>SUM($J$93:$J$94)</f>
        <v>1110</v>
      </c>
      <c r="K95" s="54">
        <f>SUM($K$93:$K$94)</f>
        <v>280</v>
      </c>
      <c r="L95" s="54">
        <f>SUM($L$93:$L$94)</f>
        <v>2555</v>
      </c>
      <c r="M95" s="54">
        <f>SUM($M$93:$M$94)</f>
        <v>3180</v>
      </c>
      <c r="N95" s="54">
        <f>SUM($N$93:$N$94)</f>
        <v>890</v>
      </c>
      <c r="O95" s="54">
        <f>SUM($O$93:$O$94)</f>
        <v>645</v>
      </c>
      <c r="P95" s="54">
        <f>SUM($P$93:$P$94)</f>
        <v>2025</v>
      </c>
      <c r="Q95" s="54">
        <f>SUM($Q$93:$Q$94)</f>
        <v>2810</v>
      </c>
      <c r="R95" s="54">
        <f>SUM($R$93:$R$94)</f>
        <v>600</v>
      </c>
      <c r="S95" s="54">
        <f>SUM($S$93:$S$94)</f>
        <v>5795</v>
      </c>
      <c r="T95" s="54">
        <f>SUM($T$93:$T$94)</f>
        <v>1580</v>
      </c>
      <c r="W95" s="54">
        <f>SUM($W$93:$W$94)</f>
        <v>3295</v>
      </c>
      <c r="X95" s="54">
        <f>SUM($X$93:$X$94)</f>
        <v>700</v>
      </c>
      <c r="Y95" s="54" t="s">
        <v>209</v>
      </c>
    </row>
    <row r="96" spans="1:25" s="54" customFormat="1">
      <c r="A96" s="56"/>
      <c r="B96"/>
      <c r="C96" s="63"/>
      <c r="D96" s="63"/>
    </row>
    <row r="97" spans="1:25">
      <c r="A97" s="4" t="s">
        <v>8</v>
      </c>
      <c r="B97">
        <v>1</v>
      </c>
      <c r="Y97" t="s">
        <v>209</v>
      </c>
    </row>
    <row r="98" spans="1:25">
      <c r="A98" s="4" t="s">
        <v>254</v>
      </c>
      <c r="B98">
        <v>1</v>
      </c>
      <c r="C98" s="63">
        <v>400000</v>
      </c>
      <c r="D98" s="63">
        <v>50000</v>
      </c>
      <c r="Y98" t="s">
        <v>209</v>
      </c>
    </row>
    <row r="99" spans="1:25" s="54" customFormat="1">
      <c r="A99" s="53" t="s">
        <v>10</v>
      </c>
      <c r="B99">
        <v>1</v>
      </c>
      <c r="C99" s="63">
        <f t="shared" ref="C99:W99" si="38">TRUNC(IF(C148="",IF(OR(C124="",C122=1,C123=1),0,C90*0.08),C90*0.8)/100)*100</f>
        <v>0</v>
      </c>
      <c r="D99" s="63">
        <f t="shared" si="38"/>
        <v>0</v>
      </c>
      <c r="E99" s="54">
        <f t="shared" si="38"/>
        <v>228600</v>
      </c>
      <c r="F99" s="54">
        <f t="shared" si="38"/>
        <v>109600</v>
      </c>
      <c r="G99" s="54">
        <f t="shared" si="38"/>
        <v>11100</v>
      </c>
      <c r="H99" s="54">
        <f t="shared" si="38"/>
        <v>8200</v>
      </c>
      <c r="I99" s="54">
        <f t="shared" si="38"/>
        <v>2500</v>
      </c>
      <c r="J99" s="54">
        <f t="shared" si="38"/>
        <v>4200</v>
      </c>
      <c r="K99" s="54">
        <f t="shared" si="38"/>
        <v>1600</v>
      </c>
      <c r="L99" s="54">
        <f t="shared" si="38"/>
        <v>5100</v>
      </c>
      <c r="M99" s="54">
        <f t="shared" si="38"/>
        <v>27600</v>
      </c>
      <c r="N99" s="54">
        <f t="shared" si="38"/>
        <v>1800</v>
      </c>
      <c r="O99" s="54">
        <f t="shared" si="38"/>
        <v>900</v>
      </c>
      <c r="P99" s="54">
        <v>2500</v>
      </c>
      <c r="Q99" s="54">
        <f t="shared" si="38"/>
        <v>14200</v>
      </c>
      <c r="R99" s="54">
        <f t="shared" si="38"/>
        <v>8400</v>
      </c>
      <c r="S99" s="54">
        <f t="shared" si="38"/>
        <v>1900</v>
      </c>
      <c r="T99" s="54">
        <f t="shared" si="38"/>
        <v>1600</v>
      </c>
      <c r="W99" s="54">
        <f t="shared" si="38"/>
        <v>1900</v>
      </c>
      <c r="X99" s="54">
        <v>5000</v>
      </c>
      <c r="Y99" s="54" t="s">
        <v>209</v>
      </c>
    </row>
    <row r="100" spans="1:25" s="54" customFormat="1">
      <c r="A100" s="56" t="s">
        <v>293</v>
      </c>
      <c r="B100" t="s">
        <v>235</v>
      </c>
      <c r="C100" s="63">
        <f t="shared" ref="C100:X100" si="39">SUM(C95:C99)</f>
        <v>400000</v>
      </c>
      <c r="D100" s="63">
        <f t="shared" si="39"/>
        <v>50000</v>
      </c>
      <c r="E100" s="54">
        <f t="shared" si="39"/>
        <v>246730</v>
      </c>
      <c r="F100" s="54">
        <f t="shared" si="39"/>
        <v>118180</v>
      </c>
      <c r="G100" s="54">
        <f t="shared" si="39"/>
        <v>12755</v>
      </c>
      <c r="H100" s="54">
        <f t="shared" si="39"/>
        <v>14410</v>
      </c>
      <c r="I100" s="54">
        <f t="shared" si="39"/>
        <v>10400</v>
      </c>
      <c r="J100" s="54">
        <f t="shared" si="39"/>
        <v>5310</v>
      </c>
      <c r="K100" s="54">
        <f t="shared" si="39"/>
        <v>1880</v>
      </c>
      <c r="L100" s="54">
        <f t="shared" si="39"/>
        <v>7655</v>
      </c>
      <c r="M100" s="54">
        <f t="shared" si="39"/>
        <v>30780</v>
      </c>
      <c r="N100" s="54">
        <f t="shared" si="39"/>
        <v>2690</v>
      </c>
      <c r="O100" s="54">
        <f t="shared" si="39"/>
        <v>1545</v>
      </c>
      <c r="P100" s="54">
        <f t="shared" si="39"/>
        <v>4525</v>
      </c>
      <c r="Q100" s="54">
        <f t="shared" si="39"/>
        <v>17010</v>
      </c>
      <c r="R100" s="54">
        <f t="shared" si="39"/>
        <v>9000</v>
      </c>
      <c r="S100" s="54">
        <f t="shared" si="39"/>
        <v>7695</v>
      </c>
      <c r="T100" s="54">
        <f t="shared" si="39"/>
        <v>3180</v>
      </c>
      <c r="W100" s="54">
        <f t="shared" si="39"/>
        <v>5195</v>
      </c>
      <c r="X100" s="54">
        <f t="shared" si="39"/>
        <v>5700</v>
      </c>
      <c r="Y100" s="54" t="s">
        <v>209</v>
      </c>
    </row>
    <row r="101" spans="1:25">
      <c r="Y101" t="s">
        <v>209</v>
      </c>
    </row>
    <row r="102" spans="1:25">
      <c r="A102" s="1" t="s">
        <v>299</v>
      </c>
      <c r="B102" t="s">
        <v>234</v>
      </c>
      <c r="C102" s="54">
        <f>C90-C100+IF(C114&gt;0.5,C116,0)</f>
        <v>26840</v>
      </c>
      <c r="D102" s="54">
        <f t="shared" ref="D102:X102" si="40">D90-D100+IF(D114&gt;0.5,D116,0)</f>
        <v>15361</v>
      </c>
      <c r="E102" s="54">
        <f t="shared" si="40"/>
        <v>39068</v>
      </c>
      <c r="F102" s="54">
        <f t="shared" si="40"/>
        <v>18925</v>
      </c>
      <c r="G102" s="54">
        <f t="shared" si="40"/>
        <v>126239</v>
      </c>
      <c r="H102" s="54">
        <f t="shared" si="40"/>
        <v>88782</v>
      </c>
      <c r="I102" s="54">
        <f t="shared" si="40"/>
        <v>21485</v>
      </c>
      <c r="J102" s="54">
        <f t="shared" si="40"/>
        <v>47942</v>
      </c>
      <c r="K102" s="54">
        <f t="shared" si="40"/>
        <v>18548</v>
      </c>
      <c r="L102" s="54">
        <f t="shared" si="40"/>
        <v>56364</v>
      </c>
      <c r="M102" s="54">
        <f t="shared" si="40"/>
        <v>3838</v>
      </c>
      <c r="N102" s="54">
        <f t="shared" si="40"/>
        <v>20957</v>
      </c>
      <c r="O102" s="54">
        <f t="shared" si="40"/>
        <v>10064</v>
      </c>
      <c r="P102" s="54">
        <f t="shared" si="40"/>
        <v>15713</v>
      </c>
      <c r="Q102" s="54">
        <f t="shared" si="40"/>
        <v>852</v>
      </c>
      <c r="R102" s="54">
        <f t="shared" si="40"/>
        <v>1584</v>
      </c>
      <c r="S102" s="54">
        <f t="shared" si="40"/>
        <v>17292</v>
      </c>
      <c r="T102" s="54">
        <f t="shared" si="40"/>
        <v>17363</v>
      </c>
      <c r="U102" s="54"/>
      <c r="V102" s="54"/>
      <c r="W102" s="54">
        <f t="shared" si="40"/>
        <v>19054</v>
      </c>
      <c r="X102" s="54">
        <f t="shared" si="40"/>
        <v>4458</v>
      </c>
      <c r="Y102" t="s">
        <v>209</v>
      </c>
    </row>
    <row r="103" spans="1:25" s="54" customFormat="1">
      <c r="A103" s="53" t="s">
        <v>294</v>
      </c>
      <c r="B103">
        <v>0</v>
      </c>
      <c r="C103"/>
      <c r="D103"/>
      <c r="E103"/>
      <c r="F103"/>
      <c r="G103"/>
      <c r="H103"/>
      <c r="I103"/>
      <c r="J103"/>
      <c r="K103"/>
      <c r="L103"/>
      <c r="M103"/>
      <c r="N103"/>
      <c r="O103"/>
      <c r="P103"/>
      <c r="Q103"/>
      <c r="R103"/>
      <c r="S103"/>
      <c r="T103"/>
      <c r="U103"/>
      <c r="V103"/>
      <c r="W103"/>
      <c r="X103"/>
      <c r="Y103" s="54" t="s">
        <v>209</v>
      </c>
    </row>
    <row r="104" spans="1:25" s="54" customFormat="1">
      <c r="A104" s="54" t="s">
        <v>238</v>
      </c>
      <c r="B104"/>
      <c r="C104" s="63">
        <v>0</v>
      </c>
      <c r="D104" s="63">
        <v>0</v>
      </c>
      <c r="E104" s="63">
        <v>0</v>
      </c>
      <c r="F104" s="63">
        <v>0</v>
      </c>
      <c r="G104" s="63">
        <v>0</v>
      </c>
      <c r="H104" s="63">
        <v>0</v>
      </c>
      <c r="I104" s="63">
        <v>0</v>
      </c>
      <c r="J104" s="63">
        <v>0</v>
      </c>
      <c r="K104" s="63">
        <v>0</v>
      </c>
      <c r="L104" s="63">
        <v>0</v>
      </c>
      <c r="M104" s="63">
        <v>0</v>
      </c>
      <c r="N104" s="63">
        <v>0</v>
      </c>
      <c r="O104" s="63">
        <v>0</v>
      </c>
      <c r="P104" s="63">
        <v>0</v>
      </c>
      <c r="Q104" s="63">
        <v>0</v>
      </c>
      <c r="R104" s="63">
        <v>0</v>
      </c>
      <c r="S104" s="63">
        <v>0</v>
      </c>
      <c r="T104" s="63">
        <v>0</v>
      </c>
      <c r="U104" s="63"/>
      <c r="V104" s="63"/>
      <c r="W104" s="63">
        <v>0</v>
      </c>
      <c r="X104" s="63">
        <v>0</v>
      </c>
      <c r="Y104" s="54" t="s">
        <v>209</v>
      </c>
    </row>
    <row r="105" spans="1:25">
      <c r="A105" s="14"/>
      <c r="Y105" t="s">
        <v>209</v>
      </c>
    </row>
    <row r="106" spans="1:25">
      <c r="A106" s="16"/>
      <c r="Y106" t="s">
        <v>209</v>
      </c>
    </row>
    <row r="107" spans="1:25">
      <c r="A107" s="16"/>
      <c r="Y107" t="s">
        <v>209</v>
      </c>
    </row>
    <row r="108" spans="1:25">
      <c r="A108" s="16" t="s">
        <v>265</v>
      </c>
      <c r="B108" t="s">
        <v>266</v>
      </c>
      <c r="E108">
        <f>E83/E13</f>
        <v>100</v>
      </c>
      <c r="F108">
        <f>F83/F13</f>
        <v>20</v>
      </c>
      <c r="G108">
        <f>G83/G13</f>
        <v>20</v>
      </c>
      <c r="H108">
        <f t="shared" ref="H108:X108" si="41">H83/H13</f>
        <v>20</v>
      </c>
      <c r="I108">
        <f t="shared" si="41"/>
        <v>10</v>
      </c>
      <c r="J108">
        <f t="shared" si="41"/>
        <v>10</v>
      </c>
      <c r="K108">
        <f t="shared" si="41"/>
        <v>20</v>
      </c>
      <c r="L108">
        <f t="shared" si="41"/>
        <v>20</v>
      </c>
      <c r="P108">
        <f t="shared" si="41"/>
        <v>20</v>
      </c>
      <c r="T108">
        <f t="shared" si="41"/>
        <v>20</v>
      </c>
      <c r="X108">
        <f t="shared" si="41"/>
        <v>20</v>
      </c>
      <c r="Y108" t="s">
        <v>209</v>
      </c>
    </row>
    <row r="109" spans="1:25">
      <c r="A109" s="15"/>
      <c r="Y109" t="s">
        <v>209</v>
      </c>
    </row>
    <row r="110" spans="1:25">
      <c r="A110" s="16" t="s">
        <v>295</v>
      </c>
      <c r="B110" t="s">
        <v>300</v>
      </c>
      <c r="C110" s="65"/>
      <c r="D110" s="65"/>
      <c r="E110" s="62">
        <f>E76/(E8/365)</f>
        <v>75.92</v>
      </c>
      <c r="F110" s="62">
        <f t="shared" ref="F110:X110" si="42">F76/(F8/365)</f>
        <v>29.93</v>
      </c>
      <c r="G110" s="62">
        <f t="shared" si="42"/>
        <v>9.49</v>
      </c>
      <c r="H110" s="62">
        <f t="shared" si="42"/>
        <v>75.433333333333337</v>
      </c>
      <c r="I110" s="62">
        <f t="shared" si="42"/>
        <v>30.112500000000001</v>
      </c>
      <c r="J110" s="62">
        <f t="shared" si="42"/>
        <v>10.0375</v>
      </c>
      <c r="K110" s="62">
        <f t="shared" si="42"/>
        <v>7.3</v>
      </c>
      <c r="L110" s="62">
        <f t="shared" si="42"/>
        <v>75.433333333333337</v>
      </c>
      <c r="M110" s="62">
        <f t="shared" si="42"/>
        <v>0</v>
      </c>
      <c r="N110" s="62">
        <f t="shared" si="42"/>
        <v>0</v>
      </c>
      <c r="O110" s="62">
        <f t="shared" si="42"/>
        <v>0</v>
      </c>
      <c r="P110" s="62">
        <f t="shared" si="42"/>
        <v>0</v>
      </c>
      <c r="Q110" s="62">
        <f t="shared" si="42"/>
        <v>75.433333333333337</v>
      </c>
      <c r="R110" s="62">
        <f t="shared" si="42"/>
        <v>0</v>
      </c>
      <c r="S110" s="62">
        <f t="shared" si="42"/>
        <v>0</v>
      </c>
      <c r="T110" s="62">
        <f t="shared" si="42"/>
        <v>0</v>
      </c>
      <c r="U110" s="62"/>
      <c r="V110" s="62"/>
      <c r="W110" s="62">
        <f t="shared" si="42"/>
        <v>0</v>
      </c>
      <c r="X110" s="62">
        <f t="shared" si="42"/>
        <v>0</v>
      </c>
      <c r="Y110" t="s">
        <v>209</v>
      </c>
    </row>
    <row r="111" spans="1:25">
      <c r="A111" s="16" t="s">
        <v>296</v>
      </c>
      <c r="B111" t="s">
        <v>301</v>
      </c>
      <c r="C111" s="65"/>
      <c r="D111" s="65"/>
      <c r="E111" s="62">
        <f>E93/(E21/365)</f>
        <v>74.106060606060609</v>
      </c>
      <c r="F111" s="62">
        <f t="shared" ref="F111:X111" si="43">F93/(F21/365)</f>
        <v>29.973509933774835</v>
      </c>
      <c r="G111" s="62">
        <f t="shared" si="43"/>
        <v>9.1771428571428562</v>
      </c>
      <c r="H111" s="62">
        <f t="shared" si="43"/>
        <v>73.891797556719027</v>
      </c>
      <c r="I111" s="62">
        <f t="shared" si="43"/>
        <v>74.125964010282772</v>
      </c>
      <c r="J111" s="62">
        <f t="shared" si="43"/>
        <v>9.125</v>
      </c>
      <c r="K111" s="62">
        <f t="shared" si="43"/>
        <v>7.5257731958762886</v>
      </c>
      <c r="L111" s="62">
        <f t="shared" si="43"/>
        <v>29.928698752228161</v>
      </c>
      <c r="M111" s="62">
        <f t="shared" si="43"/>
        <v>28.441558441558442</v>
      </c>
      <c r="N111" s="62">
        <f t="shared" si="43"/>
        <v>29.64467005076142</v>
      </c>
      <c r="O111" s="62">
        <f t="shared" si="43"/>
        <v>8.5882352941176467</v>
      </c>
      <c r="P111" s="62">
        <f t="shared" si="43"/>
        <v>74.569892473118273</v>
      </c>
      <c r="Q111" s="62">
        <f t="shared" si="43"/>
        <v>29.480769230769234</v>
      </c>
      <c r="R111" s="62">
        <f t="shared" si="43"/>
        <v>26.707317073170731</v>
      </c>
      <c r="S111" s="62">
        <f t="shared" si="43"/>
        <v>74.972972972972968</v>
      </c>
      <c r="T111" s="62">
        <f t="shared" si="43"/>
        <v>28.347312830071452</v>
      </c>
      <c r="U111" s="62"/>
      <c r="V111" s="62"/>
      <c r="W111" s="62">
        <f t="shared" si="43"/>
        <v>29.720101781170484</v>
      </c>
      <c r="X111" s="62">
        <f t="shared" si="43"/>
        <v>27.166400850611378</v>
      </c>
      <c r="Y111" t="s">
        <v>209</v>
      </c>
    </row>
    <row r="112" spans="1:25">
      <c r="A112" s="16" t="s">
        <v>297</v>
      </c>
      <c r="B112" t="s">
        <v>302</v>
      </c>
      <c r="E112">
        <f>MAX(SUM(E78:E79),E77)/(E11/365)</f>
        <v>30.005517241379309</v>
      </c>
      <c r="F112">
        <f t="shared" ref="F112:X112" si="44">MAX(SUM(F78:F79),F77)/(F11/365)</f>
        <v>0</v>
      </c>
      <c r="G112">
        <f t="shared" si="44"/>
        <v>29.997384615384615</v>
      </c>
      <c r="H112">
        <f t="shared" si="44"/>
        <v>30.006041666666665</v>
      </c>
      <c r="I112">
        <f t="shared" si="44"/>
        <v>30.007211538461537</v>
      </c>
      <c r="J112">
        <f t="shared" si="44"/>
        <v>30.000192307692309</v>
      </c>
      <c r="K112">
        <f t="shared" si="44"/>
        <v>10.015243902439025</v>
      </c>
      <c r="L112">
        <f t="shared" si="44"/>
        <v>74.996581196581204</v>
      </c>
      <c r="M112">
        <f t="shared" si="44"/>
        <v>30.004871794871793</v>
      </c>
      <c r="N112">
        <f t="shared" si="44"/>
        <v>29.995512820512822</v>
      </c>
      <c r="O112">
        <f t="shared" si="44"/>
        <v>30.004871794871793</v>
      </c>
      <c r="P112">
        <f t="shared" si="44"/>
        <v>10.005294117647059</v>
      </c>
      <c r="Q112">
        <f t="shared" si="44"/>
        <v>30.003</v>
      </c>
      <c r="R112">
        <f t="shared" si="44"/>
        <v>29.982142857142861</v>
      </c>
      <c r="S112">
        <f t="shared" si="44"/>
        <v>30.006041666666665</v>
      </c>
      <c r="T112">
        <f t="shared" si="44"/>
        <v>8.0861538461538469</v>
      </c>
      <c r="W112">
        <f t="shared" si="44"/>
        <v>7.9977941176470591</v>
      </c>
      <c r="X112">
        <f t="shared" si="44"/>
        <v>2.0156716417910445</v>
      </c>
      <c r="Y112" t="s">
        <v>209</v>
      </c>
    </row>
    <row r="113" spans="1:25">
      <c r="A113" s="16"/>
    </row>
    <row r="114" spans="1:25">
      <c r="A114" s="16" t="s">
        <v>257</v>
      </c>
      <c r="C114">
        <v>0.94510566176748412</v>
      </c>
      <c r="D114">
        <v>0.96381419546897185</v>
      </c>
      <c r="E114">
        <v>0</v>
      </c>
      <c r="F114">
        <v>0.79712378818298735</v>
      </c>
      <c r="G114">
        <v>0</v>
      </c>
      <c r="H114">
        <v>0.80430298946211298</v>
      </c>
      <c r="I114">
        <v>0</v>
      </c>
      <c r="J114">
        <v>0.70285874979925689</v>
      </c>
      <c r="K114">
        <v>0.26419087825413889</v>
      </c>
      <c r="L114">
        <v>0.52648698794424931</v>
      </c>
      <c r="M114">
        <v>0.11858957185452823</v>
      </c>
      <c r="N114">
        <v>0.18687316094744233</v>
      </c>
      <c r="O114">
        <v>0.17155103703452679</v>
      </c>
      <c r="P114">
        <v>0.72348157863711915</v>
      </c>
      <c r="Q114">
        <v>0.84466005541907796</v>
      </c>
      <c r="R114">
        <v>0.79419743086428984</v>
      </c>
      <c r="S114">
        <v>0.7046511440355796</v>
      </c>
      <c r="T114">
        <v>0.2100643262216888</v>
      </c>
      <c r="W114">
        <v>0.44810979455957667</v>
      </c>
      <c r="X114">
        <v>0.71850557068079102</v>
      </c>
    </row>
    <row r="115" spans="1:25">
      <c r="A115" t="s">
        <v>128</v>
      </c>
      <c r="C115" s="63" t="s">
        <v>203</v>
      </c>
      <c r="D115" s="63" t="s">
        <v>40</v>
      </c>
      <c r="E115" t="s">
        <v>207</v>
      </c>
      <c r="F115" t="s">
        <v>47</v>
      </c>
      <c r="G115" t="s">
        <v>313</v>
      </c>
      <c r="H115" t="s">
        <v>41</v>
      </c>
      <c r="I115" t="s">
        <v>201</v>
      </c>
      <c r="J115" t="s">
        <v>204</v>
      </c>
      <c r="K115" t="s">
        <v>158</v>
      </c>
      <c r="L115" t="s">
        <v>314</v>
      </c>
      <c r="M115" t="s">
        <v>204</v>
      </c>
      <c r="N115" t="s">
        <v>203</v>
      </c>
      <c r="O115" t="s">
        <v>203</v>
      </c>
      <c r="P115" t="s">
        <v>47</v>
      </c>
      <c r="Q115" t="s">
        <v>44</v>
      </c>
      <c r="R115" t="s">
        <v>206</v>
      </c>
      <c r="S115" t="s">
        <v>207</v>
      </c>
      <c r="T115" t="s">
        <v>208</v>
      </c>
      <c r="W115" t="s">
        <v>46</v>
      </c>
      <c r="X115" t="s">
        <v>48</v>
      </c>
      <c r="Y115" t="s">
        <v>209</v>
      </c>
    </row>
    <row r="116" spans="1:25">
      <c r="C116" s="63">
        <f t="shared" ref="C116:X116" si="45">CODE(C115)-64</f>
        <v>6</v>
      </c>
      <c r="D116" s="63">
        <f t="shared" si="45"/>
        <v>2</v>
      </c>
      <c r="E116">
        <f t="shared" si="45"/>
        <v>14</v>
      </c>
      <c r="F116">
        <f t="shared" si="45"/>
        <v>5</v>
      </c>
      <c r="G116">
        <f t="shared" si="45"/>
        <v>23</v>
      </c>
      <c r="H116">
        <f t="shared" si="45"/>
        <v>19</v>
      </c>
      <c r="I116">
        <f t="shared" si="45"/>
        <v>20</v>
      </c>
      <c r="J116">
        <f t="shared" si="45"/>
        <v>15</v>
      </c>
      <c r="K116">
        <f t="shared" si="45"/>
        <v>3</v>
      </c>
      <c r="L116">
        <f t="shared" si="45"/>
        <v>11</v>
      </c>
      <c r="M116">
        <f t="shared" si="45"/>
        <v>15</v>
      </c>
      <c r="N116">
        <f t="shared" si="45"/>
        <v>6</v>
      </c>
      <c r="O116">
        <f t="shared" si="45"/>
        <v>6</v>
      </c>
      <c r="P116">
        <f t="shared" si="45"/>
        <v>5</v>
      </c>
      <c r="Q116">
        <f t="shared" si="45"/>
        <v>18</v>
      </c>
      <c r="R116">
        <f t="shared" si="45"/>
        <v>9</v>
      </c>
      <c r="S116">
        <f t="shared" si="45"/>
        <v>14</v>
      </c>
      <c r="T116">
        <f t="shared" si="45"/>
        <v>7</v>
      </c>
      <c r="W116">
        <f t="shared" si="45"/>
        <v>4</v>
      </c>
      <c r="X116">
        <f t="shared" si="45"/>
        <v>21</v>
      </c>
      <c r="Y116" t="s">
        <v>209</v>
      </c>
    </row>
    <row r="117" spans="1:25">
      <c r="A117" t="s">
        <v>200</v>
      </c>
      <c r="C117" s="63" t="s">
        <v>201</v>
      </c>
      <c r="D117" s="63" t="s">
        <v>43</v>
      </c>
      <c r="E117" t="s">
        <v>202</v>
      </c>
      <c r="F117" t="s">
        <v>315</v>
      </c>
      <c r="G117" t="s">
        <v>206</v>
      </c>
      <c r="H117" t="s">
        <v>207</v>
      </c>
      <c r="I117" t="s">
        <v>47</v>
      </c>
      <c r="J117" t="s">
        <v>44</v>
      </c>
      <c r="K117" t="s">
        <v>47</v>
      </c>
      <c r="L117" t="s">
        <v>46</v>
      </c>
      <c r="M117" t="s">
        <v>39</v>
      </c>
      <c r="N117" t="s">
        <v>47</v>
      </c>
      <c r="O117" t="s">
        <v>44</v>
      </c>
      <c r="P117" t="s">
        <v>44</v>
      </c>
      <c r="Q117" t="s">
        <v>206</v>
      </c>
      <c r="R117" t="s">
        <v>207</v>
      </c>
      <c r="S117" t="s">
        <v>208</v>
      </c>
      <c r="W117" t="s">
        <v>207</v>
      </c>
      <c r="X117" t="s">
        <v>208</v>
      </c>
      <c r="Y117" t="s">
        <v>209</v>
      </c>
    </row>
    <row r="118" spans="1:25">
      <c r="C118">
        <f t="shared" ref="C118:S118" si="46">IF(ISTEXT(C117),CODE(C117)-64,0)</f>
        <v>20</v>
      </c>
      <c r="D118">
        <f t="shared" si="46"/>
        <v>1</v>
      </c>
      <c r="E118">
        <f t="shared" si="46"/>
        <v>24</v>
      </c>
      <c r="F118">
        <f t="shared" si="46"/>
        <v>12</v>
      </c>
      <c r="G118">
        <f t="shared" si="46"/>
        <v>9</v>
      </c>
      <c r="H118">
        <f t="shared" si="46"/>
        <v>14</v>
      </c>
      <c r="I118">
        <f t="shared" si="46"/>
        <v>5</v>
      </c>
      <c r="J118">
        <f t="shared" si="46"/>
        <v>18</v>
      </c>
      <c r="K118">
        <f t="shared" si="46"/>
        <v>5</v>
      </c>
      <c r="L118">
        <f t="shared" si="46"/>
        <v>4</v>
      </c>
      <c r="M118">
        <f t="shared" si="46"/>
        <v>8</v>
      </c>
      <c r="N118">
        <f t="shared" si="46"/>
        <v>5</v>
      </c>
      <c r="O118">
        <f t="shared" si="46"/>
        <v>18</v>
      </c>
      <c r="P118">
        <f t="shared" si="46"/>
        <v>18</v>
      </c>
      <c r="Q118">
        <f t="shared" si="46"/>
        <v>9</v>
      </c>
      <c r="R118">
        <f t="shared" si="46"/>
        <v>14</v>
      </c>
      <c r="S118">
        <f t="shared" si="46"/>
        <v>7</v>
      </c>
      <c r="T118">
        <f>IF(ISTEXT(T117),CODE(T117)-64,0)</f>
        <v>0</v>
      </c>
      <c r="W118">
        <f t="shared" ref="W118:X118" si="47">CODE(W117)-64</f>
        <v>14</v>
      </c>
      <c r="X118">
        <f t="shared" si="47"/>
        <v>7</v>
      </c>
      <c r="Y118" t="s">
        <v>209</v>
      </c>
    </row>
    <row r="119" spans="1:25" s="1" customFormat="1">
      <c r="A119" s="1" t="s">
        <v>129</v>
      </c>
      <c r="C119" s="68">
        <v>1</v>
      </c>
      <c r="D119" s="68">
        <v>2</v>
      </c>
      <c r="E119" s="1">
        <v>3</v>
      </c>
      <c r="F119" s="1">
        <v>4</v>
      </c>
      <c r="G119" s="1">
        <v>5</v>
      </c>
      <c r="H119" s="1">
        <v>6</v>
      </c>
      <c r="I119" s="1">
        <v>7</v>
      </c>
      <c r="J119" s="1">
        <v>8</v>
      </c>
      <c r="K119" s="1">
        <v>9</v>
      </c>
      <c r="L119" s="1">
        <v>10</v>
      </c>
      <c r="M119" s="1">
        <v>11</v>
      </c>
      <c r="N119" s="1">
        <v>12</v>
      </c>
      <c r="O119" s="1">
        <v>13</v>
      </c>
      <c r="P119" s="1">
        <v>14</v>
      </c>
      <c r="Q119" s="1">
        <f>P119+1</f>
        <v>15</v>
      </c>
      <c r="R119" s="1">
        <f t="shared" ref="R119:X119" si="48">Q119+1</f>
        <v>16</v>
      </c>
      <c r="S119" s="1">
        <f t="shared" si="48"/>
        <v>17</v>
      </c>
      <c r="T119" s="1">
        <f t="shared" si="48"/>
        <v>18</v>
      </c>
      <c r="W119" s="1">
        <f>T119+1</f>
        <v>19</v>
      </c>
      <c r="X119" s="1">
        <f t="shared" si="48"/>
        <v>20</v>
      </c>
      <c r="Y119" s="1" t="s">
        <v>209</v>
      </c>
    </row>
    <row r="120" spans="1:25" s="1" customFormat="1">
      <c r="C120" s="68"/>
      <c r="D120" s="68"/>
    </row>
    <row r="121" spans="1:25">
      <c r="Y121" t="s">
        <v>209</v>
      </c>
    </row>
    <row r="122" spans="1:25">
      <c r="A122" t="s">
        <v>143</v>
      </c>
      <c r="C122" s="63">
        <v>1</v>
      </c>
      <c r="Y122" t="s">
        <v>209</v>
      </c>
    </row>
    <row r="123" spans="1:25">
      <c r="A123" t="s">
        <v>144</v>
      </c>
      <c r="D123" s="63">
        <v>1</v>
      </c>
      <c r="Y123" t="s">
        <v>209</v>
      </c>
    </row>
    <row r="124" spans="1:25">
      <c r="A124" t="s">
        <v>178</v>
      </c>
      <c r="C124" s="63" t="s">
        <v>177</v>
      </c>
      <c r="D124" s="63" t="s">
        <v>176</v>
      </c>
      <c r="E124" t="s">
        <v>177</v>
      </c>
      <c r="F124" t="s">
        <v>177</v>
      </c>
      <c r="G124" t="s">
        <v>177</v>
      </c>
      <c r="H124" t="s">
        <v>177</v>
      </c>
      <c r="I124" t="s">
        <v>176</v>
      </c>
      <c r="J124" t="s">
        <v>177</v>
      </c>
      <c r="K124" t="s">
        <v>176</v>
      </c>
      <c r="L124" t="s">
        <v>177</v>
      </c>
      <c r="M124" t="s">
        <v>177</v>
      </c>
      <c r="N124" t="s">
        <v>176</v>
      </c>
      <c r="O124" t="s">
        <v>176</v>
      </c>
      <c r="P124" t="s">
        <v>176</v>
      </c>
      <c r="Q124" t="s">
        <v>176</v>
      </c>
      <c r="R124" t="s">
        <v>176</v>
      </c>
      <c r="S124" t="s">
        <v>176</v>
      </c>
      <c r="T124" t="s">
        <v>177</v>
      </c>
      <c r="W124" t="s">
        <v>177</v>
      </c>
      <c r="X124" t="s">
        <v>176</v>
      </c>
      <c r="Y124" t="s">
        <v>209</v>
      </c>
    </row>
    <row r="125" spans="1:25">
      <c r="A125" t="s">
        <v>139</v>
      </c>
      <c r="C125" s="63">
        <v>10</v>
      </c>
      <c r="D125" s="63">
        <v>10</v>
      </c>
      <c r="E125">
        <v>5</v>
      </c>
      <c r="F125">
        <v>5</v>
      </c>
      <c r="G125">
        <v>5</v>
      </c>
      <c r="H125">
        <v>3</v>
      </c>
      <c r="I125">
        <v>4</v>
      </c>
      <c r="J125">
        <v>4</v>
      </c>
      <c r="K125">
        <v>1</v>
      </c>
      <c r="L125">
        <v>3</v>
      </c>
      <c r="M125">
        <v>3</v>
      </c>
      <c r="N125">
        <v>1</v>
      </c>
      <c r="O125">
        <v>3</v>
      </c>
      <c r="P125">
        <v>1</v>
      </c>
      <c r="Q125">
        <v>3</v>
      </c>
      <c r="R125">
        <v>1</v>
      </c>
      <c r="S125">
        <v>3</v>
      </c>
      <c r="T125">
        <v>2</v>
      </c>
      <c r="W125">
        <v>4</v>
      </c>
      <c r="X125">
        <v>1</v>
      </c>
      <c r="Y125" t="s">
        <v>209</v>
      </c>
    </row>
    <row r="126" spans="1:25">
      <c r="A126" t="s">
        <v>239</v>
      </c>
      <c r="M126">
        <v>1</v>
      </c>
      <c r="N126">
        <v>1</v>
      </c>
      <c r="O126">
        <v>1</v>
      </c>
      <c r="P126">
        <v>1</v>
      </c>
      <c r="Q126">
        <v>1</v>
      </c>
      <c r="R126">
        <v>1</v>
      </c>
      <c r="S126">
        <v>1</v>
      </c>
      <c r="T126">
        <v>1</v>
      </c>
      <c r="W126">
        <v>1</v>
      </c>
      <c r="X126">
        <v>1</v>
      </c>
    </row>
    <row r="127" spans="1:25">
      <c r="A127" t="s">
        <v>141</v>
      </c>
      <c r="E127">
        <v>2</v>
      </c>
      <c r="G127">
        <v>2</v>
      </c>
      <c r="H127">
        <v>2</v>
      </c>
      <c r="I127">
        <v>2</v>
      </c>
      <c r="J127">
        <v>2</v>
      </c>
      <c r="K127">
        <v>2</v>
      </c>
      <c r="Y127" t="s">
        <v>209</v>
      </c>
    </row>
    <row r="128" spans="1:25">
      <c r="A128" t="s">
        <v>49</v>
      </c>
      <c r="F128" t="s">
        <v>176</v>
      </c>
      <c r="I128" t="s">
        <v>176</v>
      </c>
      <c r="J128" t="str">
        <f>IF(Characteristics!$C$135="","",Characteristics!$C$135)</f>
        <v/>
      </c>
      <c r="K128" t="str">
        <f>IF(Characteristics!$D$135="","",Characteristics!$D$135)</f>
        <v/>
      </c>
      <c r="L128" t="s">
        <v>176</v>
      </c>
      <c r="M128" t="str">
        <f>IF(Characteristics!$F$135="","",Characteristics!$F$135)</f>
        <v/>
      </c>
      <c r="N128">
        <v>1</v>
      </c>
      <c r="O128" t="str">
        <f>IF(Characteristics!$H$135="","",Characteristics!$H$135)</f>
        <v/>
      </c>
      <c r="S128">
        <v>1</v>
      </c>
      <c r="Y128" t="s">
        <v>209</v>
      </c>
    </row>
    <row r="129" spans="1:25">
      <c r="A129" t="s">
        <v>189</v>
      </c>
      <c r="E129" t="s">
        <v>193</v>
      </c>
      <c r="F129" t="s">
        <v>196</v>
      </c>
      <c r="G129" t="s">
        <v>192</v>
      </c>
      <c r="H129" t="s">
        <v>193</v>
      </c>
      <c r="I129" t="s">
        <v>196</v>
      </c>
      <c r="J129" t="s">
        <v>192</v>
      </c>
      <c r="K129" t="s">
        <v>192</v>
      </c>
      <c r="L129" t="s">
        <v>193</v>
      </c>
      <c r="M129">
        <v>0</v>
      </c>
      <c r="N129">
        <v>0</v>
      </c>
      <c r="O129">
        <v>0</v>
      </c>
      <c r="P129">
        <v>0</v>
      </c>
      <c r="Q129" t="s">
        <v>193</v>
      </c>
      <c r="R129">
        <v>0</v>
      </c>
      <c r="S129">
        <v>0</v>
      </c>
      <c r="T129">
        <v>0</v>
      </c>
      <c r="W129">
        <v>0</v>
      </c>
      <c r="X129">
        <v>0</v>
      </c>
      <c r="Y129" t="s">
        <v>209</v>
      </c>
    </row>
    <row r="130" spans="1:25">
      <c r="A130" t="s">
        <v>190</v>
      </c>
      <c r="E130" t="s">
        <v>176</v>
      </c>
      <c r="G130" t="s">
        <v>177</v>
      </c>
      <c r="H130" t="s">
        <v>193</v>
      </c>
      <c r="I130" t="s">
        <v>193</v>
      </c>
      <c r="J130" t="s">
        <v>192</v>
      </c>
      <c r="K130" t="s">
        <v>192</v>
      </c>
      <c r="L130" t="str">
        <f>IF(Characteristics!$E$138="","",Characteristics!$E$138)</f>
        <v/>
      </c>
      <c r="N130" t="str">
        <f>IF(Characteristics!$G$138="","",Characteristics!$G$138)</f>
        <v/>
      </c>
      <c r="O130" t="s">
        <v>192</v>
      </c>
      <c r="P130" t="s">
        <v>176</v>
      </c>
      <c r="S130" t="s">
        <v>176</v>
      </c>
      <c r="Y130" t="s">
        <v>209</v>
      </c>
    </row>
    <row r="131" spans="1:25">
      <c r="A131" t="s">
        <v>191</v>
      </c>
      <c r="K131" t="s">
        <v>177</v>
      </c>
      <c r="L131" t="s">
        <v>176</v>
      </c>
      <c r="P131" t="s">
        <v>177</v>
      </c>
      <c r="T131" t="s">
        <v>177</v>
      </c>
      <c r="Y131" t="s">
        <v>209</v>
      </c>
    </row>
    <row r="132" spans="1:25">
      <c r="A132" t="s">
        <v>174</v>
      </c>
      <c r="E132" t="s">
        <v>176</v>
      </c>
      <c r="F132" t="s">
        <v>176</v>
      </c>
      <c r="G132" t="s">
        <v>176</v>
      </c>
      <c r="H132" t="s">
        <v>177</v>
      </c>
      <c r="J132" t="s">
        <v>176</v>
      </c>
      <c r="M132" t="s">
        <v>176</v>
      </c>
      <c r="O132" t="s">
        <v>176</v>
      </c>
      <c r="P132" t="s">
        <v>177</v>
      </c>
      <c r="Q132" t="s">
        <v>177</v>
      </c>
      <c r="R132" t="s">
        <v>177</v>
      </c>
      <c r="S132" t="s">
        <v>177</v>
      </c>
      <c r="T132" t="s">
        <v>176</v>
      </c>
      <c r="W132" t="s">
        <v>177</v>
      </c>
      <c r="X132" t="s">
        <v>176</v>
      </c>
      <c r="Y132" t="s">
        <v>209</v>
      </c>
    </row>
    <row r="133" spans="1:25">
      <c r="A133" t="s">
        <v>182</v>
      </c>
      <c r="F133" t="s">
        <v>177</v>
      </c>
      <c r="G133" t="s">
        <v>176</v>
      </c>
      <c r="H133" t="s">
        <v>177</v>
      </c>
      <c r="J133" t="s">
        <v>176</v>
      </c>
      <c r="O133" t="s">
        <v>176</v>
      </c>
      <c r="P133" t="s">
        <v>176</v>
      </c>
      <c r="T133" t="s">
        <v>176</v>
      </c>
      <c r="Y133" t="s">
        <v>209</v>
      </c>
    </row>
    <row r="134" spans="1:25">
      <c r="A134" t="s">
        <v>175</v>
      </c>
      <c r="F134" t="s">
        <v>177</v>
      </c>
      <c r="G134" t="s">
        <v>176</v>
      </c>
      <c r="H134" t="s">
        <v>177</v>
      </c>
      <c r="J134" t="s">
        <v>177</v>
      </c>
      <c r="O134" t="s">
        <v>176</v>
      </c>
      <c r="P134" t="s">
        <v>176</v>
      </c>
      <c r="T134" t="s">
        <v>176</v>
      </c>
      <c r="Y134" t="s">
        <v>209</v>
      </c>
    </row>
    <row r="135" spans="1:25">
      <c r="A135" t="s">
        <v>187</v>
      </c>
      <c r="G135" t="s">
        <v>188</v>
      </c>
      <c r="I135" t="s">
        <v>188</v>
      </c>
      <c r="J135" t="str">
        <f>IF(Characteristics!$C$139="","",Characteristics!$C$139)</f>
        <v/>
      </c>
      <c r="K135" t="str">
        <f>IF(Characteristics!$D$139="","",Characteristics!$D$139)</f>
        <v/>
      </c>
      <c r="L135" t="str">
        <f>IF(Characteristics!$E$139="","",Characteristics!$E$139)</f>
        <v/>
      </c>
      <c r="M135" t="str">
        <f>IF(Characteristics!$F$139="","",Characteristics!$F$139)</f>
        <v/>
      </c>
      <c r="N135" t="str">
        <f>IF(Characteristics!$G$139="","",Characteristics!$G$139)</f>
        <v/>
      </c>
      <c r="O135" t="str">
        <f>IF(Characteristics!$H$139="","",Characteristics!$H$139)</f>
        <v/>
      </c>
      <c r="P135" t="str">
        <f>IF(Characteristics!$I$139="","",Characteristics!$I$139)</f>
        <v/>
      </c>
      <c r="Y135" t="s">
        <v>209</v>
      </c>
    </row>
    <row r="136" spans="1:25">
      <c r="A136" t="s">
        <v>3</v>
      </c>
      <c r="E136">
        <v>1</v>
      </c>
      <c r="I136" t="str">
        <f>IF(Characteristics!$B$140="","",Characteristics!$B$140)</f>
        <v/>
      </c>
      <c r="J136" t="str">
        <f>IF(Characteristics!$C$140="","",Characteristics!$C$140)</f>
        <v/>
      </c>
      <c r="K136" t="str">
        <f>IF(Characteristics!$D$140="","",Characteristics!$D$140)</f>
        <v/>
      </c>
      <c r="L136" t="str">
        <f>IF(Characteristics!$E$140="","",Characteristics!$E$140)</f>
        <v/>
      </c>
      <c r="M136">
        <v>1</v>
      </c>
      <c r="N136" t="str">
        <f>IF(Characteristics!$G$140="","",Characteristics!$G$140)</f>
        <v/>
      </c>
      <c r="O136" t="str">
        <f>IF(Characteristics!$H$140="","",Characteristics!$H$140)</f>
        <v/>
      </c>
      <c r="P136" t="str">
        <f>IF(Characteristics!$I$140="","",Characteristics!$I$140)</f>
        <v/>
      </c>
      <c r="W136">
        <v>1</v>
      </c>
      <c r="Y136" t="s">
        <v>209</v>
      </c>
    </row>
    <row r="137" spans="1:25">
      <c r="A137" t="s">
        <v>50</v>
      </c>
      <c r="I137" t="str">
        <f>IF(Characteristics!$B$141="","",Characteristics!$B$141)</f>
        <v/>
      </c>
      <c r="J137" t="str">
        <f>IF(Characteristics!$C$141="","",Characteristics!$C$141)</f>
        <v/>
      </c>
      <c r="K137" t="str">
        <f>IF(Characteristics!$D$141="","",Characteristics!$D$141)</f>
        <v/>
      </c>
      <c r="L137" t="str">
        <f>IF(Characteristics!$E$141="","",Characteristics!$E$141)</f>
        <v/>
      </c>
      <c r="M137" t="str">
        <f>IF(Characteristics!$F$141="","",Characteristics!$F$141)</f>
        <v/>
      </c>
      <c r="N137">
        <v>1</v>
      </c>
      <c r="O137" t="str">
        <f>IF(Characteristics!$H$141="","",Characteristics!$H$141)</f>
        <v/>
      </c>
      <c r="P137" t="str">
        <f>IF(Characteristics!$I$141="","",Characteristics!$I$141)</f>
        <v/>
      </c>
      <c r="W137">
        <v>1</v>
      </c>
      <c r="Y137" t="s">
        <v>209</v>
      </c>
    </row>
    <row r="138" spans="1:25">
      <c r="A138" t="s">
        <v>4</v>
      </c>
      <c r="F138">
        <v>1</v>
      </c>
      <c r="H138">
        <v>1</v>
      </c>
      <c r="I138" t="str">
        <f>IF(Characteristics!$B$142="","",Characteristics!$B$142)</f>
        <v/>
      </c>
      <c r="J138" t="str">
        <f>IF(Characteristics!$C$142="","",Characteristics!$C$142)</f>
        <v/>
      </c>
      <c r="K138" t="str">
        <f>IF(Characteristics!$D$142="","",Characteristics!$D$142)</f>
        <v/>
      </c>
      <c r="L138" t="str">
        <f>IF(Characteristics!$E$142="","",Characteristics!$E$142)</f>
        <v/>
      </c>
      <c r="M138">
        <v>1</v>
      </c>
      <c r="N138" t="str">
        <f>IF(Characteristics!$G$142="","",Characteristics!$G$142)</f>
        <v/>
      </c>
      <c r="O138" t="str">
        <f>IF(Characteristics!$H$142="","",Characteristics!$H$142)</f>
        <v/>
      </c>
      <c r="P138" t="str">
        <f>IF(Characteristics!$I$142="","",Characteristics!$I$142)</f>
        <v/>
      </c>
      <c r="Y138" t="s">
        <v>209</v>
      </c>
    </row>
    <row r="139" spans="1:25">
      <c r="A139" t="s">
        <v>248</v>
      </c>
      <c r="I139" t="str">
        <f>IF(Characteristics!$B$143="","",Characteristics!$B$143)</f>
        <v/>
      </c>
      <c r="J139" t="str">
        <f>IF(Characteristics!$C$143="","",Characteristics!$C$143)</f>
        <v/>
      </c>
      <c r="K139" t="str">
        <f>IF(Characteristics!$D$143="","",Characteristics!$D$143)</f>
        <v/>
      </c>
      <c r="L139" t="str">
        <f>IF(Characteristics!$E$143="","",Characteristics!$E$143)</f>
        <v/>
      </c>
      <c r="M139">
        <v>1</v>
      </c>
      <c r="N139" t="str">
        <f>IF(Characteristics!$G$143="","",Characteristics!$G$143)</f>
        <v/>
      </c>
      <c r="O139" t="str">
        <f>IF(Characteristics!$H$143="","",Characteristics!$H$143)</f>
        <v/>
      </c>
      <c r="P139" t="str">
        <f>IF(Characteristics!$I$143="","",Characteristics!$I$143)</f>
        <v/>
      </c>
      <c r="R139">
        <v>1</v>
      </c>
      <c r="Y139" t="s">
        <v>209</v>
      </c>
    </row>
    <row r="140" spans="1:25">
      <c r="A140" t="s">
        <v>249</v>
      </c>
      <c r="I140" t="str">
        <f>IF(Characteristics!$B$144="","",Characteristics!$B$144)</f>
        <v/>
      </c>
      <c r="J140" t="str">
        <f>IF(Characteristics!$C$144="","",Characteristics!$C$144)</f>
        <v/>
      </c>
      <c r="K140" t="str">
        <f>IF(Characteristics!$D$144="","",Characteristics!$D$144)</f>
        <v/>
      </c>
      <c r="L140" t="str">
        <f>IF(Characteristics!$E$144="","",Characteristics!$E$144)</f>
        <v/>
      </c>
      <c r="M140" t="str">
        <f>IF(Characteristics!$F$144="","",Characteristics!$F$144)</f>
        <v/>
      </c>
      <c r="N140">
        <v>1</v>
      </c>
      <c r="O140" t="str">
        <f>IF(Characteristics!$H$144="","",Characteristics!$H$144)</f>
        <v/>
      </c>
      <c r="P140" t="str">
        <f>IF(Characteristics!$I$144="","",Characteristics!$I$144)</f>
        <v/>
      </c>
      <c r="Q140">
        <v>1</v>
      </c>
      <c r="Y140" t="s">
        <v>209</v>
      </c>
    </row>
    <row r="141" spans="1:25">
      <c r="A141" t="s">
        <v>51</v>
      </c>
      <c r="I141" t="str">
        <f>IF(Characteristics!$B$145="","",Characteristics!$B$145)</f>
        <v/>
      </c>
      <c r="J141" t="str">
        <f>IF(Characteristics!$C$145="","",Characteristics!$C$145)</f>
        <v/>
      </c>
      <c r="K141" t="str">
        <f>IF(Characteristics!$D$145="","",Characteristics!$D$145)</f>
        <v/>
      </c>
      <c r="L141" t="str">
        <f>IF(Characteristics!$E$145="","",Characteristics!$E$145)</f>
        <v/>
      </c>
      <c r="M141" t="str">
        <f>IF(Characteristics!$F$145="","",Characteristics!$F$145)</f>
        <v/>
      </c>
      <c r="N141" t="str">
        <f>IF(Characteristics!$G$145="","",Characteristics!$G$145)</f>
        <v/>
      </c>
      <c r="O141" t="str">
        <f>IF(Characteristics!$H$145="","",Characteristics!$H$145)</f>
        <v/>
      </c>
      <c r="P141" t="str">
        <f>IF(Characteristics!$I$145="","",Characteristics!$I$145)</f>
        <v/>
      </c>
      <c r="Y141" t="s">
        <v>209</v>
      </c>
    </row>
    <row r="142" spans="1:25">
      <c r="A142" t="s">
        <v>210</v>
      </c>
      <c r="C142" s="63" t="s">
        <v>177</v>
      </c>
      <c r="D142" s="63" t="s">
        <v>177</v>
      </c>
      <c r="E142" t="s">
        <v>176</v>
      </c>
      <c r="F142" t="s">
        <v>176</v>
      </c>
      <c r="G142" t="s">
        <v>176</v>
      </c>
      <c r="H142" t="s">
        <v>176</v>
      </c>
      <c r="I142" t="s">
        <v>176</v>
      </c>
      <c r="J142" t="str">
        <f>IF(Characteristics!$C$146="","",Characteristics!$C$146)</f>
        <v/>
      </c>
      <c r="K142" t="str">
        <f>IF(Characteristics!$D$146="","",Characteristics!$D$146)</f>
        <v/>
      </c>
      <c r="L142" t="str">
        <f>IF(Characteristics!$E$146="","",Characteristics!$E$146)</f>
        <v/>
      </c>
      <c r="M142" t="str">
        <f>IF(Characteristics!$F$146="","",Characteristics!$F$146)</f>
        <v/>
      </c>
      <c r="N142" t="str">
        <f>IF(Characteristics!$G$146="","",Characteristics!$G$146)</f>
        <v/>
      </c>
      <c r="O142" t="str">
        <f>IF(Characteristics!$H$146="","",Characteristics!$H$146)</f>
        <v/>
      </c>
      <c r="P142" t="str">
        <f>IF(Characteristics!$I$146="","",Characteristics!$I$146)</f>
        <v/>
      </c>
      <c r="Y142" t="s">
        <v>209</v>
      </c>
    </row>
    <row r="143" spans="1:25">
      <c r="A143" t="s">
        <v>194</v>
      </c>
      <c r="I143" t="s">
        <v>176</v>
      </c>
      <c r="J143" t="str">
        <f>IF(Characteristics!$C$147="","",Characteristics!$C$147)</f>
        <v/>
      </c>
      <c r="K143" t="str">
        <f>IF(Characteristics!$D$147="","",Characteristics!$D$147)</f>
        <v/>
      </c>
      <c r="L143" t="str">
        <f>IF(Characteristics!$E$147="","",Characteristics!$E$147)</f>
        <v/>
      </c>
      <c r="M143" t="str">
        <f>IF(Characteristics!$F$147="","",Characteristics!$F$147)</f>
        <v/>
      </c>
      <c r="N143">
        <v>1</v>
      </c>
      <c r="O143">
        <v>1</v>
      </c>
      <c r="P143" t="str">
        <f>IF(Characteristics!$I$147="","",Characteristics!$I$147)</f>
        <v/>
      </c>
      <c r="Q143">
        <v>1</v>
      </c>
      <c r="Y143" t="s">
        <v>209</v>
      </c>
    </row>
    <row r="144" spans="1:25">
      <c r="A144" t="s">
        <v>195</v>
      </c>
      <c r="J144" t="s">
        <v>176</v>
      </c>
      <c r="W144">
        <v>1</v>
      </c>
      <c r="Y144" t="s">
        <v>209</v>
      </c>
    </row>
    <row r="145" spans="1:25">
      <c r="A145" t="s">
        <v>183</v>
      </c>
      <c r="C145" s="63" t="s">
        <v>177</v>
      </c>
      <c r="D145" s="63" t="s">
        <v>176</v>
      </c>
      <c r="E145" t="s">
        <v>177</v>
      </c>
      <c r="F145" t="s">
        <v>176</v>
      </c>
      <c r="H145" t="s">
        <v>177</v>
      </c>
      <c r="P145" t="s">
        <v>177</v>
      </c>
      <c r="X145" t="s">
        <v>176</v>
      </c>
      <c r="Y145" t="s">
        <v>209</v>
      </c>
    </row>
    <row r="146" spans="1:25">
      <c r="A146" t="s">
        <v>166</v>
      </c>
      <c r="C146" s="63" t="s">
        <v>177</v>
      </c>
      <c r="D146" s="63" t="s">
        <v>177</v>
      </c>
      <c r="E146" t="s">
        <v>179</v>
      </c>
      <c r="I146" t="s">
        <v>264</v>
      </c>
      <c r="J146" t="s">
        <v>264</v>
      </c>
      <c r="Y146" t="s">
        <v>209</v>
      </c>
    </row>
    <row r="147" spans="1:25">
      <c r="A147" t="s">
        <v>140</v>
      </c>
      <c r="C147" s="63" t="s">
        <v>177</v>
      </c>
      <c r="D147" s="63" t="s">
        <v>176</v>
      </c>
      <c r="M147">
        <v>1</v>
      </c>
      <c r="N147">
        <v>1</v>
      </c>
      <c r="O147">
        <v>1</v>
      </c>
      <c r="P147">
        <v>0</v>
      </c>
      <c r="Q147">
        <v>1</v>
      </c>
      <c r="R147">
        <v>1</v>
      </c>
      <c r="S147">
        <v>1</v>
      </c>
      <c r="W147">
        <v>1</v>
      </c>
      <c r="Y147" t="s">
        <v>209</v>
      </c>
    </row>
    <row r="148" spans="1:25">
      <c r="A148" t="s">
        <v>142</v>
      </c>
      <c r="E148">
        <v>1</v>
      </c>
      <c r="F148">
        <v>1</v>
      </c>
      <c r="M148">
        <v>1</v>
      </c>
      <c r="Q148">
        <v>1</v>
      </c>
      <c r="R148">
        <v>1</v>
      </c>
      <c r="X148">
        <v>1</v>
      </c>
      <c r="Y148" t="s">
        <v>209</v>
      </c>
    </row>
    <row r="149" spans="1:25">
      <c r="A149" t="s">
        <v>18</v>
      </c>
    </row>
    <row r="150" spans="1:25" ht="15.75" thickBot="1">
      <c r="Y150" t="s">
        <v>209</v>
      </c>
    </row>
    <row r="151" spans="1:25">
      <c r="A151" s="45" t="s">
        <v>171</v>
      </c>
      <c r="B151" s="46">
        <v>10000</v>
      </c>
      <c r="C151" s="46">
        <v>13024</v>
      </c>
      <c r="Y151" t="s">
        <v>209</v>
      </c>
    </row>
    <row r="152" spans="1:25">
      <c r="A152" s="47"/>
      <c r="B152" s="48"/>
      <c r="Y152" t="s">
        <v>209</v>
      </c>
    </row>
    <row r="153" spans="1:25">
      <c r="A153" s="47" t="s">
        <v>170</v>
      </c>
      <c r="B153" s="48">
        <f>B151</f>
        <v>10000</v>
      </c>
      <c r="Y153" t="s">
        <v>209</v>
      </c>
    </row>
    <row r="154" spans="1:25">
      <c r="A154" s="47" t="s">
        <v>169</v>
      </c>
      <c r="B154" s="48">
        <f>1000*TRUNC(B155/3000)</f>
        <v>33000</v>
      </c>
      <c r="Y154" t="s">
        <v>209</v>
      </c>
    </row>
    <row r="155" spans="1:25">
      <c r="A155" s="47" t="s">
        <v>168</v>
      </c>
      <c r="B155" s="48">
        <f>10000*TRUNC(B153/1000)</f>
        <v>100000</v>
      </c>
      <c r="Y155" t="s">
        <v>209</v>
      </c>
    </row>
    <row r="156" spans="1:25">
      <c r="A156" s="47"/>
      <c r="B156" s="48"/>
      <c r="Y156" t="s">
        <v>209</v>
      </c>
    </row>
    <row r="157" spans="1:25">
      <c r="A157" s="47" t="s">
        <v>160</v>
      </c>
      <c r="B157" s="48">
        <v>0.22</v>
      </c>
      <c r="Y157" t="s">
        <v>209</v>
      </c>
    </row>
    <row r="158" spans="1:25">
      <c r="A158" s="47" t="s">
        <v>159</v>
      </c>
      <c r="B158" s="48">
        <v>0.35</v>
      </c>
      <c r="Y158" t="s">
        <v>209</v>
      </c>
    </row>
    <row r="159" spans="1:25">
      <c r="A159" s="47" t="s">
        <v>161</v>
      </c>
      <c r="B159" s="48">
        <v>0.125</v>
      </c>
      <c r="Y159" t="s">
        <v>209</v>
      </c>
    </row>
    <row r="160" spans="1:25">
      <c r="A160" s="47"/>
      <c r="B160" s="48"/>
      <c r="Y160" t="s">
        <v>209</v>
      </c>
    </row>
    <row r="161" spans="1:25">
      <c r="A161" s="47" t="s">
        <v>162</v>
      </c>
      <c r="B161" s="48">
        <v>30</v>
      </c>
      <c r="Y161" t="s">
        <v>209</v>
      </c>
    </row>
    <row r="162" spans="1:25">
      <c r="A162" s="47" t="s">
        <v>163</v>
      </c>
      <c r="B162" s="48">
        <v>75</v>
      </c>
      <c r="Y162" t="s">
        <v>209</v>
      </c>
    </row>
    <row r="163" spans="1:25">
      <c r="A163" s="47" t="s">
        <v>164</v>
      </c>
      <c r="B163" s="48">
        <v>10</v>
      </c>
      <c r="Y163" t="s">
        <v>209</v>
      </c>
    </row>
    <row r="164" spans="1:25">
      <c r="A164" s="47" t="s">
        <v>211</v>
      </c>
      <c r="B164" s="48">
        <v>10</v>
      </c>
    </row>
    <row r="165" spans="1:25">
      <c r="A165" s="47" t="s">
        <v>212</v>
      </c>
      <c r="B165" s="48">
        <v>75</v>
      </c>
    </row>
    <row r="166" spans="1:25">
      <c r="A166" s="47"/>
      <c r="B166" s="48"/>
      <c r="Y166" t="s">
        <v>209</v>
      </c>
    </row>
    <row r="167" spans="1:25">
      <c r="A167" s="47" t="s">
        <v>165</v>
      </c>
      <c r="B167" s="48">
        <f>B151</f>
        <v>10000</v>
      </c>
      <c r="Y167" t="s">
        <v>209</v>
      </c>
    </row>
    <row r="168" spans="1:25">
      <c r="A168" s="47"/>
      <c r="B168" s="48"/>
    </row>
    <row r="169" spans="1:25">
      <c r="A169" s="47" t="s">
        <v>213</v>
      </c>
      <c r="B169" s="52">
        <v>0.05</v>
      </c>
    </row>
    <row r="170" spans="1:25">
      <c r="A170" s="47" t="s">
        <v>214</v>
      </c>
      <c r="B170" s="51">
        <v>5.0000000000000001E-3</v>
      </c>
    </row>
    <row r="171" spans="1:25">
      <c r="A171" s="47"/>
      <c r="B171" s="48"/>
      <c r="Y171" t="s">
        <v>209</v>
      </c>
    </row>
    <row r="172" spans="1:25">
      <c r="A172" s="47" t="s">
        <v>172</v>
      </c>
      <c r="B172" s="48">
        <v>0.1</v>
      </c>
      <c r="Y172" t="s">
        <v>209</v>
      </c>
    </row>
    <row r="173" spans="1:25">
      <c r="A173" s="47" t="s">
        <v>173</v>
      </c>
      <c r="B173" s="48">
        <v>2.5</v>
      </c>
      <c r="Y173" t="s">
        <v>209</v>
      </c>
    </row>
    <row r="174" spans="1:25">
      <c r="A174" s="47"/>
      <c r="B174" s="48"/>
      <c r="Y174" t="s">
        <v>209</v>
      </c>
    </row>
    <row r="175" spans="1:25">
      <c r="A175" s="47" t="s">
        <v>180</v>
      </c>
      <c r="B175" s="48">
        <v>0.01</v>
      </c>
    </row>
    <row r="176" spans="1:25">
      <c r="A176" s="47" t="s">
        <v>167</v>
      </c>
      <c r="B176" s="48">
        <v>0.05</v>
      </c>
    </row>
    <row r="177" spans="1:25" ht="15.75" thickBot="1">
      <c r="A177" s="49" t="s">
        <v>181</v>
      </c>
      <c r="B177" s="50">
        <v>0.1</v>
      </c>
    </row>
    <row r="179" spans="1:25">
      <c r="A179" t="s">
        <v>184</v>
      </c>
      <c r="B179">
        <v>0.1</v>
      </c>
    </row>
    <row r="180" spans="1:25">
      <c r="A180" t="s">
        <v>185</v>
      </c>
      <c r="B180">
        <v>0.25</v>
      </c>
    </row>
    <row r="181" spans="1:25">
      <c r="A181" t="s">
        <v>186</v>
      </c>
      <c r="B181">
        <v>0.03</v>
      </c>
    </row>
    <row r="183" spans="1:25">
      <c r="A183" t="s">
        <v>197</v>
      </c>
      <c r="B183">
        <v>0.06</v>
      </c>
    </row>
    <row r="184" spans="1:25">
      <c r="A184" t="s">
        <v>198</v>
      </c>
      <c r="B184">
        <v>0.02</v>
      </c>
    </row>
    <row r="185" spans="1:25">
      <c r="A185" t="s">
        <v>199</v>
      </c>
      <c r="B185">
        <v>0.11</v>
      </c>
    </row>
    <row r="187" spans="1:25">
      <c r="A187" t="s">
        <v>232</v>
      </c>
      <c r="B187">
        <v>0.03</v>
      </c>
    </row>
    <row r="189" spans="1:25">
      <c r="A189" t="s">
        <v>312</v>
      </c>
    </row>
    <row r="190" spans="1:25">
      <c r="A190" t="s">
        <v>128</v>
      </c>
      <c r="C190" s="63" t="s">
        <v>41</v>
      </c>
      <c r="D190" s="63" t="s">
        <v>47</v>
      </c>
      <c r="E190" t="s">
        <v>43</v>
      </c>
      <c r="F190" t="s">
        <v>44</v>
      </c>
      <c r="G190" t="s">
        <v>158</v>
      </c>
      <c r="H190" t="s">
        <v>39</v>
      </c>
      <c r="I190" t="s">
        <v>39</v>
      </c>
      <c r="J190" t="s">
        <v>40</v>
      </c>
      <c r="K190" t="s">
        <v>41</v>
      </c>
      <c r="L190" t="s">
        <v>42</v>
      </c>
      <c r="M190" t="s">
        <v>39</v>
      </c>
      <c r="N190" t="s">
        <v>43</v>
      </c>
      <c r="O190" t="s">
        <v>44</v>
      </c>
      <c r="P190" t="s">
        <v>45</v>
      </c>
      <c r="Q190" t="s">
        <v>43</v>
      </c>
      <c r="R190" t="s">
        <v>44</v>
      </c>
      <c r="S190" t="s">
        <v>46</v>
      </c>
      <c r="T190" t="s">
        <v>47</v>
      </c>
      <c r="W190" t="s">
        <v>46</v>
      </c>
      <c r="X190" t="s">
        <v>48</v>
      </c>
      <c r="Y190" t="s">
        <v>209</v>
      </c>
    </row>
    <row r="191" spans="1:25">
      <c r="C191" s="63">
        <f t="shared" ref="C191:X191" si="49">CODE(C190)-64</f>
        <v>19</v>
      </c>
      <c r="D191" s="63">
        <f t="shared" si="49"/>
        <v>5</v>
      </c>
      <c r="E191">
        <f t="shared" si="49"/>
        <v>1</v>
      </c>
      <c r="F191">
        <f t="shared" si="49"/>
        <v>18</v>
      </c>
      <c r="G191">
        <f t="shared" si="49"/>
        <v>3</v>
      </c>
      <c r="H191">
        <f t="shared" si="49"/>
        <v>8</v>
      </c>
      <c r="I191">
        <f t="shared" si="49"/>
        <v>8</v>
      </c>
      <c r="J191">
        <f t="shared" si="49"/>
        <v>2</v>
      </c>
      <c r="K191">
        <f t="shared" si="49"/>
        <v>19</v>
      </c>
      <c r="L191">
        <f t="shared" si="49"/>
        <v>16</v>
      </c>
      <c r="M191">
        <f t="shared" si="49"/>
        <v>8</v>
      </c>
      <c r="N191">
        <f t="shared" si="49"/>
        <v>1</v>
      </c>
      <c r="O191">
        <f t="shared" si="49"/>
        <v>18</v>
      </c>
      <c r="P191">
        <f t="shared" si="49"/>
        <v>22</v>
      </c>
      <c r="Q191">
        <f t="shared" si="49"/>
        <v>1</v>
      </c>
      <c r="R191">
        <f t="shared" si="49"/>
        <v>18</v>
      </c>
      <c r="S191">
        <f t="shared" si="49"/>
        <v>4</v>
      </c>
      <c r="T191">
        <f t="shared" si="49"/>
        <v>5</v>
      </c>
      <c r="W191">
        <f t="shared" si="49"/>
        <v>4</v>
      </c>
      <c r="X191">
        <f t="shared" si="49"/>
        <v>21</v>
      </c>
      <c r="Y191" t="s">
        <v>209</v>
      </c>
    </row>
    <row r="192" spans="1:25">
      <c r="A192" t="s">
        <v>200</v>
      </c>
      <c r="C192" s="63" t="s">
        <v>201</v>
      </c>
      <c r="D192" s="63" t="s">
        <v>43</v>
      </c>
      <c r="E192" t="s">
        <v>202</v>
      </c>
      <c r="F192" t="s">
        <v>47</v>
      </c>
      <c r="G192" t="s">
        <v>41</v>
      </c>
      <c r="H192" t="s">
        <v>203</v>
      </c>
      <c r="I192" t="s">
        <v>204</v>
      </c>
      <c r="J192" t="s">
        <v>44</v>
      </c>
      <c r="K192" t="s">
        <v>205</v>
      </c>
      <c r="L192" t="s">
        <v>43</v>
      </c>
      <c r="M192" t="s">
        <v>44</v>
      </c>
      <c r="N192" t="s">
        <v>47</v>
      </c>
      <c r="O192" t="s">
        <v>46</v>
      </c>
      <c r="P192" t="s">
        <v>39</v>
      </c>
      <c r="Q192" t="s">
        <v>47</v>
      </c>
      <c r="R192" t="s">
        <v>44</v>
      </c>
      <c r="S192" t="s">
        <v>44</v>
      </c>
      <c r="T192" t="s">
        <v>206</v>
      </c>
      <c r="W192" t="s">
        <v>207</v>
      </c>
      <c r="X192" t="s">
        <v>208</v>
      </c>
      <c r="Y192" t="s">
        <v>209</v>
      </c>
    </row>
    <row r="193" spans="1:25">
      <c r="C193" s="63">
        <f t="shared" ref="C193:X193" si="50">CODE(C192)-64</f>
        <v>20</v>
      </c>
      <c r="D193" s="63">
        <f t="shared" si="50"/>
        <v>1</v>
      </c>
      <c r="E193">
        <f t="shared" si="50"/>
        <v>24</v>
      </c>
      <c r="F193">
        <f t="shared" si="50"/>
        <v>5</v>
      </c>
      <c r="G193">
        <f t="shared" si="50"/>
        <v>19</v>
      </c>
      <c r="H193">
        <f t="shared" si="50"/>
        <v>6</v>
      </c>
      <c r="I193">
        <f t="shared" si="50"/>
        <v>15</v>
      </c>
      <c r="J193">
        <f t="shared" si="50"/>
        <v>18</v>
      </c>
      <c r="K193">
        <f t="shared" si="50"/>
        <v>13</v>
      </c>
      <c r="L193">
        <f t="shared" si="50"/>
        <v>1</v>
      </c>
      <c r="M193">
        <f t="shared" si="50"/>
        <v>18</v>
      </c>
      <c r="N193">
        <f t="shared" si="50"/>
        <v>5</v>
      </c>
      <c r="O193">
        <f t="shared" si="50"/>
        <v>4</v>
      </c>
      <c r="P193">
        <f t="shared" si="50"/>
        <v>8</v>
      </c>
      <c r="Q193">
        <f t="shared" si="50"/>
        <v>5</v>
      </c>
      <c r="R193">
        <f t="shared" si="50"/>
        <v>18</v>
      </c>
      <c r="S193">
        <f t="shared" si="50"/>
        <v>18</v>
      </c>
      <c r="T193">
        <f t="shared" si="50"/>
        <v>9</v>
      </c>
      <c r="W193">
        <f t="shared" si="50"/>
        <v>14</v>
      </c>
      <c r="X193">
        <f t="shared" si="50"/>
        <v>7</v>
      </c>
      <c r="Y193" t="s">
        <v>209</v>
      </c>
    </row>
    <row r="194" spans="1:25" s="1" customFormat="1">
      <c r="A194" s="1" t="s">
        <v>129</v>
      </c>
      <c r="C194" s="68">
        <v>1</v>
      </c>
      <c r="D194" s="68">
        <v>2</v>
      </c>
      <c r="E194" s="1">
        <v>3</v>
      </c>
      <c r="F194" s="1">
        <v>4</v>
      </c>
      <c r="G194" s="1">
        <v>5</v>
      </c>
      <c r="H194" s="1">
        <v>6</v>
      </c>
      <c r="I194" s="1">
        <v>7</v>
      </c>
      <c r="J194" s="1">
        <v>8</v>
      </c>
      <c r="K194" s="1">
        <v>9</v>
      </c>
      <c r="L194" s="1">
        <v>10</v>
      </c>
      <c r="M194" s="1">
        <v>11</v>
      </c>
      <c r="N194" s="1">
        <v>12</v>
      </c>
      <c r="O194" s="1">
        <v>13</v>
      </c>
      <c r="P194" s="1">
        <v>14</v>
      </c>
      <c r="Q194" s="1">
        <f>P194+1</f>
        <v>15</v>
      </c>
      <c r="R194" s="1">
        <f t="shared" ref="R194" si="51">Q194+1</f>
        <v>16</v>
      </c>
      <c r="S194" s="1">
        <f t="shared" ref="S194" si="52">R194+1</f>
        <v>17</v>
      </c>
      <c r="T194" s="1">
        <f t="shared" ref="T194" si="53">S194+1</f>
        <v>18</v>
      </c>
      <c r="W194" s="1">
        <f t="shared" ref="W194" si="54">T194+1</f>
        <v>19</v>
      </c>
      <c r="X194" s="1">
        <f t="shared" ref="X194" si="55">W194+1</f>
        <v>20</v>
      </c>
      <c r="Y194" s="1" t="s">
        <v>209</v>
      </c>
    </row>
  </sheetData>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dimension ref="A1:AR119"/>
  <sheetViews>
    <sheetView tabSelected="1" zoomScale="70" zoomScaleNormal="70" workbookViewId="0">
      <pane xSplit="1" topLeftCell="AD1" activePane="topRight" state="frozen"/>
      <selection pane="topRight" activeCell="AM1" sqref="AM1"/>
    </sheetView>
  </sheetViews>
  <sheetFormatPr defaultRowHeight="15"/>
  <cols>
    <col min="1" max="1" width="40.5703125" customWidth="1"/>
    <col min="4" max="4" width="38.28515625" customWidth="1"/>
    <col min="6" max="6" width="13.140625" customWidth="1"/>
    <col min="8" max="8" width="9.28515625" customWidth="1"/>
    <col min="10" max="10" width="16" customWidth="1"/>
    <col min="12" max="12" width="16.140625" customWidth="1"/>
    <col min="14" max="14" width="16.140625" customWidth="1"/>
    <col min="16" max="16" width="15.42578125" customWidth="1"/>
    <col min="18" max="18" width="18.28515625" customWidth="1"/>
    <col min="26" max="26" width="27" customWidth="1"/>
    <col min="32" max="32" width="17.140625" customWidth="1"/>
    <col min="40" max="40" width="18.42578125" customWidth="1"/>
  </cols>
  <sheetData>
    <row r="1" spans="1:42">
      <c r="A1" t="str">
        <f>Master!A1</f>
        <v>Statement of Operations</v>
      </c>
      <c r="B1" t="str">
        <f>Master!B1</f>
        <v>0m</v>
      </c>
      <c r="C1">
        <f>Master!C1</f>
        <v>1</v>
      </c>
      <c r="E1">
        <f>Master!D1</f>
        <v>2</v>
      </c>
      <c r="G1">
        <f>Master!E1</f>
        <v>3</v>
      </c>
      <c r="I1">
        <f>Master!F1</f>
        <v>4</v>
      </c>
      <c r="K1">
        <f>Master!G1</f>
        <v>5</v>
      </c>
      <c r="M1">
        <f>Master!H1</f>
        <v>6</v>
      </c>
      <c r="O1">
        <f>Master!I1</f>
        <v>7</v>
      </c>
      <c r="Q1">
        <f>Master!J1</f>
        <v>8</v>
      </c>
      <c r="S1">
        <f>Master!K1</f>
        <v>9</v>
      </c>
      <c r="U1">
        <f>Master!L1</f>
        <v>10</v>
      </c>
      <c r="W1">
        <f>Master!M1</f>
        <v>11</v>
      </c>
      <c r="Y1">
        <f>Master!N1</f>
        <v>12</v>
      </c>
      <c r="AA1">
        <f>Master!O1</f>
        <v>13</v>
      </c>
      <c r="AC1">
        <f>Master!P1</f>
        <v>14</v>
      </c>
      <c r="AE1">
        <f>Master!Q1</f>
        <v>15</v>
      </c>
      <c r="AG1">
        <f>Master!R1</f>
        <v>16</v>
      </c>
      <c r="AI1">
        <f>Master!S1</f>
        <v>17</v>
      </c>
      <c r="AK1">
        <f>Master!T1</f>
        <v>18</v>
      </c>
      <c r="AM1">
        <f>Master!W1</f>
        <v>19</v>
      </c>
      <c r="AO1">
        <f>Master!X1</f>
        <v>20</v>
      </c>
    </row>
    <row r="2" spans="1:42">
      <c r="A2">
        <f>Master!A2</f>
        <v>0</v>
      </c>
      <c r="B2">
        <f>Master!B2</f>
        <v>0</v>
      </c>
      <c r="C2">
        <f>Master!C2</f>
        <v>0</v>
      </c>
      <c r="E2">
        <f>Master!D2</f>
        <v>0</v>
      </c>
      <c r="G2">
        <f>Master!E2</f>
        <v>0</v>
      </c>
      <c r="I2">
        <f>Master!F2</f>
        <v>0</v>
      </c>
      <c r="K2">
        <f>Master!G2</f>
        <v>0</v>
      </c>
      <c r="M2">
        <f>Master!H2</f>
        <v>0</v>
      </c>
      <c r="O2">
        <f>Master!I2</f>
        <v>0</v>
      </c>
      <c r="Q2">
        <f>Master!J2</f>
        <v>0</v>
      </c>
      <c r="S2">
        <f>Master!K2</f>
        <v>0</v>
      </c>
      <c r="U2">
        <f>Master!L2</f>
        <v>0</v>
      </c>
      <c r="W2">
        <f>Master!M2</f>
        <v>0</v>
      </c>
      <c r="Y2">
        <f>Master!N2</f>
        <v>0</v>
      </c>
      <c r="AA2">
        <f>Master!O2</f>
        <v>0</v>
      </c>
      <c r="AC2">
        <f>Master!P2</f>
        <v>0</v>
      </c>
      <c r="AE2">
        <f>Master!Q2</f>
        <v>0</v>
      </c>
      <c r="AG2">
        <f>Master!R2</f>
        <v>0</v>
      </c>
      <c r="AI2">
        <f>Master!S2</f>
        <v>0</v>
      </c>
      <c r="AK2">
        <f>Master!T2</f>
        <v>0</v>
      </c>
      <c r="AM2">
        <f>Master!W2</f>
        <v>0</v>
      </c>
      <c r="AO2">
        <f>Master!X2</f>
        <v>0</v>
      </c>
    </row>
    <row r="3" spans="1:42">
      <c r="A3" t="str">
        <f>Master!A3</f>
        <v>Revenue</v>
      </c>
      <c r="B3" t="str">
        <f>Master!B3</f>
        <v>0u</v>
      </c>
      <c r="C3">
        <f>Master!C3</f>
        <v>0</v>
      </c>
      <c r="E3">
        <f>Master!D3</f>
        <v>0</v>
      </c>
      <c r="G3">
        <f>Master!E3</f>
        <v>0</v>
      </c>
      <c r="I3">
        <f>Master!F3</f>
        <v>0</v>
      </c>
      <c r="K3">
        <f>Master!G3</f>
        <v>0</v>
      </c>
      <c r="M3">
        <f>Master!H3</f>
        <v>0</v>
      </c>
      <c r="O3">
        <f>Master!I3</f>
        <v>0</v>
      </c>
      <c r="Q3">
        <f>Master!J3</f>
        <v>0</v>
      </c>
      <c r="S3">
        <f>Master!K3</f>
        <v>0</v>
      </c>
      <c r="U3">
        <f>Master!L3</f>
        <v>0</v>
      </c>
      <c r="W3">
        <f>Master!M3</f>
        <v>0</v>
      </c>
      <c r="Y3">
        <f>Master!N3</f>
        <v>0</v>
      </c>
      <c r="AA3">
        <f>Master!O3</f>
        <v>0</v>
      </c>
      <c r="AC3">
        <f>Master!P3</f>
        <v>0</v>
      </c>
      <c r="AE3">
        <f>Master!Q3</f>
        <v>0</v>
      </c>
      <c r="AG3">
        <f>Master!R3</f>
        <v>0</v>
      </c>
      <c r="AI3">
        <f>Master!S3</f>
        <v>0</v>
      </c>
      <c r="AK3">
        <f>Master!T3</f>
        <v>0</v>
      </c>
      <c r="AM3">
        <f>Master!W3</f>
        <v>0</v>
      </c>
      <c r="AO3">
        <f>Master!X3</f>
        <v>0</v>
      </c>
    </row>
    <row r="4" spans="1:42">
      <c r="A4" t="str">
        <f>Master!A4</f>
        <v>Revenue from operating activities</v>
      </c>
      <c r="B4">
        <f>Master!B4</f>
        <v>1</v>
      </c>
      <c r="C4">
        <f>Master!C4</f>
        <v>0</v>
      </c>
      <c r="E4">
        <f>Master!D4</f>
        <v>0</v>
      </c>
      <c r="G4">
        <f>Master!E4</f>
        <v>0</v>
      </c>
      <c r="I4">
        <f>Master!F4</f>
        <v>0</v>
      </c>
      <c r="K4">
        <f>Master!G4</f>
        <v>0</v>
      </c>
      <c r="M4">
        <f>Master!H4</f>
        <v>0</v>
      </c>
      <c r="O4">
        <f>Master!I4</f>
        <v>0</v>
      </c>
      <c r="Q4">
        <f>Master!J4</f>
        <v>0</v>
      </c>
      <c r="S4">
        <f>Master!K4</f>
        <v>0</v>
      </c>
      <c r="U4">
        <f>Master!L4</f>
        <v>0</v>
      </c>
      <c r="W4">
        <f>Master!M4</f>
        <v>0</v>
      </c>
      <c r="Y4">
        <f>Master!N4</f>
        <v>0</v>
      </c>
      <c r="AA4">
        <f>Master!O4</f>
        <v>0</v>
      </c>
      <c r="AC4">
        <f>Master!P4</f>
        <v>0</v>
      </c>
      <c r="AE4">
        <f>Master!Q4</f>
        <v>0</v>
      </c>
      <c r="AG4">
        <f>Master!R4</f>
        <v>0</v>
      </c>
      <c r="AI4">
        <f>Master!S4</f>
        <v>0</v>
      </c>
      <c r="AK4">
        <f>Master!T4</f>
        <v>0</v>
      </c>
      <c r="AM4">
        <f>Master!W4</f>
        <v>0</v>
      </c>
      <c r="AO4">
        <f>Master!X4</f>
        <v>0</v>
      </c>
    </row>
    <row r="5" spans="1:42">
      <c r="A5" t="str">
        <f>Master!A5</f>
        <v>Revenue from interest</v>
      </c>
      <c r="B5">
        <f>Master!B5</f>
        <v>1</v>
      </c>
      <c r="C5">
        <f>Master!C5</f>
        <v>24654</v>
      </c>
      <c r="D5" t="str">
        <f>"Lower interest rate: "&amp;LEFT(TEXT(C5/SUM(C87:C89),"0%"),LEN(TEXT(C5/SUM(C87:C89),"0%"))-1)&amp;"\%"</f>
        <v>Lower interest rate: 6\%</v>
      </c>
      <c r="E5">
        <f>Master!D5</f>
        <v>5588</v>
      </c>
      <c r="F5" t="str">
        <f>"Higher interest rate: "&amp;LEFT(TEXT(E5/SUM(E87:E89),"0%"),LEN(TEXT(E5/SUM(E87:E89),"0%"))-1)&amp;"\%"</f>
        <v>Higher interest rate: 11\%</v>
      </c>
      <c r="G5">
        <f>Master!E5</f>
        <v>0</v>
      </c>
      <c r="I5">
        <f>Master!F5</f>
        <v>0</v>
      </c>
      <c r="K5">
        <f>Master!G5</f>
        <v>0</v>
      </c>
      <c r="M5">
        <f>Master!H5</f>
        <v>0</v>
      </c>
      <c r="O5">
        <f>Master!I5</f>
        <v>0</v>
      </c>
      <c r="Q5">
        <f>Master!J5</f>
        <v>0</v>
      </c>
      <c r="S5">
        <f>Master!K5</f>
        <v>0</v>
      </c>
      <c r="U5">
        <f>Master!L5</f>
        <v>0</v>
      </c>
      <c r="W5">
        <f>Master!M5</f>
        <v>0</v>
      </c>
      <c r="Y5">
        <f>Master!N5</f>
        <v>0</v>
      </c>
      <c r="AA5">
        <f>Master!O5</f>
        <v>0</v>
      </c>
      <c r="AC5">
        <f>Master!P5</f>
        <v>0</v>
      </c>
      <c r="AE5">
        <f>Master!Q5</f>
        <v>0</v>
      </c>
      <c r="AG5">
        <f>Master!R5</f>
        <v>0</v>
      </c>
      <c r="AI5">
        <f>Master!S5</f>
        <v>0</v>
      </c>
      <c r="AK5">
        <f>Master!T5</f>
        <v>0</v>
      </c>
      <c r="AM5">
        <f>Master!W5</f>
        <v>0</v>
      </c>
      <c r="AO5">
        <f>Master!X5</f>
        <v>0</v>
      </c>
    </row>
    <row r="6" spans="1:42">
      <c r="A6" t="str">
        <f>Master!A6</f>
        <v>\mybox{Revenue from fees}</v>
      </c>
      <c r="B6">
        <f>Master!B6</f>
        <v>1</v>
      </c>
      <c r="C6">
        <f>Master!C6</f>
        <v>34689</v>
      </c>
      <c r="D6" t="s">
        <v>246</v>
      </c>
      <c r="E6">
        <f>Master!D6</f>
        <v>0</v>
      </c>
      <c r="G6">
        <f>Master!E6</f>
        <v>0</v>
      </c>
      <c r="I6">
        <f>Master!F6</f>
        <v>0</v>
      </c>
      <c r="K6">
        <f>Master!G6</f>
        <v>0</v>
      </c>
      <c r="M6">
        <f>Master!H6</f>
        <v>0</v>
      </c>
      <c r="O6">
        <f>Master!I6</f>
        <v>0</v>
      </c>
      <c r="Q6">
        <f>Master!J6</f>
        <v>0</v>
      </c>
      <c r="S6">
        <f>Master!K6</f>
        <v>0</v>
      </c>
      <c r="U6">
        <f>Master!L6</f>
        <v>0</v>
      </c>
      <c r="W6">
        <f>Master!M6</f>
        <v>0</v>
      </c>
      <c r="Y6">
        <f>Master!N6</f>
        <v>0</v>
      </c>
      <c r="AA6">
        <f>Master!O6</f>
        <v>0</v>
      </c>
      <c r="AC6">
        <f>Master!P6</f>
        <v>0</v>
      </c>
      <c r="AE6">
        <f>Master!Q6</f>
        <v>0</v>
      </c>
      <c r="AG6">
        <f>Master!R6</f>
        <v>0</v>
      </c>
      <c r="AI6">
        <f>Master!S6</f>
        <v>0</v>
      </c>
      <c r="AK6">
        <f>Master!T6</f>
        <v>0</v>
      </c>
      <c r="AM6">
        <f>Master!W6</f>
        <v>0</v>
      </c>
      <c r="AO6">
        <f>Master!X6</f>
        <v>0</v>
      </c>
    </row>
    <row r="7" spans="1:42">
      <c r="A7" t="str">
        <f>Master!A7</f>
        <v>Other revenue</v>
      </c>
      <c r="B7">
        <f>Master!B7</f>
        <v>1</v>
      </c>
      <c r="C7">
        <f>Master!C7</f>
        <v>0</v>
      </c>
      <c r="E7">
        <f>Master!D7</f>
        <v>40000</v>
      </c>
      <c r="G7">
        <f>Master!E7</f>
        <v>0</v>
      </c>
      <c r="I7">
        <f>Master!F7</f>
        <v>0</v>
      </c>
      <c r="K7">
        <f>Master!G7</f>
        <v>0</v>
      </c>
      <c r="M7">
        <f>Master!H7</f>
        <v>0</v>
      </c>
      <c r="O7">
        <f>Master!I7</f>
        <v>0</v>
      </c>
      <c r="Q7">
        <f>Master!J7</f>
        <v>0</v>
      </c>
      <c r="S7">
        <f>Master!K7</f>
        <v>0</v>
      </c>
      <c r="U7">
        <f>Master!L7</f>
        <v>0</v>
      </c>
      <c r="W7">
        <f>Master!M7</f>
        <v>0</v>
      </c>
      <c r="Y7">
        <f>Master!N7</f>
        <v>0</v>
      </c>
      <c r="AA7">
        <f>Master!O7</f>
        <v>0</v>
      </c>
      <c r="AC7">
        <f>Master!P7</f>
        <v>0</v>
      </c>
      <c r="AE7">
        <f>Master!Q7</f>
        <v>0</v>
      </c>
      <c r="AG7">
        <f>Master!R7</f>
        <v>0</v>
      </c>
      <c r="AI7">
        <f>Master!S7</f>
        <v>0</v>
      </c>
      <c r="AK7">
        <f>Master!T7</f>
        <v>0</v>
      </c>
      <c r="AM7">
        <f>Master!W7</f>
        <v>0</v>
      </c>
      <c r="AO7">
        <f>Master!X7</f>
        <v>0</v>
      </c>
    </row>
    <row r="8" spans="1:42">
      <c r="A8" t="str">
        <f>Master!A8</f>
        <v>Total revenue</v>
      </c>
      <c r="B8" t="str">
        <f>Master!B8</f>
        <v>0s</v>
      </c>
      <c r="C8">
        <f>Master!C8</f>
        <v>59343</v>
      </c>
      <c r="E8">
        <f>Master!D8</f>
        <v>45588</v>
      </c>
      <c r="G8">
        <f>Master!E8</f>
        <v>50000</v>
      </c>
      <c r="I8">
        <f>Master!F8</f>
        <v>50000</v>
      </c>
      <c r="K8">
        <f>Master!G8</f>
        <v>50000</v>
      </c>
      <c r="M8">
        <f>Master!H8</f>
        <v>30000</v>
      </c>
      <c r="O8">
        <f>Master!I8</f>
        <v>40000</v>
      </c>
      <c r="Q8">
        <f>Master!J8</f>
        <v>40000</v>
      </c>
      <c r="S8">
        <f>Master!K8</f>
        <v>10000</v>
      </c>
      <c r="U8">
        <f>Master!L8</f>
        <v>30000</v>
      </c>
      <c r="W8">
        <f>Master!M8</f>
        <v>30000</v>
      </c>
      <c r="Y8">
        <f>Master!N8</f>
        <v>10000</v>
      </c>
      <c r="AA8">
        <f>Master!O8</f>
        <v>30000</v>
      </c>
      <c r="AC8">
        <f>Master!P8</f>
        <v>10000</v>
      </c>
      <c r="AD8" t="s">
        <v>242</v>
      </c>
      <c r="AE8">
        <f>Master!Q8</f>
        <v>30000</v>
      </c>
      <c r="AG8">
        <f>Master!R8</f>
        <v>10000</v>
      </c>
      <c r="AI8">
        <f>Master!S8</f>
        <v>30000</v>
      </c>
      <c r="AK8">
        <f>Master!T8</f>
        <v>20000</v>
      </c>
      <c r="AL8" t="s">
        <v>242</v>
      </c>
      <c r="AM8">
        <f>Master!W8</f>
        <v>40000</v>
      </c>
      <c r="AO8">
        <f>Master!X8</f>
        <v>10000</v>
      </c>
      <c r="AP8" t="s">
        <v>242</v>
      </c>
    </row>
    <row r="9" spans="1:42">
      <c r="A9">
        <f>Master!A9</f>
        <v>0</v>
      </c>
      <c r="B9">
        <f>Master!B9</f>
        <v>0</v>
      </c>
      <c r="C9">
        <f>Master!C9</f>
        <v>0</v>
      </c>
      <c r="E9">
        <f>Master!D9</f>
        <v>0</v>
      </c>
      <c r="G9">
        <f>Master!E9</f>
        <v>0</v>
      </c>
      <c r="I9">
        <f>Master!F9</f>
        <v>0</v>
      </c>
      <c r="K9">
        <f>Master!G9</f>
        <v>0</v>
      </c>
      <c r="M9">
        <f>Master!H9</f>
        <v>0</v>
      </c>
      <c r="O9">
        <f>Master!I9</f>
        <v>0</v>
      </c>
      <c r="Q9">
        <f>Master!J9</f>
        <v>0</v>
      </c>
      <c r="S9">
        <f>Master!K9</f>
        <v>0</v>
      </c>
      <c r="U9">
        <f>Master!L9</f>
        <v>0</v>
      </c>
      <c r="W9">
        <f>Master!M9</f>
        <v>0</v>
      </c>
      <c r="Y9">
        <f>Master!N9</f>
        <v>0</v>
      </c>
      <c r="AA9">
        <f>Master!O9</f>
        <v>0</v>
      </c>
      <c r="AC9">
        <f>Master!P9</f>
        <v>0</v>
      </c>
      <c r="AE9">
        <f>Master!Q9</f>
        <v>0</v>
      </c>
      <c r="AG9">
        <f>Master!R9</f>
        <v>0</v>
      </c>
      <c r="AI9">
        <f>Master!S9</f>
        <v>0</v>
      </c>
      <c r="AK9">
        <f>Master!T9</f>
        <v>0</v>
      </c>
      <c r="AM9">
        <f>Master!W9</f>
        <v>0</v>
      </c>
      <c r="AO9">
        <f>Master!X9</f>
        <v>0</v>
      </c>
    </row>
    <row r="10" spans="1:42">
      <c r="A10" t="str">
        <f>Master!A10</f>
        <v>Costs and expenses</v>
      </c>
      <c r="B10" t="str">
        <f>Master!B10</f>
        <v>0u</v>
      </c>
      <c r="C10">
        <f>Master!C10</f>
        <v>0</v>
      </c>
      <c r="E10">
        <f>Master!D10</f>
        <v>0</v>
      </c>
      <c r="G10">
        <f>Master!E10</f>
        <v>0</v>
      </c>
      <c r="I10">
        <f>Master!F10</f>
        <v>0</v>
      </c>
      <c r="K10">
        <f>Master!G10</f>
        <v>0</v>
      </c>
      <c r="M10">
        <f>Master!H10</f>
        <v>0</v>
      </c>
      <c r="O10">
        <f>Master!I10</f>
        <v>0</v>
      </c>
      <c r="Q10">
        <f>Master!J10</f>
        <v>0</v>
      </c>
      <c r="S10">
        <f>Master!K10</f>
        <v>0</v>
      </c>
      <c r="U10">
        <f>Master!L10</f>
        <v>0</v>
      </c>
      <c r="W10">
        <f>Master!M10</f>
        <v>0</v>
      </c>
      <c r="Y10">
        <f>Master!N10</f>
        <v>0</v>
      </c>
      <c r="AA10">
        <f>Master!O10</f>
        <v>0</v>
      </c>
      <c r="AC10">
        <f>Master!P10</f>
        <v>0</v>
      </c>
      <c r="AE10">
        <f>Master!Q10</f>
        <v>0</v>
      </c>
      <c r="AG10">
        <f>Master!R10</f>
        <v>0</v>
      </c>
      <c r="AI10">
        <f>Master!S10</f>
        <v>0</v>
      </c>
      <c r="AK10">
        <f>Master!T10</f>
        <v>0</v>
      </c>
      <c r="AM10">
        <f>Master!W10</f>
        <v>0</v>
      </c>
      <c r="AO10">
        <f>Master!X10</f>
        <v>0</v>
      </c>
    </row>
    <row r="11" spans="1:42">
      <c r="A11" t="str">
        <f>Master!A11</f>
        <v>Cost of goods sold</v>
      </c>
      <c r="B11">
        <f>Master!B11</f>
        <v>1</v>
      </c>
      <c r="C11">
        <f>Master!C11</f>
        <v>0</v>
      </c>
      <c r="E11">
        <f>Master!D11</f>
        <v>0</v>
      </c>
      <c r="G11">
        <f>Master!E11</f>
        <v>29000</v>
      </c>
      <c r="H11" t="str">
        <f>"gross margin: "&amp;LEFT(TEXT((G8-G11)/G8,"0%"),SEARCH("%",TEXT((G8-G11)/G8,"0%"))-1)&amp;"\%: high"</f>
        <v>gross margin: 42\%: high</v>
      </c>
      <c r="I11">
        <f>Master!F11</f>
        <v>20000</v>
      </c>
      <c r="J11" t="str">
        <f>"gross margin: "&amp;LEFT(TEXT((I8-I11)/I8,"0%"),SEARCH("%",TEXT((I8-I11)/I8,"0%"))-1)&amp;"\%: high"</f>
        <v>gross margin: 60\%: high</v>
      </c>
      <c r="K11">
        <f>Master!G11</f>
        <v>32500</v>
      </c>
      <c r="L11" t="str">
        <f>"gross margin: "&amp;LEFT(TEXT((K8-K11)/K8,"0%"),SEARCH("%",TEXT((K8-K11)/K8,"0%"))-1)&amp;"\%: high"</f>
        <v>gross margin: 35\%: high</v>
      </c>
      <c r="M11">
        <f>Master!H11</f>
        <v>24000</v>
      </c>
      <c r="N11" t="str">
        <f>"gross margin: "&amp;LEFT(TEXT((M8-M11)/M8,"0%"),SEARCH("%",TEXT((M8-M11)/M8,"0%"))-1)&amp;"\%"</f>
        <v>gross margin: 20\%</v>
      </c>
      <c r="O11">
        <f>Master!I11</f>
        <v>31200</v>
      </c>
      <c r="P11" t="str">
        <f>"gross margin: "&amp;LEFT(TEXT((O8-O11)/O8,"0%"),SEARCH("%",TEXT((O8-O11)/O8,"0%"))-1)&amp;"\%"</f>
        <v>gross margin: 22\%</v>
      </c>
      <c r="Q11">
        <f>Master!J11</f>
        <v>26000</v>
      </c>
      <c r="R11" t="str">
        <f>"gross margin: "&amp;LEFT(TEXT((Q8-Q11)/Q8,"0%"),SEARCH("%",TEXT((Q8-Q11)/Q8,"0%"))-1)&amp;"\%"</f>
        <v>gross margin: 35\%</v>
      </c>
      <c r="S11">
        <f>Master!K11</f>
        <v>8200</v>
      </c>
      <c r="T11" t="str">
        <f>"gross margin: "&amp;LEFT(TEXT((S8-S11)/S8,"0%"),SEARCH("%",TEXT((S8-S11)/S8,"0%"))-1)&amp;"\%"</f>
        <v>gross margin: 18\%</v>
      </c>
      <c r="U11">
        <f>Master!L11</f>
        <v>23400</v>
      </c>
      <c r="V11" t="str">
        <f>"gross margin: "&amp;LEFT(TEXT((U8-U11)/U8,"0%"),SEARCH("%",TEXT((U8-U11)/U8,"0%"))-1)&amp;"\%"</f>
        <v>gross margin: 22\%</v>
      </c>
      <c r="W11">
        <f>Master!M11</f>
        <v>19500</v>
      </c>
      <c r="X11" t="str">
        <f>"gross margin: "&amp;LEFT(TEXT((W8-W11)/W8,"0%"),SEARCH("%",TEXT((W8-W11)/W8,"0%"))-1)&amp;"\%"</f>
        <v>gross margin: 35\%</v>
      </c>
      <c r="Y11">
        <f>Master!N11</f>
        <v>7800</v>
      </c>
      <c r="Z11" t="str">
        <f>"gross margin: "&amp;LEFT(TEXT((Y8-Y11)/Y8,"0%"),SEARCH("%",TEXT((Y8-Y11)/Y8,"0%"))-1)&amp;"\%"</f>
        <v>gross margin: 22\%</v>
      </c>
      <c r="AA11">
        <f>Master!O11</f>
        <v>19500</v>
      </c>
      <c r="AB11" t="str">
        <f>"gross margin: "&amp;LEFT(TEXT((AA8-AA11)/AA8,"0%"),SEARCH("%",TEXT((AA8-AA11)/AA8,"0%"))-1)&amp;"\%"</f>
        <v>gross margin: 35\%</v>
      </c>
      <c r="AC11">
        <f>Master!P11</f>
        <v>8500</v>
      </c>
      <c r="AD11" t="str">
        <f>"gross margin: "&amp;LEFT(TEXT((AC8-AC11)/AC8,"0%"),SEARCH("%",TEXT((AC8-AC11)/AC8,"0%"))-1)&amp;"\%"</f>
        <v>gross margin: 15\%</v>
      </c>
      <c r="AE11">
        <f>Master!Q11</f>
        <v>20000</v>
      </c>
      <c r="AF11" t="str">
        <f>"gross margin: "&amp;LEFT(TEXT((AE8-AE11)/AE8,"0%"),SEARCH("%",TEXT((AE8-AE11)/AE8,"0%"))-1)&amp;"\%: low-priced raw tea"</f>
        <v>gross margin: 33\%: low-priced raw tea</v>
      </c>
      <c r="AG11">
        <f>Master!R11</f>
        <v>7000</v>
      </c>
      <c r="AH11" t="str">
        <f>"gross margin: "&amp;LEFT(TEXT((AG8-AG11)/AG8,"0%"),SEARCH("%",TEXT((AG8-AG11)/AG8,"0%"))-1)&amp;"\%: low-priced raw tea"</f>
        <v>gross margin: 30\%: low-priced raw tea</v>
      </c>
      <c r="AI11">
        <f>Master!S11</f>
        <v>24000</v>
      </c>
      <c r="AJ11" t="str">
        <f>"gross margin: "&amp;LEFT(TEXT((AI8-AI11)/AI8,"0%"),SEARCH("%",TEXT((AI8-AI11)/AI8,"0%"))-1)&amp;"\%"</f>
        <v>gross margin: 20\%</v>
      </c>
      <c r="AK11">
        <f>Master!T11</f>
        <v>1625</v>
      </c>
      <c r="AL11" t="s">
        <v>244</v>
      </c>
      <c r="AM11">
        <f>Master!W11</f>
        <v>34000</v>
      </c>
      <c r="AN11" t="str">
        <f>"gross margin: "&amp;LEFT(TEXT((AM8-AM11)/AM8,"0%"),SEARCH("%",TEXT((AM8-AM11)/AM8,"0%"))-1)&amp;"\%"</f>
        <v>gross margin: 15\%</v>
      </c>
      <c r="AO11">
        <f>Master!X11</f>
        <v>6700</v>
      </c>
      <c r="AP11" t="str">
        <f>"gross margin: "&amp;LEFT(TEXT((AO8-AO11)/AO8,"0%"),SEARCH("%",TEXT((AO8-AO11)/AO8,"0%"))-1)&amp;"\%"</f>
        <v>gross margin: 33\%</v>
      </c>
    </row>
    <row r="12" spans="1:42">
      <c r="A12" t="str">
        <f>Master!A12</f>
        <v>Interest paid</v>
      </c>
      <c r="B12">
        <f>Master!B12</f>
        <v>1</v>
      </c>
      <c r="C12">
        <f>Master!C12</f>
        <v>16000</v>
      </c>
      <c r="E12">
        <f>Master!D12</f>
        <v>3500.0000000000005</v>
      </c>
      <c r="G12">
        <f>Master!E12</f>
        <v>0</v>
      </c>
      <c r="I12">
        <f>Master!F12</f>
        <v>0</v>
      </c>
      <c r="K12">
        <f>Master!G12</f>
        <v>0</v>
      </c>
      <c r="M12">
        <f>Master!H12</f>
        <v>0</v>
      </c>
      <c r="O12">
        <f>Master!I12</f>
        <v>0</v>
      </c>
      <c r="Q12">
        <f>Master!J12</f>
        <v>0</v>
      </c>
      <c r="S12">
        <f>Master!K12</f>
        <v>0</v>
      </c>
      <c r="U12">
        <f>Master!L12</f>
        <v>0</v>
      </c>
      <c r="W12">
        <f>Master!M12</f>
        <v>0</v>
      </c>
      <c r="Y12">
        <f>Master!N12</f>
        <v>0</v>
      </c>
      <c r="AA12">
        <f>Master!O12</f>
        <v>0</v>
      </c>
      <c r="AC12">
        <f>Master!P12</f>
        <v>0</v>
      </c>
      <c r="AE12">
        <f>Master!Q12</f>
        <v>0</v>
      </c>
      <c r="AG12">
        <f>Master!R12</f>
        <v>0</v>
      </c>
      <c r="AI12">
        <f>Master!S12</f>
        <v>0</v>
      </c>
      <c r="AK12">
        <f>Master!T12</f>
        <v>0</v>
      </c>
      <c r="AM12">
        <f>Master!W12</f>
        <v>0</v>
      </c>
      <c r="AO12">
        <f>Master!X12</f>
        <v>0</v>
      </c>
    </row>
    <row r="13" spans="1:42">
      <c r="A13" t="str">
        <f>Master!A13</f>
        <v>Depreciation \&amp; amortization</v>
      </c>
      <c r="B13">
        <f>Master!B13</f>
        <v>1</v>
      </c>
      <c r="C13">
        <f>Master!C13</f>
        <v>0</v>
      </c>
      <c r="E13">
        <f>Master!D13</f>
        <v>0</v>
      </c>
      <c r="G13">
        <f>Master!E13</f>
        <v>2500</v>
      </c>
      <c r="H13" t="s">
        <v>261</v>
      </c>
      <c r="I13">
        <f>Master!F13</f>
        <v>5000</v>
      </c>
      <c r="J13" t="s">
        <v>262</v>
      </c>
      <c r="K13">
        <f>Master!G13</f>
        <v>6250</v>
      </c>
      <c r="M13">
        <f>Master!H13</f>
        <v>3750</v>
      </c>
      <c r="O13">
        <f>Master!I13</f>
        <v>300</v>
      </c>
      <c r="Q13">
        <f>Master!J13</f>
        <v>4000</v>
      </c>
      <c r="S13">
        <f>Master!K13</f>
        <v>500</v>
      </c>
      <c r="U13">
        <f>Master!L13</f>
        <v>1500</v>
      </c>
      <c r="W13">
        <f>Master!M13</f>
        <v>0</v>
      </c>
      <c r="Y13">
        <f>Master!N13</f>
        <v>0</v>
      </c>
      <c r="AA13">
        <f>Master!O13</f>
        <v>0</v>
      </c>
      <c r="AC13">
        <f>Master!P13</f>
        <v>500</v>
      </c>
      <c r="AE13">
        <f>Master!Q13</f>
        <v>0</v>
      </c>
      <c r="AG13">
        <f>Master!R13</f>
        <v>0</v>
      </c>
      <c r="AI13">
        <f>Master!S13</f>
        <v>0</v>
      </c>
      <c r="AK13">
        <f>Master!T13</f>
        <v>500</v>
      </c>
      <c r="AM13">
        <f>Master!W13</f>
        <v>0</v>
      </c>
      <c r="AO13">
        <f>Master!X13</f>
        <v>5</v>
      </c>
    </row>
    <row r="14" spans="1:42">
      <c r="A14" t="str">
        <f>Master!A14</f>
        <v>Provision for loan loss</v>
      </c>
      <c r="B14">
        <f>Master!B14</f>
        <v>1</v>
      </c>
      <c r="C14">
        <f>Master!C14</f>
        <v>5000</v>
      </c>
      <c r="E14">
        <f>Master!D14</f>
        <v>1000</v>
      </c>
      <c r="G14">
        <f>Master!E14</f>
        <v>0</v>
      </c>
      <c r="I14">
        <f>Master!F14</f>
        <v>0</v>
      </c>
      <c r="K14">
        <f>Master!G14</f>
        <v>0</v>
      </c>
      <c r="M14">
        <f>Master!H14</f>
        <v>0</v>
      </c>
      <c r="O14">
        <f>Master!I14</f>
        <v>0</v>
      </c>
      <c r="Q14">
        <f>Master!J14</f>
        <v>0</v>
      </c>
      <c r="S14">
        <f>Master!K14</f>
        <v>0</v>
      </c>
      <c r="U14">
        <f>Master!L14</f>
        <v>0</v>
      </c>
      <c r="W14">
        <f>Master!M14</f>
        <v>0</v>
      </c>
      <c r="Y14">
        <f>Master!N14</f>
        <v>0</v>
      </c>
      <c r="AA14">
        <f>Master!O14</f>
        <v>0</v>
      </c>
      <c r="AC14">
        <f>Master!P14</f>
        <v>0</v>
      </c>
      <c r="AE14">
        <f>Master!Q14</f>
        <v>0</v>
      </c>
      <c r="AG14">
        <f>Master!R14</f>
        <v>0</v>
      </c>
      <c r="AI14">
        <f>Master!S14</f>
        <v>0</v>
      </c>
      <c r="AK14">
        <f>Master!T14</f>
        <v>0</v>
      </c>
      <c r="AM14">
        <f>Master!W14</f>
        <v>0</v>
      </c>
      <c r="AO14">
        <f>Master!X14</f>
        <v>0</v>
      </c>
    </row>
    <row r="15" spans="1:42">
      <c r="A15" t="str">
        <f>Master!A15</f>
        <v>Occupancy costs</v>
      </c>
      <c r="B15">
        <f>Master!B15</f>
        <v>1</v>
      </c>
      <c r="C15">
        <f>Master!C15</f>
        <v>100</v>
      </c>
      <c r="E15">
        <f>Master!D15</f>
        <v>600</v>
      </c>
      <c r="G15">
        <f>Master!E15</f>
        <v>0</v>
      </c>
      <c r="I15">
        <f>Master!F15</f>
        <v>0</v>
      </c>
      <c r="K15">
        <f>Master!G15</f>
        <v>0</v>
      </c>
      <c r="M15">
        <f>Master!H15</f>
        <v>0</v>
      </c>
      <c r="O15">
        <f>Master!I15</f>
        <v>0</v>
      </c>
      <c r="Q15">
        <f>Master!J15</f>
        <v>0</v>
      </c>
      <c r="S15">
        <f>Master!K15</f>
        <v>0</v>
      </c>
      <c r="U15">
        <f>Master!L15</f>
        <v>0</v>
      </c>
      <c r="W15">
        <f>Master!M15</f>
        <v>600</v>
      </c>
      <c r="Y15">
        <f>Master!N15</f>
        <v>200</v>
      </c>
      <c r="AA15">
        <f>Master!O15</f>
        <v>600</v>
      </c>
      <c r="AC15">
        <f>Master!P15</f>
        <v>0</v>
      </c>
      <c r="AE15">
        <f>Master!Q15</f>
        <v>600</v>
      </c>
      <c r="AG15">
        <f>Master!R15</f>
        <v>200</v>
      </c>
      <c r="AI15">
        <f>Master!S15</f>
        <v>600</v>
      </c>
      <c r="AK15">
        <f>Master!T15</f>
        <v>1000</v>
      </c>
      <c r="AM15">
        <f>Master!W15</f>
        <v>800</v>
      </c>
      <c r="AO15">
        <f>Master!X15</f>
        <v>0</v>
      </c>
    </row>
    <row r="16" spans="1:42">
      <c r="A16" t="str">
        <f>Master!A16</f>
        <v>Advertising and marketing costs</v>
      </c>
      <c r="B16">
        <f>Master!B16</f>
        <v>1</v>
      </c>
      <c r="C16" t="str">
        <f>Master!C16</f>
        <v/>
      </c>
      <c r="E16" t="str">
        <f>Master!D16</f>
        <v/>
      </c>
      <c r="G16" t="str">
        <f>Master!E16</f>
        <v/>
      </c>
      <c r="I16">
        <f>Master!F16</f>
        <v>250</v>
      </c>
      <c r="K16" t="str">
        <f>Master!G16</f>
        <v/>
      </c>
      <c r="M16" t="str">
        <f>Master!H16</f>
        <v/>
      </c>
      <c r="O16">
        <f>Master!I16</f>
        <v>200</v>
      </c>
      <c r="Q16">
        <f>Master!J16</f>
        <v>2000</v>
      </c>
      <c r="S16" t="str">
        <f>Master!K16</f>
        <v/>
      </c>
      <c r="U16">
        <f>Master!L16</f>
        <v>150</v>
      </c>
      <c r="W16" t="str">
        <f>Master!M16</f>
        <v/>
      </c>
      <c r="Y16">
        <f>Master!N16</f>
        <v>50</v>
      </c>
      <c r="AA16" t="str">
        <f>Master!O16</f>
        <v/>
      </c>
      <c r="AC16" t="str">
        <f>Master!P16</f>
        <v/>
      </c>
      <c r="AE16" t="str">
        <f>Master!Q16</f>
        <v/>
      </c>
      <c r="AG16" t="str">
        <f>Master!R16</f>
        <v/>
      </c>
      <c r="AI16">
        <f>Master!S16</f>
        <v>150</v>
      </c>
      <c r="AK16" t="str">
        <f>Master!T16</f>
        <v/>
      </c>
      <c r="AM16">
        <f>Master!W16</f>
        <v>1000</v>
      </c>
      <c r="AO16" t="str">
        <f>Master!X16</f>
        <v/>
      </c>
    </row>
    <row r="17" spans="1:42">
      <c r="A17" t="str">
        <f>Master!A17</f>
        <v>Research \&amp; development</v>
      </c>
      <c r="B17">
        <f>Master!B17</f>
        <v>1</v>
      </c>
      <c r="C17">
        <f>Master!C17</f>
        <v>0</v>
      </c>
      <c r="E17">
        <f>Master!D17</f>
        <v>0</v>
      </c>
      <c r="G17">
        <f>Master!E17</f>
        <v>0</v>
      </c>
      <c r="I17">
        <f>Master!F17</f>
        <v>0</v>
      </c>
      <c r="K17">
        <f>Master!G17</f>
        <v>0</v>
      </c>
      <c r="M17">
        <f>Master!H17</f>
        <v>0</v>
      </c>
      <c r="O17">
        <f>Master!I17</f>
        <v>3200</v>
      </c>
      <c r="Q17">
        <f>Master!J17</f>
        <v>0</v>
      </c>
      <c r="S17">
        <f>Master!K17</f>
        <v>0</v>
      </c>
      <c r="U17">
        <f>Master!L17</f>
        <v>0</v>
      </c>
      <c r="W17">
        <f>Master!M17</f>
        <v>0</v>
      </c>
      <c r="Y17">
        <f>Master!N17</f>
        <v>800</v>
      </c>
      <c r="Z17" t="s">
        <v>250</v>
      </c>
      <c r="AA17">
        <f>Master!O17</f>
        <v>2400</v>
      </c>
      <c r="AB17" t="s">
        <v>269</v>
      </c>
      <c r="AC17">
        <f>Master!P17</f>
        <v>0</v>
      </c>
      <c r="AE17">
        <f>Master!Q17</f>
        <v>2400</v>
      </c>
      <c r="AF17" t="s">
        <v>270</v>
      </c>
      <c r="AG17">
        <f>Master!R17</f>
        <v>0</v>
      </c>
      <c r="AI17">
        <f>Master!S17</f>
        <v>0</v>
      </c>
      <c r="AK17">
        <f>Master!T17</f>
        <v>0</v>
      </c>
      <c r="AM17">
        <f>Master!W17</f>
        <v>0</v>
      </c>
      <c r="AO17">
        <f>Master!X17</f>
        <v>0</v>
      </c>
    </row>
    <row r="18" spans="1:42">
      <c r="A18" t="str">
        <f>Master!A18</f>
        <v>Salary and benefits</v>
      </c>
      <c r="B18">
        <f>Master!B18</f>
        <v>1</v>
      </c>
      <c r="C18">
        <f>Master!C18</f>
        <v>1780</v>
      </c>
      <c r="D18" t="str">
        <f>LEFT(TEXT(C18/C8,"#%"),LEN(TEXT(C18/C8,"#%"))-1)&amp;"\% of revenue"</f>
        <v>3\% of revenue</v>
      </c>
      <c r="E18">
        <f>Master!D18</f>
        <v>7978</v>
      </c>
      <c r="F18" t="str">
        <f>LEFT(TEXT(E18/E8,"#%"),LEN(TEXT(E18/E8,"#%"))-1)&amp;"\% of revenue: higher than other bank"</f>
        <v>18\% of revenue: higher than other bank</v>
      </c>
      <c r="G18">
        <f>Master!E18</f>
        <v>1500</v>
      </c>
      <c r="H18" t="str">
        <f>LEFT(TEXT(G18/G8,"#%"),LEN(TEXT(G18/G8,"#%"))-1)&amp;"\% of revenue: mostly automated"</f>
        <v>3\% of revenue: mostly automated</v>
      </c>
      <c r="I18">
        <f>Master!F18</f>
        <v>12500</v>
      </c>
      <c r="J18" t="str">
        <f>LEFT(TEXT(I18/I8,"#%"),LEN(TEXT(I18/I8,"#%"))-1)&amp;"\% of revenue"</f>
        <v>25\% of revenue</v>
      </c>
      <c r="K18">
        <f>Master!G18</f>
        <v>5000</v>
      </c>
      <c r="L18" t="str">
        <f>LEFT(TEXT(K18/K8,"#%"),LEN(TEXT(K18/K8,"#%"))-1)&amp;"\% of revenue"</f>
        <v>10\% of revenue</v>
      </c>
      <c r="M18">
        <f>Master!H18</f>
        <v>900</v>
      </c>
      <c r="N18" t="str">
        <f>LEFT(TEXT(M18/M8,"#%"),LEN(TEXT(M18/M8,"#%"))-1)&amp;"\% of revenue"</f>
        <v>3\% of revenue</v>
      </c>
      <c r="O18">
        <f>Master!I18</f>
        <v>4000</v>
      </c>
      <c r="P18" t="str">
        <f>LEFT(TEXT(O18/O8,"#%"),LEN(TEXT(O18/O8,"#%"))-1)&amp;"\% of revenue"</f>
        <v>10\% of revenue</v>
      </c>
      <c r="Q18">
        <f>Master!J18</f>
        <v>4000</v>
      </c>
      <c r="R18" t="str">
        <f>LEFT(TEXT(Q18/Q8,"#%"),LEN(TEXT(Q18/Q8,"#%"))-1)&amp;"\% of revenue"</f>
        <v>10\% of revenue</v>
      </c>
      <c r="S18">
        <f>Master!K18</f>
        <v>1000</v>
      </c>
      <c r="T18" t="str">
        <f>LEFT(TEXT(S18/S8,"#%"),LEN(TEXT(S18/S8,"#%"))-1)&amp;"\% of revenue"</f>
        <v>10\% of revenue</v>
      </c>
      <c r="U18">
        <f>Master!L18</f>
        <v>3000</v>
      </c>
      <c r="V18" t="str">
        <f>LEFT(TEXT(U18/U8,"#%"),LEN(TEXT(U18/U8,"#%"))-1)&amp;"\% of revenue"</f>
        <v>10\% of revenue</v>
      </c>
      <c r="W18">
        <f>Master!M18</f>
        <v>3000</v>
      </c>
      <c r="X18" t="str">
        <f>LEFT(TEXT(W18/W8,"#%"),LEN(TEXT(W18/W8,"#%"))-1)&amp;"\% of revenue"</f>
        <v>10\% of revenue</v>
      </c>
      <c r="Y18">
        <f>Master!N18</f>
        <v>1000</v>
      </c>
      <c r="Z18" t="str">
        <f>LEFT(TEXT(Y18/Y8,"#%"),LEN(TEXT(Y18/Y8,"#%"))-1)&amp;"\% of revenue"</f>
        <v>10\% of revenue</v>
      </c>
      <c r="AA18">
        <f>Master!O18</f>
        <v>3000</v>
      </c>
      <c r="AB18" t="str">
        <f>LEFT(TEXT(AA18/AA8,"#%"),LEN(TEXT(AA18/AA8,"#%"))-1)&amp;"\% of revenue"</f>
        <v>10\% of revenue</v>
      </c>
      <c r="AC18">
        <f>Master!P18</f>
        <v>300</v>
      </c>
      <c r="AD18" t="str">
        <f>LEFT(TEXT(AC18/AC8,"#%"),LEN(TEXT(AC18/AC8,"#%"))-1)&amp;"\% of revenue"</f>
        <v>3\% of revenue</v>
      </c>
      <c r="AE18">
        <f>Master!Q18</f>
        <v>3000</v>
      </c>
      <c r="AF18" t="str">
        <f>LEFT(TEXT(AE18/AE8,"#%"),LEN(TEXT(AE18/AE8,"#%"))-1)&amp;"\% of revenue"</f>
        <v>10\% of revenue</v>
      </c>
      <c r="AG18">
        <f>Master!R18</f>
        <v>1000</v>
      </c>
      <c r="AH18" t="str">
        <f>LEFT(TEXT(AG18/AG8,"#%"),LEN(TEXT(AG18/AG8,"#%"))-1)&amp;"\% of revenue"</f>
        <v>10\% of revenue</v>
      </c>
      <c r="AI18">
        <f>Master!S18</f>
        <v>3000</v>
      </c>
      <c r="AJ18" t="str">
        <f>LEFT(TEXT(AI18/AI8,"#%"),LEN(TEXT(AI18/AI8,"#%"))-1)&amp;"\% of revenue"</f>
        <v>10\% of revenue</v>
      </c>
      <c r="AK18">
        <f>Master!T18</f>
        <v>2300</v>
      </c>
      <c r="AL18" t="str">
        <f>LEFT(TEXT(AK18/AK8,"#%"),LEN(TEXT(AK18/AK8,"#%"))-1)&amp;"\% of revenue"</f>
        <v>12\% of revenue</v>
      </c>
      <c r="AM18">
        <f>Master!W18</f>
        <v>3500</v>
      </c>
      <c r="AN18" t="str">
        <f>LEFT(TEXT(AM18/AM8,"#%"),LEN(TEXT(AM18/AM8,"#%"))-1)&amp;"\% of revenue"</f>
        <v>9\% of revenue</v>
      </c>
      <c r="AO18">
        <f>Master!X18</f>
        <v>2700</v>
      </c>
      <c r="AP18" t="str">
        <f>LEFT(TEXT(AO18/AO8,"#%"),LEN(TEXT(AO18/AO8,"#%"))-1)&amp;"\% of revenue"</f>
        <v>27\% of revenue</v>
      </c>
    </row>
    <row r="19" spans="1:42">
      <c r="A19" t="str">
        <f>Master!A19</f>
        <v>Special payment to small business owner</v>
      </c>
      <c r="B19">
        <v>1</v>
      </c>
      <c r="C19">
        <f>Master!C19</f>
        <v>14689</v>
      </c>
      <c r="D19" t="s">
        <v>306</v>
      </c>
      <c r="E19">
        <f>Master!D19</f>
        <v>0</v>
      </c>
      <c r="G19">
        <f>Master!E19</f>
        <v>0</v>
      </c>
      <c r="I19">
        <f>Master!F19</f>
        <v>0</v>
      </c>
      <c r="K19">
        <f>Master!G19</f>
        <v>0</v>
      </c>
      <c r="M19">
        <f>Master!H19</f>
        <v>0</v>
      </c>
      <c r="O19">
        <f>Master!I19</f>
        <v>0</v>
      </c>
      <c r="Q19">
        <f>Master!J19</f>
        <v>0</v>
      </c>
      <c r="S19">
        <f>Master!K19</f>
        <v>0</v>
      </c>
      <c r="U19">
        <f>Master!L19</f>
        <v>0</v>
      </c>
      <c r="W19">
        <f>Master!M19</f>
        <v>0</v>
      </c>
      <c r="Y19">
        <f>Master!N19</f>
        <v>0</v>
      </c>
      <c r="AA19">
        <f>Master!O19</f>
        <v>0</v>
      </c>
      <c r="AC19">
        <f>Master!P19</f>
        <v>0</v>
      </c>
      <c r="AE19">
        <f>Master!Q19</f>
        <v>0</v>
      </c>
      <c r="AG19">
        <f>Master!R19</f>
        <v>0</v>
      </c>
      <c r="AI19">
        <f>Master!S19</f>
        <v>0</v>
      </c>
      <c r="AK19">
        <f>Master!T19</f>
        <v>0</v>
      </c>
      <c r="AM19">
        <f>Master!W19</f>
        <v>0</v>
      </c>
      <c r="AO19">
        <f>Master!X19</f>
        <v>0</v>
      </c>
    </row>
    <row r="20" spans="1:42">
      <c r="A20" t="str">
        <f>Master!A20</f>
        <v>Banking fees</v>
      </c>
      <c r="B20">
        <f>Master!B20</f>
        <v>1</v>
      </c>
      <c r="C20">
        <f>Master!C20</f>
        <v>0</v>
      </c>
      <c r="E20">
        <f>Master!D20</f>
        <v>0</v>
      </c>
      <c r="G20">
        <f>Master!E20</f>
        <v>0</v>
      </c>
      <c r="I20">
        <f>Master!F20</f>
        <v>0</v>
      </c>
      <c r="K20">
        <f>Master!G20</f>
        <v>0</v>
      </c>
      <c r="M20">
        <f>Master!H20</f>
        <v>0</v>
      </c>
      <c r="O20">
        <f>Master!I20</f>
        <v>0</v>
      </c>
      <c r="Q20">
        <f>Master!J20</f>
        <v>0</v>
      </c>
      <c r="S20">
        <f>Master!K20</f>
        <v>0</v>
      </c>
      <c r="U20">
        <f>Master!L20</f>
        <v>0</v>
      </c>
      <c r="W20">
        <f>Master!M20</f>
        <v>0</v>
      </c>
      <c r="Y20">
        <f>Master!N20</f>
        <v>0</v>
      </c>
      <c r="AA20">
        <f>Master!O20</f>
        <v>0</v>
      </c>
      <c r="AC20">
        <f>Master!P20</f>
        <v>0</v>
      </c>
      <c r="AE20">
        <f>Master!Q20</f>
        <v>0</v>
      </c>
      <c r="AG20">
        <f>Master!R20</f>
        <v>0</v>
      </c>
      <c r="AI20">
        <f>Master!S20</f>
        <v>0</v>
      </c>
      <c r="AK20">
        <f>Master!T20</f>
        <v>13889</v>
      </c>
      <c r="AL20" t="s">
        <v>307</v>
      </c>
      <c r="AM20">
        <f>Master!W20</f>
        <v>0</v>
      </c>
      <c r="AO20">
        <f>Master!X20</f>
        <v>0</v>
      </c>
    </row>
    <row r="21" spans="1:42">
      <c r="A21" t="str">
        <f>Master!A21</f>
        <v>Total operating expenses</v>
      </c>
      <c r="B21" t="str">
        <f>Master!B21</f>
        <v>0s</v>
      </c>
      <c r="C21">
        <f>Master!C21</f>
        <v>37569</v>
      </c>
      <c r="E21">
        <f>Master!D21</f>
        <v>13078</v>
      </c>
      <c r="G21">
        <f>Master!E21</f>
        <v>33000</v>
      </c>
      <c r="I21">
        <f>Master!F21</f>
        <v>37750</v>
      </c>
      <c r="K21">
        <f>Master!G21</f>
        <v>43750</v>
      </c>
      <c r="M21">
        <f>Master!H21</f>
        <v>28650</v>
      </c>
      <c r="O21">
        <f>Master!I21</f>
        <v>38900</v>
      </c>
      <c r="Q21">
        <f>Master!J21</f>
        <v>36000</v>
      </c>
      <c r="S21">
        <f>Master!K21</f>
        <v>9700</v>
      </c>
      <c r="U21">
        <f>Master!L21</f>
        <v>28050</v>
      </c>
      <c r="W21">
        <f>Master!M21</f>
        <v>23100</v>
      </c>
      <c r="Y21">
        <f>Master!N21</f>
        <v>9850</v>
      </c>
      <c r="AA21">
        <f>Master!O21</f>
        <v>25500</v>
      </c>
      <c r="AC21">
        <f>Master!P21</f>
        <v>9300</v>
      </c>
      <c r="AE21">
        <f>Master!Q21</f>
        <v>26000</v>
      </c>
      <c r="AG21">
        <f>Master!R21</f>
        <v>8200</v>
      </c>
      <c r="AI21">
        <f>Master!S21</f>
        <v>27750</v>
      </c>
      <c r="AK21">
        <f>Master!T21</f>
        <v>19314</v>
      </c>
      <c r="AM21">
        <f>Master!W21</f>
        <v>39300</v>
      </c>
      <c r="AO21">
        <f>Master!X21</f>
        <v>9405</v>
      </c>
    </row>
    <row r="22" spans="1:42">
      <c r="A22">
        <f>Master!A22</f>
        <v>0</v>
      </c>
      <c r="B22">
        <f>Master!B22</f>
        <v>0</v>
      </c>
      <c r="C22">
        <f>Master!C22</f>
        <v>0</v>
      </c>
      <c r="E22">
        <f>Master!D22</f>
        <v>0</v>
      </c>
      <c r="G22">
        <f>Master!E22</f>
        <v>0</v>
      </c>
      <c r="I22">
        <f>Master!F22</f>
        <v>0</v>
      </c>
      <c r="K22">
        <f>Master!G22</f>
        <v>0</v>
      </c>
      <c r="M22">
        <f>Master!H22</f>
        <v>0</v>
      </c>
      <c r="O22">
        <f>Master!I22</f>
        <v>0</v>
      </c>
      <c r="Q22">
        <f>Master!J22</f>
        <v>0</v>
      </c>
      <c r="S22">
        <f>Master!K22</f>
        <v>0</v>
      </c>
      <c r="U22">
        <f>Master!L22</f>
        <v>0</v>
      </c>
      <c r="W22">
        <f>Master!M22</f>
        <v>0</v>
      </c>
      <c r="Y22">
        <f>Master!N22</f>
        <v>0</v>
      </c>
      <c r="AA22">
        <f>Master!O22</f>
        <v>0</v>
      </c>
      <c r="AC22">
        <f>Master!P22</f>
        <v>0</v>
      </c>
      <c r="AE22">
        <f>Master!Q22</f>
        <v>0</v>
      </c>
      <c r="AG22">
        <f>Master!R22</f>
        <v>0</v>
      </c>
      <c r="AI22">
        <f>Master!S22</f>
        <v>0</v>
      </c>
      <c r="AK22">
        <f>Master!T22</f>
        <v>0</v>
      </c>
      <c r="AM22">
        <f>Master!W22</f>
        <v>0</v>
      </c>
      <c r="AO22">
        <f>Master!X22</f>
        <v>0</v>
      </c>
    </row>
    <row r="23" spans="1:42">
      <c r="A23" t="str">
        <f>Master!A23</f>
        <v>Income (loss) from operations</v>
      </c>
      <c r="B23">
        <f>Master!B23</f>
        <v>0</v>
      </c>
      <c r="C23">
        <f>Master!C23</f>
        <v>21774</v>
      </c>
      <c r="E23">
        <f>Master!D23</f>
        <v>32510</v>
      </c>
      <c r="G23">
        <f>Master!E23</f>
        <v>17000</v>
      </c>
      <c r="I23">
        <f>Master!F23</f>
        <v>12250</v>
      </c>
      <c r="K23">
        <f>Master!G23</f>
        <v>6250</v>
      </c>
      <c r="M23">
        <f>Master!H23</f>
        <v>1350</v>
      </c>
      <c r="O23">
        <f>Master!I23</f>
        <v>1100</v>
      </c>
      <c r="Q23">
        <f>Master!J23</f>
        <v>4000</v>
      </c>
      <c r="S23">
        <f>Master!K23</f>
        <v>300</v>
      </c>
      <c r="U23">
        <f>Master!L23</f>
        <v>1950</v>
      </c>
      <c r="W23">
        <f>Master!M23</f>
        <v>6900</v>
      </c>
      <c r="Y23">
        <f>Master!N23</f>
        <v>150</v>
      </c>
      <c r="AA23">
        <f>Master!O23</f>
        <v>4500</v>
      </c>
      <c r="AC23">
        <f>Master!P23</f>
        <v>700</v>
      </c>
      <c r="AE23">
        <f>Master!Q23</f>
        <v>4000</v>
      </c>
      <c r="AG23">
        <f>Master!R23</f>
        <v>1800</v>
      </c>
      <c r="AI23">
        <f>Master!S23</f>
        <v>2250</v>
      </c>
      <c r="AK23">
        <f>Master!T23</f>
        <v>686</v>
      </c>
      <c r="AM23">
        <f>Master!W23</f>
        <v>700</v>
      </c>
      <c r="AO23">
        <f>Master!X23</f>
        <v>595</v>
      </c>
    </row>
    <row r="24" spans="1:42">
      <c r="A24" t="str">
        <f>Master!A24</f>
        <v>Interest expense</v>
      </c>
      <c r="B24">
        <f>Master!B24</f>
        <v>1</v>
      </c>
      <c r="C24">
        <f>Master!C24</f>
        <v>0</v>
      </c>
      <c r="E24">
        <f>Master!D24</f>
        <v>0</v>
      </c>
      <c r="G24">
        <f>Master!E24</f>
        <v>-13716</v>
      </c>
      <c r="H24" t="str">
        <f>"interest rate: "&amp;LEFT(TEXT((0-G24)/G99,"0%"),SEARCH("%",TEXT((0-G24)/G99,"0%"))-1)&amp;"\%"</f>
        <v>interest rate: 6\%</v>
      </c>
      <c r="I24">
        <f>Master!F24</f>
        <v>-6576</v>
      </c>
      <c r="J24" t="str">
        <f>"interest rate: "&amp;LEFT(TEXT((0-I24)/I99,"0%"),SEARCH("%",TEXT((0-I24)/I99,"0%"))-1)&amp;"\%"</f>
        <v>interest rate: 6\%</v>
      </c>
      <c r="K24">
        <f>Master!G24</f>
        <v>-666</v>
      </c>
      <c r="L24" t="str">
        <f>"interest rate: "&amp;LEFT(TEXT((0-K24)/K99,"0%"),SEARCH("%",TEXT((0-K24)/K99,"0%"))-1)&amp;"\%"</f>
        <v>interest rate: 6\%</v>
      </c>
      <c r="M24">
        <f>Master!H24</f>
        <v>-492</v>
      </c>
      <c r="N24" t="str">
        <f>"interest rate: "&amp;LEFT(TEXT((0-M24)/M99,"0%"),SEARCH("%",TEXT((0-M24)/M99,"0%"))-1)&amp;"\%"</f>
        <v>interest rate: 6\%</v>
      </c>
      <c r="O24">
        <f>Master!I24</f>
        <v>-275</v>
      </c>
      <c r="P24" t="str">
        <f>"interest rate: "&amp;LEFT(TEXT((0-O24)/O99,"0%"),SEARCH("%",TEXT((0-O24)/O99,"0%"))-1)&amp;"\%"</f>
        <v>interest rate: 11\%</v>
      </c>
      <c r="Q24">
        <f>Master!J24</f>
        <v>-252</v>
      </c>
      <c r="R24" t="str">
        <f>"interest rate: "&amp;LEFT(TEXT((0-Q24)/Q99,"0%"),SEARCH("%",TEXT((0-Q24)/Q99,"0%"))-1)&amp;"\%"</f>
        <v>interest rate: 6\%</v>
      </c>
      <c r="S24">
        <f>Master!K24</f>
        <v>-176</v>
      </c>
      <c r="T24" t="str">
        <f>"interest rate: "&amp;LEFT(TEXT((0-S24)/S99,"0%"),SEARCH("%",TEXT((0-S24)/S99,"0%"))-1)&amp;"\%"</f>
        <v>interest rate: 11\%</v>
      </c>
      <c r="U24">
        <f>Master!L24</f>
        <v>-306</v>
      </c>
      <c r="V24" t="str">
        <f>"interest rate: "&amp;LEFT(TEXT((0-U24)/U99,"0%"),SEARCH("%",TEXT((0-U24)/U99,"0%"))-1)&amp;"\%"</f>
        <v>interest rate: 6\%</v>
      </c>
      <c r="W24">
        <f>Master!M24</f>
        <v>-1656</v>
      </c>
      <c r="X24" t="str">
        <f>"interest rate: "&amp;LEFT(TEXT((0-W24)/W99,"0%"),SEARCH("%",TEXT((0-W24)/W99,"0%"))-1)&amp;"\%"</f>
        <v>interest rate: 6\%</v>
      </c>
      <c r="Y24">
        <f>Master!N24</f>
        <v>-198</v>
      </c>
      <c r="Z24" t="str">
        <f>"interest rate: "&amp;LEFT(TEXT((0-Y24)/Y99,"0%"),SEARCH("%",TEXT((0-Y24)/Y99,"0%"))-1)&amp;"\%"</f>
        <v>interest rate: 11\%</v>
      </c>
      <c r="AA24">
        <f>Master!O24</f>
        <v>-99</v>
      </c>
      <c r="AB24" t="str">
        <f>"interest rate: "&amp;LEFT(TEXT((0-AA24)/AA99,"0%"),SEARCH("%",TEXT((0-AA24)/AA99,"0%"))-1)&amp;"\%"</f>
        <v>interest rate: 11\%</v>
      </c>
      <c r="AC24">
        <f>Master!P24</f>
        <v>-275</v>
      </c>
      <c r="AD24" t="str">
        <f>"interest rate: "&amp;LEFT(TEXT((0-AC24)/AC99,"0%"),SEARCH("%",TEXT((0-AC24)/AC99,"0%"))-1)&amp;"\%"</f>
        <v>interest rate: 11\%</v>
      </c>
      <c r="AE24">
        <f>Master!Q24</f>
        <v>-1562</v>
      </c>
      <c r="AF24" t="str">
        <f>"interest rate: "&amp;LEFT(TEXT((0-AE24)/AE99,"0%"),SEARCH("%",TEXT((0-AE24)/AE99,"0%"))-1)&amp;"\%"</f>
        <v>interest rate: 11\%</v>
      </c>
      <c r="AG24">
        <f>Master!R24</f>
        <v>-924</v>
      </c>
      <c r="AH24" t="str">
        <f>"interest rate: "&amp;LEFT(TEXT((0-AG24)/AG99,"0%"),SEARCH("%",TEXT((0-AG24)/AG99,"0%"))-1)&amp;"\%"</f>
        <v>interest rate: 11\%</v>
      </c>
      <c r="AI24">
        <f>Master!S24</f>
        <v>-209</v>
      </c>
      <c r="AJ24" t="str">
        <f>"interest rate: "&amp;LEFT(TEXT((0-AI24)/AI99,"0%"),SEARCH("%",TEXT((0-AI24)/AI99,"0%"))-1)&amp;"\%"</f>
        <v>interest rate: 11\%</v>
      </c>
      <c r="AK24">
        <f>Master!T24</f>
        <v>-96</v>
      </c>
      <c r="AL24" t="str">
        <f>"interest rate: "&amp;LEFT(TEXT((0-AK24)/AK99,"0%"),SEARCH("%",TEXT((0-AK24)/AK99,"0%"))-1)&amp;"\%"</f>
        <v>interest rate: 6\%</v>
      </c>
      <c r="AM24">
        <f>Master!W24</f>
        <v>-114</v>
      </c>
      <c r="AN24" t="str">
        <f>"interest rate: "&amp;LEFT(TEXT((0-AM24)/AM99,"0%"),SEARCH("%",TEXT((0-AM24)/AM99,"0%"))-1)&amp;"\%"</f>
        <v>interest rate: 6\%</v>
      </c>
      <c r="AO24">
        <f>Master!X24</f>
        <v>-550</v>
      </c>
      <c r="AP24" t="str">
        <f>"interest rate: "&amp;LEFT(TEXT((0-AO24)/AO99,"0%"),SEARCH("%",TEXT((0-AO24)/AO99,"0%"))-1)&amp;"\%"</f>
        <v>interest rate: 11\%</v>
      </c>
    </row>
    <row r="25" spans="1:42">
      <c r="A25" t="str">
        <f>Master!A25</f>
        <v>One-time settlement in legal dispute</v>
      </c>
      <c r="B25">
        <f>Master!B25</f>
        <v>1</v>
      </c>
      <c r="C25">
        <f>Master!C25</f>
        <v>0</v>
      </c>
      <c r="E25">
        <f>Master!D25</f>
        <v>0</v>
      </c>
      <c r="G25">
        <f>Master!E25</f>
        <v>0</v>
      </c>
      <c r="I25">
        <f>Master!F25</f>
        <v>0</v>
      </c>
      <c r="K25">
        <f>Master!G25</f>
        <v>0</v>
      </c>
      <c r="M25">
        <f>Master!H25</f>
        <v>0</v>
      </c>
      <c r="O25">
        <f>Master!I25</f>
        <v>0</v>
      </c>
      <c r="Q25">
        <f>Master!J25</f>
        <v>0</v>
      </c>
      <c r="S25">
        <f>Master!K25</f>
        <v>0</v>
      </c>
      <c r="U25">
        <f>Master!L25</f>
        <v>0</v>
      </c>
      <c r="W25">
        <f>Master!M25</f>
        <v>-500</v>
      </c>
      <c r="Y25">
        <f>Master!N25</f>
        <v>500</v>
      </c>
      <c r="AA25">
        <f>Master!O25</f>
        <v>0</v>
      </c>
      <c r="AC25">
        <f>Master!P25</f>
        <v>0</v>
      </c>
      <c r="AE25">
        <f>Master!Q25</f>
        <v>500</v>
      </c>
      <c r="AG25">
        <f>Master!R25</f>
        <v>-500</v>
      </c>
      <c r="AI25">
        <f>Master!S25</f>
        <v>0</v>
      </c>
      <c r="AK25">
        <f>Master!T25</f>
        <v>0</v>
      </c>
      <c r="AM25">
        <f>Master!W25</f>
        <v>0</v>
      </c>
      <c r="AO25">
        <f>Master!X25</f>
        <v>0</v>
      </c>
    </row>
    <row r="26" spans="1:42">
      <c r="A26">
        <f>Master!A26</f>
        <v>0</v>
      </c>
      <c r="B26">
        <f>Master!B26</f>
        <v>0</v>
      </c>
      <c r="C26">
        <f>Master!C26</f>
        <v>0</v>
      </c>
      <c r="E26">
        <f>Master!D26</f>
        <v>0</v>
      </c>
      <c r="G26">
        <f>Master!E26</f>
        <v>0</v>
      </c>
      <c r="I26">
        <f>Master!F26</f>
        <v>0</v>
      </c>
      <c r="K26">
        <f>Master!G26</f>
        <v>0</v>
      </c>
      <c r="M26">
        <f>Master!H26</f>
        <v>0</v>
      </c>
      <c r="O26">
        <f>Master!I26</f>
        <v>0</v>
      </c>
      <c r="Q26">
        <f>Master!J26</f>
        <v>0</v>
      </c>
      <c r="S26">
        <f>Master!K26</f>
        <v>0</v>
      </c>
      <c r="U26">
        <f>Master!L26</f>
        <v>0</v>
      </c>
      <c r="W26">
        <f>Master!M26</f>
        <v>0</v>
      </c>
      <c r="Y26">
        <f>Master!N26</f>
        <v>0</v>
      </c>
      <c r="AA26">
        <f>Master!O26</f>
        <v>0</v>
      </c>
      <c r="AC26">
        <f>Master!P26</f>
        <v>0</v>
      </c>
      <c r="AE26">
        <f>Master!Q26</f>
        <v>0</v>
      </c>
      <c r="AG26">
        <f>Master!R26</f>
        <v>0</v>
      </c>
      <c r="AI26">
        <f>Master!S26</f>
        <v>0</v>
      </c>
      <c r="AK26">
        <f>Master!T26</f>
        <v>0</v>
      </c>
      <c r="AM26">
        <f>Master!W26</f>
        <v>0</v>
      </c>
      <c r="AO26">
        <f>Master!X26</f>
        <v>0</v>
      </c>
    </row>
    <row r="27" spans="1:42">
      <c r="A27" t="str">
        <f>Master!A27</f>
        <v>Other income (expense)</v>
      </c>
      <c r="B27">
        <f>Master!B27</f>
        <v>0</v>
      </c>
      <c r="C27">
        <f>Master!C27</f>
        <v>0</v>
      </c>
      <c r="E27">
        <f>Master!D27</f>
        <v>0</v>
      </c>
      <c r="G27">
        <f>Master!E27</f>
        <v>0</v>
      </c>
      <c r="I27">
        <f>Master!F27</f>
        <v>0</v>
      </c>
      <c r="K27">
        <f>Master!G27</f>
        <v>0</v>
      </c>
      <c r="M27">
        <f>Master!H27</f>
        <v>0</v>
      </c>
      <c r="O27">
        <f>Master!I27</f>
        <v>0</v>
      </c>
      <c r="Q27">
        <f>Master!J27</f>
        <v>0</v>
      </c>
      <c r="S27">
        <f>Master!K27</f>
        <v>0</v>
      </c>
      <c r="U27">
        <f>Master!L27</f>
        <v>0</v>
      </c>
      <c r="W27">
        <f>Master!M27</f>
        <v>0</v>
      </c>
      <c r="Y27">
        <f>Master!N27</f>
        <v>0</v>
      </c>
      <c r="AA27">
        <f>Master!O27</f>
        <v>0</v>
      </c>
      <c r="AC27">
        <f>Master!P27</f>
        <v>0</v>
      </c>
      <c r="AE27">
        <f>Master!Q27</f>
        <v>0</v>
      </c>
      <c r="AG27">
        <f>Master!R27</f>
        <v>0</v>
      </c>
      <c r="AI27">
        <f>Master!S27</f>
        <v>0</v>
      </c>
      <c r="AK27">
        <f>Master!T27</f>
        <v>0</v>
      </c>
      <c r="AM27">
        <f>Master!W27</f>
        <v>0</v>
      </c>
      <c r="AO27">
        <f>Master!X27</f>
        <v>0</v>
      </c>
    </row>
    <row r="28" spans="1:42">
      <c r="A28" t="str">
        <f>Master!A28</f>
        <v>Income before taxes</v>
      </c>
      <c r="B28" t="str">
        <f>Master!B28</f>
        <v>0s</v>
      </c>
      <c r="C28">
        <f>Master!C28</f>
        <v>21774</v>
      </c>
      <c r="E28">
        <f>Master!D28</f>
        <v>32510</v>
      </c>
      <c r="G28">
        <f>Master!E28</f>
        <v>3284</v>
      </c>
      <c r="I28">
        <f>Master!F28</f>
        <v>5674</v>
      </c>
      <c r="K28">
        <f>Master!G28</f>
        <v>5584</v>
      </c>
      <c r="M28">
        <f>Master!H28</f>
        <v>858</v>
      </c>
      <c r="O28">
        <f>Master!I28</f>
        <v>825</v>
      </c>
      <c r="Q28">
        <f>Master!J28</f>
        <v>3748</v>
      </c>
      <c r="S28">
        <f>Master!K28</f>
        <v>124</v>
      </c>
      <c r="U28">
        <f>Master!L28</f>
        <v>1644</v>
      </c>
      <c r="W28">
        <f>Master!M28</f>
        <v>4744</v>
      </c>
      <c r="Y28">
        <f>Master!N28</f>
        <v>452</v>
      </c>
      <c r="AA28">
        <f>Master!O28</f>
        <v>4401</v>
      </c>
      <c r="AC28">
        <f>Master!P28</f>
        <v>425</v>
      </c>
      <c r="AE28">
        <f>Master!Q28</f>
        <v>2938</v>
      </c>
      <c r="AG28">
        <f>Master!R28</f>
        <v>376</v>
      </c>
      <c r="AI28">
        <f>Master!S28</f>
        <v>2041</v>
      </c>
      <c r="AK28">
        <f>Master!T28</f>
        <v>590</v>
      </c>
      <c r="AM28">
        <f>Master!W28</f>
        <v>586</v>
      </c>
      <c r="AO28">
        <f>Master!X28</f>
        <v>45</v>
      </c>
    </row>
    <row r="29" spans="1:42">
      <c r="A29" t="str">
        <f>Master!A29</f>
        <v>Deferred tax claimed (to offset future taxes)</v>
      </c>
      <c r="B29">
        <f>Master!B29</f>
        <v>1</v>
      </c>
      <c r="C29">
        <f>Master!C29</f>
        <v>0</v>
      </c>
      <c r="D29" t="str">
        <f>$A$117&amp;" "&amp;C$118&amp;"$ \rightarrow$ \textcolor{soln-black}{"&amp;C$117&amp;"}"</f>
        <v>Tax line red herring: 20$ \rightarrow$ \textcolor{soln-black}{T}</v>
      </c>
      <c r="E29">
        <f>Master!D29</f>
        <v>0</v>
      </c>
      <c r="F29" t="str">
        <f>$A$117&amp;" "&amp;E$118&amp;"$ \rightarrow$ \textcolor{soln-black}{"&amp;E$117&amp;"}"</f>
        <v>Tax line red herring: 1$ \rightarrow$ \textcolor{soln-black}{A}</v>
      </c>
      <c r="G29">
        <f>Master!E29</f>
        <v>0</v>
      </c>
      <c r="H29" t="str">
        <f>$A$117&amp;" "&amp;G$118&amp;"$ \rightarrow$ \textcolor{soln-black}{"&amp;G$117&amp;"}"</f>
        <v>Tax line red herring: 24$ \rightarrow$ \textcolor{soln-black}{X}</v>
      </c>
      <c r="I29">
        <f>Master!F29</f>
        <v>0</v>
      </c>
      <c r="J29" t="str">
        <f>$A$117&amp;" "&amp;I$118&amp;"$ \rightarrow$ \textcolor{soln-black}{"&amp;I$117&amp;"}"</f>
        <v>Tax line red herring: 12$ \rightarrow$ \textcolor{soln-black}{L}</v>
      </c>
      <c r="K29">
        <f>Master!G29</f>
        <v>0</v>
      </c>
      <c r="L29" t="str">
        <f>$A$117&amp;" "&amp;K$118&amp;"$ \rightarrow$ \textcolor{soln-black}{"&amp;K$117&amp;"}"</f>
        <v>Tax line red herring: 9$ \rightarrow$ \textcolor{soln-black}{I}</v>
      </c>
      <c r="M29">
        <f>Master!H29</f>
        <v>0</v>
      </c>
      <c r="N29" t="str">
        <f>$A$117&amp;" "&amp;M$118&amp;"$ \rightarrow$ \textcolor{soln-black}{"&amp;M$117&amp;"}"</f>
        <v>Tax line red herring: 14$ \rightarrow$ \textcolor{soln-black}{N}</v>
      </c>
      <c r="O29">
        <f>Master!I29</f>
        <v>0</v>
      </c>
      <c r="P29" t="str">
        <f>$A$117&amp;" "&amp;O$118&amp;"$ \rightarrow$ \textcolor{soln-black}{"&amp;O$117&amp;"}"</f>
        <v>Tax line red herring: 5$ \rightarrow$ \textcolor{soln-black}{E}</v>
      </c>
      <c r="Q29">
        <f>Master!J29</f>
        <v>0</v>
      </c>
      <c r="R29" t="str">
        <f>$A$117&amp;" "&amp;Q$118&amp;"$ \rightarrow$ \textcolor{soln-black}{"&amp;Q$117&amp;"}"</f>
        <v>Tax line red herring: 18$ \rightarrow$ \textcolor{soln-black}{R}</v>
      </c>
      <c r="S29">
        <f>Master!K29</f>
        <v>0</v>
      </c>
      <c r="T29" t="str">
        <f>$A$117&amp;" "&amp;S$118&amp;"$ \rightarrow$ \textcolor{soln-black}{"&amp;S$117&amp;"}"</f>
        <v>Tax line red herring: 5$ \rightarrow$ \textcolor{soln-black}{E}</v>
      </c>
      <c r="U29">
        <f>Master!L29</f>
        <v>0</v>
      </c>
      <c r="V29" t="str">
        <f>$A$117&amp;" "&amp;U$118&amp;"$ \rightarrow$ \textcolor{soln-black}{"&amp;U$117&amp;"}"</f>
        <v>Tax line red herring: 4$ \rightarrow$ \textcolor{soln-black}{D}</v>
      </c>
      <c r="W29">
        <f>Master!M29</f>
        <v>0</v>
      </c>
      <c r="X29" t="str">
        <f>$A$117&amp;" "&amp;W$118&amp;"$ \rightarrow$ \textcolor{soln-black}{"&amp;W$117&amp;"}"</f>
        <v>Tax line red herring: 8$ \rightarrow$ \textcolor{soln-black}{H}</v>
      </c>
      <c r="Y29">
        <f>Master!N29</f>
        <v>0</v>
      </c>
      <c r="Z29" t="str">
        <f>$A$117&amp;" "&amp;Y$118&amp;"$ \rightarrow$ \textcolor{soln-black}{"&amp;Y$117&amp;"}"</f>
        <v>Tax line red herring: 5$ \rightarrow$ \textcolor{soln-black}{E}</v>
      </c>
      <c r="AA29">
        <f>Master!O29</f>
        <v>0</v>
      </c>
      <c r="AB29" t="str">
        <f>$A$117&amp;" "&amp;AA$118&amp;"$ \rightarrow$ \textcolor{soln-black}{"&amp;AA$117&amp;"}"</f>
        <v>Tax line red herring: 18$ \rightarrow$ \textcolor{soln-black}{R}</v>
      </c>
      <c r="AC29">
        <f>Master!P29</f>
        <v>0</v>
      </c>
      <c r="AD29" t="str">
        <f>$A$117&amp;" "&amp;AC$118&amp;"$ \rightarrow$ \textcolor{soln-black}{"&amp;AC$117&amp;"}"</f>
        <v>Tax line red herring: 18$ \rightarrow$ \textcolor{soln-black}{R}</v>
      </c>
      <c r="AE29">
        <f>Master!Q29</f>
        <v>0</v>
      </c>
      <c r="AF29" t="str">
        <f>$A$117&amp;" "&amp;AE$118&amp;"$ \rightarrow$ \textcolor{soln-black}{"&amp;AE$117&amp;"}"</f>
        <v>Tax line red herring: 9$ \rightarrow$ \textcolor{soln-black}{I}</v>
      </c>
      <c r="AG29">
        <f>Master!R29</f>
        <v>0</v>
      </c>
      <c r="AH29" t="str">
        <f>$A$117&amp;" "&amp;AG$118&amp;"$ \rightarrow$ \textcolor{soln-black}{"&amp;AG$117&amp;"}"</f>
        <v>Tax line red herring: 14$ \rightarrow$ \textcolor{soln-black}{N}</v>
      </c>
      <c r="AI29">
        <f>Master!S29</f>
        <v>0</v>
      </c>
      <c r="AJ29" t="str">
        <f>$A$117&amp;" "&amp;AI$118&amp;"$ \rightarrow$ \textcolor{soln-black}{"&amp;AI$117&amp;"}"</f>
        <v>Tax line red herring: 7$ \rightarrow$ \textcolor{soln-black}{G}</v>
      </c>
      <c r="AK29">
        <f>Master!T29</f>
        <v>0</v>
      </c>
      <c r="AL29" t="str">
        <f>$A$117&amp;" "&amp;AK$118&amp;"$ \rightarrow$ \textcolor{soln-black}{"&amp;AK$117&amp;"}"</f>
        <v>Tax line red herring: 0$ \rightarrow$ \textcolor{soln-black}{0}</v>
      </c>
      <c r="AM29">
        <f>Master!W29</f>
        <v>0</v>
      </c>
      <c r="AN29" t="str">
        <f>$A$117&amp;" "&amp;AM$118&amp;"$ \rightarrow$ \textcolor{soln-black}{"&amp;AM$117&amp;"}"</f>
        <v>Tax line red herring: 14$ \rightarrow$ \textcolor{soln-black}{N}</v>
      </c>
      <c r="AO29">
        <f>Master!X29</f>
        <v>0</v>
      </c>
      <c r="AP29" t="str">
        <f>$A$117&amp;" "&amp;AO$118&amp;"$ \rightarrow$ \textcolor{soln-black}{"&amp;AO$117&amp;"}"</f>
        <v>Tax line red herring: 7$ \rightarrow$ \textcolor{soln-black}{G}</v>
      </c>
    </row>
    <row r="30" spans="1:42">
      <c r="A30" t="str">
        <f>Master!A30</f>
        <v>Income taxes paid</v>
      </c>
      <c r="B30">
        <f>Master!B30</f>
        <v>1</v>
      </c>
      <c r="C30">
        <f>Master!C30</f>
        <v>7020</v>
      </c>
      <c r="D30" t="str">
        <f>$A$117&amp;" "&amp;C$118&amp;"$ \rightarrow$ \textcolor{soln-black}{"&amp;C$117&amp;"}"</f>
        <v>Tax line red herring: 20$ \rightarrow$ \textcolor{soln-black}{T}</v>
      </c>
      <c r="E30">
        <f>Master!D30</f>
        <v>10001</v>
      </c>
      <c r="F30" t="str">
        <f>$A$117&amp;" "&amp;E$118&amp;"$ \rightarrow$ \textcolor{soln-black}{"&amp;E$117&amp;"}"</f>
        <v>Tax line red herring: 1$ \rightarrow$ \textcolor{soln-black}{A}</v>
      </c>
      <c r="G30">
        <f>Master!E30</f>
        <v>1024</v>
      </c>
      <c r="H30" t="str">
        <f>$A$117&amp;" "&amp;G$118&amp;"$ \rightarrow$ \textcolor{soln-black}{"&amp;G$117&amp;"}"</f>
        <v>Tax line red herring: 24$ \rightarrow$ \textcolor{soln-black}{X}</v>
      </c>
      <c r="I30">
        <f>Master!F30</f>
        <v>1012</v>
      </c>
      <c r="J30" t="str">
        <f>$A$117&amp;" "&amp;I$118&amp;"$ \rightarrow$ \textcolor{soln-black}{"&amp;I$117&amp;"}"</f>
        <v>Tax line red herring: 12$ \rightarrow$ \textcolor{soln-black}{L}</v>
      </c>
      <c r="K30">
        <f>Master!G30</f>
        <v>1009</v>
      </c>
      <c r="L30" t="str">
        <f>$A$117&amp;" "&amp;K$118&amp;"$ \rightarrow$ \textcolor{soln-black}{"&amp;K$117&amp;"}"</f>
        <v>Tax line red herring: 9$ \rightarrow$ \textcolor{soln-black}{I}</v>
      </c>
      <c r="M30">
        <f>Master!H30</f>
        <v>14</v>
      </c>
      <c r="N30" t="str">
        <f>$A$117&amp;" "&amp;M$118&amp;"$ \rightarrow$ \textcolor{soln-black}{"&amp;M$117&amp;"}"</f>
        <v>Tax line red herring: 14$ \rightarrow$ \textcolor{soln-black}{N}</v>
      </c>
      <c r="O30">
        <f>Master!I30</f>
        <v>5</v>
      </c>
      <c r="P30" t="str">
        <f>$A$117&amp;" "&amp;O$118&amp;"$ \rightarrow$ \textcolor{soln-black}{"&amp;O$117&amp;"}"</f>
        <v>Tax line red herring: 5$ \rightarrow$ \textcolor{soln-black}{E}</v>
      </c>
      <c r="Q30">
        <f>Master!J30</f>
        <v>1018</v>
      </c>
      <c r="R30" t="str">
        <f>$A$117&amp;" "&amp;Q$118&amp;"$ \rightarrow$ \textcolor{soln-black}{"&amp;Q$117&amp;"}"</f>
        <v>Tax line red herring: 18$ \rightarrow$ \textcolor{soln-black}{R}</v>
      </c>
      <c r="S30">
        <f>Master!K30</f>
        <v>5</v>
      </c>
      <c r="T30" t="str">
        <f>$A$117&amp;" "&amp;S$118&amp;"$ \rightarrow$ \textcolor{soln-black}{"&amp;S$117&amp;"}"</f>
        <v>Tax line red herring: 5$ \rightarrow$ \textcolor{soln-black}{E}</v>
      </c>
      <c r="U30">
        <f>Master!L30</f>
        <v>404</v>
      </c>
      <c r="V30" t="str">
        <f>$A$117&amp;" "&amp;U$118&amp;"$ \rightarrow$ \textcolor{soln-black}{"&amp;U$117&amp;"}"</f>
        <v>Tax line red herring: 4$ \rightarrow$ \textcolor{soln-black}{D}</v>
      </c>
      <c r="W30">
        <f>Master!M30</f>
        <v>1008</v>
      </c>
      <c r="X30" t="str">
        <f>$A$117&amp;" "&amp;W$118&amp;"$ \rightarrow$ \textcolor{soln-black}{"&amp;W$117&amp;"}"</f>
        <v>Tax line red herring: 8$ \rightarrow$ \textcolor{soln-black}{H}</v>
      </c>
      <c r="Y30">
        <f>Master!N30</f>
        <v>5</v>
      </c>
      <c r="Z30" t="str">
        <f>$A$117&amp;" "&amp;Y$118&amp;"$ \rightarrow$ \textcolor{soln-black}{"&amp;Y$117&amp;"}"</f>
        <v>Tax line red herring: 5$ \rightarrow$ \textcolor{soln-black}{E}</v>
      </c>
      <c r="AA30">
        <f>Master!O30</f>
        <v>1018</v>
      </c>
      <c r="AB30" t="str">
        <f>$A$117&amp;" "&amp;AA$118&amp;"$ \rightarrow$ \textcolor{soln-black}{"&amp;AA$117&amp;"}"</f>
        <v>Tax line red herring: 18$ \rightarrow$ \textcolor{soln-black}{R}</v>
      </c>
      <c r="AC30">
        <f>Master!P30</f>
        <v>18</v>
      </c>
      <c r="AD30" t="str">
        <f>$A$117&amp;" "&amp;AC$118&amp;"$ \rightarrow$ \textcolor{soln-black}{"&amp;AC$117&amp;"}"</f>
        <v>Tax line red herring: 18$ \rightarrow$ \textcolor{soln-black}{R}</v>
      </c>
      <c r="AE30">
        <f>Master!Q30</f>
        <v>909</v>
      </c>
      <c r="AF30" t="str">
        <f>$A$117&amp;" "&amp;AE$118&amp;"$ \rightarrow$ \textcolor{soln-black}{"&amp;AE$117&amp;"}"</f>
        <v>Tax line red herring: 9$ \rightarrow$ \textcolor{soln-black}{I}</v>
      </c>
      <c r="AG30">
        <f>Master!R30</f>
        <v>14</v>
      </c>
      <c r="AH30" t="str">
        <f>$A$117&amp;" "&amp;AG$118&amp;"$ \rightarrow$ \textcolor{soln-black}{"&amp;AG$117&amp;"}"</f>
        <v>Tax line red herring: 14$ \rightarrow$ \textcolor{soln-black}{N}</v>
      </c>
      <c r="AI30">
        <f>Master!S30</f>
        <v>707</v>
      </c>
      <c r="AJ30" t="str">
        <f>$A$117&amp;" "&amp;AI$118&amp;"$ \rightarrow$ \textcolor{soln-black}{"&amp;AI$117&amp;"}"</f>
        <v>Tax line red herring: 7$ \rightarrow$ \textcolor{soln-black}{G}</v>
      </c>
      <c r="AK30">
        <f>Master!T30</f>
        <v>100</v>
      </c>
      <c r="AL30" t="str">
        <f>$A$117&amp;" "&amp;AK$118&amp;"$ \rightarrow$ \textcolor{soln-black}{"&amp;AK$117&amp;"}"</f>
        <v>Tax line red herring: 0$ \rightarrow$ \textcolor{soln-black}{0}</v>
      </c>
      <c r="AM30">
        <f>Master!W30</f>
        <v>14</v>
      </c>
      <c r="AN30" t="str">
        <f>$A$117&amp;" "&amp;AM$118&amp;"$ \rightarrow$ \textcolor{soln-black}{"&amp;AM$117&amp;"}"</f>
        <v>Tax line red herring: 14$ \rightarrow$ \textcolor{soln-black}{N}</v>
      </c>
      <c r="AO30">
        <f>Master!X30</f>
        <v>7</v>
      </c>
      <c r="AP30" t="str">
        <f>$A$117&amp;" "&amp;AO$118&amp;"$ \rightarrow$ \textcolor{soln-black}{"&amp;AO$117&amp;"}"</f>
        <v>Tax line red herring: 7$ \rightarrow$ \textcolor{soln-black}{G}</v>
      </c>
    </row>
    <row r="31" spans="1:42">
      <c r="A31">
        <f>Master!A31</f>
        <v>0</v>
      </c>
      <c r="B31">
        <f>Master!B31</f>
        <v>0</v>
      </c>
      <c r="C31">
        <f>Master!C31</f>
        <v>0</v>
      </c>
      <c r="E31">
        <f>Master!D31</f>
        <v>0</v>
      </c>
      <c r="G31">
        <f>Master!E31</f>
        <v>0</v>
      </c>
      <c r="I31">
        <f>Master!F31</f>
        <v>0</v>
      </c>
      <c r="K31">
        <f>Master!G31</f>
        <v>106</v>
      </c>
      <c r="M31">
        <f>Master!H31</f>
        <v>0</v>
      </c>
      <c r="O31">
        <f>Master!I31</f>
        <v>0</v>
      </c>
      <c r="Q31">
        <f>Master!J31</f>
        <v>0</v>
      </c>
      <c r="S31">
        <f>Master!K31</f>
        <v>0</v>
      </c>
      <c r="U31">
        <f>Master!L31</f>
        <v>501</v>
      </c>
      <c r="W31">
        <f>Master!M31</f>
        <v>0</v>
      </c>
      <c r="Y31">
        <f>Master!N31</f>
        <v>0</v>
      </c>
      <c r="AA31">
        <f>Master!O31</f>
        <v>0</v>
      </c>
      <c r="AC31">
        <f>Master!P31</f>
        <v>0</v>
      </c>
      <c r="AE31">
        <f>Master!Q31</f>
        <v>1005</v>
      </c>
      <c r="AG31">
        <f>Master!R31</f>
        <v>0</v>
      </c>
      <c r="AI31">
        <f>Master!S31</f>
        <v>1018</v>
      </c>
      <c r="AK31">
        <f>Master!T31</f>
        <v>109</v>
      </c>
      <c r="AM31">
        <f>Master!W31</f>
        <v>0</v>
      </c>
      <c r="AO31">
        <f>Master!X31</f>
        <v>0</v>
      </c>
    </row>
    <row r="32" spans="1:42">
      <c r="A32" t="str">
        <f>Master!A32</f>
        <v>Net income</v>
      </c>
      <c r="B32" t="str">
        <f>Master!B32</f>
        <v>0s</v>
      </c>
      <c r="C32">
        <f>Master!C32</f>
        <v>14754</v>
      </c>
      <c r="E32">
        <f>Master!D32</f>
        <v>22509</v>
      </c>
      <c r="G32">
        <f>Master!E32</f>
        <v>2260</v>
      </c>
      <c r="I32">
        <f>Master!F32</f>
        <v>4662</v>
      </c>
      <c r="K32">
        <f>Master!G32</f>
        <v>4575</v>
      </c>
      <c r="M32">
        <f>Master!H32</f>
        <v>844</v>
      </c>
      <c r="O32">
        <f>Master!I32</f>
        <v>820</v>
      </c>
      <c r="Q32">
        <f>Master!J32</f>
        <v>2730</v>
      </c>
      <c r="S32">
        <f>Master!K32</f>
        <v>119</v>
      </c>
      <c r="U32">
        <f>Master!L32</f>
        <v>1240</v>
      </c>
      <c r="W32">
        <f>Master!M32</f>
        <v>3736</v>
      </c>
      <c r="Y32">
        <f>Master!N32</f>
        <v>447</v>
      </c>
      <c r="AA32">
        <f>Master!O32</f>
        <v>3383</v>
      </c>
      <c r="AC32">
        <f>Master!P32</f>
        <v>407</v>
      </c>
      <c r="AE32">
        <f>Master!Q32</f>
        <v>2029</v>
      </c>
      <c r="AG32">
        <f>Master!R32</f>
        <v>362</v>
      </c>
      <c r="AI32">
        <f>Master!S32</f>
        <v>1334</v>
      </c>
      <c r="AK32">
        <f>Master!T32</f>
        <v>490</v>
      </c>
      <c r="AM32">
        <f>Master!W32</f>
        <v>572</v>
      </c>
      <c r="AO32">
        <f>Master!X32</f>
        <v>38</v>
      </c>
      <c r="AP32" t="s">
        <v>272</v>
      </c>
    </row>
    <row r="33" spans="1:41">
      <c r="A33">
        <f>Master!A33</f>
        <v>0</v>
      </c>
      <c r="B33">
        <f>Master!B33</f>
        <v>0</v>
      </c>
      <c r="C33">
        <f>Master!C33</f>
        <v>0</v>
      </c>
      <c r="E33">
        <f>Master!D33</f>
        <v>0</v>
      </c>
      <c r="G33">
        <f>Master!E33</f>
        <v>0</v>
      </c>
      <c r="I33">
        <f>Master!F33</f>
        <v>0</v>
      </c>
      <c r="K33">
        <f>Master!G33</f>
        <v>0</v>
      </c>
      <c r="M33">
        <f>Master!H33</f>
        <v>0</v>
      </c>
      <c r="O33">
        <f>Master!I33</f>
        <v>0</v>
      </c>
      <c r="Q33">
        <f>Master!J33</f>
        <v>0</v>
      </c>
      <c r="S33">
        <f>Master!K33</f>
        <v>0</v>
      </c>
      <c r="U33">
        <f>Master!L33</f>
        <v>0</v>
      </c>
      <c r="W33">
        <f>Master!M33</f>
        <v>0</v>
      </c>
      <c r="Y33">
        <f>Master!N33</f>
        <v>0</v>
      </c>
      <c r="AA33">
        <f>Master!O33</f>
        <v>0</v>
      </c>
      <c r="AC33">
        <f>Master!P33</f>
        <v>0</v>
      </c>
      <c r="AE33">
        <f>Master!Q33</f>
        <v>0</v>
      </c>
      <c r="AG33">
        <f>Master!R33</f>
        <v>0</v>
      </c>
      <c r="AI33">
        <f>Master!S33</f>
        <v>0</v>
      </c>
      <c r="AK33">
        <f>Master!T33</f>
        <v>0</v>
      </c>
      <c r="AM33">
        <f>Master!W33</f>
        <v>0</v>
      </c>
      <c r="AO33">
        <f>Master!X33</f>
        <v>0</v>
      </c>
    </row>
    <row r="34" spans="1:41">
      <c r="A34">
        <f>Master!A34</f>
        <v>0</v>
      </c>
      <c r="B34">
        <f>Master!B34</f>
        <v>0</v>
      </c>
      <c r="C34">
        <f>Master!C34</f>
        <v>0</v>
      </c>
      <c r="E34">
        <f>Master!D34</f>
        <v>0</v>
      </c>
      <c r="G34">
        <f>Master!E34</f>
        <v>0</v>
      </c>
      <c r="I34">
        <f>Master!F34</f>
        <v>0</v>
      </c>
      <c r="K34">
        <f>Master!G34</f>
        <v>0</v>
      </c>
      <c r="M34">
        <f>Master!H34</f>
        <v>0</v>
      </c>
      <c r="O34">
        <f>Master!I34</f>
        <v>0</v>
      </c>
      <c r="Q34">
        <f>Master!J34</f>
        <v>0</v>
      </c>
      <c r="S34">
        <f>Master!K34</f>
        <v>0</v>
      </c>
      <c r="U34">
        <f>Master!L34</f>
        <v>0</v>
      </c>
      <c r="W34">
        <f>Master!M34</f>
        <v>0</v>
      </c>
      <c r="Y34">
        <f>Master!N34</f>
        <v>0</v>
      </c>
      <c r="AA34">
        <f>Master!O34</f>
        <v>0</v>
      </c>
      <c r="AC34">
        <f>Master!P34</f>
        <v>0</v>
      </c>
      <c r="AE34">
        <f>Master!Q34</f>
        <v>0</v>
      </c>
      <c r="AG34">
        <f>Master!R34</f>
        <v>0</v>
      </c>
      <c r="AI34">
        <f>Master!S34</f>
        <v>0</v>
      </c>
      <c r="AK34">
        <f>Master!T34</f>
        <v>0</v>
      </c>
      <c r="AM34">
        <f>Master!W34</f>
        <v>0</v>
      </c>
      <c r="AO34">
        <f>Master!X34</f>
        <v>0</v>
      </c>
    </row>
    <row r="35" spans="1:41">
      <c r="A35">
        <f>Master!A35</f>
        <v>0</v>
      </c>
      <c r="B35">
        <f>Master!B35</f>
        <v>0</v>
      </c>
      <c r="C35">
        <f>Master!C35</f>
        <v>0</v>
      </c>
      <c r="E35">
        <f>Master!D35</f>
        <v>0</v>
      </c>
      <c r="G35">
        <f>Master!E35</f>
        <v>0</v>
      </c>
      <c r="I35">
        <f>Master!F35</f>
        <v>0</v>
      </c>
      <c r="K35">
        <f>Master!G35</f>
        <v>0</v>
      </c>
      <c r="M35">
        <f>Master!H35</f>
        <v>0</v>
      </c>
      <c r="O35">
        <f>Master!I35</f>
        <v>0</v>
      </c>
      <c r="Q35">
        <f>Master!J35</f>
        <v>0</v>
      </c>
      <c r="S35">
        <f>Master!K35</f>
        <v>0</v>
      </c>
      <c r="U35">
        <f>Master!L35</f>
        <v>0</v>
      </c>
      <c r="W35">
        <f>Master!M35</f>
        <v>0</v>
      </c>
      <c r="Y35">
        <f>Master!N35</f>
        <v>0</v>
      </c>
      <c r="AA35">
        <f>Master!O35</f>
        <v>0</v>
      </c>
      <c r="AC35">
        <f>Master!P35</f>
        <v>0</v>
      </c>
      <c r="AE35">
        <f>Master!Q35</f>
        <v>0</v>
      </c>
      <c r="AG35">
        <f>Master!R35</f>
        <v>0</v>
      </c>
      <c r="AI35">
        <f>Master!S35</f>
        <v>0</v>
      </c>
      <c r="AK35">
        <f>Master!T35</f>
        <v>0</v>
      </c>
      <c r="AM35">
        <f>Master!W35</f>
        <v>0</v>
      </c>
      <c r="AO35">
        <f>Master!X35</f>
        <v>0</v>
      </c>
    </row>
    <row r="36" spans="1:41">
      <c r="A36">
        <f>Master!A36</f>
        <v>0</v>
      </c>
      <c r="B36">
        <f>Master!B36</f>
        <v>0</v>
      </c>
      <c r="C36">
        <f>Master!C36</f>
        <v>0</v>
      </c>
      <c r="E36">
        <f>Master!D36</f>
        <v>0</v>
      </c>
      <c r="G36">
        <f>Master!E36</f>
        <v>0</v>
      </c>
      <c r="I36">
        <f>Master!F36</f>
        <v>0</v>
      </c>
      <c r="K36">
        <f>Master!G36</f>
        <v>0</v>
      </c>
      <c r="M36">
        <f>Master!H36</f>
        <v>0</v>
      </c>
      <c r="O36">
        <f>Master!I36</f>
        <v>0</v>
      </c>
      <c r="Q36">
        <f>Master!J36</f>
        <v>0</v>
      </c>
      <c r="S36">
        <f>Master!K36</f>
        <v>0</v>
      </c>
      <c r="U36">
        <f>Master!L36</f>
        <v>0</v>
      </c>
      <c r="W36">
        <f>Master!M36</f>
        <v>0</v>
      </c>
      <c r="Y36">
        <f>Master!N36</f>
        <v>0</v>
      </c>
      <c r="AA36">
        <f>Master!O36</f>
        <v>0</v>
      </c>
      <c r="AC36">
        <f>Master!P36</f>
        <v>0</v>
      </c>
      <c r="AE36">
        <f>Master!Q36</f>
        <v>0</v>
      </c>
      <c r="AG36">
        <f>Master!R36</f>
        <v>0</v>
      </c>
      <c r="AI36">
        <f>Master!S36</f>
        <v>0</v>
      </c>
      <c r="AK36">
        <f>Master!T36</f>
        <v>0</v>
      </c>
      <c r="AM36">
        <f>Master!W36</f>
        <v>0</v>
      </c>
      <c r="AO36">
        <f>Master!X36</f>
        <v>0</v>
      </c>
    </row>
    <row r="37" spans="1:41">
      <c r="A37" t="str">
        <f>Master!A37</f>
        <v>Consolidated Statement of Cash Flows</v>
      </c>
      <c r="B37" t="str">
        <f>Master!B37</f>
        <v>0m</v>
      </c>
      <c r="C37">
        <f>Master!C37</f>
        <v>0</v>
      </c>
      <c r="E37">
        <f>Master!D37</f>
        <v>0</v>
      </c>
      <c r="G37">
        <f>Master!E37</f>
        <v>0</v>
      </c>
      <c r="I37">
        <f>Master!F37</f>
        <v>0</v>
      </c>
      <c r="K37">
        <f>Master!G37</f>
        <v>0</v>
      </c>
      <c r="M37">
        <f>Master!H37</f>
        <v>0</v>
      </c>
      <c r="O37">
        <f>Master!I37</f>
        <v>0</v>
      </c>
      <c r="Q37">
        <f>Master!J37</f>
        <v>0</v>
      </c>
      <c r="S37">
        <f>Master!K37</f>
        <v>0</v>
      </c>
      <c r="U37">
        <f>Master!L37</f>
        <v>0</v>
      </c>
      <c r="W37">
        <f>Master!M37</f>
        <v>0</v>
      </c>
      <c r="Y37">
        <f>Master!N37</f>
        <v>0</v>
      </c>
      <c r="AA37">
        <f>Master!O37</f>
        <v>0</v>
      </c>
      <c r="AC37">
        <f>Master!P37</f>
        <v>0</v>
      </c>
      <c r="AE37">
        <f>Master!Q37</f>
        <v>0</v>
      </c>
      <c r="AG37">
        <f>Master!R37</f>
        <v>0</v>
      </c>
      <c r="AI37">
        <f>Master!S37</f>
        <v>0</v>
      </c>
      <c r="AK37">
        <f>Master!T37</f>
        <v>0</v>
      </c>
      <c r="AM37">
        <f>Master!W37</f>
        <v>0</v>
      </c>
      <c r="AO37">
        <f>Master!X37</f>
        <v>0</v>
      </c>
    </row>
    <row r="38" spans="1:41">
      <c r="A38">
        <f>Master!A38</f>
        <v>0</v>
      </c>
      <c r="B38">
        <f>Master!B38</f>
        <v>0</v>
      </c>
      <c r="C38">
        <f>Master!C38</f>
        <v>0</v>
      </c>
      <c r="E38">
        <f>Master!D38</f>
        <v>0</v>
      </c>
      <c r="G38">
        <f>Master!E38</f>
        <v>0</v>
      </c>
      <c r="I38">
        <f>Master!F38</f>
        <v>0</v>
      </c>
      <c r="K38">
        <f>Master!G38</f>
        <v>0</v>
      </c>
      <c r="M38">
        <f>Master!H38</f>
        <v>0</v>
      </c>
      <c r="O38">
        <f>Master!I38</f>
        <v>0</v>
      </c>
      <c r="Q38">
        <f>Master!J38</f>
        <v>0</v>
      </c>
      <c r="S38">
        <f>Master!K38</f>
        <v>0</v>
      </c>
      <c r="U38">
        <f>Master!L38</f>
        <v>0</v>
      </c>
      <c r="W38">
        <f>Master!M38</f>
        <v>0</v>
      </c>
      <c r="Y38">
        <f>Master!N38</f>
        <v>0</v>
      </c>
      <c r="AA38">
        <f>Master!O38</f>
        <v>0</v>
      </c>
      <c r="AC38">
        <f>Master!P38</f>
        <v>0</v>
      </c>
      <c r="AE38">
        <f>Master!Q38</f>
        <v>0</v>
      </c>
      <c r="AG38">
        <f>Master!R38</f>
        <v>0</v>
      </c>
      <c r="AI38">
        <f>Master!S38</f>
        <v>0</v>
      </c>
      <c r="AK38">
        <f>Master!T38</f>
        <v>0</v>
      </c>
      <c r="AM38">
        <f>Master!W38</f>
        <v>0</v>
      </c>
      <c r="AO38">
        <f>Master!X38</f>
        <v>0</v>
      </c>
    </row>
    <row r="39" spans="1:41">
      <c r="A39" t="str">
        <f>Master!A39</f>
        <v>Cash and cash equivalents: beginning of period</v>
      </c>
      <c r="B39">
        <f>Master!B39</f>
        <v>0</v>
      </c>
      <c r="C39">
        <f>Master!C39</f>
        <v>5246</v>
      </c>
      <c r="E39">
        <f>Master!D39</f>
        <v>7491</v>
      </c>
      <c r="G39">
        <f>Master!E39</f>
        <v>15240</v>
      </c>
      <c r="I39">
        <f>Master!F39</f>
        <v>10338</v>
      </c>
      <c r="K39">
        <f>Master!G39</f>
        <v>19175</v>
      </c>
      <c r="M39">
        <f>Master!H39</f>
        <v>5406</v>
      </c>
      <c r="O39">
        <f>Master!I39</f>
        <v>11880</v>
      </c>
      <c r="Q39">
        <f>Master!J39</f>
        <v>3270</v>
      </c>
      <c r="S39">
        <f>Master!K39</f>
        <v>9681</v>
      </c>
      <c r="U39">
        <f>Master!L39</f>
        <v>7260</v>
      </c>
      <c r="W39">
        <f>Master!M39</f>
        <v>-8736</v>
      </c>
      <c r="Y39">
        <f>Master!N39</f>
        <v>9665</v>
      </c>
      <c r="AA39">
        <f>Master!O39</f>
        <v>6617</v>
      </c>
      <c r="AC39">
        <f>Master!P39</f>
        <v>9093</v>
      </c>
      <c r="AE39">
        <f>Master!Q39</f>
        <v>7971</v>
      </c>
      <c r="AG39">
        <f>Master!R39</f>
        <v>-5362</v>
      </c>
      <c r="AI39">
        <f>Master!S39</f>
        <v>8666</v>
      </c>
      <c r="AK39">
        <f>Master!T39</f>
        <v>9010</v>
      </c>
      <c r="AM39">
        <f>Master!W39</f>
        <v>9228</v>
      </c>
      <c r="AO39">
        <f>Master!X39</f>
        <v>9957</v>
      </c>
    </row>
    <row r="40" spans="1:41">
      <c r="A40">
        <f>Master!A40</f>
        <v>0</v>
      </c>
      <c r="B40">
        <f>Master!B40</f>
        <v>0</v>
      </c>
      <c r="C40">
        <f>Master!C40</f>
        <v>0</v>
      </c>
      <c r="E40">
        <f>Master!D40</f>
        <v>0</v>
      </c>
      <c r="G40">
        <f>Master!E40</f>
        <v>0</v>
      </c>
      <c r="I40">
        <f>Master!F40</f>
        <v>0</v>
      </c>
      <c r="K40">
        <f>Master!G40</f>
        <v>0</v>
      </c>
      <c r="M40">
        <f>Master!H40</f>
        <v>0</v>
      </c>
      <c r="O40">
        <f>Master!I40</f>
        <v>0</v>
      </c>
      <c r="Q40">
        <f>Master!J40</f>
        <v>0</v>
      </c>
      <c r="S40">
        <f>Master!K40</f>
        <v>0</v>
      </c>
      <c r="U40">
        <f>Master!L40</f>
        <v>0</v>
      </c>
      <c r="W40">
        <f>Master!M40</f>
        <v>0</v>
      </c>
      <c r="Y40">
        <f>Master!N40</f>
        <v>0</v>
      </c>
      <c r="AA40">
        <f>Master!O40</f>
        <v>0</v>
      </c>
      <c r="AC40">
        <f>Master!P40</f>
        <v>0</v>
      </c>
      <c r="AE40">
        <f>Master!Q40</f>
        <v>0</v>
      </c>
      <c r="AG40">
        <f>Master!R40</f>
        <v>0</v>
      </c>
      <c r="AI40">
        <f>Master!S40</f>
        <v>0</v>
      </c>
      <c r="AK40">
        <f>Master!T40</f>
        <v>0</v>
      </c>
      <c r="AM40">
        <f>Master!W40</f>
        <v>0</v>
      </c>
      <c r="AO40">
        <f>Master!X40</f>
        <v>0</v>
      </c>
    </row>
    <row r="41" spans="1:41">
      <c r="A41" t="str">
        <f>Master!A41</f>
        <v>Cash from operating activities</v>
      </c>
      <c r="B41" t="str">
        <f>Master!B41</f>
        <v>0h</v>
      </c>
      <c r="C41">
        <f>Master!C41</f>
        <v>0</v>
      </c>
      <c r="E41">
        <f>Master!D41</f>
        <v>0</v>
      </c>
      <c r="G41">
        <f>Master!E41</f>
        <v>0</v>
      </c>
      <c r="I41">
        <f>Master!F41</f>
        <v>0</v>
      </c>
      <c r="K41">
        <f>Master!G41</f>
        <v>0</v>
      </c>
      <c r="M41">
        <f>Master!H41</f>
        <v>0</v>
      </c>
      <c r="O41">
        <f>Master!I41</f>
        <v>0</v>
      </c>
      <c r="Q41">
        <f>Master!J41</f>
        <v>0</v>
      </c>
      <c r="S41">
        <f>Master!K41</f>
        <v>0</v>
      </c>
      <c r="U41">
        <f>Master!L41</f>
        <v>0</v>
      </c>
      <c r="W41">
        <f>Master!M41</f>
        <v>0</v>
      </c>
      <c r="Y41">
        <f>Master!N41</f>
        <v>0</v>
      </c>
      <c r="AA41">
        <f>Master!O41</f>
        <v>0</v>
      </c>
      <c r="AC41">
        <f>Master!P41</f>
        <v>0</v>
      </c>
      <c r="AE41">
        <f>Master!Q41</f>
        <v>0</v>
      </c>
      <c r="AG41">
        <f>Master!R41</f>
        <v>0</v>
      </c>
      <c r="AI41">
        <f>Master!S41</f>
        <v>0</v>
      </c>
      <c r="AK41">
        <f>Master!T41</f>
        <v>0</v>
      </c>
      <c r="AM41">
        <f>Master!W41</f>
        <v>0</v>
      </c>
      <c r="AO41">
        <f>Master!X41</f>
        <v>0</v>
      </c>
    </row>
    <row r="42" spans="1:41">
      <c r="A42" t="str">
        <f>Master!A42</f>
        <v>Net Income</v>
      </c>
      <c r="B42">
        <f>Master!B42</f>
        <v>1</v>
      </c>
      <c r="C42">
        <f>Master!C42</f>
        <v>14754</v>
      </c>
      <c r="E42">
        <f>Master!D42</f>
        <v>22509</v>
      </c>
      <c r="G42">
        <f>Master!E42</f>
        <v>2260</v>
      </c>
      <c r="I42">
        <f>Master!F42</f>
        <v>4662</v>
      </c>
      <c r="K42">
        <f>Master!G42</f>
        <v>4575</v>
      </c>
      <c r="M42">
        <f>Master!H42</f>
        <v>844</v>
      </c>
      <c r="O42">
        <f>Master!I42</f>
        <v>820</v>
      </c>
      <c r="Q42">
        <f>Master!J42</f>
        <v>2730</v>
      </c>
      <c r="S42">
        <f>Master!K42</f>
        <v>119</v>
      </c>
      <c r="U42">
        <f>Master!L42</f>
        <v>1240</v>
      </c>
      <c r="W42">
        <f>Master!M42</f>
        <v>3736</v>
      </c>
      <c r="Y42">
        <f>Master!N42</f>
        <v>447</v>
      </c>
      <c r="AA42">
        <f>Master!O42</f>
        <v>3383</v>
      </c>
      <c r="AC42">
        <f>Master!P42</f>
        <v>407</v>
      </c>
      <c r="AE42">
        <f>Master!Q42</f>
        <v>2029</v>
      </c>
      <c r="AG42">
        <f>Master!R42</f>
        <v>362</v>
      </c>
      <c r="AI42">
        <f>Master!S42</f>
        <v>1334</v>
      </c>
      <c r="AK42">
        <f>Master!T42</f>
        <v>490</v>
      </c>
      <c r="AM42">
        <f>Master!W42</f>
        <v>572</v>
      </c>
      <c r="AO42">
        <f>Master!X42</f>
        <v>38</v>
      </c>
    </row>
    <row r="43" spans="1:41">
      <c r="A43" t="str">
        <f>Master!A43</f>
        <v>Depreciation \&amp; amortization</v>
      </c>
      <c r="B43">
        <f>Master!B43</f>
        <v>1</v>
      </c>
      <c r="C43">
        <f>Master!C43</f>
        <v>0</v>
      </c>
      <c r="E43">
        <f>Master!D43</f>
        <v>0</v>
      </c>
      <c r="G43">
        <f>Master!E43</f>
        <v>2500</v>
      </c>
      <c r="I43">
        <f>Master!F43</f>
        <v>5000</v>
      </c>
      <c r="K43">
        <f>Master!G43</f>
        <v>6250</v>
      </c>
      <c r="M43">
        <f>Master!H43</f>
        <v>3750</v>
      </c>
      <c r="O43">
        <f>Master!I43</f>
        <v>300</v>
      </c>
      <c r="Q43">
        <f>Master!J43</f>
        <v>4000</v>
      </c>
      <c r="S43">
        <f>Master!K43</f>
        <v>200</v>
      </c>
      <c r="U43">
        <f>Master!L43</f>
        <v>1500</v>
      </c>
      <c r="W43">
        <f>Master!M43</f>
        <v>0</v>
      </c>
      <c r="Y43">
        <f>Master!N43</f>
        <v>0</v>
      </c>
      <c r="AA43">
        <f>Master!O43</f>
        <v>0</v>
      </c>
      <c r="AC43">
        <f>Master!P43</f>
        <v>500</v>
      </c>
      <c r="AE43">
        <f>Master!Q43</f>
        <v>0</v>
      </c>
      <c r="AG43">
        <f>Master!R43</f>
        <v>0</v>
      </c>
      <c r="AI43">
        <f>Master!S43</f>
        <v>0</v>
      </c>
      <c r="AK43">
        <f>Master!T43</f>
        <v>500</v>
      </c>
      <c r="AM43">
        <f>Master!W43</f>
        <v>0</v>
      </c>
      <c r="AO43">
        <f>Master!X43</f>
        <v>5</v>
      </c>
    </row>
    <row r="44" spans="1:41">
      <c r="A44" t="str">
        <f>Master!A44</f>
        <v>Provision for loan losses</v>
      </c>
      <c r="B44">
        <f>Master!B44</f>
        <v>1</v>
      </c>
      <c r="C44">
        <f>Master!C44</f>
        <v>0</v>
      </c>
      <c r="E44">
        <f>Master!D44</f>
        <v>0</v>
      </c>
      <c r="G44">
        <f>Master!E44</f>
        <v>0</v>
      </c>
      <c r="I44">
        <f>Master!F44</f>
        <v>0</v>
      </c>
      <c r="K44">
        <f>Master!G44</f>
        <v>0</v>
      </c>
      <c r="M44">
        <f>Master!H44</f>
        <v>0</v>
      </c>
      <c r="O44">
        <f>Master!I44</f>
        <v>0</v>
      </c>
      <c r="Q44">
        <f>Master!J44</f>
        <v>0</v>
      </c>
      <c r="S44">
        <f>Master!K44</f>
        <v>0</v>
      </c>
      <c r="U44">
        <f>Master!L44</f>
        <v>0</v>
      </c>
      <c r="W44">
        <f>Master!M44</f>
        <v>0</v>
      </c>
      <c r="Y44">
        <f>Master!N44</f>
        <v>0</v>
      </c>
      <c r="AA44">
        <f>Master!O44</f>
        <v>0</v>
      </c>
      <c r="AC44">
        <f>Master!P44</f>
        <v>0</v>
      </c>
      <c r="AE44">
        <f>Master!Q44</f>
        <v>0</v>
      </c>
      <c r="AG44">
        <f>Master!R44</f>
        <v>0</v>
      </c>
      <c r="AI44">
        <f>Master!S44</f>
        <v>0</v>
      </c>
      <c r="AK44">
        <f>Master!T44</f>
        <v>0</v>
      </c>
      <c r="AM44">
        <f>Master!W44</f>
        <v>0</v>
      </c>
      <c r="AO44">
        <f>Master!X44</f>
        <v>0</v>
      </c>
    </row>
    <row r="45" spans="1:41">
      <c r="A45" t="str">
        <f>Master!A45</f>
        <v>Stock-based compensation</v>
      </c>
      <c r="B45">
        <f>Master!B45</f>
        <v>1</v>
      </c>
      <c r="C45">
        <f>Master!C45</f>
        <v>0</v>
      </c>
      <c r="E45">
        <f>Master!D45</f>
        <v>0</v>
      </c>
      <c r="G45">
        <f>Master!E45</f>
        <v>0</v>
      </c>
      <c r="I45">
        <f>Master!F45</f>
        <v>0</v>
      </c>
      <c r="K45">
        <f>Master!G45</f>
        <v>0</v>
      </c>
      <c r="M45">
        <f>Master!H45</f>
        <v>0</v>
      </c>
      <c r="O45">
        <f>Master!I45</f>
        <v>0</v>
      </c>
      <c r="Q45">
        <f>Master!J45</f>
        <v>0</v>
      </c>
      <c r="S45">
        <f>Master!K45</f>
        <v>0</v>
      </c>
      <c r="U45">
        <f>Master!L45</f>
        <v>0</v>
      </c>
      <c r="W45">
        <f>Master!M45</f>
        <v>0</v>
      </c>
      <c r="Y45">
        <f>Master!N45</f>
        <v>0</v>
      </c>
      <c r="AA45">
        <f>Master!O45</f>
        <v>0</v>
      </c>
      <c r="AC45">
        <f>Master!P45</f>
        <v>0</v>
      </c>
      <c r="AE45">
        <f>Master!Q45</f>
        <v>0</v>
      </c>
      <c r="AG45">
        <f>Master!R45</f>
        <v>0</v>
      </c>
      <c r="AI45">
        <f>Master!S45</f>
        <v>0</v>
      </c>
      <c r="AK45">
        <f>Master!T45</f>
        <v>0</v>
      </c>
      <c r="AM45">
        <f>Master!W45</f>
        <v>0</v>
      </c>
      <c r="AO45">
        <f>Master!X45</f>
        <v>0</v>
      </c>
    </row>
    <row r="46" spans="1:41">
      <c r="A46">
        <f>Master!A46</f>
        <v>0</v>
      </c>
      <c r="B46">
        <f>Master!B46</f>
        <v>0</v>
      </c>
      <c r="C46">
        <f>Master!C46</f>
        <v>0</v>
      </c>
      <c r="E46">
        <f>Master!D46</f>
        <v>0</v>
      </c>
      <c r="G46">
        <f>Master!E46</f>
        <v>0</v>
      </c>
      <c r="I46">
        <f>Master!F46</f>
        <v>0</v>
      </c>
      <c r="K46">
        <f>Master!G46</f>
        <v>0</v>
      </c>
      <c r="M46">
        <f>Master!H46</f>
        <v>0</v>
      </c>
      <c r="O46">
        <f>Master!I46</f>
        <v>0</v>
      </c>
      <c r="Q46">
        <f>Master!J46</f>
        <v>0</v>
      </c>
      <c r="S46">
        <f>Master!K46</f>
        <v>0</v>
      </c>
      <c r="U46">
        <f>Master!L46</f>
        <v>0</v>
      </c>
      <c r="W46">
        <f>Master!M46</f>
        <v>0</v>
      </c>
      <c r="Y46">
        <f>Master!N46</f>
        <v>0</v>
      </c>
      <c r="AA46">
        <f>Master!O46</f>
        <v>0</v>
      </c>
      <c r="AC46">
        <f>Master!P46</f>
        <v>0</v>
      </c>
      <c r="AE46">
        <f>Master!Q46</f>
        <v>0</v>
      </c>
      <c r="AG46">
        <f>Master!R46</f>
        <v>0</v>
      </c>
      <c r="AI46">
        <f>Master!S46</f>
        <v>0</v>
      </c>
      <c r="AK46">
        <f>Master!T46</f>
        <v>0</v>
      </c>
      <c r="AM46">
        <f>Master!W46</f>
        <v>0</v>
      </c>
      <c r="AO46">
        <f>Master!X46</f>
        <v>0</v>
      </c>
    </row>
    <row r="47" spans="1:41">
      <c r="A47" t="str">
        <f>Master!A47</f>
        <v>Increase (decrease) in assets</v>
      </c>
      <c r="B47">
        <f>Master!B47</f>
        <v>1</v>
      </c>
      <c r="C47">
        <f>Master!C47</f>
        <v>0</v>
      </c>
      <c r="E47">
        <f>Master!D47</f>
        <v>0</v>
      </c>
      <c r="G47">
        <f>Master!E47</f>
        <v>0</v>
      </c>
      <c r="I47">
        <f>Master!F47</f>
        <v>0</v>
      </c>
      <c r="K47">
        <f>Master!G47</f>
        <v>0</v>
      </c>
      <c r="M47">
        <f>Master!H47</f>
        <v>0</v>
      </c>
      <c r="O47">
        <f>Master!I47</f>
        <v>0</v>
      </c>
      <c r="Q47">
        <f>Master!J47</f>
        <v>0</v>
      </c>
      <c r="S47">
        <f>Master!K47</f>
        <v>0</v>
      </c>
      <c r="U47">
        <f>Master!L47</f>
        <v>0</v>
      </c>
      <c r="W47">
        <f>Master!M47</f>
        <v>0</v>
      </c>
      <c r="Y47">
        <f>Master!N47</f>
        <v>0</v>
      </c>
      <c r="AA47">
        <f>Master!O47</f>
        <v>0</v>
      </c>
      <c r="AC47">
        <f>Master!P47</f>
        <v>0</v>
      </c>
      <c r="AE47">
        <f>Master!Q47</f>
        <v>0</v>
      </c>
      <c r="AG47">
        <f>Master!R47</f>
        <v>0</v>
      </c>
      <c r="AI47">
        <f>Master!S47</f>
        <v>0</v>
      </c>
      <c r="AK47">
        <f>Master!T47</f>
        <v>0</v>
      </c>
      <c r="AM47">
        <f>Master!W47</f>
        <v>0</v>
      </c>
      <c r="AO47">
        <f>Master!X47</f>
        <v>0</v>
      </c>
    </row>
    <row r="48" spans="1:41">
      <c r="A48" t="str">
        <f>Master!A48</f>
        <v>Purchase of financial assets</v>
      </c>
      <c r="B48">
        <f>Master!B48</f>
        <v>1</v>
      </c>
      <c r="C48">
        <f>Master!C48</f>
        <v>0</v>
      </c>
      <c r="E48">
        <f>Master!D48</f>
        <v>0</v>
      </c>
      <c r="G48">
        <f>Master!E48</f>
        <v>0</v>
      </c>
      <c r="I48">
        <f>Master!F48</f>
        <v>0</v>
      </c>
      <c r="K48">
        <f>Master!G48</f>
        <v>0</v>
      </c>
      <c r="M48">
        <f>Master!H48</f>
        <v>0</v>
      </c>
      <c r="O48">
        <f>Master!I48</f>
        <v>0</v>
      </c>
      <c r="Q48">
        <f>Master!J48</f>
        <v>0</v>
      </c>
      <c r="S48">
        <f>Master!K48</f>
        <v>0</v>
      </c>
      <c r="U48">
        <f>Master!L48</f>
        <v>0</v>
      </c>
      <c r="W48">
        <f>Master!M48</f>
        <v>0</v>
      </c>
      <c r="Y48">
        <f>Master!N48</f>
        <v>0</v>
      </c>
      <c r="AA48">
        <f>Master!O48</f>
        <v>0</v>
      </c>
      <c r="AC48">
        <f>Master!P48</f>
        <v>0</v>
      </c>
      <c r="AE48">
        <f>Master!Q48</f>
        <v>0</v>
      </c>
      <c r="AG48">
        <f>Master!R48</f>
        <v>0</v>
      </c>
      <c r="AI48">
        <f>Master!S48</f>
        <v>0</v>
      </c>
      <c r="AK48">
        <f>Master!T48</f>
        <v>0</v>
      </c>
      <c r="AM48">
        <f>Master!W48</f>
        <v>0</v>
      </c>
      <c r="AO48">
        <f>Master!X48</f>
        <v>0</v>
      </c>
    </row>
    <row r="49" spans="1:41">
      <c r="A49" t="str">
        <f>Master!A49</f>
        <v>Decrease (increase) in accounts recievable</v>
      </c>
      <c r="B49">
        <f>Master!B49</f>
        <v>1</v>
      </c>
      <c r="C49">
        <f>Master!C49</f>
        <v>0</v>
      </c>
      <c r="E49">
        <f>Master!D49</f>
        <v>0</v>
      </c>
      <c r="G49">
        <f>Master!E49</f>
        <v>0</v>
      </c>
      <c r="I49">
        <f>Master!F49</f>
        <v>0</v>
      </c>
      <c r="K49">
        <f>Master!G49</f>
        <v>0</v>
      </c>
      <c r="M49">
        <f>Master!H49</f>
        <v>0</v>
      </c>
      <c r="O49">
        <f>Master!I49</f>
        <v>0</v>
      </c>
      <c r="Q49">
        <f>Master!J49</f>
        <v>0</v>
      </c>
      <c r="S49">
        <f>Master!K49</f>
        <v>0</v>
      </c>
      <c r="U49">
        <f>Master!L49</f>
        <v>0</v>
      </c>
      <c r="W49">
        <f>Master!M49</f>
        <v>0</v>
      </c>
      <c r="Y49">
        <f>Master!N49</f>
        <v>0</v>
      </c>
      <c r="AA49">
        <f>Master!O49</f>
        <v>0</v>
      </c>
      <c r="AC49">
        <f>Master!P49</f>
        <v>0</v>
      </c>
      <c r="AE49">
        <f>Master!Q49</f>
        <v>0</v>
      </c>
      <c r="AG49">
        <f>Master!R49</f>
        <v>0</v>
      </c>
      <c r="AI49">
        <f>Master!S49</f>
        <v>0</v>
      </c>
      <c r="AK49">
        <f>Master!T49</f>
        <v>0</v>
      </c>
      <c r="AM49">
        <f>Master!W49</f>
        <v>0</v>
      </c>
      <c r="AO49">
        <f>Master!X49</f>
        <v>0</v>
      </c>
    </row>
    <row r="50" spans="1:41">
      <c r="A50" t="str">
        <f>Master!A50</f>
        <v>Increase (decrease) in accounts payable</v>
      </c>
      <c r="B50">
        <f>Master!B50</f>
        <v>1</v>
      </c>
      <c r="C50">
        <f>Master!C50</f>
        <v>0</v>
      </c>
      <c r="E50">
        <f>Master!D50</f>
        <v>0</v>
      </c>
      <c r="G50">
        <f>Master!E50</f>
        <v>0</v>
      </c>
      <c r="I50">
        <f>Master!F50</f>
        <v>0</v>
      </c>
      <c r="K50">
        <f>Master!G50</f>
        <v>0</v>
      </c>
      <c r="M50">
        <f>Master!H50</f>
        <v>0</v>
      </c>
      <c r="O50">
        <f>Master!I50</f>
        <v>0</v>
      </c>
      <c r="Q50">
        <f>Master!J50</f>
        <v>0</v>
      </c>
      <c r="S50">
        <f>Master!K50</f>
        <v>0</v>
      </c>
      <c r="U50">
        <f>Master!L50</f>
        <v>0</v>
      </c>
      <c r="W50">
        <f>Master!M50</f>
        <v>0</v>
      </c>
      <c r="Y50">
        <f>Master!N50</f>
        <v>0</v>
      </c>
      <c r="AA50">
        <f>Master!O50</f>
        <v>0</v>
      </c>
      <c r="AC50">
        <f>Master!P50</f>
        <v>0</v>
      </c>
      <c r="AE50">
        <f>Master!Q50</f>
        <v>0</v>
      </c>
      <c r="AG50">
        <f>Master!R50</f>
        <v>0</v>
      </c>
      <c r="AI50">
        <f>Master!S50</f>
        <v>0</v>
      </c>
      <c r="AK50">
        <f>Master!T50</f>
        <v>0</v>
      </c>
      <c r="AM50">
        <f>Master!W50</f>
        <v>0</v>
      </c>
      <c r="AO50">
        <f>Master!X50</f>
        <v>0</v>
      </c>
    </row>
    <row r="51" spans="1:41">
      <c r="A51" t="str">
        <f>Master!A51</f>
        <v>Decrease (increase) in Inventories</v>
      </c>
      <c r="B51">
        <f>Master!B51</f>
        <v>1</v>
      </c>
      <c r="C51">
        <f>Master!C51</f>
        <v>0</v>
      </c>
      <c r="E51">
        <f>Master!D51</f>
        <v>0</v>
      </c>
      <c r="G51">
        <f>Master!E51</f>
        <v>0</v>
      </c>
      <c r="I51">
        <f>Master!F51</f>
        <v>0</v>
      </c>
      <c r="K51">
        <f>Master!G51</f>
        <v>0</v>
      </c>
      <c r="M51">
        <f>Master!H51</f>
        <v>0</v>
      </c>
      <c r="O51">
        <f>Master!I51</f>
        <v>0</v>
      </c>
      <c r="Q51">
        <f>Master!J51</f>
        <v>0</v>
      </c>
      <c r="S51">
        <f>Master!K51</f>
        <v>0</v>
      </c>
      <c r="U51">
        <f>Master!L51</f>
        <v>0</v>
      </c>
      <c r="W51">
        <f>Master!M51</f>
        <v>0</v>
      </c>
      <c r="Y51">
        <f>Master!N51</f>
        <v>0</v>
      </c>
      <c r="AA51">
        <f>Master!O51</f>
        <v>0</v>
      </c>
      <c r="AC51">
        <f>Master!P51</f>
        <v>0</v>
      </c>
      <c r="AE51">
        <f>Master!Q51</f>
        <v>0</v>
      </c>
      <c r="AG51">
        <f>Master!R51</f>
        <v>0</v>
      </c>
      <c r="AI51">
        <f>Master!S51</f>
        <v>0</v>
      </c>
      <c r="AK51">
        <f>Master!T51</f>
        <v>0</v>
      </c>
      <c r="AM51">
        <f>Master!W51</f>
        <v>0</v>
      </c>
      <c r="AO51">
        <f>Master!X51</f>
        <v>0</v>
      </c>
    </row>
    <row r="52" spans="1:41">
      <c r="A52" t="str">
        <f>Master!A52</f>
        <v>Additions to unearned revenue</v>
      </c>
      <c r="B52">
        <f>Master!B52</f>
        <v>1</v>
      </c>
      <c r="C52">
        <f>Master!C52</f>
        <v>0</v>
      </c>
      <c r="E52">
        <f>Master!D52</f>
        <v>0</v>
      </c>
      <c r="G52">
        <f>Master!E52</f>
        <v>0</v>
      </c>
      <c r="I52">
        <f>Master!F52</f>
        <v>0</v>
      </c>
      <c r="K52">
        <f>Master!G52</f>
        <v>0</v>
      </c>
      <c r="M52">
        <f>Master!H52</f>
        <v>0</v>
      </c>
      <c r="O52">
        <f>Master!I52</f>
        <v>0</v>
      </c>
      <c r="Q52">
        <f>Master!J52</f>
        <v>0</v>
      </c>
      <c r="S52">
        <f>Master!K52</f>
        <v>0</v>
      </c>
      <c r="U52">
        <f>Master!L52</f>
        <v>0</v>
      </c>
      <c r="W52">
        <f>Master!M52</f>
        <v>0</v>
      </c>
      <c r="Y52">
        <f>Master!N52</f>
        <v>0</v>
      </c>
      <c r="AA52">
        <f>Master!O52</f>
        <v>0</v>
      </c>
      <c r="AC52">
        <f>Master!P52</f>
        <v>0</v>
      </c>
      <c r="AE52">
        <f>Master!Q52</f>
        <v>0</v>
      </c>
      <c r="AG52">
        <f>Master!R52</f>
        <v>0</v>
      </c>
      <c r="AI52">
        <f>Master!S52</f>
        <v>0</v>
      </c>
      <c r="AK52">
        <f>Master!T52</f>
        <v>0</v>
      </c>
      <c r="AM52">
        <f>Master!W52</f>
        <v>0</v>
      </c>
      <c r="AO52">
        <f>Master!X52</f>
        <v>0</v>
      </c>
    </row>
    <row r="53" spans="1:41">
      <c r="A53" t="str">
        <f>Master!A53</f>
        <v>Net cash flows from operating activities</v>
      </c>
      <c r="B53" t="str">
        <f>Master!B53</f>
        <v>0s</v>
      </c>
      <c r="C53">
        <f>Master!C53</f>
        <v>14754</v>
      </c>
      <c r="E53">
        <f>Master!D53</f>
        <v>22509</v>
      </c>
      <c r="G53">
        <f>Master!E53</f>
        <v>4760</v>
      </c>
      <c r="I53">
        <f>Master!F53</f>
        <v>9662</v>
      </c>
      <c r="K53">
        <f>Master!G53</f>
        <v>10825</v>
      </c>
      <c r="M53">
        <f>Master!H53</f>
        <v>4594</v>
      </c>
      <c r="O53">
        <f>Master!I53</f>
        <v>1120</v>
      </c>
      <c r="Q53">
        <f>Master!J53</f>
        <v>6730</v>
      </c>
      <c r="S53">
        <f>Master!K53</f>
        <v>319</v>
      </c>
      <c r="U53">
        <f>Master!L53</f>
        <v>2740</v>
      </c>
      <c r="W53">
        <f>Master!M53</f>
        <v>3736</v>
      </c>
      <c r="Y53">
        <f>Master!N53</f>
        <v>447</v>
      </c>
      <c r="AA53">
        <f>Master!O53</f>
        <v>3383</v>
      </c>
      <c r="AC53">
        <f>Master!P53</f>
        <v>907</v>
      </c>
      <c r="AE53">
        <f>Master!Q53</f>
        <v>2029</v>
      </c>
      <c r="AG53">
        <f>Master!R53</f>
        <v>362</v>
      </c>
      <c r="AI53">
        <f>Master!S53</f>
        <v>1334</v>
      </c>
      <c r="AK53">
        <f>Master!T53</f>
        <v>990</v>
      </c>
      <c r="AM53">
        <f>Master!W53</f>
        <v>572</v>
      </c>
      <c r="AO53">
        <f>Master!X53</f>
        <v>43</v>
      </c>
    </row>
    <row r="54" spans="1:41">
      <c r="A54">
        <f>Master!A54</f>
        <v>0</v>
      </c>
      <c r="B54">
        <f>Master!B54</f>
        <v>0</v>
      </c>
      <c r="C54">
        <f>Master!C54</f>
        <v>0</v>
      </c>
      <c r="E54">
        <f>Master!D54</f>
        <v>0</v>
      </c>
      <c r="G54">
        <f>Master!E54</f>
        <v>0</v>
      </c>
      <c r="I54">
        <f>Master!F54</f>
        <v>0</v>
      </c>
      <c r="K54">
        <f>Master!G54</f>
        <v>0</v>
      </c>
      <c r="M54">
        <f>Master!H54</f>
        <v>0</v>
      </c>
      <c r="O54">
        <f>Master!I54</f>
        <v>0</v>
      </c>
      <c r="Q54">
        <f>Master!J54</f>
        <v>0</v>
      </c>
      <c r="S54">
        <f>Master!K54</f>
        <v>0</v>
      </c>
      <c r="U54">
        <f>Master!L54</f>
        <v>0</v>
      </c>
      <c r="W54">
        <f>Master!M54</f>
        <v>0</v>
      </c>
      <c r="Y54">
        <f>Master!N54</f>
        <v>0</v>
      </c>
      <c r="AA54">
        <f>Master!O54</f>
        <v>0</v>
      </c>
      <c r="AC54">
        <f>Master!P54</f>
        <v>0</v>
      </c>
      <c r="AE54">
        <f>Master!Q54</f>
        <v>0</v>
      </c>
      <c r="AG54">
        <f>Master!R54</f>
        <v>0</v>
      </c>
      <c r="AI54">
        <f>Master!S54</f>
        <v>0</v>
      </c>
      <c r="AK54">
        <f>Master!T54</f>
        <v>0</v>
      </c>
      <c r="AM54">
        <f>Master!W54</f>
        <v>0</v>
      </c>
      <c r="AO54">
        <f>Master!X54</f>
        <v>0</v>
      </c>
    </row>
    <row r="55" spans="1:41">
      <c r="A55" t="str">
        <f>Master!A55</f>
        <v>Cash flows from investing activities</v>
      </c>
      <c r="B55" t="str">
        <f>Master!B55</f>
        <v>0h</v>
      </c>
      <c r="C55">
        <f>Master!C55</f>
        <v>0</v>
      </c>
      <c r="E55">
        <f>Master!D55</f>
        <v>0</v>
      </c>
      <c r="G55">
        <f>Master!E55</f>
        <v>0</v>
      </c>
      <c r="I55">
        <f>Master!F55</f>
        <v>0</v>
      </c>
      <c r="K55">
        <f>Master!G55</f>
        <v>0</v>
      </c>
      <c r="M55">
        <f>Master!H55</f>
        <v>0</v>
      </c>
      <c r="O55">
        <f>Master!I55</f>
        <v>0</v>
      </c>
      <c r="Q55">
        <f>Master!J55</f>
        <v>0</v>
      </c>
      <c r="S55">
        <f>Master!K55</f>
        <v>0</v>
      </c>
      <c r="U55">
        <f>Master!L55</f>
        <v>0</v>
      </c>
      <c r="W55">
        <f>Master!M55</f>
        <v>0</v>
      </c>
      <c r="Y55">
        <f>Master!N55</f>
        <v>0</v>
      </c>
      <c r="AA55">
        <f>Master!O55</f>
        <v>0</v>
      </c>
      <c r="AC55">
        <f>Master!P55</f>
        <v>0</v>
      </c>
      <c r="AE55">
        <f>Master!Q55</f>
        <v>0</v>
      </c>
      <c r="AG55">
        <f>Master!R55</f>
        <v>0</v>
      </c>
      <c r="AI55">
        <f>Master!S55</f>
        <v>0</v>
      </c>
      <c r="AK55">
        <f>Master!T55</f>
        <v>0</v>
      </c>
      <c r="AM55">
        <f>Master!W55</f>
        <v>0</v>
      </c>
      <c r="AO55">
        <f>Master!X55</f>
        <v>0</v>
      </c>
    </row>
    <row r="56" spans="1:41">
      <c r="A56" t="str">
        <f>Master!A56</f>
        <v>Sale (purchase) of fixed assets</v>
      </c>
      <c r="B56">
        <f>Master!B56</f>
        <v>1</v>
      </c>
      <c r="C56">
        <f>Master!C56</f>
        <v>0</v>
      </c>
      <c r="E56">
        <f>Master!D56</f>
        <v>0</v>
      </c>
      <c r="G56">
        <f>Master!E56</f>
        <v>0</v>
      </c>
      <c r="I56">
        <f>Master!F56</f>
        <v>0</v>
      </c>
      <c r="K56">
        <f>Master!G56</f>
        <v>0</v>
      </c>
      <c r="M56">
        <f>Master!H56</f>
        <v>0</v>
      </c>
      <c r="O56">
        <f>Master!I56</f>
        <v>0</v>
      </c>
      <c r="Q56">
        <f>Master!J56</f>
        <v>0</v>
      </c>
      <c r="S56">
        <f>Master!K56</f>
        <v>0</v>
      </c>
      <c r="U56">
        <f>Master!L56</f>
        <v>0</v>
      </c>
      <c r="W56">
        <f>Master!M56</f>
        <v>0</v>
      </c>
      <c r="Y56">
        <f>Master!N56</f>
        <v>0</v>
      </c>
      <c r="AA56">
        <f>Master!O56</f>
        <v>0</v>
      </c>
      <c r="AC56">
        <f>Master!P56</f>
        <v>0</v>
      </c>
      <c r="AE56">
        <f>Master!Q56</f>
        <v>0</v>
      </c>
      <c r="AG56">
        <f>Master!R56</f>
        <v>0</v>
      </c>
      <c r="AI56">
        <f>Master!S56</f>
        <v>0</v>
      </c>
      <c r="AK56">
        <f>Master!T56</f>
        <v>0</v>
      </c>
      <c r="AM56">
        <f>Master!W56</f>
        <v>0</v>
      </c>
      <c r="AO56">
        <f>Master!X56</f>
        <v>0</v>
      </c>
    </row>
    <row r="57" spans="1:41">
      <c r="A57" t="str">
        <f>Master!A57</f>
        <v>Net cash flows from investing activities</v>
      </c>
      <c r="B57" t="str">
        <f>Master!B57</f>
        <v>0s</v>
      </c>
      <c r="C57">
        <f>Master!C57</f>
        <v>0</v>
      </c>
      <c r="E57">
        <f>Master!D57</f>
        <v>0</v>
      </c>
      <c r="G57">
        <f>Master!E57</f>
        <v>0</v>
      </c>
      <c r="I57">
        <f>Master!F57</f>
        <v>0</v>
      </c>
      <c r="K57">
        <f>Master!G57</f>
        <v>0</v>
      </c>
      <c r="M57">
        <f>Master!H57</f>
        <v>0</v>
      </c>
      <c r="O57">
        <f>Master!I57</f>
        <v>-3000</v>
      </c>
      <c r="P57" t="s">
        <v>263</v>
      </c>
      <c r="Q57">
        <f>Master!J57</f>
        <v>0</v>
      </c>
      <c r="S57">
        <f>Master!K57</f>
        <v>0</v>
      </c>
      <c r="U57">
        <f>Master!L57</f>
        <v>0</v>
      </c>
      <c r="W57">
        <f>Master!M57</f>
        <v>0</v>
      </c>
      <c r="Y57">
        <f>Master!N57</f>
        <v>0</v>
      </c>
      <c r="AA57">
        <f>Master!O57</f>
        <v>0</v>
      </c>
      <c r="AC57">
        <f>Master!P57</f>
        <v>0</v>
      </c>
      <c r="AE57">
        <f>Master!Q57</f>
        <v>0</v>
      </c>
      <c r="AG57">
        <f>Master!R57</f>
        <v>0</v>
      </c>
      <c r="AI57">
        <f>Master!S57</f>
        <v>0</v>
      </c>
      <c r="AK57">
        <f>Master!T57</f>
        <v>0</v>
      </c>
      <c r="AM57">
        <f>Master!W57</f>
        <v>0</v>
      </c>
      <c r="AO57">
        <f>Master!X57</f>
        <v>0</v>
      </c>
    </row>
    <row r="58" spans="1:41">
      <c r="A58">
        <f>Master!A58</f>
        <v>0</v>
      </c>
      <c r="B58">
        <f>Master!B58</f>
        <v>0</v>
      </c>
      <c r="C58">
        <f>Master!C58</f>
        <v>0</v>
      </c>
      <c r="E58">
        <f>Master!D58</f>
        <v>0</v>
      </c>
      <c r="G58">
        <f>Master!E58</f>
        <v>0</v>
      </c>
      <c r="I58">
        <f>Master!F58</f>
        <v>0</v>
      </c>
      <c r="K58">
        <f>Master!G58</f>
        <v>0</v>
      </c>
      <c r="M58">
        <f>Master!H58</f>
        <v>0</v>
      </c>
      <c r="O58">
        <f>Master!I58</f>
        <v>0</v>
      </c>
      <c r="Q58">
        <f>Master!J58</f>
        <v>0</v>
      </c>
      <c r="S58">
        <f>Master!K58</f>
        <v>0</v>
      </c>
      <c r="U58">
        <f>Master!L58</f>
        <v>0</v>
      </c>
      <c r="W58">
        <f>Master!M58</f>
        <v>0</v>
      </c>
      <c r="Y58">
        <f>Master!N58</f>
        <v>0</v>
      </c>
      <c r="AA58">
        <f>Master!O58</f>
        <v>0</v>
      </c>
      <c r="AC58">
        <f>Master!P58</f>
        <v>0</v>
      </c>
      <c r="AE58">
        <f>Master!Q58</f>
        <v>0</v>
      </c>
      <c r="AG58">
        <f>Master!R58</f>
        <v>0</v>
      </c>
      <c r="AI58">
        <f>Master!S58</f>
        <v>0</v>
      </c>
      <c r="AK58">
        <f>Master!T58</f>
        <v>0</v>
      </c>
      <c r="AM58">
        <f>Master!W58</f>
        <v>0</v>
      </c>
      <c r="AO58">
        <f>Master!X58</f>
        <v>0</v>
      </c>
    </row>
    <row r="59" spans="1:41">
      <c r="A59" t="str">
        <f>Master!A59</f>
        <v>Cash flows from financing activities</v>
      </c>
      <c r="B59">
        <f>Master!B59</f>
        <v>0</v>
      </c>
      <c r="C59">
        <f>Master!C59</f>
        <v>0</v>
      </c>
      <c r="E59">
        <f>Master!D59</f>
        <v>0</v>
      </c>
      <c r="G59">
        <f>Master!E59</f>
        <v>0</v>
      </c>
      <c r="I59">
        <f>Master!F59</f>
        <v>0</v>
      </c>
      <c r="K59">
        <f>Master!G59</f>
        <v>0</v>
      </c>
      <c r="M59">
        <f>Master!H59</f>
        <v>0</v>
      </c>
      <c r="O59">
        <f>Master!I59</f>
        <v>0</v>
      </c>
      <c r="Q59">
        <f>Master!J59</f>
        <v>0</v>
      </c>
      <c r="S59">
        <f>Master!K59</f>
        <v>0</v>
      </c>
      <c r="U59">
        <f>Master!L59</f>
        <v>0</v>
      </c>
      <c r="W59">
        <f>Master!M59</f>
        <v>0</v>
      </c>
      <c r="Y59">
        <f>Master!N59</f>
        <v>0</v>
      </c>
      <c r="AA59">
        <f>Master!O59</f>
        <v>0</v>
      </c>
      <c r="AC59">
        <f>Master!P59</f>
        <v>0</v>
      </c>
      <c r="AE59">
        <f>Master!Q59</f>
        <v>0</v>
      </c>
      <c r="AG59">
        <f>Master!R59</f>
        <v>0</v>
      </c>
      <c r="AI59">
        <f>Master!S59</f>
        <v>0</v>
      </c>
      <c r="AK59">
        <f>Master!T59</f>
        <v>0</v>
      </c>
      <c r="AM59">
        <f>Master!W59</f>
        <v>0</v>
      </c>
      <c r="AO59">
        <f>Master!X59</f>
        <v>0</v>
      </c>
    </row>
    <row r="60" spans="1:41">
      <c r="A60" t="str">
        <f>Master!A60</f>
        <v>Purchases of treasury shares</v>
      </c>
      <c r="B60">
        <f>Master!B60</f>
        <v>1</v>
      </c>
      <c r="C60">
        <f>Master!C60</f>
        <v>0</v>
      </c>
      <c r="E60">
        <f>Master!D60</f>
        <v>-10000</v>
      </c>
      <c r="G60">
        <f>Master!E60</f>
        <v>0</v>
      </c>
      <c r="I60">
        <f>Master!F60</f>
        <v>0</v>
      </c>
      <c r="K60">
        <f>Master!G60</f>
        <v>0</v>
      </c>
      <c r="M60">
        <f>Master!H60</f>
        <v>0</v>
      </c>
      <c r="O60">
        <f>Master!I60</f>
        <v>0</v>
      </c>
      <c r="Q60">
        <f>Master!J60</f>
        <v>0</v>
      </c>
      <c r="S60">
        <f>Master!K60</f>
        <v>0</v>
      </c>
      <c r="U60">
        <f>Master!L60</f>
        <v>0</v>
      </c>
      <c r="W60">
        <f>Master!M60</f>
        <v>0</v>
      </c>
      <c r="Y60">
        <f>Master!N60</f>
        <v>0</v>
      </c>
      <c r="AA60">
        <f>Master!O60</f>
        <v>0</v>
      </c>
      <c r="AC60">
        <f>Master!P60</f>
        <v>0</v>
      </c>
      <c r="AE60">
        <f>Master!Q60</f>
        <v>0</v>
      </c>
      <c r="AG60">
        <f>Master!R60</f>
        <v>0</v>
      </c>
      <c r="AI60">
        <f>Master!S60</f>
        <v>0</v>
      </c>
      <c r="AK60">
        <f>Master!T60</f>
        <v>0</v>
      </c>
      <c r="AM60">
        <f>Master!W60</f>
        <v>0</v>
      </c>
      <c r="AO60">
        <f>Master!X60</f>
        <v>0</v>
      </c>
    </row>
    <row r="61" spans="1:41">
      <c r="A61" t="str">
        <f>Master!A61</f>
        <v>Repurchase of common stock</v>
      </c>
      <c r="B61">
        <f>Master!B61</f>
        <v>1</v>
      </c>
      <c r="C61">
        <f>Master!C61</f>
        <v>0</v>
      </c>
      <c r="E61">
        <f>Master!D61</f>
        <v>0</v>
      </c>
      <c r="G61">
        <f>Master!E61</f>
        <v>0</v>
      </c>
      <c r="I61">
        <f>Master!F61</f>
        <v>0</v>
      </c>
      <c r="K61">
        <f>Master!G61</f>
        <v>0</v>
      </c>
      <c r="M61">
        <f>Master!H61</f>
        <v>0</v>
      </c>
      <c r="O61">
        <f>Master!I61</f>
        <v>0</v>
      </c>
      <c r="Q61">
        <f>Master!J61</f>
        <v>0</v>
      </c>
      <c r="S61">
        <f>Master!K61</f>
        <v>0</v>
      </c>
      <c r="U61">
        <f>Master!L61</f>
        <v>0</v>
      </c>
      <c r="W61">
        <f>Master!M61</f>
        <v>0</v>
      </c>
      <c r="Y61">
        <f>Master!N61</f>
        <v>0</v>
      </c>
      <c r="AA61">
        <f>Master!O61</f>
        <v>0</v>
      </c>
      <c r="AC61">
        <f>Master!P61</f>
        <v>0</v>
      </c>
      <c r="AE61">
        <f>Master!Q61</f>
        <v>0</v>
      </c>
      <c r="AG61">
        <f>Master!R61</f>
        <v>0</v>
      </c>
      <c r="AI61">
        <f>Master!S61</f>
        <v>0</v>
      </c>
      <c r="AK61">
        <f>Master!T61</f>
        <v>0</v>
      </c>
      <c r="AM61">
        <f>Master!W61</f>
        <v>0</v>
      </c>
      <c r="AO61">
        <f>Master!X61</f>
        <v>0</v>
      </c>
    </row>
    <row r="62" spans="1:41">
      <c r="A62" t="str">
        <f>Master!A62</f>
        <v>Proceeds from exercise of stock options</v>
      </c>
      <c r="B62">
        <f>Master!B62</f>
        <v>1</v>
      </c>
      <c r="C62">
        <f>Master!C62</f>
        <v>0</v>
      </c>
      <c r="E62">
        <f>Master!D62</f>
        <v>0</v>
      </c>
      <c r="G62">
        <f>Master!E62</f>
        <v>0</v>
      </c>
      <c r="I62">
        <f>Master!F62</f>
        <v>0</v>
      </c>
      <c r="K62">
        <f>Master!G62</f>
        <v>0</v>
      </c>
      <c r="M62">
        <f>Master!H62</f>
        <v>0</v>
      </c>
      <c r="O62">
        <f>Master!I62</f>
        <v>0</v>
      </c>
      <c r="Q62">
        <f>Master!J62</f>
        <v>0</v>
      </c>
      <c r="S62">
        <f>Master!K62</f>
        <v>0</v>
      </c>
      <c r="U62">
        <f>Master!L62</f>
        <v>0</v>
      </c>
      <c r="W62">
        <f>Master!M62</f>
        <v>0</v>
      </c>
      <c r="Y62">
        <f>Master!N62</f>
        <v>0</v>
      </c>
      <c r="AA62">
        <f>Master!O62</f>
        <v>0</v>
      </c>
      <c r="AC62">
        <f>Master!P62</f>
        <v>0</v>
      </c>
      <c r="AE62">
        <f>Master!Q62</f>
        <v>0</v>
      </c>
      <c r="AG62">
        <f>Master!R62</f>
        <v>0</v>
      </c>
      <c r="AI62">
        <f>Master!S62</f>
        <v>0</v>
      </c>
      <c r="AK62">
        <f>Master!T62</f>
        <v>0</v>
      </c>
      <c r="AM62">
        <f>Master!W62</f>
        <v>0</v>
      </c>
      <c r="AO62">
        <f>Master!X62</f>
        <v>0</v>
      </c>
    </row>
    <row r="63" spans="1:41">
      <c r="A63" t="str">
        <f>Master!A63</f>
        <v>New debt incurred (repayed)</v>
      </c>
      <c r="B63">
        <f>Master!B63</f>
        <v>1</v>
      </c>
      <c r="C63">
        <f>Master!C63</f>
        <v>0</v>
      </c>
      <c r="E63">
        <f>Master!D63</f>
        <v>0</v>
      </c>
      <c r="G63">
        <f>Master!E63</f>
        <v>-10000</v>
      </c>
      <c r="I63">
        <f>Master!F63</f>
        <v>-10000</v>
      </c>
      <c r="K63">
        <f>Master!G63</f>
        <v>-20000</v>
      </c>
      <c r="M63">
        <f>Master!H63</f>
        <v>0</v>
      </c>
      <c r="O63">
        <f>Master!I63</f>
        <v>0</v>
      </c>
      <c r="Q63">
        <f>Master!J63</f>
        <v>0</v>
      </c>
      <c r="S63">
        <f>Master!K63</f>
        <v>0</v>
      </c>
      <c r="U63">
        <f>Master!L63</f>
        <v>0</v>
      </c>
      <c r="W63">
        <f>Master!M63</f>
        <v>15000</v>
      </c>
      <c r="Y63">
        <f>Master!N63</f>
        <v>0</v>
      </c>
      <c r="AA63">
        <f>Master!O63</f>
        <v>0</v>
      </c>
      <c r="AC63">
        <f>Master!P63</f>
        <v>0</v>
      </c>
      <c r="AE63">
        <f>Master!Q63</f>
        <v>0</v>
      </c>
      <c r="AG63">
        <f>Master!R63</f>
        <v>15000</v>
      </c>
      <c r="AI63">
        <f>Master!S63</f>
        <v>0</v>
      </c>
      <c r="AK63">
        <f>Master!T63</f>
        <v>0</v>
      </c>
      <c r="AM63">
        <f>Master!W63</f>
        <v>1000</v>
      </c>
      <c r="AO63">
        <f>Master!X63</f>
        <v>0</v>
      </c>
    </row>
    <row r="64" spans="1:41">
      <c r="A64" t="str">
        <f>Master!A64</f>
        <v>Dividend payment</v>
      </c>
      <c r="B64">
        <f>Master!B64</f>
        <v>1</v>
      </c>
      <c r="C64">
        <f>Master!C64</f>
        <v>0</v>
      </c>
      <c r="E64">
        <f>Master!D64</f>
        <v>0</v>
      </c>
      <c r="G64">
        <f>Master!E64</f>
        <v>0</v>
      </c>
      <c r="I64">
        <f>Master!F64</f>
        <v>0</v>
      </c>
      <c r="K64">
        <f>Master!G64</f>
        <v>0</v>
      </c>
      <c r="M64">
        <f>Master!H64</f>
        <v>0</v>
      </c>
      <c r="O64">
        <f>Master!I64</f>
        <v>0</v>
      </c>
      <c r="Q64">
        <f>Master!J64</f>
        <v>0</v>
      </c>
      <c r="S64">
        <f>Master!K64</f>
        <v>0</v>
      </c>
      <c r="U64">
        <f>Master!L64</f>
        <v>0</v>
      </c>
      <c r="W64">
        <f>Master!M64</f>
        <v>0</v>
      </c>
      <c r="Y64">
        <f>Master!N64</f>
        <v>-111.75</v>
      </c>
      <c r="Z64" t="s">
        <v>268</v>
      </c>
      <c r="AA64">
        <f>Master!O64</f>
        <v>0</v>
      </c>
      <c r="AC64">
        <f>Master!P64</f>
        <v>0</v>
      </c>
      <c r="AE64">
        <f>Master!Q64</f>
        <v>0</v>
      </c>
      <c r="AG64">
        <f>Master!R64</f>
        <v>0</v>
      </c>
      <c r="AI64">
        <f>Master!S64</f>
        <v>0</v>
      </c>
      <c r="AK64">
        <f>Master!T64</f>
        <v>0</v>
      </c>
      <c r="AM64">
        <f>Master!W64</f>
        <v>-800</v>
      </c>
      <c r="AN64" t="s">
        <v>309</v>
      </c>
      <c r="AO64">
        <f>Master!X64</f>
        <v>0</v>
      </c>
    </row>
    <row r="65" spans="1:41">
      <c r="A65" t="str">
        <f>Master!A65</f>
        <v>Proceeds from issuance (repurchase) of long-term debt</v>
      </c>
      <c r="B65">
        <f>Master!B65</f>
        <v>1</v>
      </c>
      <c r="C65">
        <f>Master!C65</f>
        <v>-10000</v>
      </c>
      <c r="E65">
        <f>Master!D65</f>
        <v>-10000</v>
      </c>
      <c r="G65">
        <f>Master!E65</f>
        <v>0</v>
      </c>
      <c r="I65">
        <f>Master!F65</f>
        <v>0</v>
      </c>
      <c r="K65">
        <f>Master!G65</f>
        <v>0</v>
      </c>
      <c r="M65">
        <f>Master!H65</f>
        <v>0</v>
      </c>
      <c r="O65">
        <f>Master!I65</f>
        <v>0</v>
      </c>
      <c r="Q65">
        <f>Master!J65</f>
        <v>0</v>
      </c>
      <c r="S65">
        <f>Master!K65</f>
        <v>0</v>
      </c>
      <c r="U65">
        <f>Master!L65</f>
        <v>0</v>
      </c>
      <c r="W65">
        <f>Master!M65</f>
        <v>0</v>
      </c>
      <c r="Y65">
        <f>Master!N65</f>
        <v>0</v>
      </c>
      <c r="AA65">
        <f>Master!O65</f>
        <v>0</v>
      </c>
      <c r="AC65">
        <f>Master!P65</f>
        <v>0</v>
      </c>
      <c r="AE65">
        <f>Master!Q65</f>
        <v>0</v>
      </c>
      <c r="AG65">
        <f>Master!R65</f>
        <v>0</v>
      </c>
      <c r="AI65">
        <f>Master!S65</f>
        <v>0</v>
      </c>
      <c r="AK65">
        <f>Master!T65</f>
        <v>0</v>
      </c>
      <c r="AM65">
        <f>Master!W65</f>
        <v>0</v>
      </c>
      <c r="AO65">
        <f>Master!X65</f>
        <v>0</v>
      </c>
    </row>
    <row r="66" spans="1:41">
      <c r="A66" t="str">
        <f>Master!A66</f>
        <v>Net cash flows from financing activities</v>
      </c>
      <c r="B66" t="str">
        <f>Master!B66</f>
        <v>0s</v>
      </c>
      <c r="C66">
        <f>Master!C66</f>
        <v>-10000</v>
      </c>
      <c r="E66">
        <f>Master!D66</f>
        <v>-20000</v>
      </c>
      <c r="G66">
        <f>Master!E66</f>
        <v>-10000</v>
      </c>
      <c r="I66">
        <f>Master!F66</f>
        <v>-10000</v>
      </c>
      <c r="K66">
        <f>Master!G66</f>
        <v>-20000</v>
      </c>
      <c r="M66">
        <f>Master!H66</f>
        <v>0</v>
      </c>
      <c r="O66">
        <f>Master!I66</f>
        <v>0</v>
      </c>
      <c r="Q66">
        <f>Master!J66</f>
        <v>0</v>
      </c>
      <c r="S66">
        <f>Master!K66</f>
        <v>0</v>
      </c>
      <c r="U66">
        <f>Master!L66</f>
        <v>0</v>
      </c>
      <c r="W66">
        <f>Master!M66</f>
        <v>15000</v>
      </c>
      <c r="Y66">
        <f>Master!N66</f>
        <v>-111.75</v>
      </c>
      <c r="AA66">
        <f>Master!O66</f>
        <v>0</v>
      </c>
      <c r="AC66">
        <f>Master!P66</f>
        <v>0</v>
      </c>
      <c r="AE66">
        <f>Master!Q66</f>
        <v>0</v>
      </c>
      <c r="AG66">
        <f>Master!R66</f>
        <v>15000</v>
      </c>
      <c r="AI66">
        <f>Master!S66</f>
        <v>0</v>
      </c>
      <c r="AK66">
        <f>Master!T66</f>
        <v>0</v>
      </c>
      <c r="AM66">
        <f>Master!W66</f>
        <v>200</v>
      </c>
      <c r="AO66">
        <f>Master!X66</f>
        <v>0</v>
      </c>
    </row>
    <row r="67" spans="1:41">
      <c r="A67">
        <f>Master!A67</f>
        <v>0</v>
      </c>
      <c r="B67">
        <f>Master!B67</f>
        <v>0</v>
      </c>
      <c r="C67">
        <f>Master!C67</f>
        <v>0</v>
      </c>
      <c r="E67">
        <f>Master!D67</f>
        <v>0</v>
      </c>
      <c r="G67">
        <f>Master!E67</f>
        <v>0</v>
      </c>
      <c r="I67">
        <f>Master!F67</f>
        <v>0</v>
      </c>
      <c r="K67">
        <f>Master!G67</f>
        <v>0</v>
      </c>
      <c r="M67">
        <f>Master!H67</f>
        <v>0</v>
      </c>
      <c r="O67">
        <f>Master!I67</f>
        <v>0</v>
      </c>
      <c r="Q67">
        <f>Master!J67</f>
        <v>0</v>
      </c>
      <c r="S67">
        <f>Master!K67</f>
        <v>0</v>
      </c>
      <c r="U67">
        <f>Master!L67</f>
        <v>0</v>
      </c>
      <c r="W67">
        <f>Master!M67</f>
        <v>0</v>
      </c>
      <c r="Y67">
        <f>Master!N67</f>
        <v>0</v>
      </c>
      <c r="AA67">
        <f>Master!O67</f>
        <v>0</v>
      </c>
      <c r="AC67">
        <f>Master!P67</f>
        <v>0</v>
      </c>
      <c r="AE67">
        <f>Master!Q67</f>
        <v>0</v>
      </c>
      <c r="AG67">
        <f>Master!R67</f>
        <v>0</v>
      </c>
      <c r="AI67">
        <f>Master!S67</f>
        <v>0</v>
      </c>
      <c r="AK67">
        <f>Master!T67</f>
        <v>0</v>
      </c>
      <c r="AM67">
        <f>Master!W67</f>
        <v>0</v>
      </c>
      <c r="AO67">
        <f>Master!X67</f>
        <v>0</v>
      </c>
    </row>
    <row r="68" spans="1:41">
      <c r="A68" t="str">
        <f>Master!A68</f>
        <v>Cash and cash equivalents: end of period</v>
      </c>
      <c r="B68">
        <f>Master!B68</f>
        <v>0</v>
      </c>
      <c r="C68">
        <f>Master!C68</f>
        <v>10000</v>
      </c>
      <c r="E68">
        <f>Master!D68</f>
        <v>10000</v>
      </c>
      <c r="G68">
        <f>Master!E68</f>
        <v>10000</v>
      </c>
      <c r="I68">
        <f>Master!F68</f>
        <v>10000</v>
      </c>
      <c r="K68">
        <f>Master!G68</f>
        <v>10000</v>
      </c>
      <c r="M68">
        <f>Master!H68</f>
        <v>10000</v>
      </c>
      <c r="O68">
        <f>Master!I68</f>
        <v>10000</v>
      </c>
      <c r="Q68">
        <f>Master!J68</f>
        <v>10000</v>
      </c>
      <c r="S68">
        <f>Master!K68</f>
        <v>10000</v>
      </c>
      <c r="U68">
        <f>Master!L68</f>
        <v>10000</v>
      </c>
      <c r="W68">
        <f>Master!M68</f>
        <v>10000</v>
      </c>
      <c r="Y68">
        <f>Master!N68</f>
        <v>10000</v>
      </c>
      <c r="AA68">
        <f>Master!O68</f>
        <v>10000</v>
      </c>
      <c r="AC68">
        <f>Master!P68</f>
        <v>10000</v>
      </c>
      <c r="AE68">
        <f>Master!Q68</f>
        <v>10000</v>
      </c>
      <c r="AG68">
        <f>Master!R68</f>
        <v>10000</v>
      </c>
      <c r="AI68">
        <f>Master!S68</f>
        <v>10000</v>
      </c>
      <c r="AK68">
        <f>Master!T68</f>
        <v>10000</v>
      </c>
      <c r="AM68">
        <f>Master!W68</f>
        <v>10000</v>
      </c>
      <c r="AO68">
        <f>Master!X68</f>
        <v>10000</v>
      </c>
    </row>
    <row r="69" spans="1:41">
      <c r="A69">
        <f>Master!A69</f>
        <v>0</v>
      </c>
      <c r="B69">
        <f>Master!B69</f>
        <v>0</v>
      </c>
      <c r="C69">
        <f>Master!C69</f>
        <v>0</v>
      </c>
      <c r="E69">
        <f>Master!D69</f>
        <v>0</v>
      </c>
      <c r="G69">
        <f>Master!E69</f>
        <v>0</v>
      </c>
      <c r="I69">
        <f>Master!F69</f>
        <v>0</v>
      </c>
      <c r="K69">
        <f>Master!G69</f>
        <v>0</v>
      </c>
      <c r="M69">
        <f>Master!H69</f>
        <v>0</v>
      </c>
      <c r="O69">
        <f>Master!I69</f>
        <v>0</v>
      </c>
      <c r="Q69">
        <f>Master!J69</f>
        <v>0</v>
      </c>
      <c r="S69">
        <f>Master!K69</f>
        <v>0</v>
      </c>
      <c r="U69">
        <f>Master!L69</f>
        <v>0</v>
      </c>
      <c r="W69">
        <f>Master!M69</f>
        <v>0</v>
      </c>
      <c r="Y69">
        <f>Master!N69</f>
        <v>0</v>
      </c>
      <c r="AA69">
        <f>Master!O69</f>
        <v>0</v>
      </c>
      <c r="AC69">
        <f>Master!P69</f>
        <v>0</v>
      </c>
      <c r="AE69">
        <f>Master!Q69</f>
        <v>0</v>
      </c>
      <c r="AG69">
        <f>Master!R69</f>
        <v>0</v>
      </c>
      <c r="AI69">
        <f>Master!S69</f>
        <v>0</v>
      </c>
      <c r="AK69">
        <f>Master!T69</f>
        <v>0</v>
      </c>
      <c r="AM69">
        <f>Master!W69</f>
        <v>0</v>
      </c>
      <c r="AO69">
        <f>Master!X69</f>
        <v>0</v>
      </c>
    </row>
    <row r="70" spans="1:41">
      <c r="A70">
        <f>Master!A70</f>
        <v>0</v>
      </c>
      <c r="B70">
        <f>Master!B70</f>
        <v>0</v>
      </c>
      <c r="C70">
        <f>Master!C70</f>
        <v>0</v>
      </c>
      <c r="E70">
        <f>Master!D70</f>
        <v>0</v>
      </c>
      <c r="G70">
        <f>Master!E70</f>
        <v>0</v>
      </c>
      <c r="I70">
        <f>Master!F70</f>
        <v>0</v>
      </c>
      <c r="K70">
        <f>Master!G70</f>
        <v>0</v>
      </c>
      <c r="M70">
        <f>Master!H70</f>
        <v>0</v>
      </c>
      <c r="O70">
        <f>Master!I70</f>
        <v>0</v>
      </c>
      <c r="Q70">
        <f>Master!J70</f>
        <v>0</v>
      </c>
      <c r="S70">
        <f>Master!K70</f>
        <v>0</v>
      </c>
      <c r="U70">
        <f>Master!L70</f>
        <v>0</v>
      </c>
      <c r="W70">
        <f>Master!M70</f>
        <v>0</v>
      </c>
      <c r="Y70">
        <f>Master!N70</f>
        <v>0</v>
      </c>
      <c r="AA70">
        <f>Master!O70</f>
        <v>0</v>
      </c>
      <c r="AC70">
        <f>Master!P70</f>
        <v>0</v>
      </c>
      <c r="AE70">
        <f>Master!Q70</f>
        <v>0</v>
      </c>
      <c r="AG70">
        <f>Master!R70</f>
        <v>0</v>
      </c>
      <c r="AI70">
        <f>Master!S70</f>
        <v>0</v>
      </c>
      <c r="AK70">
        <f>Master!T70</f>
        <v>0</v>
      </c>
      <c r="AM70">
        <f>Master!W70</f>
        <v>0</v>
      </c>
      <c r="AO70">
        <f>Master!X70</f>
        <v>0</v>
      </c>
    </row>
    <row r="71" spans="1:41">
      <c r="A71" t="str">
        <f>Master!A71</f>
        <v>Statement of Assets \&amp; Liabilities</v>
      </c>
      <c r="B71" t="str">
        <f>Master!B71</f>
        <v>0m</v>
      </c>
      <c r="C71">
        <f>Master!C71</f>
        <v>0</v>
      </c>
      <c r="E71">
        <f>Master!D71</f>
        <v>0</v>
      </c>
      <c r="G71">
        <f>Master!E71</f>
        <v>0</v>
      </c>
      <c r="I71">
        <f>Master!F71</f>
        <v>0</v>
      </c>
      <c r="K71">
        <f>Master!G71</f>
        <v>0</v>
      </c>
      <c r="M71">
        <f>Master!H71</f>
        <v>0</v>
      </c>
      <c r="O71">
        <f>Master!I71</f>
        <v>0</v>
      </c>
      <c r="Q71">
        <f>Master!J71</f>
        <v>0</v>
      </c>
      <c r="S71">
        <f>Master!K71</f>
        <v>0</v>
      </c>
      <c r="U71">
        <f>Master!L71</f>
        <v>0</v>
      </c>
      <c r="W71">
        <f>Master!M71</f>
        <v>0</v>
      </c>
      <c r="Y71">
        <f>Master!N71</f>
        <v>0</v>
      </c>
      <c r="AA71">
        <f>Master!O71</f>
        <v>0</v>
      </c>
      <c r="AC71">
        <f>Master!P71</f>
        <v>0</v>
      </c>
      <c r="AE71">
        <f>Master!Q71</f>
        <v>0</v>
      </c>
      <c r="AG71">
        <f>Master!R71</f>
        <v>0</v>
      </c>
      <c r="AI71">
        <f>Master!S71</f>
        <v>0</v>
      </c>
      <c r="AK71">
        <f>Master!T71</f>
        <v>0</v>
      </c>
      <c r="AM71">
        <f>Master!W71</f>
        <v>0</v>
      </c>
      <c r="AO71">
        <f>Master!X71</f>
        <v>0</v>
      </c>
    </row>
    <row r="72" spans="1:41">
      <c r="A72" t="str">
        <f>Master!A72</f>
        <v>Assets</v>
      </c>
      <c r="B72" t="str">
        <f>Master!B72</f>
        <v>0u</v>
      </c>
      <c r="C72">
        <f>Master!C72</f>
        <v>0</v>
      </c>
      <c r="E72">
        <f>Master!D72</f>
        <v>0</v>
      </c>
      <c r="G72">
        <f>Master!E72</f>
        <v>0</v>
      </c>
      <c r="I72">
        <f>Master!F72</f>
        <v>0</v>
      </c>
      <c r="K72">
        <f>Master!G72</f>
        <v>0</v>
      </c>
      <c r="M72">
        <f>Master!H72</f>
        <v>0</v>
      </c>
      <c r="O72">
        <f>Master!I72</f>
        <v>0</v>
      </c>
      <c r="Q72">
        <f>Master!J72</f>
        <v>0</v>
      </c>
      <c r="S72">
        <f>Master!K72</f>
        <v>0</v>
      </c>
      <c r="U72">
        <f>Master!L72</f>
        <v>0</v>
      </c>
      <c r="W72">
        <f>Master!M72</f>
        <v>0</v>
      </c>
      <c r="Y72">
        <f>Master!N72</f>
        <v>0</v>
      </c>
      <c r="AA72">
        <f>Master!O72</f>
        <v>0</v>
      </c>
      <c r="AC72">
        <f>Master!P72</f>
        <v>0</v>
      </c>
      <c r="AE72">
        <f>Master!Q72</f>
        <v>0</v>
      </c>
      <c r="AG72">
        <f>Master!R72</f>
        <v>0</v>
      </c>
      <c r="AI72">
        <f>Master!S72</f>
        <v>0</v>
      </c>
      <c r="AK72">
        <f>Master!T72</f>
        <v>0</v>
      </c>
      <c r="AM72">
        <f>Master!W72</f>
        <v>0</v>
      </c>
      <c r="AO72">
        <f>Master!X72</f>
        <v>0</v>
      </c>
    </row>
    <row r="73" spans="1:41">
      <c r="A73" t="str">
        <f>Master!A73</f>
        <v>Current assets</v>
      </c>
      <c r="B73" t="str">
        <f>Master!B73</f>
        <v>0h</v>
      </c>
      <c r="C73">
        <f>Master!C73</f>
        <v>0</v>
      </c>
      <c r="E73">
        <f>Master!D73</f>
        <v>0</v>
      </c>
      <c r="G73">
        <f>Master!E73</f>
        <v>0</v>
      </c>
      <c r="I73">
        <f>Master!F73</f>
        <v>0</v>
      </c>
      <c r="K73">
        <f>Master!G73</f>
        <v>0</v>
      </c>
      <c r="M73">
        <f>Master!H73</f>
        <v>0</v>
      </c>
      <c r="O73">
        <f>Master!I73</f>
        <v>0</v>
      </c>
      <c r="Q73">
        <f>Master!J73</f>
        <v>0</v>
      </c>
      <c r="S73">
        <f>Master!K73</f>
        <v>0</v>
      </c>
      <c r="U73">
        <f>Master!L73</f>
        <v>0</v>
      </c>
      <c r="W73">
        <f>Master!M73</f>
        <v>0</v>
      </c>
      <c r="Y73">
        <f>Master!N73</f>
        <v>0</v>
      </c>
      <c r="AA73">
        <f>Master!O73</f>
        <v>0</v>
      </c>
      <c r="AC73">
        <f>Master!P73</f>
        <v>0</v>
      </c>
      <c r="AE73">
        <f>Master!Q73</f>
        <v>0</v>
      </c>
      <c r="AG73">
        <f>Master!R73</f>
        <v>0</v>
      </c>
      <c r="AI73">
        <f>Master!S73</f>
        <v>0</v>
      </c>
      <c r="AK73">
        <f>Master!T73</f>
        <v>0</v>
      </c>
      <c r="AM73">
        <f>Master!W73</f>
        <v>0</v>
      </c>
      <c r="AO73">
        <f>Master!X73</f>
        <v>0</v>
      </c>
    </row>
    <row r="74" spans="1:41">
      <c r="A74" t="str">
        <f>Master!A74</f>
        <v>Cash and cash equivalents</v>
      </c>
      <c r="B74">
        <f>Master!B74</f>
        <v>1</v>
      </c>
      <c r="C74">
        <f>Master!C74</f>
        <v>10000</v>
      </c>
      <c r="E74">
        <f>Master!D74</f>
        <v>10000</v>
      </c>
      <c r="G74">
        <f>Master!E74</f>
        <v>10000</v>
      </c>
      <c r="I74">
        <f>Master!F74</f>
        <v>10000</v>
      </c>
      <c r="K74">
        <f>Master!G74</f>
        <v>10000</v>
      </c>
      <c r="M74">
        <f>Master!H74</f>
        <v>10000</v>
      </c>
      <c r="O74">
        <f>Master!I74</f>
        <v>10000</v>
      </c>
      <c r="Q74">
        <f>Master!J74</f>
        <v>10000</v>
      </c>
      <c r="S74">
        <f>Master!K74</f>
        <v>10000</v>
      </c>
      <c r="U74">
        <f>Master!L74</f>
        <v>10000</v>
      </c>
      <c r="W74">
        <f>Master!M74</f>
        <v>10000</v>
      </c>
      <c r="Y74">
        <f>Master!N74</f>
        <v>10000</v>
      </c>
      <c r="AA74">
        <f>Master!O74</f>
        <v>10000</v>
      </c>
      <c r="AC74">
        <f>Master!P74</f>
        <v>10000</v>
      </c>
      <c r="AE74">
        <f>Master!Q74</f>
        <v>10000</v>
      </c>
      <c r="AG74">
        <f>Master!R74</f>
        <v>10000</v>
      </c>
      <c r="AI74">
        <f>Master!S74</f>
        <v>10000</v>
      </c>
      <c r="AK74">
        <f>Master!T74</f>
        <v>10000</v>
      </c>
      <c r="AM74">
        <f>Master!W74</f>
        <v>10000</v>
      </c>
      <c r="AO74">
        <f>Master!X74</f>
        <v>10000</v>
      </c>
    </row>
    <row r="75" spans="1:41">
      <c r="A75" t="str">
        <f>Master!A75</f>
        <v>Current portion of long-term loan assets</v>
      </c>
      <c r="B75">
        <f>Master!B75</f>
        <v>1</v>
      </c>
      <c r="C75">
        <f>Master!C75</f>
        <v>0</v>
      </c>
      <c r="E75">
        <f>Master!D75</f>
        <v>0</v>
      </c>
      <c r="G75">
        <f>Master!E75</f>
        <v>0</v>
      </c>
      <c r="I75">
        <f>Master!F75</f>
        <v>0</v>
      </c>
      <c r="K75">
        <f>Master!G75</f>
        <v>0</v>
      </c>
      <c r="M75">
        <f>Master!H75</f>
        <v>0</v>
      </c>
      <c r="O75">
        <f>Master!I75</f>
        <v>0</v>
      </c>
      <c r="Q75">
        <f>Master!J75</f>
        <v>0</v>
      </c>
      <c r="S75">
        <f>Master!K75</f>
        <v>0</v>
      </c>
      <c r="U75">
        <f>Master!L75</f>
        <v>0</v>
      </c>
      <c r="W75">
        <f>Master!M75</f>
        <v>0</v>
      </c>
      <c r="Y75">
        <f>Master!N75</f>
        <v>0</v>
      </c>
      <c r="AA75">
        <f>Master!O75</f>
        <v>0</v>
      </c>
      <c r="AC75">
        <f>Master!P75</f>
        <v>0</v>
      </c>
      <c r="AE75">
        <f>Master!Q75</f>
        <v>0</v>
      </c>
      <c r="AG75">
        <f>Master!R75</f>
        <v>0</v>
      </c>
      <c r="AI75">
        <f>Master!S75</f>
        <v>0</v>
      </c>
      <c r="AK75">
        <f>Master!T75</f>
        <v>0</v>
      </c>
      <c r="AM75">
        <f>Master!W75</f>
        <v>0</v>
      </c>
      <c r="AO75">
        <f>Master!X75</f>
        <v>0</v>
      </c>
    </row>
    <row r="76" spans="1:41">
      <c r="A76" t="str">
        <f>Master!A76</f>
        <v>Accounts receivable</v>
      </c>
      <c r="B76">
        <f>Master!B76</f>
        <v>1</v>
      </c>
      <c r="C76">
        <f>Master!C76</f>
        <v>0</v>
      </c>
      <c r="E76">
        <f>Master!D76</f>
        <v>0</v>
      </c>
      <c r="G76">
        <f>Master!E76</f>
        <v>10400</v>
      </c>
      <c r="I76">
        <f>Master!F76</f>
        <v>4100</v>
      </c>
      <c r="K76">
        <f>Master!G76</f>
        <v>1300</v>
      </c>
      <c r="M76">
        <f>Master!H76</f>
        <v>6200</v>
      </c>
      <c r="O76">
        <f>Master!I76</f>
        <v>3300</v>
      </c>
      <c r="Q76">
        <f>Master!J76</f>
        <v>1100</v>
      </c>
      <c r="S76">
        <f>Master!K76</f>
        <v>200</v>
      </c>
      <c r="U76">
        <f>Master!L76</f>
        <v>6200</v>
      </c>
      <c r="W76">
        <f>Master!M76</f>
        <v>0</v>
      </c>
      <c r="Y76">
        <f>Master!N76</f>
        <v>0</v>
      </c>
      <c r="AA76">
        <f>Master!O76</f>
        <v>0</v>
      </c>
      <c r="AC76">
        <f>Master!P76</f>
        <v>0</v>
      </c>
      <c r="AE76">
        <f>Master!Q76</f>
        <v>6200</v>
      </c>
      <c r="AG76">
        <f>Master!R76</f>
        <v>0</v>
      </c>
      <c r="AI76">
        <f>Master!S76</f>
        <v>0</v>
      </c>
      <c r="AK76">
        <f>Master!T76</f>
        <v>0</v>
      </c>
      <c r="AM76">
        <f>Master!W76</f>
        <v>0</v>
      </c>
      <c r="AO76">
        <f>Master!X76</f>
        <v>0</v>
      </c>
    </row>
    <row r="77" spans="1:41">
      <c r="A77" t="str">
        <f>Master!A77</f>
        <v>Inventory</v>
      </c>
      <c r="B77">
        <f>Master!B77</f>
        <v>1</v>
      </c>
      <c r="C77">
        <f>Master!C77</f>
        <v>0</v>
      </c>
      <c r="E77">
        <f>Master!D77</f>
        <v>0</v>
      </c>
      <c r="G77">
        <f>Master!E77</f>
        <v>0</v>
      </c>
      <c r="I77">
        <f>Master!F77</f>
        <v>0</v>
      </c>
      <c r="K77">
        <f>Master!G77</f>
        <v>0</v>
      </c>
      <c r="M77">
        <f>Master!H77</f>
        <v>0</v>
      </c>
      <c r="O77">
        <f>Master!I77</f>
        <v>0</v>
      </c>
      <c r="Q77">
        <f>Master!J77</f>
        <v>0</v>
      </c>
      <c r="S77">
        <f>Master!K77</f>
        <v>0</v>
      </c>
      <c r="U77">
        <f>Master!L77</f>
        <v>4808</v>
      </c>
      <c r="W77">
        <f>Master!M77</f>
        <v>1603</v>
      </c>
      <c r="Y77">
        <f>Master!N77</f>
        <v>641</v>
      </c>
      <c r="AA77">
        <f>Master!O77</f>
        <v>1603</v>
      </c>
      <c r="AC77">
        <f>Master!P77</f>
        <v>233</v>
      </c>
      <c r="AE77">
        <f>Master!Q77</f>
        <v>1644</v>
      </c>
      <c r="AG77">
        <f>Master!R77</f>
        <v>575</v>
      </c>
      <c r="AI77">
        <f>Master!S77</f>
        <v>1973</v>
      </c>
      <c r="AK77">
        <f>Master!T77</f>
        <v>36</v>
      </c>
      <c r="AM77">
        <f>Master!W77</f>
        <v>745</v>
      </c>
      <c r="AO77">
        <f>Master!X77</f>
        <v>37</v>
      </c>
    </row>
    <row r="78" spans="1:41">
      <c r="A78" t="str">
        <f>Master!A78</f>
        <v>Material inventory</v>
      </c>
      <c r="B78">
        <f>Master!B78</f>
        <v>1</v>
      </c>
      <c r="C78">
        <f>Master!C78</f>
        <v>0</v>
      </c>
      <c r="E78">
        <f>Master!D78</f>
        <v>0</v>
      </c>
      <c r="G78">
        <f>Master!E78</f>
        <v>795</v>
      </c>
      <c r="H78" t="s">
        <v>273</v>
      </c>
      <c r="I78">
        <f>Master!F78</f>
        <v>0</v>
      </c>
      <c r="K78">
        <f>Master!G78</f>
        <v>890</v>
      </c>
      <c r="L78" t="s">
        <v>273</v>
      </c>
      <c r="M78">
        <f>Master!H78</f>
        <v>658</v>
      </c>
      <c r="N78" t="s">
        <v>273</v>
      </c>
      <c r="O78">
        <f>Master!I78</f>
        <v>855</v>
      </c>
      <c r="P78" t="s">
        <v>273</v>
      </c>
      <c r="Q78">
        <f>Master!J78</f>
        <v>712</v>
      </c>
      <c r="R78" t="s">
        <v>273</v>
      </c>
      <c r="S78">
        <f>Master!K78</f>
        <v>75</v>
      </c>
      <c r="T78" t="s">
        <v>273</v>
      </c>
      <c r="U78">
        <f>Master!L78</f>
        <v>0</v>
      </c>
      <c r="W78">
        <f>Master!M78</f>
        <v>0</v>
      </c>
      <c r="Y78">
        <f>Master!N78</f>
        <v>0</v>
      </c>
      <c r="AA78">
        <f>Master!O78</f>
        <v>0</v>
      </c>
      <c r="AC78">
        <f>Master!P78</f>
        <v>0</v>
      </c>
      <c r="AE78">
        <f>Master!Q78</f>
        <v>0</v>
      </c>
      <c r="AG78">
        <f>Master!R78</f>
        <v>0</v>
      </c>
      <c r="AI78">
        <f>Master!S78</f>
        <v>0</v>
      </c>
      <c r="AK78">
        <f>Master!T78</f>
        <v>0</v>
      </c>
      <c r="AM78">
        <f>Master!W78</f>
        <v>0</v>
      </c>
      <c r="AO78">
        <f>Master!X78</f>
        <v>0</v>
      </c>
    </row>
    <row r="79" spans="1:41">
      <c r="A79" t="str">
        <f>Master!A79</f>
        <v>Finished goods inventory</v>
      </c>
      <c r="B79">
        <f>Master!B79</f>
        <v>1</v>
      </c>
      <c r="C79">
        <f>Master!C79</f>
        <v>0</v>
      </c>
      <c r="E79">
        <f>Master!D79</f>
        <v>0</v>
      </c>
      <c r="G79">
        <f>Master!E79</f>
        <v>1589</v>
      </c>
      <c r="I79">
        <f>Master!F79</f>
        <v>0</v>
      </c>
      <c r="K79">
        <f>Master!G79</f>
        <v>1781</v>
      </c>
      <c r="M79">
        <f>Master!H79</f>
        <v>1315</v>
      </c>
      <c r="O79">
        <f>Master!I79</f>
        <v>1710</v>
      </c>
      <c r="Q79">
        <f>Master!J79</f>
        <v>1425</v>
      </c>
      <c r="S79">
        <f>Master!K79</f>
        <v>150</v>
      </c>
      <c r="U79">
        <f>Master!L79</f>
        <v>0</v>
      </c>
      <c r="W79">
        <f>Master!M79</f>
        <v>0</v>
      </c>
      <c r="Y79">
        <f>Master!N79</f>
        <v>0</v>
      </c>
      <c r="AA79">
        <f>Master!O79</f>
        <v>0</v>
      </c>
      <c r="AC79">
        <f>Master!P79</f>
        <v>0</v>
      </c>
      <c r="AE79">
        <f>Master!Q79</f>
        <v>0</v>
      </c>
      <c r="AG79">
        <f>Master!R79</f>
        <v>0</v>
      </c>
      <c r="AI79">
        <f>Master!S79</f>
        <v>0</v>
      </c>
      <c r="AK79">
        <f>Master!T79</f>
        <v>0</v>
      </c>
      <c r="AM79">
        <f>Master!W79</f>
        <v>0</v>
      </c>
      <c r="AO79">
        <f>Master!X79</f>
        <v>0</v>
      </c>
    </row>
    <row r="80" spans="1:41">
      <c r="A80" t="str">
        <f>Master!A80</f>
        <v>Inventories</v>
      </c>
      <c r="B80">
        <f>Master!B80</f>
        <v>0</v>
      </c>
      <c r="C80">
        <f>Master!C80</f>
        <v>0</v>
      </c>
      <c r="E80">
        <f>Master!D80</f>
        <v>0</v>
      </c>
      <c r="G80">
        <f>Master!E80</f>
        <v>0</v>
      </c>
      <c r="I80">
        <f>Master!F80</f>
        <v>0</v>
      </c>
      <c r="K80">
        <f>Master!G80</f>
        <v>0</v>
      </c>
      <c r="M80">
        <f>Master!H80</f>
        <v>0</v>
      </c>
      <c r="O80">
        <f>Master!I80</f>
        <v>0</v>
      </c>
      <c r="Q80">
        <f>Master!J80</f>
        <v>0</v>
      </c>
      <c r="S80">
        <f>Master!K80</f>
        <v>0</v>
      </c>
      <c r="U80">
        <f>Master!L80</f>
        <v>0</v>
      </c>
      <c r="W80">
        <f>Master!M80</f>
        <v>0</v>
      </c>
      <c r="Y80">
        <f>Master!N80</f>
        <v>0</v>
      </c>
      <c r="AA80">
        <f>Master!O80</f>
        <v>0</v>
      </c>
      <c r="AC80">
        <f>Master!P80</f>
        <v>0</v>
      </c>
      <c r="AE80">
        <f>Master!Q80</f>
        <v>0</v>
      </c>
      <c r="AG80">
        <f>Master!R80</f>
        <v>0</v>
      </c>
      <c r="AI80">
        <f>Master!S80</f>
        <v>0</v>
      </c>
      <c r="AK80">
        <f>Master!T80</f>
        <v>0</v>
      </c>
      <c r="AM80">
        <f>Master!W80</f>
        <v>0</v>
      </c>
      <c r="AO80">
        <f>Master!X80</f>
        <v>0</v>
      </c>
    </row>
    <row r="81" spans="1:44">
      <c r="A81" t="str">
        <f>Master!A81</f>
        <v>Total current assets</v>
      </c>
      <c r="B81" t="str">
        <f>Master!B81</f>
        <v>0s</v>
      </c>
      <c r="C81">
        <f>Master!C81</f>
        <v>0</v>
      </c>
      <c r="D81" t="str">
        <f>IF(C$114=0,"Correct sum is "&amp;C81-C$116&amp;": off by "&amp;C$116&amp;"$\rightarrow$ \textcolor{red}{\textbf{"&amp;C$115&amp;"}}","")</f>
        <v/>
      </c>
      <c r="E81">
        <f>Master!D81</f>
        <v>0</v>
      </c>
      <c r="F81" t="str">
        <f>IF(E$114=0,"Correct sum is "&amp;E81-E$116&amp;": off by "&amp;E$116&amp;"$\rightarrow$ \textcolor{red}{\textbf{"&amp;E$115&amp;"}}","")</f>
        <v/>
      </c>
      <c r="G81">
        <f>Master!E81</f>
        <v>22798</v>
      </c>
      <c r="H81" t="str">
        <f>IF(G$114=0,"\textcolor{soln-black}{Correct sum is "&amp;G81-G$116&amp;": off by "&amp;G$116&amp;"$\rightarrow$ \textcolor{red}{\textbf{"&amp;G$115&amp;"}}}","")</f>
        <v>\textcolor{soln-black}{Correct sum is 22784: off by 14$\rightarrow$ \textcolor{red}{\textbf{N}}}</v>
      </c>
      <c r="I81">
        <f>Master!F81</f>
        <v>14100</v>
      </c>
      <c r="J81" t="str">
        <f>IF(I$114=0,"\textcolor{soln-black}{Correct sum is "&amp;I81-I$116&amp;": off by "&amp;I$116&amp;"$\rightarrow$ \textcolor{red}{\textbf{"&amp;I$115&amp;"}}}","")</f>
        <v/>
      </c>
      <c r="K81">
        <f>Master!G81</f>
        <v>13994</v>
      </c>
      <c r="L81" t="str">
        <f>IF(K$114=0,"\textcolor{soln-black}{Correct sum is "&amp;K81-K$116&amp;": off by "&amp;K$116&amp;"$\rightarrow$ \textcolor{red}{\textbf{"&amp;K$115&amp;"}}}","")</f>
        <v>\textcolor{soln-black}{Correct sum is 13971: off by 23$\rightarrow$ \textcolor{red}{\textbf{W}}}</v>
      </c>
      <c r="M81">
        <f>Master!H81</f>
        <v>18173</v>
      </c>
      <c r="N81" t="str">
        <f>IF(M$114=0,"\textcolor{soln-black}{Correct sum is "&amp;M81-M$116&amp;": off by "&amp;M$116&amp;"$\rightarrow$ \textcolor{red}{\textbf{"&amp;M$115&amp;"}}}","")</f>
        <v/>
      </c>
      <c r="O81">
        <f>Master!I81</f>
        <v>15885</v>
      </c>
      <c r="P81" t="str">
        <f>IF(O$114=0,"\textcolor{soln-black}{Correct sum is "&amp;O81-O$116&amp;": off by "&amp;O$116&amp;"$\rightarrow$ \textcolor{red}{\textbf{"&amp;O$115&amp;"}}}","")</f>
        <v>\textcolor{soln-black}{Correct sum is 15865: off by 20$\rightarrow$ \textcolor{red}{\textbf{T}}}</v>
      </c>
      <c r="Q81">
        <f>Master!J81</f>
        <v>13237</v>
      </c>
      <c r="R81" t="str">
        <f>IF(Q$114=0,"\textcolor{soln-black}{Correct sum is "&amp;Q81-Q$116&amp;": off by "&amp;Q$116&amp;"$\rightarrow$ \textcolor{red}{\textbf{"&amp;Q$115&amp;"}}}","")</f>
        <v/>
      </c>
      <c r="S81">
        <f>Master!K81</f>
        <v>10425</v>
      </c>
      <c r="T81" t="str">
        <f>IF(S$114=0,"\textcolor{soln-black}{Correct sum is "&amp;S81-S$116&amp;": off by "&amp;S$116&amp;"$\rightarrow$ \textcolor{red}{\textbf{"&amp;S$115&amp;"}}}","")</f>
        <v/>
      </c>
      <c r="U81">
        <f>Master!L81</f>
        <v>21008</v>
      </c>
      <c r="V81" t="str">
        <f>IF(U$114=0,"\textcolor{soln-black}{Correct sum is "&amp;U81-U$116&amp;": off by "&amp;U$116&amp;"$\rightarrow$ \textcolor{red}{\textbf{"&amp;U$115&amp;"}}}","")</f>
        <v/>
      </c>
      <c r="W81">
        <f>Master!M81</f>
        <v>11603</v>
      </c>
      <c r="X81" t="str">
        <f>IF(W$114=0,"\textcolor{soln-black}{Correct sum is "&amp;W81-W$116&amp;": off by "&amp;W$116&amp;"$\rightarrow$ \textcolor{red}{\textbf{"&amp;W$115&amp;"}}}","")</f>
        <v/>
      </c>
      <c r="Y81">
        <f>Master!N81</f>
        <v>10641</v>
      </c>
      <c r="Z81" t="str">
        <f>IF(Y$114=0,"\textcolor{soln-black}{Correct sum is "&amp;Y81-Y$116&amp;": off by "&amp;Y$116&amp;"$\rightarrow$ \textcolor{red}{\textbf{"&amp;Y$115&amp;"}}}","")</f>
        <v/>
      </c>
      <c r="AA81">
        <f>Master!O81</f>
        <v>11603</v>
      </c>
      <c r="AB81" t="str">
        <f>IF(AA$114=0,"\textcolor{soln-black}{Correct sum is "&amp;AA81-AA$116&amp;": off by "&amp;AA$116&amp;"$\rightarrow$ \textcolor{red}{\textbf{"&amp;AA$115&amp;"}}}","")</f>
        <v/>
      </c>
      <c r="AC81">
        <f>Master!P81</f>
        <v>10233</v>
      </c>
      <c r="AD81" t="str">
        <f>IF(AC$114=0,"\textcolor{soln-black}{Correct sum is "&amp;AC81-AC$116&amp;": off by "&amp;AC$116&amp;"$\rightarrow$ \textcolor{red}{\textbf{"&amp;AC$115&amp;"}}}","")</f>
        <v/>
      </c>
      <c r="AE81">
        <f>Master!Q81</f>
        <v>17844</v>
      </c>
      <c r="AF81" t="str">
        <f>IF(AE$114=0,"\textcolor{soln-black}{Correct sum is "&amp;AE81-AE$116&amp;": off by "&amp;AE$116&amp;"$\rightarrow$ \textcolor{red}{\textbf{"&amp;AE$115&amp;"}}}","")</f>
        <v/>
      </c>
      <c r="AG81">
        <f>Master!R81</f>
        <v>10575</v>
      </c>
      <c r="AH81" t="str">
        <f>IF(AG$114=0,"\textcolor{soln-black}{Correct sum is "&amp;AG81-AG$116&amp;": off by "&amp;AG$116&amp;"$\rightarrow$ \textcolor{red}{\textbf{"&amp;AG$115&amp;"}}}","")</f>
        <v/>
      </c>
      <c r="AI81">
        <f>Master!S81</f>
        <v>11973</v>
      </c>
      <c r="AJ81" t="str">
        <f>IF(AI$114=0,"\textcolor{soln-black}{Correct sum is "&amp;AI81-AI$116&amp;": off by "&amp;AI$116&amp;"$\rightarrow$ \textcolor{red}{\textbf{"&amp;AI$115&amp;"}}}","")</f>
        <v/>
      </c>
      <c r="AK81">
        <f>Master!T81</f>
        <v>10036</v>
      </c>
      <c r="AL81" t="str">
        <f>IF(AK$114=0,"\textcolor{soln-black}{Correct sum is "&amp;AK81-AK$116&amp;": off by "&amp;AK$116&amp;"$\rightarrow$ \textcolor{red}{\textbf{"&amp;AK$115&amp;"}}}","")</f>
        <v/>
      </c>
      <c r="AM81">
        <f>Master!W81</f>
        <v>10745</v>
      </c>
      <c r="AN81" t="str">
        <f>IF(AM$114=0,"\textcolor{soln-black}{Correct sum is "&amp;AM81-AM$116&amp;": off by "&amp;AM$116&amp;"$\rightarrow$ \textcolor{red}{\textbf{"&amp;AM$115&amp;"}}}","")</f>
        <v/>
      </c>
      <c r="AO81">
        <f>Master!X81</f>
        <v>10037</v>
      </c>
      <c r="AP81" t="str">
        <f>IF(AO$114=0,"\textcolor{soln-black}{Correct sum is "&amp;AO81-AO$116&amp;": off by "&amp;AO$116&amp;"$\rightarrow$ \textcolor{red}{\textbf{"&amp;AO$115&amp;"}}}","")</f>
        <v/>
      </c>
    </row>
    <row r="82" spans="1:44">
      <c r="A82">
        <f>Master!A82</f>
        <v>0</v>
      </c>
      <c r="B82">
        <f>Master!B82</f>
        <v>0</v>
      </c>
      <c r="C82">
        <f>Master!C82</f>
        <v>0</v>
      </c>
      <c r="E82">
        <f>Master!D82</f>
        <v>0</v>
      </c>
      <c r="G82">
        <f>Master!E82</f>
        <v>0</v>
      </c>
      <c r="I82">
        <f>Master!F82</f>
        <v>0</v>
      </c>
      <c r="K82">
        <f>Master!G82</f>
        <v>0</v>
      </c>
      <c r="M82">
        <f>Master!H82</f>
        <v>0</v>
      </c>
      <c r="O82">
        <f>Master!I82</f>
        <v>0</v>
      </c>
      <c r="Q82">
        <f>Master!J82</f>
        <v>0</v>
      </c>
      <c r="S82">
        <f>Master!K82</f>
        <v>0</v>
      </c>
      <c r="U82">
        <f>Master!L82</f>
        <v>0</v>
      </c>
      <c r="W82">
        <f>Master!M82</f>
        <v>0</v>
      </c>
      <c r="Y82">
        <f>Master!N82</f>
        <v>0</v>
      </c>
      <c r="AA82">
        <f>Master!O82</f>
        <v>0</v>
      </c>
      <c r="AC82">
        <f>Master!P82</f>
        <v>0</v>
      </c>
      <c r="AE82">
        <f>Master!Q82</f>
        <v>0</v>
      </c>
      <c r="AG82">
        <f>Master!R82</f>
        <v>0</v>
      </c>
      <c r="AI82">
        <f>Master!S82</f>
        <v>0</v>
      </c>
      <c r="AK82">
        <f>Master!T82</f>
        <v>0</v>
      </c>
      <c r="AM82">
        <f>Master!W82</f>
        <v>0</v>
      </c>
      <c r="AO82">
        <f>Master!X82</f>
        <v>0</v>
      </c>
    </row>
    <row r="83" spans="1:44">
      <c r="A83" t="str">
        <f>Master!A83</f>
        <v>Property \&amp; fixed assets</v>
      </c>
      <c r="B83">
        <f>Master!B83</f>
        <v>1</v>
      </c>
      <c r="C83">
        <f>Master!C83</f>
        <v>5934</v>
      </c>
      <c r="E83">
        <f>Master!D83</f>
        <v>4559</v>
      </c>
      <c r="G83">
        <f>Master!E83</f>
        <v>250000</v>
      </c>
      <c r="I83">
        <f>Master!F83</f>
        <v>100000</v>
      </c>
      <c r="K83">
        <f>Master!G83</f>
        <v>125000</v>
      </c>
      <c r="M83">
        <f>Master!H83</f>
        <v>75000</v>
      </c>
      <c r="O83">
        <f>Master!I83</f>
        <v>3000</v>
      </c>
      <c r="Q83">
        <f>Master!J83</f>
        <v>40000</v>
      </c>
      <c r="S83">
        <f>Master!K83</f>
        <v>10000</v>
      </c>
      <c r="U83">
        <f>Master!L83</f>
        <v>30000</v>
      </c>
      <c r="W83">
        <f>Master!M83</f>
        <v>0</v>
      </c>
      <c r="Y83">
        <f>Master!N83</f>
        <v>0</v>
      </c>
      <c r="AA83">
        <f>Master!O83</f>
        <v>0</v>
      </c>
      <c r="AC83">
        <f>Master!P83</f>
        <v>10000</v>
      </c>
      <c r="AE83">
        <f>Master!Q83</f>
        <v>0</v>
      </c>
      <c r="AG83">
        <f>Master!R83</f>
        <v>0</v>
      </c>
      <c r="AI83">
        <f>Master!S83</f>
        <v>0</v>
      </c>
      <c r="AK83">
        <f>Master!T83</f>
        <v>10000</v>
      </c>
      <c r="AM83">
        <f>Master!W83</f>
        <v>0</v>
      </c>
      <c r="AO83">
        <f>Master!X83</f>
        <v>100</v>
      </c>
      <c r="AP83" t="s">
        <v>241</v>
      </c>
    </row>
    <row r="84" spans="1:44">
      <c r="A84" t="str">
        <f>Master!A84</f>
        <v>Goodwill \&amp; Intangible assets</v>
      </c>
      <c r="B84">
        <f>Master!B84</f>
        <v>1</v>
      </c>
      <c r="C84">
        <f>Master!C84</f>
        <v>0</v>
      </c>
      <c r="D84" t="str">
        <f>IF(OR(C84=0,C84=""),"","Overpayment for acquisitions")</f>
        <v/>
      </c>
      <c r="E84">
        <f>Master!D84</f>
        <v>0</v>
      </c>
      <c r="F84" t="str">
        <f>IF(OR(E84=0,E84=""),"","Overpayment for acquisitions")</f>
        <v/>
      </c>
      <c r="G84">
        <f>Master!E84</f>
        <v>13000</v>
      </c>
      <c r="H84" t="str">
        <f>IF(OR(G84=0,G84=""),"","Overpayment for acquisitions")</f>
        <v>Overpayment for acquisitions</v>
      </c>
      <c r="I84">
        <f>Master!F84</f>
        <v>13000</v>
      </c>
      <c r="J84" t="str">
        <f>IF(OR(I84=0,I84=""),"","Overpayment for acquisitions")</f>
        <v>Overpayment for acquisitions</v>
      </c>
      <c r="K84">
        <f>Master!G84</f>
        <v>0</v>
      </c>
      <c r="L84" t="str">
        <f>IF(OR(K84=0,K84=""),"","Overpayment for acquisitions")</f>
        <v/>
      </c>
      <c r="M84">
        <f>Master!H84</f>
        <v>0</v>
      </c>
      <c r="N84" t="str">
        <f>IF(OR(M84=0,M84=""),"","Overpayment for acquisitions")</f>
        <v/>
      </c>
      <c r="O84">
        <f>Master!I84</f>
        <v>13000</v>
      </c>
      <c r="P84" t="str">
        <f>IF(OR(O84=0,O84=""),"","Overpayment for acquisitions")</f>
        <v>Overpayment for acquisitions</v>
      </c>
      <c r="Q84">
        <f>Master!J84</f>
        <v>0</v>
      </c>
      <c r="R84" t="str">
        <f>IF(OR(Q84=0,Q84=""),"","Overpayment for acquisitions")</f>
        <v/>
      </c>
      <c r="S84">
        <f>Master!K84</f>
        <v>0</v>
      </c>
      <c r="T84" t="str">
        <f>IF(OR(S84=0,S84=""),"","Overpayment for acquisitions")</f>
        <v/>
      </c>
      <c r="U84">
        <f>Master!L84</f>
        <v>13000</v>
      </c>
      <c r="V84" t="str">
        <f>IF(OR(U84=0,U84=""),"","Overpayment for acquisitions")</f>
        <v>Overpayment for acquisitions</v>
      </c>
      <c r="W84">
        <f>Master!M84</f>
        <v>13000</v>
      </c>
      <c r="X84" t="str">
        <f>IF(OR(W84=0,W84=""),"","Overpayment for acquisitions")</f>
        <v>Overpayment for acquisitions</v>
      </c>
      <c r="Y84">
        <f>Master!N84</f>
        <v>13000</v>
      </c>
      <c r="Z84" t="str">
        <f>IF(OR(Y84=0,Y84=""),"","Overpayment for acquisitions")</f>
        <v>Overpayment for acquisitions</v>
      </c>
      <c r="AA84">
        <f>Master!O84</f>
        <v>0</v>
      </c>
      <c r="AB84" t="str">
        <f>IF(OR(AA84=0,AA84=""),"","Overpayment for acquisitions")</f>
        <v/>
      </c>
      <c r="AC84">
        <f>Master!P84</f>
        <v>0</v>
      </c>
      <c r="AD84" t="str">
        <f>IF(OR(AC84=0,AC84=""),"","Overpayment for acquisitions")</f>
        <v/>
      </c>
      <c r="AE84">
        <f>Master!Q84</f>
        <v>0</v>
      </c>
      <c r="AF84" t="str">
        <f>IF(OR(AE84=0,AE84=""),"","Overpayment for acquisitions")</f>
        <v/>
      </c>
      <c r="AG84">
        <f>Master!R84</f>
        <v>0</v>
      </c>
      <c r="AH84" t="str">
        <f>IF(OR(AG84=0,AG84=""),"","Overpayment for acquisitions")</f>
        <v/>
      </c>
      <c r="AI84">
        <f>Master!S84</f>
        <v>13000</v>
      </c>
      <c r="AJ84" t="str">
        <f>IF(OR(AI84=0,AI84=""),"","Overpayment for acquisitions")</f>
        <v>Overpayment for acquisitions</v>
      </c>
      <c r="AK84">
        <f>Master!T84</f>
        <v>500</v>
      </c>
      <c r="AL84" t="str">
        <f>IF(OR(AK84=0,AK84=""),"","Overpayment for acquisitions")</f>
        <v>Overpayment for acquisitions</v>
      </c>
      <c r="AM84">
        <f>Master!W84</f>
        <v>13500</v>
      </c>
      <c r="AN84" t="str">
        <f>IF(OR(AM84=0,AM84=""),"","Overpayment for acquisitions")</f>
        <v>Overpayment for acquisitions</v>
      </c>
      <c r="AO84">
        <f>Master!X84</f>
        <v>0</v>
      </c>
      <c r="AP84" t="str">
        <f>IF(OR(AO84=0,AO84=""),"","Overpayment for acquisitions")</f>
        <v/>
      </c>
      <c r="AR84" t="str">
        <f>IF(OR(AQ84=0,AQ84=""),"","Overpayment for acquisitions")</f>
        <v/>
      </c>
    </row>
    <row r="85" spans="1:44">
      <c r="A85" t="str">
        <f>Master!A85</f>
        <v>Deferred tax asset</v>
      </c>
      <c r="B85">
        <f>Master!B85</f>
        <v>1</v>
      </c>
      <c r="C85" t="str">
        <f>Master!C85</f>
        <v/>
      </c>
      <c r="D85" t="str">
        <f>IF(OR(C85=0,C85=""),"","Tax credit from money-losing years")</f>
        <v/>
      </c>
      <c r="E85" t="str">
        <f>Master!D85</f>
        <v/>
      </c>
      <c r="F85" t="str">
        <f>IF(OR(E85=0,E85=""),"","Tax credit from money-losing years")</f>
        <v/>
      </c>
      <c r="G85" t="str">
        <f>Master!E85</f>
        <v/>
      </c>
      <c r="H85" t="str">
        <f>IF(OR(G85=0,G85=""),"","Tax credit from money-losing years")</f>
        <v/>
      </c>
      <c r="I85">
        <f>Master!F85</f>
        <v>10000</v>
      </c>
      <c r="J85" t="str">
        <f>IF(OR(I85=0,I85=""),"","Tax credit from money-losing years")</f>
        <v>Tax credit from money-losing years</v>
      </c>
      <c r="K85" t="str">
        <f>Master!G85</f>
        <v/>
      </c>
      <c r="L85" t="str">
        <f>IF(OR(K85=0,K85=""),"","Tax credit from money-losing years")</f>
        <v/>
      </c>
      <c r="M85">
        <f>Master!H85</f>
        <v>10000</v>
      </c>
      <c r="N85" t="str">
        <f>IF(OR(M85=0,M85=""),"","Tax credit from money-losing years")</f>
        <v>Tax credit from money-losing years</v>
      </c>
      <c r="O85" t="str">
        <f>Master!I85</f>
        <v/>
      </c>
      <c r="P85" t="str">
        <f>IF(OR(O85=0,O85=""),"","Tax credit from money-losing years")</f>
        <v/>
      </c>
      <c r="Q85" t="str">
        <f>Master!J85</f>
        <v/>
      </c>
      <c r="R85" t="str">
        <f>IF(OR(Q85=0,Q85=""),"","Tax credit from money-losing years")</f>
        <v/>
      </c>
      <c r="S85" t="str">
        <f>Master!K85</f>
        <v/>
      </c>
      <c r="T85" t="str">
        <f>IF(OR(S85=0,S85=""),"","Tax credit from money-losing years")</f>
        <v/>
      </c>
      <c r="U85" t="str">
        <f>Master!L85</f>
        <v/>
      </c>
      <c r="V85" t="str">
        <f>IF(OR(U85=0,U85=""),"","Tax credit from money-losing years")</f>
        <v/>
      </c>
      <c r="W85">
        <f>Master!M85</f>
        <v>10000</v>
      </c>
      <c r="X85" t="str">
        <f>IF(OR(W85=0,W85=""),"","Tax credit from money-losing years")</f>
        <v>Tax credit from money-losing years</v>
      </c>
      <c r="Y85" t="str">
        <f>Master!N85</f>
        <v/>
      </c>
      <c r="Z85" t="str">
        <f>IF(OR(Y85=0,Y85=""),"","Tax credit from money-losing years")</f>
        <v/>
      </c>
      <c r="AA85" t="str">
        <f>Master!O85</f>
        <v/>
      </c>
      <c r="AB85" t="str">
        <f>IF(OR(AA85=0,AA85=""),"","Tax credit from money-losing years")</f>
        <v/>
      </c>
      <c r="AC85" t="str">
        <f>Master!P85</f>
        <v/>
      </c>
      <c r="AD85" t="str">
        <f>IF(OR(AC85=0,AC85=""),"","Tax credit from money-losing years")</f>
        <v/>
      </c>
      <c r="AE85" t="str">
        <f>Master!Q85</f>
        <v/>
      </c>
      <c r="AF85" t="str">
        <f>IF(OR(AE85=0,AE85=""),"","Tax credit from money-losing years")</f>
        <v/>
      </c>
      <c r="AG85" t="str">
        <f>Master!R85</f>
        <v/>
      </c>
      <c r="AH85" t="str">
        <f>IF(OR(AG85=0,AG85=""),"","Tax credit from money-losing years")</f>
        <v/>
      </c>
      <c r="AI85" t="str">
        <f>Master!S85</f>
        <v/>
      </c>
      <c r="AJ85" t="str">
        <f>IF(OR(AI85=0,AI85=""),"","Tax credit from money-losing years")</f>
        <v/>
      </c>
      <c r="AK85" t="str">
        <f>Master!T85</f>
        <v/>
      </c>
      <c r="AL85" t="str">
        <f>IF(OR(AK85=0,AK85=""),"","Tax credit from money-losing years")</f>
        <v/>
      </c>
      <c r="AM85" t="str">
        <f>Master!W85</f>
        <v/>
      </c>
      <c r="AN85" t="str">
        <f>IF(OR(AM85=0,AM85=""),"","Tax credit from money-losing years")</f>
        <v/>
      </c>
      <c r="AO85" t="str">
        <f>Master!X85</f>
        <v/>
      </c>
      <c r="AP85" t="str">
        <f>IF(OR(AO85=0,AO85=""),"","Tax credit from money-losing years")</f>
        <v/>
      </c>
      <c r="AR85" t="str">
        <f>IF(OR(AQ85=0,AQ85=""),"","Tax credit from money-losing years")</f>
        <v/>
      </c>
    </row>
    <row r="86" spans="1:44">
      <c r="A86" t="str">
        <f>Master!A86</f>
        <v>Intangible assets</v>
      </c>
      <c r="B86">
        <f>Master!B86</f>
        <v>1</v>
      </c>
      <c r="C86">
        <f>Master!C86</f>
        <v>0</v>
      </c>
      <c r="D86" t="str">
        <f>IF(OR(C86=0,C86=""),"","Value of strong brand")</f>
        <v/>
      </c>
      <c r="E86">
        <f>Master!D86</f>
        <v>0</v>
      </c>
      <c r="F86" t="str">
        <f>IF(OR(E86=0,E86=""),"","Value of strong brand")</f>
        <v/>
      </c>
      <c r="G86">
        <f>Master!E86</f>
        <v>0</v>
      </c>
      <c r="H86" t="str">
        <f>IF(OR(G86=0,G86=""),"","Value of strong brand")</f>
        <v/>
      </c>
      <c r="I86">
        <f>Master!F86</f>
        <v>0</v>
      </c>
      <c r="J86" t="str">
        <f>IF(OR(I86=0,I86=""),"","Value of strong brand")</f>
        <v/>
      </c>
      <c r="K86">
        <f>Master!G86</f>
        <v>0</v>
      </c>
      <c r="L86" t="str">
        <f>IF(OR(K86=0,K86=""),"","Value of strong brand")</f>
        <v/>
      </c>
      <c r="M86">
        <f>Master!H86</f>
        <v>0</v>
      </c>
      <c r="N86" t="str">
        <f>IF(OR(M86=0,M86=""),"","Value of strong brand")</f>
        <v/>
      </c>
      <c r="O86">
        <f>Master!I86</f>
        <v>0</v>
      </c>
      <c r="P86" t="str">
        <f>IF(OR(O86=0,O86=""),"","Value of strong brand")</f>
        <v/>
      </c>
      <c r="Q86">
        <f>Master!J86</f>
        <v>0</v>
      </c>
      <c r="R86" t="str">
        <f>IF(OR(Q86=0,Q86=""),"","Value of strong brand")</f>
        <v/>
      </c>
      <c r="S86">
        <f>Master!K86</f>
        <v>0</v>
      </c>
      <c r="T86" t="str">
        <f>IF(OR(S86=0,S86=""),"","Value of strong brand")</f>
        <v/>
      </c>
      <c r="U86">
        <f>Master!L86</f>
        <v>0</v>
      </c>
      <c r="V86" t="str">
        <f>IF(OR(U86=0,U86=""),"","Value of strong brand")</f>
        <v/>
      </c>
      <c r="W86">
        <f>Master!M86</f>
        <v>0</v>
      </c>
      <c r="X86" t="str">
        <f>IF(OR(W86=0,W86=""),"","Value of strong brand")</f>
        <v/>
      </c>
      <c r="Y86">
        <f>Master!N86</f>
        <v>0</v>
      </c>
      <c r="Z86" t="str">
        <f>IF(OR(Y86=0,Y86=""),"","Value of strong brand")</f>
        <v/>
      </c>
      <c r="AA86">
        <f>Master!O86</f>
        <v>0</v>
      </c>
      <c r="AB86" t="str">
        <f>IF(OR(AA86=0,AA86=""),"","Value of strong brand")</f>
        <v/>
      </c>
      <c r="AC86">
        <f>Master!P86</f>
        <v>0</v>
      </c>
      <c r="AD86" t="str">
        <f>IF(OR(AC86=0,AC86=""),"","Value of strong brand")</f>
        <v/>
      </c>
      <c r="AE86">
        <f>Master!Q86</f>
        <v>0</v>
      </c>
      <c r="AF86" t="str">
        <f>IF(OR(AE86=0,AE86=""),"","Value of strong brand")</f>
        <v/>
      </c>
      <c r="AG86">
        <f>Master!R86</f>
        <v>0</v>
      </c>
      <c r="AH86" t="str">
        <f>IF(OR(AG86=0,AG86=""),"","Value of strong brand")</f>
        <v/>
      </c>
      <c r="AI86">
        <f>Master!S86</f>
        <v>0</v>
      </c>
      <c r="AJ86" t="str">
        <f>IF(OR(AI86=0,AI86=""),"","Value of strong brand")</f>
        <v/>
      </c>
      <c r="AK86">
        <f>Master!T86</f>
        <v>0</v>
      </c>
      <c r="AL86" t="str">
        <f>IF(OR(AK86=0,AK86=""),"","Value of strong brand")</f>
        <v/>
      </c>
      <c r="AM86">
        <f>Master!W86</f>
        <v>0</v>
      </c>
      <c r="AN86" t="s">
        <v>271</v>
      </c>
      <c r="AO86">
        <f>Master!X86</f>
        <v>0</v>
      </c>
      <c r="AP86" t="str">
        <f>IF(OR(AO86=0,AO86=""),"","Value of strong brand")</f>
        <v/>
      </c>
    </row>
    <row r="87" spans="1:44">
      <c r="A87" t="str">
        <f>Master!A87</f>
        <v>Mortgage loans</v>
      </c>
      <c r="B87">
        <f>Master!B87</f>
        <v>1</v>
      </c>
      <c r="C87">
        <f>Master!C87</f>
        <v>0</v>
      </c>
      <c r="E87">
        <f>Master!D87</f>
        <v>12000</v>
      </c>
      <c r="F87" t="s">
        <v>247</v>
      </c>
      <c r="G87">
        <f>Master!E87</f>
        <v>0</v>
      </c>
      <c r="I87">
        <f>Master!F87</f>
        <v>0</v>
      </c>
      <c r="K87">
        <f>Master!G87</f>
        <v>0</v>
      </c>
      <c r="M87">
        <f>Master!H87</f>
        <v>0</v>
      </c>
      <c r="O87">
        <f>Master!I87</f>
        <v>0</v>
      </c>
      <c r="Q87">
        <f>Master!J87</f>
        <v>0</v>
      </c>
      <c r="S87">
        <f>Master!K87</f>
        <v>0</v>
      </c>
      <c r="U87">
        <f>Master!L87</f>
        <v>0</v>
      </c>
      <c r="W87">
        <f>Master!M87</f>
        <v>0</v>
      </c>
      <c r="Y87">
        <f>Master!N87</f>
        <v>0</v>
      </c>
      <c r="AA87">
        <f>Master!O87</f>
        <v>0</v>
      </c>
      <c r="AC87">
        <f>Master!P87</f>
        <v>0</v>
      </c>
      <c r="AE87">
        <f>Master!Q87</f>
        <v>0</v>
      </c>
      <c r="AG87">
        <f>Master!R87</f>
        <v>0</v>
      </c>
      <c r="AI87">
        <f>Master!S87</f>
        <v>0</v>
      </c>
      <c r="AK87">
        <f>Master!T87</f>
        <v>0</v>
      </c>
      <c r="AM87">
        <f>Master!W87</f>
        <v>0</v>
      </c>
      <c r="AO87">
        <f>Master!X87</f>
        <v>0</v>
      </c>
    </row>
    <row r="88" spans="1:44">
      <c r="A88" t="str">
        <f>Master!A88</f>
        <v>Loan assets</v>
      </c>
      <c r="B88">
        <f>Master!B88</f>
        <v>1</v>
      </c>
      <c r="C88">
        <f>Master!C88</f>
        <v>397900</v>
      </c>
      <c r="E88">
        <f>Master!D88</f>
        <v>38800</v>
      </c>
      <c r="G88">
        <f>Master!E88</f>
        <v>0</v>
      </c>
      <c r="I88">
        <f>Master!F88</f>
        <v>0</v>
      </c>
      <c r="K88">
        <f>Master!G88</f>
        <v>0</v>
      </c>
      <c r="M88">
        <f>Master!H88</f>
        <v>0</v>
      </c>
      <c r="O88">
        <f>Master!I88</f>
        <v>0</v>
      </c>
      <c r="Q88">
        <f>Master!J88</f>
        <v>0</v>
      </c>
      <c r="S88">
        <f>Master!K88</f>
        <v>0</v>
      </c>
      <c r="U88">
        <f>Master!L88</f>
        <v>0</v>
      </c>
      <c r="W88">
        <f>Master!M88</f>
        <v>0</v>
      </c>
      <c r="Y88">
        <f>Master!N88</f>
        <v>0</v>
      </c>
      <c r="AA88">
        <f>Master!O88</f>
        <v>0</v>
      </c>
      <c r="AC88">
        <f>Master!P88</f>
        <v>0</v>
      </c>
      <c r="AE88">
        <f>Master!Q88</f>
        <v>0</v>
      </c>
      <c r="AG88">
        <f>Master!R88</f>
        <v>0</v>
      </c>
      <c r="AI88">
        <f>Master!S88</f>
        <v>0</v>
      </c>
      <c r="AK88">
        <f>Master!T88</f>
        <v>0</v>
      </c>
      <c r="AM88">
        <f>Master!W88</f>
        <v>0</v>
      </c>
      <c r="AO88">
        <f>Master!X88</f>
        <v>0</v>
      </c>
    </row>
    <row r="89" spans="1:44">
      <c r="A89" t="str">
        <f>Master!A89</f>
        <v>Other assets</v>
      </c>
      <c r="B89">
        <f>Master!B89</f>
        <v>1</v>
      </c>
      <c r="C89">
        <f>Master!C89</f>
        <v>13000</v>
      </c>
      <c r="E89">
        <f>Master!D89</f>
        <v>0</v>
      </c>
      <c r="G89">
        <f>Master!E89</f>
        <v>0</v>
      </c>
      <c r="I89">
        <f>Master!F89</f>
        <v>0</v>
      </c>
      <c r="K89">
        <f>Master!G89</f>
        <v>0</v>
      </c>
      <c r="M89">
        <f>Master!H89</f>
        <v>0</v>
      </c>
      <c r="O89">
        <f>Master!I89</f>
        <v>0</v>
      </c>
      <c r="Q89">
        <f>Master!J89</f>
        <v>0</v>
      </c>
      <c r="S89">
        <f>Master!K89</f>
        <v>0</v>
      </c>
      <c r="U89">
        <f>Master!L89</f>
        <v>0</v>
      </c>
      <c r="W89">
        <f>Master!M89</f>
        <v>0</v>
      </c>
      <c r="Y89">
        <f>Master!N89</f>
        <v>0</v>
      </c>
      <c r="AA89">
        <f>Master!O89</f>
        <v>0</v>
      </c>
      <c r="AC89">
        <f>Master!P89</f>
        <v>0</v>
      </c>
      <c r="AE89">
        <f>Master!Q89</f>
        <v>0</v>
      </c>
      <c r="AG89">
        <f>Master!R89</f>
        <v>0</v>
      </c>
      <c r="AI89">
        <f>Master!S89</f>
        <v>0</v>
      </c>
      <c r="AK89">
        <f>Master!T89</f>
        <v>0</v>
      </c>
      <c r="AM89">
        <f>Master!W89</f>
        <v>0</v>
      </c>
      <c r="AO89">
        <f>Master!X89</f>
        <v>0</v>
      </c>
    </row>
    <row r="90" spans="1:44">
      <c r="A90" t="str">
        <f>Master!A90</f>
        <v>Total assets</v>
      </c>
      <c r="B90" t="str">
        <f>Master!B90</f>
        <v>0s</v>
      </c>
      <c r="C90">
        <f>Master!C90</f>
        <v>426834</v>
      </c>
      <c r="D90" t="str">
        <f>IF(AND(C$114&lt;0.5,C$114&gt;0),"\textcolor{black}{Correct sum is "&amp;C90-C$116&amp;": off by "&amp;TEXT(C$116,"###,###")&amp;"$\rightarrow$ \textcolor{red}{\textbf{"&amp;C$115&amp;"}}}","")</f>
        <v/>
      </c>
      <c r="E90">
        <f>Master!D90</f>
        <v>65359</v>
      </c>
      <c r="F90" t="str">
        <f>IF(AND(E$114&lt;0.5,E$114&gt;0),"\textcolor{black}{Correct sum is "&amp;E90-E$116&amp;": off by "&amp;E$116&amp;"$\rightarrow$ \textcolor{red}{\textbf{"&amp;E$115&amp;"}}}","")</f>
        <v/>
      </c>
      <c r="G90">
        <f>Master!E90</f>
        <v>285798</v>
      </c>
      <c r="H90" t="str">
        <f>IF(AND(G$114&lt;0.5,G$114&gt;0),"\textcolor{black}{Correct sum is "&amp;G90-G$116&amp;": off by "&amp;G$116&amp;"$\rightarrow$ \textcolor{red}{\textbf{"&amp;G$115&amp;"}}}","")</f>
        <v/>
      </c>
      <c r="I90">
        <f>Master!F90</f>
        <v>137100</v>
      </c>
      <c r="J90" t="str">
        <f>IF(AND(I$114&lt;0.5,I$114&gt;0),"\textcolor{black}{Correct sum is "&amp;I90-I$116&amp;": off by "&amp;I$116&amp;"$\rightarrow$ \textcolor{red}{\textbf{"&amp;I$115&amp;"}}}","")</f>
        <v/>
      </c>
      <c r="K90">
        <f>Master!G90</f>
        <v>138994</v>
      </c>
      <c r="L90" t="str">
        <f>IF(AND(K$114&lt;0.5,K$114&gt;0),"\textcolor{black}{Correct sum is "&amp;K90-K$116&amp;": off by "&amp;K$116&amp;"$\rightarrow$ \textcolor{red}{\textbf{"&amp;K$115&amp;"}}}","")</f>
        <v/>
      </c>
      <c r="M90">
        <f>Master!H90</f>
        <v>103173</v>
      </c>
      <c r="N90" t="str">
        <f>IF(AND(M$114&lt;0.5,M$114&gt;0),"\textcolor{black}{Correct sum is "&amp;M90-M$116&amp;": off by "&amp;M$116&amp;"$\rightarrow$ \textcolor{red}{\textbf{"&amp;M$115&amp;"}}}","")</f>
        <v/>
      </c>
      <c r="O90">
        <f>Master!I90</f>
        <v>31885</v>
      </c>
      <c r="P90" t="str">
        <f>IF(AND(O$114&lt;0.5,O$114&gt;0),"\textcolor{black}{Correct sum is "&amp;O90-O$116&amp;": off by "&amp;O$116&amp;"$\rightarrow$ \textcolor{red}{\textbf{"&amp;O$115&amp;"}}}","")</f>
        <v/>
      </c>
      <c r="Q90">
        <f>Master!J90</f>
        <v>53237</v>
      </c>
      <c r="R90" t="str">
        <f>IF(AND(Q$114&lt;0.5,Q$114&gt;0),"\textcolor{black}{Correct sum is "&amp;Q90-Q$116&amp;": off by "&amp;Q$116&amp;"$\rightarrow$ \textcolor{red}{\textbf{"&amp;Q$115&amp;"}}}","")</f>
        <v/>
      </c>
      <c r="S90">
        <f>Master!K90</f>
        <v>20428</v>
      </c>
      <c r="T90" t="str">
        <f>IF(AND(S$114&lt;0.5,S$114&gt;0),"\textcolor{black}{Correct sum is "&amp;S90-S$116&amp;": off by "&amp;S$116&amp;"$\rightarrow$ \textcolor{red}{\textbf{"&amp;S$115&amp;"}}}","")</f>
        <v>\textcolor{black}{Correct sum is 20425: off by 3$\rightarrow$ \textcolor{red}{\textbf{C}}}</v>
      </c>
      <c r="U90">
        <f>Master!L90</f>
        <v>64008</v>
      </c>
      <c r="V90" t="str">
        <f>IF(AND(U$114&lt;0.5,U$114&gt;0),"\textcolor{black}{Correct sum is "&amp;U90-U$116&amp;": off by "&amp;U$116&amp;"$\rightarrow$ \textcolor{red}{\textbf{"&amp;U$115&amp;"}}}","")</f>
        <v/>
      </c>
      <c r="W90">
        <f>Master!M90</f>
        <v>34618</v>
      </c>
      <c r="X90" t="str">
        <f>IF(AND(W$114&lt;0.5,W$114&gt;0),"\textcolor{black}{Correct sum is "&amp;W90-W$116&amp;": off by "&amp;W$116&amp;"$\rightarrow$ \textcolor{red}{\textbf{"&amp;W$115&amp;"}}}","")</f>
        <v>\textcolor{black}{Correct sum is 34603: off by 15$\rightarrow$ \textcolor{red}{\textbf{O}}}</v>
      </c>
      <c r="Y90">
        <f>Master!N90</f>
        <v>23647</v>
      </c>
      <c r="Z90" t="str">
        <f>IF(AND(Y$114&lt;0.5,Y$114&gt;0),"\textcolor{black}{Correct sum is "&amp;Y90-Y$116&amp;": off by "&amp;Y$116&amp;"$\rightarrow$ \textcolor{red}{\textbf{"&amp;Y$115&amp;"}}}","")</f>
        <v>\textcolor{black}{Correct sum is 23641: off by 6$\rightarrow$ \textcolor{red}{\textbf{F}}}</v>
      </c>
      <c r="AA90">
        <f>Master!O90</f>
        <v>11609</v>
      </c>
      <c r="AB90" t="str">
        <f>IF(AND(AA$114&lt;0.5,AA$114&gt;0),"\textcolor{black}{Correct sum is "&amp;AA90-AA$116&amp;": off by "&amp;AA$116&amp;"$\rightarrow$ \textcolor{red}{\textbf{"&amp;AA$115&amp;"}}}","")</f>
        <v>\textcolor{black}{Correct sum is 11603: off by 6$\rightarrow$ \textcolor{red}{\textbf{F}}}</v>
      </c>
      <c r="AC90">
        <f>Master!P90</f>
        <v>20233</v>
      </c>
      <c r="AD90" t="str">
        <f>IF(AND(AC$114&lt;0.5,AC$114&gt;0),"\textcolor{black}{Correct sum is "&amp;AC90-AC$116&amp;": off by "&amp;AC$116&amp;"$\rightarrow$ \textcolor{red}{\textbf{"&amp;AC$115&amp;"}}}","")</f>
        <v/>
      </c>
      <c r="AE90">
        <f>Master!Q90</f>
        <v>17844</v>
      </c>
      <c r="AF90" t="str">
        <f>IF(AND(AE$114&lt;0.5,AE$114&gt;0),"\textcolor{black}{Correct sum is "&amp;AE90-AE$116&amp;": off by "&amp;AE$116&amp;"$\rightarrow$ \textcolor{red}{\textbf{"&amp;AE$115&amp;"}}}","")</f>
        <v/>
      </c>
      <c r="AG90">
        <f>Master!R90</f>
        <v>10575</v>
      </c>
      <c r="AH90" t="str">
        <f>IF(AND(AG$114&lt;0.5,AG$114&gt;0),"\textcolor{black}{Correct sum is "&amp;AG90-AG$116&amp;": off by "&amp;AG$116&amp;"$\rightarrow$ \textcolor{red}{\textbf{"&amp;AG$115&amp;"}}}","")</f>
        <v/>
      </c>
      <c r="AI90">
        <f>Master!S90</f>
        <v>24973</v>
      </c>
      <c r="AJ90" t="str">
        <f>IF(AND(AI$114&lt;0.5,AI$114&gt;0),"\textcolor{black}{Correct sum is "&amp;AI90-AI$116&amp;": off by "&amp;AI$116&amp;"$\rightarrow$ \textcolor{red}{\textbf{"&amp;AI$115&amp;"}}}","")</f>
        <v/>
      </c>
      <c r="AK90">
        <f>Master!T90</f>
        <v>20543</v>
      </c>
      <c r="AL90" t="str">
        <f>IF(AND(AK$114&lt;0.5,AK$114&gt;0),"\textcolor{black}{Correct sum is "&amp;AK90-AK$116&amp;": off by "&amp;AK$116&amp;"$\rightarrow$ \textcolor{red}{\textbf{"&amp;AK$115&amp;"}}}","")</f>
        <v>\textcolor{black}{Correct sum is 20536: off by 7$\rightarrow$ \textcolor{red}{\textbf{G}}}</v>
      </c>
      <c r="AM90">
        <f>Master!W90</f>
        <v>24249</v>
      </c>
      <c r="AN90" t="str">
        <f>IF(AND(AM$114&lt;0.5,AM$114&gt;0),"\textcolor{black}{Correct sum is "&amp;AM90-AM$116&amp;": off by "&amp;AM$116&amp;"$\rightarrow$ \textcolor{red}{\textbf{"&amp;AM$115&amp;"}}}","")</f>
        <v>\textcolor{black}{Correct sum is 24245: off by 4$\rightarrow$ \textcolor{red}{\textbf{D}}}</v>
      </c>
      <c r="AO90">
        <f>Master!X90</f>
        <v>10137</v>
      </c>
      <c r="AP90" t="str">
        <f>IF(AND(AO$114&lt;0.5,AO$114&gt;0),"\textcolor{black}{Correct sum is "&amp;AO90-AO$116&amp;": off by "&amp;AO$116&amp;"$\rightarrow$ \textcolor{red}{\textbf{"&amp;AO$115&amp;"}}}","")</f>
        <v/>
      </c>
      <c r="AR90" t="str">
        <f>IF(AND(AQ$114&lt;0.5,AQ$114&gt;0),"\textcolor{black}{Correct sum is "&amp;AQ90-AQ$116&amp;": off by "&amp;AQ$116&amp;"$\rightarrow$ \textcolor{red}{\textbf{"&amp;AQ$115&amp;"}}}","")</f>
        <v/>
      </c>
    </row>
    <row r="91" spans="1:44">
      <c r="A91">
        <f>Master!A91</f>
        <v>0</v>
      </c>
      <c r="B91">
        <f>Master!B91</f>
        <v>0</v>
      </c>
      <c r="C91">
        <f>Master!C91</f>
        <v>0</v>
      </c>
      <c r="E91">
        <f>Master!D91</f>
        <v>0</v>
      </c>
      <c r="G91">
        <f>Master!E91</f>
        <v>0</v>
      </c>
      <c r="I91">
        <f>Master!F91</f>
        <v>0</v>
      </c>
      <c r="K91">
        <f>Master!G91</f>
        <v>0</v>
      </c>
      <c r="M91">
        <f>Master!H91</f>
        <v>0</v>
      </c>
      <c r="O91">
        <f>Master!I91</f>
        <v>0</v>
      </c>
      <c r="Q91">
        <f>Master!J91</f>
        <v>0</v>
      </c>
      <c r="S91">
        <f>Master!K91</f>
        <v>0</v>
      </c>
      <c r="U91">
        <f>Master!L91</f>
        <v>0</v>
      </c>
      <c r="W91">
        <f>Master!M91</f>
        <v>0</v>
      </c>
      <c r="Y91">
        <f>Master!N91</f>
        <v>0</v>
      </c>
      <c r="AA91">
        <f>Master!O91</f>
        <v>0</v>
      </c>
      <c r="AC91">
        <f>Master!P91</f>
        <v>0</v>
      </c>
      <c r="AE91">
        <f>Master!Q91</f>
        <v>0</v>
      </c>
      <c r="AG91">
        <f>Master!R91</f>
        <v>0</v>
      </c>
      <c r="AI91">
        <f>Master!S91</f>
        <v>0</v>
      </c>
      <c r="AK91">
        <f>Master!T91</f>
        <v>0</v>
      </c>
      <c r="AM91">
        <f>Master!W91</f>
        <v>0</v>
      </c>
      <c r="AO91">
        <f>Master!X91</f>
        <v>0</v>
      </c>
    </row>
    <row r="92" spans="1:44">
      <c r="A92" t="str">
        <f>Master!A92</f>
        <v>Liabilities</v>
      </c>
      <c r="B92" t="str">
        <f>Master!B92</f>
        <v>0u</v>
      </c>
      <c r="C92">
        <f>Master!C92</f>
        <v>0</v>
      </c>
      <c r="E92">
        <f>Master!D92</f>
        <v>0</v>
      </c>
      <c r="G92">
        <f>Master!E92</f>
        <v>0</v>
      </c>
      <c r="I92">
        <f>Master!F92</f>
        <v>0</v>
      </c>
      <c r="K92">
        <f>Master!G92</f>
        <v>0</v>
      </c>
      <c r="M92">
        <f>Master!H92</f>
        <v>0</v>
      </c>
      <c r="O92">
        <f>Master!I92</f>
        <v>0</v>
      </c>
      <c r="Q92">
        <f>Master!J92</f>
        <v>0</v>
      </c>
      <c r="S92">
        <f>Master!K92</f>
        <v>0</v>
      </c>
      <c r="U92">
        <f>Master!L92</f>
        <v>0</v>
      </c>
      <c r="W92">
        <f>Master!M92</f>
        <v>0</v>
      </c>
      <c r="Y92">
        <f>Master!N92</f>
        <v>0</v>
      </c>
      <c r="AA92">
        <f>Master!O92</f>
        <v>0</v>
      </c>
      <c r="AC92">
        <f>Master!P92</f>
        <v>0</v>
      </c>
      <c r="AE92">
        <f>Master!Q92</f>
        <v>0</v>
      </c>
      <c r="AG92">
        <f>Master!R92</f>
        <v>0</v>
      </c>
      <c r="AI92">
        <f>Master!S92</f>
        <v>0</v>
      </c>
      <c r="AK92">
        <f>Master!T92</f>
        <v>0</v>
      </c>
      <c r="AM92">
        <f>Master!W92</f>
        <v>0</v>
      </c>
      <c r="AO92">
        <f>Master!X92</f>
        <v>0</v>
      </c>
    </row>
    <row r="93" spans="1:44">
      <c r="A93" t="str">
        <f>Master!A93</f>
        <v>Accounts payable</v>
      </c>
      <c r="B93">
        <f>Master!B93</f>
        <v>1</v>
      </c>
      <c r="C93">
        <f>Master!C93</f>
        <v>0</v>
      </c>
      <c r="E93">
        <f>Master!D93</f>
        <v>0</v>
      </c>
      <c r="G93">
        <f>Master!E93</f>
        <v>6700</v>
      </c>
      <c r="I93">
        <f>Master!F93</f>
        <v>3100</v>
      </c>
      <c r="K93">
        <f>Master!G93</f>
        <v>1100</v>
      </c>
      <c r="M93">
        <f>Master!H93</f>
        <v>5800</v>
      </c>
      <c r="O93">
        <f>Master!I93</f>
        <v>7900</v>
      </c>
      <c r="Q93">
        <f>Master!J93</f>
        <v>900</v>
      </c>
      <c r="S93">
        <f>Master!K93</f>
        <v>200</v>
      </c>
      <c r="U93">
        <f>Master!L93</f>
        <v>2300</v>
      </c>
      <c r="W93">
        <f>Master!M93</f>
        <v>1800</v>
      </c>
      <c r="Y93">
        <f>Master!N93</f>
        <v>800</v>
      </c>
      <c r="AA93">
        <f>Master!O93</f>
        <v>600</v>
      </c>
      <c r="AC93">
        <f>Master!P93</f>
        <v>1900</v>
      </c>
      <c r="AE93">
        <f>Master!Q93</f>
        <v>2100</v>
      </c>
      <c r="AG93">
        <f>Master!R93</f>
        <v>600</v>
      </c>
      <c r="AI93">
        <f>Master!S93</f>
        <v>5700</v>
      </c>
      <c r="AK93">
        <f>Master!T93</f>
        <v>1500</v>
      </c>
      <c r="AM93">
        <f>Master!W93</f>
        <v>3200</v>
      </c>
      <c r="AO93">
        <f>Master!X93</f>
        <v>700</v>
      </c>
    </row>
    <row r="94" spans="1:44">
      <c r="A94" t="str">
        <f>Master!A94</f>
        <v>Current portion of debt</v>
      </c>
      <c r="B94">
        <f>Master!B94</f>
        <v>1</v>
      </c>
      <c r="C94">
        <f>Master!C94</f>
        <v>0</v>
      </c>
      <c r="E94">
        <f>Master!D94</f>
        <v>0</v>
      </c>
      <c r="G94">
        <f>Master!E94</f>
        <v>11430</v>
      </c>
      <c r="I94">
        <f>Master!F94</f>
        <v>5480</v>
      </c>
      <c r="K94">
        <f>Master!G94</f>
        <v>555</v>
      </c>
      <c r="M94">
        <f>Master!H94</f>
        <v>410</v>
      </c>
      <c r="O94">
        <f>Master!I94</f>
        <v>0</v>
      </c>
      <c r="Q94">
        <f>Master!J94</f>
        <v>210</v>
      </c>
      <c r="S94">
        <f>Master!K94</f>
        <v>80</v>
      </c>
      <c r="U94">
        <f>Master!L94</f>
        <v>255</v>
      </c>
      <c r="W94">
        <f>Master!M94</f>
        <v>1380</v>
      </c>
      <c r="Y94">
        <f>Master!N94</f>
        <v>90</v>
      </c>
      <c r="AA94">
        <f>Master!O94</f>
        <v>45</v>
      </c>
      <c r="AC94">
        <f>Master!P94</f>
        <v>125</v>
      </c>
      <c r="AE94">
        <f>Master!Q94</f>
        <v>710</v>
      </c>
      <c r="AG94">
        <f>Master!R94</f>
        <v>0</v>
      </c>
      <c r="AI94">
        <f>Master!S94</f>
        <v>95</v>
      </c>
      <c r="AK94">
        <f>Master!T94</f>
        <v>80</v>
      </c>
      <c r="AM94">
        <f>Master!W94</f>
        <v>95</v>
      </c>
      <c r="AO94">
        <f>Master!X94</f>
        <v>0</v>
      </c>
    </row>
    <row r="95" spans="1:44">
      <c r="A95" t="str">
        <f>Master!A95</f>
        <v>Total current liabilities</v>
      </c>
      <c r="B95" t="str">
        <f>Master!B95</f>
        <v>0s</v>
      </c>
      <c r="C95">
        <f>Master!C95</f>
        <v>0</v>
      </c>
      <c r="E95">
        <f>Master!D95</f>
        <v>0</v>
      </c>
      <c r="G95">
        <f>Master!E95</f>
        <v>18130</v>
      </c>
      <c r="I95">
        <f>Master!F95</f>
        <v>8580</v>
      </c>
      <c r="K95">
        <f>Master!G95</f>
        <v>1655</v>
      </c>
      <c r="M95">
        <f>Master!H95</f>
        <v>6210</v>
      </c>
      <c r="O95">
        <f>Master!I95</f>
        <v>7900</v>
      </c>
      <c r="Q95">
        <f>Master!J95</f>
        <v>1110</v>
      </c>
      <c r="S95">
        <f>Master!K95</f>
        <v>280</v>
      </c>
      <c r="U95">
        <f>Master!L95</f>
        <v>2555</v>
      </c>
      <c r="W95">
        <f>Master!M95</f>
        <v>3180</v>
      </c>
      <c r="Y95">
        <f>Master!N95</f>
        <v>890</v>
      </c>
      <c r="AA95">
        <f>Master!O95</f>
        <v>645</v>
      </c>
      <c r="AC95">
        <f>Master!P95</f>
        <v>2025</v>
      </c>
      <c r="AE95">
        <f>Master!Q95</f>
        <v>2810</v>
      </c>
      <c r="AG95">
        <f>Master!R95</f>
        <v>600</v>
      </c>
      <c r="AI95">
        <f>Master!S95</f>
        <v>5795</v>
      </c>
      <c r="AK95">
        <f>Master!T95</f>
        <v>1580</v>
      </c>
      <c r="AM95">
        <f>Master!W95</f>
        <v>3295</v>
      </c>
      <c r="AO95">
        <f>Master!X95</f>
        <v>700</v>
      </c>
    </row>
    <row r="96" spans="1:44">
      <c r="A96">
        <f>Master!A96</f>
        <v>0</v>
      </c>
      <c r="B96">
        <f>Master!B96</f>
        <v>0</v>
      </c>
      <c r="C96">
        <f>Master!C96</f>
        <v>0</v>
      </c>
      <c r="E96">
        <f>Master!D96</f>
        <v>0</v>
      </c>
      <c r="G96">
        <f>Master!E96</f>
        <v>0</v>
      </c>
      <c r="I96">
        <f>Master!F96</f>
        <v>0</v>
      </c>
      <c r="K96">
        <f>Master!G96</f>
        <v>0</v>
      </c>
      <c r="M96">
        <f>Master!H96</f>
        <v>0</v>
      </c>
      <c r="O96">
        <f>Master!I96</f>
        <v>0</v>
      </c>
      <c r="Q96">
        <f>Master!J96</f>
        <v>0</v>
      </c>
      <c r="S96">
        <f>Master!K96</f>
        <v>0</v>
      </c>
      <c r="U96">
        <f>Master!L96</f>
        <v>0</v>
      </c>
      <c r="W96">
        <f>Master!M96</f>
        <v>0</v>
      </c>
      <c r="Y96">
        <f>Master!N96</f>
        <v>0</v>
      </c>
      <c r="AA96">
        <f>Master!O96</f>
        <v>0</v>
      </c>
      <c r="AC96">
        <f>Master!P96</f>
        <v>0</v>
      </c>
      <c r="AE96">
        <f>Master!Q96</f>
        <v>0</v>
      </c>
      <c r="AG96">
        <f>Master!R96</f>
        <v>0</v>
      </c>
      <c r="AI96">
        <f>Master!S96</f>
        <v>0</v>
      </c>
      <c r="AK96">
        <f>Master!T96</f>
        <v>0</v>
      </c>
      <c r="AM96">
        <f>Master!W96</f>
        <v>0</v>
      </c>
      <c r="AO96">
        <f>Master!X96</f>
        <v>0</v>
      </c>
    </row>
    <row r="97" spans="1:42">
      <c r="A97" t="str">
        <f>Master!A97</f>
        <v>Consumer deposits</v>
      </c>
      <c r="B97">
        <f>Master!B97</f>
        <v>1</v>
      </c>
      <c r="C97">
        <f>Master!C97</f>
        <v>0</v>
      </c>
      <c r="E97">
        <f>Master!D97</f>
        <v>0</v>
      </c>
      <c r="G97">
        <f>Master!E97</f>
        <v>0</v>
      </c>
      <c r="I97">
        <f>Master!F97</f>
        <v>0</v>
      </c>
      <c r="K97">
        <f>Master!G97</f>
        <v>0</v>
      </c>
      <c r="M97">
        <f>Master!H97</f>
        <v>0</v>
      </c>
      <c r="O97">
        <f>Master!I97</f>
        <v>0</v>
      </c>
      <c r="Q97">
        <f>Master!J97</f>
        <v>0</v>
      </c>
      <c r="S97">
        <f>Master!K97</f>
        <v>0</v>
      </c>
      <c r="U97">
        <f>Master!L97</f>
        <v>0</v>
      </c>
      <c r="W97">
        <f>Master!M97</f>
        <v>0</v>
      </c>
      <c r="Y97">
        <f>Master!N97</f>
        <v>0</v>
      </c>
      <c r="AA97">
        <f>Master!O97</f>
        <v>0</v>
      </c>
      <c r="AC97">
        <f>Master!P97</f>
        <v>0</v>
      </c>
      <c r="AE97">
        <f>Master!Q97</f>
        <v>0</v>
      </c>
      <c r="AG97">
        <f>Master!R97</f>
        <v>0</v>
      </c>
      <c r="AI97">
        <f>Master!S97</f>
        <v>0</v>
      </c>
      <c r="AK97">
        <f>Master!T97</f>
        <v>0</v>
      </c>
      <c r="AM97">
        <f>Master!W97</f>
        <v>0</v>
      </c>
      <c r="AO97">
        <f>Master!X97</f>
        <v>0</v>
      </c>
    </row>
    <row r="98" spans="1:42">
      <c r="A98" t="str">
        <f>Master!A98</f>
        <v>Deposits</v>
      </c>
      <c r="B98">
        <f>Master!B98</f>
        <v>1</v>
      </c>
      <c r="C98">
        <f>Master!C98</f>
        <v>400000</v>
      </c>
      <c r="E98">
        <f>Master!D98</f>
        <v>50000</v>
      </c>
      <c r="G98">
        <f>Master!E98</f>
        <v>0</v>
      </c>
      <c r="I98">
        <f>Master!F98</f>
        <v>0</v>
      </c>
      <c r="K98">
        <f>Master!G98</f>
        <v>0</v>
      </c>
      <c r="M98">
        <f>Master!H98</f>
        <v>0</v>
      </c>
      <c r="O98">
        <f>Master!I98</f>
        <v>0</v>
      </c>
      <c r="Q98">
        <f>Master!J98</f>
        <v>0</v>
      </c>
      <c r="S98">
        <f>Master!K98</f>
        <v>0</v>
      </c>
      <c r="U98">
        <f>Master!L98</f>
        <v>0</v>
      </c>
      <c r="W98">
        <f>Master!M98</f>
        <v>0</v>
      </c>
      <c r="Y98">
        <f>Master!N98</f>
        <v>0</v>
      </c>
      <c r="AA98">
        <f>Master!O98</f>
        <v>0</v>
      </c>
      <c r="AC98">
        <f>Master!P98</f>
        <v>0</v>
      </c>
      <c r="AE98">
        <f>Master!Q98</f>
        <v>0</v>
      </c>
      <c r="AG98">
        <f>Master!R98</f>
        <v>0</v>
      </c>
      <c r="AI98">
        <f>Master!S98</f>
        <v>0</v>
      </c>
      <c r="AK98">
        <f>Master!T98</f>
        <v>0</v>
      </c>
      <c r="AM98">
        <f>Master!W98</f>
        <v>0</v>
      </c>
      <c r="AO98">
        <f>Master!X98</f>
        <v>0</v>
      </c>
    </row>
    <row r="99" spans="1:42">
      <c r="A99" t="str">
        <f>Master!A99</f>
        <v>Long-term debt</v>
      </c>
      <c r="B99">
        <f>Master!B99</f>
        <v>1</v>
      </c>
      <c r="C99">
        <f>Master!C99</f>
        <v>0</v>
      </c>
      <c r="E99">
        <f>Master!D99</f>
        <v>0</v>
      </c>
      <c r="G99">
        <f>Master!E99</f>
        <v>228600</v>
      </c>
      <c r="I99">
        <f>Master!F99</f>
        <v>109600</v>
      </c>
      <c r="K99">
        <f>Master!G99</f>
        <v>11100</v>
      </c>
      <c r="M99">
        <f>Master!H99</f>
        <v>8200</v>
      </c>
      <c r="O99">
        <f>Master!I99</f>
        <v>2500</v>
      </c>
      <c r="Q99">
        <f>Master!J99</f>
        <v>4200</v>
      </c>
      <c r="S99">
        <f>Master!K99</f>
        <v>1600</v>
      </c>
      <c r="U99">
        <f>Master!L99</f>
        <v>5100</v>
      </c>
      <c r="W99">
        <f>Master!M99</f>
        <v>27600</v>
      </c>
      <c r="Y99">
        <f>Master!N99</f>
        <v>1800</v>
      </c>
      <c r="AA99">
        <f>Master!O99</f>
        <v>900</v>
      </c>
      <c r="AC99">
        <f>Master!P99</f>
        <v>2500</v>
      </c>
      <c r="AE99">
        <f>Master!Q99</f>
        <v>14200</v>
      </c>
      <c r="AG99">
        <f>Master!R99</f>
        <v>8400</v>
      </c>
      <c r="AI99">
        <f>Master!S99</f>
        <v>1900</v>
      </c>
      <c r="AK99">
        <f>Master!T99</f>
        <v>1600</v>
      </c>
      <c r="AM99">
        <f>Master!W99</f>
        <v>1900</v>
      </c>
      <c r="AO99">
        <f>Master!X99</f>
        <v>5000</v>
      </c>
    </row>
    <row r="100" spans="1:42">
      <c r="A100" t="str">
        <f>Master!A100</f>
        <v>Total liabilities</v>
      </c>
      <c r="B100" t="str">
        <f>Master!B100</f>
        <v>0s</v>
      </c>
      <c r="C100">
        <f>Master!C100</f>
        <v>400000</v>
      </c>
      <c r="E100">
        <f>Master!D100</f>
        <v>50000</v>
      </c>
      <c r="G100">
        <f>Master!E100</f>
        <v>246730</v>
      </c>
      <c r="I100">
        <f>Master!F100</f>
        <v>118180</v>
      </c>
      <c r="K100">
        <f>Master!G100</f>
        <v>12755</v>
      </c>
      <c r="M100">
        <f>Master!H100</f>
        <v>14410</v>
      </c>
      <c r="O100">
        <f>Master!I100</f>
        <v>10400</v>
      </c>
      <c r="Q100">
        <f>Master!J100</f>
        <v>5310</v>
      </c>
      <c r="S100">
        <f>Master!K100</f>
        <v>1880</v>
      </c>
      <c r="U100">
        <f>Master!L100</f>
        <v>7655</v>
      </c>
      <c r="W100">
        <f>Master!M100</f>
        <v>30780</v>
      </c>
      <c r="Y100">
        <f>Master!N100</f>
        <v>2690</v>
      </c>
      <c r="AA100">
        <f>Master!O100</f>
        <v>1545</v>
      </c>
      <c r="AC100">
        <f>Master!P100</f>
        <v>4525</v>
      </c>
      <c r="AE100">
        <f>Master!Q100</f>
        <v>17010</v>
      </c>
      <c r="AG100">
        <f>Master!R100</f>
        <v>9000</v>
      </c>
      <c r="AI100">
        <f>Master!S100</f>
        <v>7695</v>
      </c>
      <c r="AK100">
        <f>Master!T100</f>
        <v>3180</v>
      </c>
      <c r="AM100">
        <f>Master!W100</f>
        <v>5195</v>
      </c>
      <c r="AO100">
        <f>Master!X100</f>
        <v>5700</v>
      </c>
    </row>
    <row r="101" spans="1:42">
      <c r="A101">
        <f>Master!A101</f>
        <v>0</v>
      </c>
      <c r="B101">
        <f>Master!B101</f>
        <v>0</v>
      </c>
      <c r="C101">
        <f>Master!C101</f>
        <v>0</v>
      </c>
      <c r="E101">
        <f>Master!D101</f>
        <v>0</v>
      </c>
      <c r="G101">
        <f>Master!E101</f>
        <v>0</v>
      </c>
      <c r="I101">
        <f>Master!F101</f>
        <v>0</v>
      </c>
      <c r="K101">
        <f>Master!G101</f>
        <v>0</v>
      </c>
      <c r="M101">
        <f>Master!H101</f>
        <v>0</v>
      </c>
      <c r="O101">
        <f>Master!I101</f>
        <v>0</v>
      </c>
      <c r="Q101">
        <f>Master!J101</f>
        <v>0</v>
      </c>
      <c r="S101">
        <f>Master!K101</f>
        <v>0</v>
      </c>
      <c r="U101">
        <f>Master!L101</f>
        <v>0</v>
      </c>
      <c r="W101">
        <f>Master!M101</f>
        <v>0</v>
      </c>
      <c r="Y101">
        <f>Master!N101</f>
        <v>0</v>
      </c>
      <c r="AA101">
        <f>Master!O101</f>
        <v>0</v>
      </c>
      <c r="AC101">
        <f>Master!P101</f>
        <v>0</v>
      </c>
      <c r="AE101">
        <f>Master!Q101</f>
        <v>0</v>
      </c>
      <c r="AG101">
        <f>Master!R101</f>
        <v>0</v>
      </c>
      <c r="AI101">
        <f>Master!S101</f>
        <v>0</v>
      </c>
      <c r="AK101">
        <f>Master!T101</f>
        <v>0</v>
      </c>
      <c r="AM101">
        <f>Master!W101</f>
        <v>0</v>
      </c>
      <c r="AO101">
        <f>Master!X101</f>
        <v>0</v>
      </c>
    </row>
    <row r="102" spans="1:42">
      <c r="A102" t="str">
        <f>Master!A102</f>
        <v>Stockholders' equity</v>
      </c>
      <c r="B102" t="str">
        <f>Master!B102</f>
        <v>0u</v>
      </c>
      <c r="C102">
        <f>Master!C102</f>
        <v>26840</v>
      </c>
      <c r="D102" t="str">
        <f>IF(C$114&gt;0.5,"\textcolor{soln-black}{Correct value is "&amp;C102-C$116&amp;": off by "&amp;C$116&amp;"$\rightarrow$ \textcolor{red}{\textbf{"&amp;C$115&amp;"}}}","")</f>
        <v>\textcolor{soln-black}{Correct value is 26834: off by 6$\rightarrow$ \textcolor{red}{\textbf{F}}}</v>
      </c>
      <c r="E102">
        <f>Master!D102</f>
        <v>15361</v>
      </c>
      <c r="F102" t="str">
        <f>IF(E$114&gt;0.5,"\textcolor{soln-black}{Correct value is "&amp;E102-E$116&amp;": off by "&amp;E$116&amp;"$\rightarrow$ \textcolor{red}{\textbf{"&amp;E$115&amp;"}}}","")</f>
        <v>\textcolor{soln-black}{Correct value is 15359: off by 2$\rightarrow$ \textcolor{red}{\textbf{B}}}</v>
      </c>
      <c r="G102">
        <f>Master!E102</f>
        <v>39068</v>
      </c>
      <c r="H102" t="str">
        <f>IF(G$114&gt;0.5,"\textcolor{soln-black}{Correct value is "&amp;G102-G$116&amp;": off by "&amp;G$116&amp;"$\rightarrow$ \textcolor{red}{\textbf{"&amp;G$115&amp;"}}}","")</f>
        <v/>
      </c>
      <c r="I102">
        <f>Master!F102</f>
        <v>18925</v>
      </c>
      <c r="J102" t="str">
        <f>IF(I$114&gt;0.5,"\textcolor{soln-black}{Correct value is "&amp;I102-I$116&amp;": off by "&amp;I$116&amp;"$\rightarrow$ \textcolor{red}{\textbf{"&amp;I$115&amp;"}}}","")</f>
        <v>\textcolor{soln-black}{Correct value is 18920: off by 5$\rightarrow$ \textcolor{red}{\textbf{E}}}</v>
      </c>
      <c r="K102">
        <f>Master!G102</f>
        <v>126239</v>
      </c>
      <c r="L102" t="str">
        <f>IF(K$114&gt;0.5,"\textcolor{soln-black}{Correct value is "&amp;K102-K$116&amp;": off by "&amp;K$116&amp;"$\rightarrow$ \textcolor{red}{\textbf{"&amp;K$115&amp;"}}}","")</f>
        <v/>
      </c>
      <c r="M102">
        <f>Master!H102</f>
        <v>88782</v>
      </c>
      <c r="N102" t="str">
        <f>IF(M$114&gt;0.5,"\textcolor{soln-black}{Correct value is "&amp;M102-M$116&amp;": off by "&amp;M$116&amp;"$\rightarrow$ \textcolor{red}{\textbf{"&amp;M$115&amp;"}}}","")</f>
        <v>\textcolor{soln-black}{Correct value is 88763: off by 19$\rightarrow$ \textcolor{red}{\textbf{S}}}</v>
      </c>
      <c r="O102">
        <f>Master!I102</f>
        <v>21485</v>
      </c>
      <c r="P102" t="str">
        <f>IF(O$114&gt;0.5,"\textcolor{soln-black}{Correct value is "&amp;O102-O$116&amp;": off by "&amp;O$116&amp;"$\rightarrow$ \textcolor{red}{\textbf{"&amp;O$115&amp;"}}}","")</f>
        <v/>
      </c>
      <c r="Q102">
        <f>Master!J102</f>
        <v>47942</v>
      </c>
      <c r="R102" t="str">
        <f>IF(Q$114&gt;0.5,"\textcolor{soln-black}{Correct value is "&amp;Q102-Q$116&amp;": off by "&amp;Q$116&amp;"$\rightarrow$ \textcolor{red}{\textbf{"&amp;Q$115&amp;"}}}","")</f>
        <v>\textcolor{soln-black}{Correct value is 47927: off by 15$\rightarrow$ \textcolor{red}{\textbf{O}}}</v>
      </c>
      <c r="S102">
        <f>Master!K102</f>
        <v>18548</v>
      </c>
      <c r="T102" t="str">
        <f>IF(S$114&gt;0.5,"\textcolor{soln-black}{Correct value is "&amp;S102-S$116&amp;": off by "&amp;S$116&amp;"$\rightarrow$ \textcolor{red}{\textbf{"&amp;S$115&amp;"}}}","")</f>
        <v/>
      </c>
      <c r="U102">
        <f>Master!L102</f>
        <v>56364</v>
      </c>
      <c r="V102" t="str">
        <f>IF(U$114&gt;0.5,"\textcolor{soln-black}{Correct value is "&amp;U102-U$116&amp;": off by "&amp;U$116&amp;"$\rightarrow$ \textcolor{red}{\textbf{"&amp;U$115&amp;"}}}","")</f>
        <v>\textcolor{soln-black}{Correct value is 56353: off by 11$\rightarrow$ \textcolor{red}{\textbf{K}}}</v>
      </c>
      <c r="W102">
        <f>Master!M102</f>
        <v>3838</v>
      </c>
      <c r="X102" t="str">
        <f>IF(W$114&gt;0.5,"\textcolor{soln-black}{Correct value is "&amp;W102-W$116&amp;": off by "&amp;W$116&amp;"$\rightarrow$ \textcolor{red}{\textbf{"&amp;W$115&amp;"}}}","")</f>
        <v/>
      </c>
      <c r="Y102">
        <f>Master!N102</f>
        <v>20957</v>
      </c>
      <c r="Z102" t="str">
        <f>IF(Y$114&gt;0.5,"\textcolor{soln-black}{Correct value is "&amp;Y102-Y$116&amp;": off by "&amp;Y$116&amp;"$\rightarrow$ \textcolor{red}{\textbf{"&amp;Y$115&amp;"}}}","")</f>
        <v/>
      </c>
      <c r="AA102">
        <f>Master!O102</f>
        <v>10064</v>
      </c>
      <c r="AB102" t="str">
        <f>IF(AA$114&gt;0.5,"\textcolor{soln-black}{Correct value is "&amp;AA102-AA$116&amp;": off by "&amp;AA$116&amp;"$\rightarrow$ \textcolor{red}{\textbf{"&amp;AA$115&amp;"}}}","")</f>
        <v/>
      </c>
      <c r="AC102">
        <f>Master!P102</f>
        <v>15713</v>
      </c>
      <c r="AD102" t="str">
        <f>IF(AC$114&gt;0.5,"\textcolor{soln-black}{Correct value is "&amp;AC102-AC$116&amp;": off by "&amp;AC$116&amp;"$\rightarrow$ \textcolor{red}{\textbf{"&amp;AC$115&amp;"}}}","")</f>
        <v>\textcolor{soln-black}{Correct value is 15708: off by 5$\rightarrow$ \textcolor{red}{\textbf{E}}}</v>
      </c>
      <c r="AE102">
        <f>Master!Q102</f>
        <v>852</v>
      </c>
      <c r="AF102" t="str">
        <f>IF(AE$114&gt;0.5,"\textcolor{soln-black}{Correct value is "&amp;AE102-AE$116&amp;": off by "&amp;AE$116&amp;"$\rightarrow$ \textcolor{red}{\textbf{"&amp;AE$115&amp;"}}}","")</f>
        <v>\textcolor{soln-black}{Correct value is 834: off by 18$\rightarrow$ \textcolor{red}{\textbf{R}}}</v>
      </c>
      <c r="AG102">
        <f>Master!R102</f>
        <v>1584</v>
      </c>
      <c r="AH102" t="str">
        <f>IF(AG$114&gt;0.5,"\textcolor{soln-black}{Correct value is "&amp;AG102-AG$116&amp;": off by "&amp;AG$116&amp;"$\rightarrow$ \textcolor{red}{\textbf{"&amp;AG$115&amp;"}}}","")</f>
        <v>\textcolor{soln-black}{Correct value is 1575: off by 9$\rightarrow$ \textcolor{red}{\textbf{I}}}</v>
      </c>
      <c r="AI102">
        <f>Master!S102</f>
        <v>17292</v>
      </c>
      <c r="AJ102" t="str">
        <f>IF(AI$114&gt;0.5,"\textcolor{soln-black}{Correct value is "&amp;AI102-AI$116&amp;": off by "&amp;AI$116&amp;"$\rightarrow$ \textcolor{red}{\textbf{"&amp;AI$115&amp;"}}}","")</f>
        <v>\textcolor{soln-black}{Correct value is 17278: off by 14$\rightarrow$ \textcolor{red}{\textbf{N}}}</v>
      </c>
      <c r="AK102">
        <f>Master!T102</f>
        <v>17363</v>
      </c>
      <c r="AL102" t="str">
        <f>IF(AK$114&gt;0.5,"\textcolor{soln-black}{Correct value is "&amp;AK102-AK$116&amp;": off by "&amp;AK$116&amp;"$\rightarrow$ \textcolor{red}{\textbf{"&amp;AK$115&amp;"}}}","")</f>
        <v/>
      </c>
      <c r="AM102">
        <f>Master!W102</f>
        <v>19054</v>
      </c>
      <c r="AN102" t="str">
        <f>IF(AM$114&gt;0.5,"\textcolor{soln-black}{Correct value is "&amp;AM102-AM$116&amp;": off by "&amp;AM$116&amp;"$\rightarrow$ \textcolor{red}{\textbf{"&amp;AM$115&amp;"}}}","")</f>
        <v/>
      </c>
      <c r="AO102">
        <f>Master!X102</f>
        <v>4458</v>
      </c>
      <c r="AP102" t="str">
        <f>IF(AO$114&gt;0.5,"\textcolor{soln-black}{Correct value is "&amp;AO102-AO$116&amp;": off by "&amp;AO$116&amp;"$\rightarrow$ \textcolor{red}{\textbf{"&amp;AO$115&amp;"}}}","")</f>
        <v>\textcolor{soln-black}{Correct value is 4437: off by 21$\rightarrow$ \textcolor{red}{\textbf{U}}}</v>
      </c>
    </row>
    <row r="103" spans="1:42">
      <c r="A103" t="str">
        <f>Master!A103</f>
        <v>Common stock</v>
      </c>
      <c r="B103">
        <f>Master!B103</f>
        <v>0</v>
      </c>
      <c r="C103">
        <f>Master!C103</f>
        <v>0</v>
      </c>
      <c r="E103">
        <f>Master!D103</f>
        <v>0</v>
      </c>
      <c r="G103">
        <f>Master!E103</f>
        <v>0</v>
      </c>
      <c r="I103">
        <f>Master!F103</f>
        <v>0</v>
      </c>
      <c r="K103">
        <f>Master!G103</f>
        <v>0</v>
      </c>
      <c r="M103">
        <f>Master!H103</f>
        <v>0</v>
      </c>
      <c r="O103">
        <f>Master!I103</f>
        <v>0</v>
      </c>
      <c r="Q103">
        <f>Master!J103</f>
        <v>0</v>
      </c>
      <c r="S103">
        <f>Master!K103</f>
        <v>0</v>
      </c>
      <c r="U103">
        <f>Master!L103</f>
        <v>0</v>
      </c>
      <c r="W103">
        <f>Master!M103</f>
        <v>0</v>
      </c>
      <c r="Y103">
        <f>Master!N103</f>
        <v>0</v>
      </c>
      <c r="AA103">
        <f>Master!O103</f>
        <v>0</v>
      </c>
      <c r="AC103">
        <f>Master!P103</f>
        <v>0</v>
      </c>
      <c r="AE103">
        <f>Master!Q103</f>
        <v>0</v>
      </c>
      <c r="AG103">
        <f>Master!R103</f>
        <v>0</v>
      </c>
      <c r="AI103">
        <f>Master!S103</f>
        <v>0</v>
      </c>
      <c r="AK103">
        <f>Master!T103</f>
        <v>0</v>
      </c>
      <c r="AM103">
        <f>Master!W103</f>
        <v>0</v>
      </c>
      <c r="AO103">
        <f>Master!X103</f>
        <v>0</v>
      </c>
    </row>
    <row r="104" spans="1:42">
      <c r="A104" t="str">
        <f>Master!A104</f>
        <v>Total Liabilities \&amp; Stockholders' Equity</v>
      </c>
      <c r="B104">
        <f>Master!B104</f>
        <v>0</v>
      </c>
      <c r="C104">
        <f>Master!C104</f>
        <v>0</v>
      </c>
      <c r="E104">
        <f>Master!D104</f>
        <v>0</v>
      </c>
      <c r="G104">
        <f>Master!E104</f>
        <v>0</v>
      </c>
      <c r="I104">
        <f>Master!F104</f>
        <v>0</v>
      </c>
      <c r="K104">
        <f>Master!G104</f>
        <v>0</v>
      </c>
      <c r="M104">
        <f>Master!H104</f>
        <v>0</v>
      </c>
      <c r="O104">
        <f>Master!I104</f>
        <v>0</v>
      </c>
      <c r="Q104">
        <f>Master!J104</f>
        <v>0</v>
      </c>
      <c r="S104">
        <f>Master!K104</f>
        <v>0</v>
      </c>
      <c r="U104">
        <f>Master!L104</f>
        <v>0</v>
      </c>
      <c r="W104">
        <f>Master!M104</f>
        <v>0</v>
      </c>
      <c r="Y104">
        <f>Master!N104</f>
        <v>0</v>
      </c>
      <c r="AA104">
        <f>Master!O104</f>
        <v>0</v>
      </c>
      <c r="AC104">
        <f>Master!P104</f>
        <v>0</v>
      </c>
      <c r="AE104">
        <f>Master!Q104</f>
        <v>0</v>
      </c>
      <c r="AG104">
        <f>Master!R104</f>
        <v>0</v>
      </c>
      <c r="AI104">
        <f>Master!S104</f>
        <v>0</v>
      </c>
      <c r="AK104">
        <f>Master!T104</f>
        <v>0</v>
      </c>
      <c r="AM104">
        <f>Master!W104</f>
        <v>0</v>
      </c>
      <c r="AO104">
        <f>Master!X104</f>
        <v>0</v>
      </c>
    </row>
    <row r="105" spans="1:42">
      <c r="A105">
        <f>Master!A105</f>
        <v>0</v>
      </c>
      <c r="B105">
        <f>Master!B105</f>
        <v>0</v>
      </c>
      <c r="C105">
        <f>Master!C105</f>
        <v>0</v>
      </c>
      <c r="E105">
        <f>Master!D105</f>
        <v>0</v>
      </c>
      <c r="G105">
        <f>Master!E105</f>
        <v>0</v>
      </c>
      <c r="I105">
        <f>Master!F105</f>
        <v>0</v>
      </c>
      <c r="K105">
        <f>Master!G105</f>
        <v>0</v>
      </c>
      <c r="M105">
        <f>Master!H105</f>
        <v>0</v>
      </c>
      <c r="O105">
        <f>Master!I105</f>
        <v>0</v>
      </c>
      <c r="Q105">
        <f>Master!J105</f>
        <v>0</v>
      </c>
      <c r="S105">
        <f>Master!K105</f>
        <v>0</v>
      </c>
      <c r="U105">
        <f>Master!L105</f>
        <v>0</v>
      </c>
      <c r="W105">
        <f>Master!M105</f>
        <v>0</v>
      </c>
      <c r="Y105">
        <f>Master!N105</f>
        <v>0</v>
      </c>
      <c r="AA105">
        <f>Master!O105</f>
        <v>0</v>
      </c>
      <c r="AC105">
        <f>Master!P105</f>
        <v>0</v>
      </c>
      <c r="AE105">
        <f>Master!Q105</f>
        <v>0</v>
      </c>
      <c r="AG105">
        <f>Master!R105</f>
        <v>0</v>
      </c>
      <c r="AI105">
        <f>Master!S105</f>
        <v>0</v>
      </c>
      <c r="AK105">
        <f>Master!T105</f>
        <v>0</v>
      </c>
      <c r="AM105">
        <f>Master!W105</f>
        <v>0</v>
      </c>
      <c r="AO105">
        <f>Master!X105</f>
        <v>0</v>
      </c>
    </row>
    <row r="106" spans="1:42">
      <c r="A106">
        <f>Master!A106</f>
        <v>0</v>
      </c>
      <c r="B106">
        <f>Master!B106</f>
        <v>0</v>
      </c>
      <c r="C106">
        <f>Master!C106</f>
        <v>0</v>
      </c>
      <c r="E106">
        <f>Master!D106</f>
        <v>0</v>
      </c>
      <c r="G106">
        <f>Master!E106</f>
        <v>0</v>
      </c>
      <c r="I106">
        <f>Master!F106</f>
        <v>0</v>
      </c>
      <c r="K106">
        <f>Master!G106</f>
        <v>0</v>
      </c>
      <c r="M106">
        <f>Master!H106</f>
        <v>0</v>
      </c>
      <c r="O106">
        <f>Master!I106</f>
        <v>0</v>
      </c>
      <c r="Q106">
        <f>Master!J106</f>
        <v>0</v>
      </c>
      <c r="S106">
        <f>Master!K106</f>
        <v>0</v>
      </c>
      <c r="U106">
        <f>Master!L106</f>
        <v>0</v>
      </c>
      <c r="W106">
        <f>Master!M106</f>
        <v>0</v>
      </c>
      <c r="Y106">
        <f>Master!N106</f>
        <v>0</v>
      </c>
      <c r="AA106">
        <f>Master!O106</f>
        <v>0</v>
      </c>
      <c r="AC106">
        <f>Master!P106</f>
        <v>0</v>
      </c>
      <c r="AE106">
        <f>Master!Q106</f>
        <v>0</v>
      </c>
      <c r="AG106">
        <f>Master!R106</f>
        <v>0</v>
      </c>
      <c r="AI106">
        <f>Master!S106</f>
        <v>0</v>
      </c>
      <c r="AK106">
        <f>Master!T106</f>
        <v>0</v>
      </c>
      <c r="AM106">
        <f>Master!W106</f>
        <v>0</v>
      </c>
      <c r="AO106">
        <f>Master!X106</f>
        <v>0</v>
      </c>
    </row>
    <row r="107" spans="1:42">
      <c r="A107">
        <f>Master!A107</f>
        <v>0</v>
      </c>
      <c r="B107">
        <f>Master!B107</f>
        <v>0</v>
      </c>
      <c r="C107">
        <f>Master!C107</f>
        <v>0</v>
      </c>
      <c r="E107">
        <f>Master!D107</f>
        <v>0</v>
      </c>
      <c r="G107">
        <f>Master!E107</f>
        <v>0</v>
      </c>
      <c r="I107">
        <f>Master!F107</f>
        <v>0</v>
      </c>
      <c r="K107">
        <f>Master!G107</f>
        <v>0</v>
      </c>
      <c r="M107">
        <f>Master!H107</f>
        <v>0</v>
      </c>
      <c r="O107">
        <f>Master!I107</f>
        <v>0</v>
      </c>
      <c r="Q107">
        <f>Master!J107</f>
        <v>0</v>
      </c>
      <c r="S107">
        <f>Master!K107</f>
        <v>0</v>
      </c>
      <c r="U107">
        <f>Master!L107</f>
        <v>0</v>
      </c>
      <c r="W107">
        <f>Master!M107</f>
        <v>0</v>
      </c>
      <c r="Y107">
        <f>Master!N107</f>
        <v>0</v>
      </c>
      <c r="AA107">
        <f>Master!O107</f>
        <v>0</v>
      </c>
      <c r="AC107">
        <f>Master!P107</f>
        <v>0</v>
      </c>
      <c r="AE107">
        <f>Master!Q107</f>
        <v>0</v>
      </c>
      <c r="AG107">
        <f>Master!R107</f>
        <v>0</v>
      </c>
      <c r="AI107">
        <f>Master!S107</f>
        <v>0</v>
      </c>
      <c r="AK107">
        <f>Master!T107</f>
        <v>0</v>
      </c>
      <c r="AM107">
        <f>Master!W107</f>
        <v>0</v>
      </c>
      <c r="AO107">
        <f>Master!X107</f>
        <v>0</v>
      </c>
    </row>
    <row r="108" spans="1:42">
      <c r="A108" t="str">
        <f>Master!A108</f>
        <v>Depreciation years</v>
      </c>
      <c r="B108" t="str">
        <f>Master!B108</f>
        <v>(fixed assets) / depreciation</v>
      </c>
      <c r="C108">
        <f>Master!C108</f>
        <v>0</v>
      </c>
      <c r="E108">
        <f>Master!D108</f>
        <v>0</v>
      </c>
      <c r="G108">
        <f>Master!E108</f>
        <v>100</v>
      </c>
      <c r="I108">
        <f>Master!F108</f>
        <v>20</v>
      </c>
      <c r="K108">
        <f>Master!G108</f>
        <v>20</v>
      </c>
      <c r="M108">
        <f>Master!H108</f>
        <v>20</v>
      </c>
      <c r="O108">
        <f>Master!I108</f>
        <v>10</v>
      </c>
      <c r="Q108">
        <f>Master!J108</f>
        <v>10</v>
      </c>
      <c r="S108">
        <f>Master!K108</f>
        <v>20</v>
      </c>
      <c r="U108">
        <f>Master!L108</f>
        <v>20</v>
      </c>
      <c r="W108">
        <f>Master!M108</f>
        <v>0</v>
      </c>
      <c r="Y108">
        <f>Master!N108</f>
        <v>0</v>
      </c>
      <c r="AA108">
        <f>Master!O108</f>
        <v>0</v>
      </c>
      <c r="AC108">
        <f>Master!P108</f>
        <v>20</v>
      </c>
      <c r="AE108">
        <f>Master!Q108</f>
        <v>0</v>
      </c>
      <c r="AG108">
        <f>Master!R108</f>
        <v>0</v>
      </c>
      <c r="AI108">
        <f>Master!S108</f>
        <v>0</v>
      </c>
      <c r="AK108">
        <f>Master!T108</f>
        <v>20</v>
      </c>
      <c r="AM108">
        <f>Master!W108</f>
        <v>0</v>
      </c>
      <c r="AO108">
        <f>Master!X108</f>
        <v>20</v>
      </c>
    </row>
    <row r="109" spans="1:42">
      <c r="A109">
        <f>Master!A109</f>
        <v>0</v>
      </c>
      <c r="B109">
        <f>Master!B109</f>
        <v>0</v>
      </c>
      <c r="C109">
        <f>Master!C109</f>
        <v>0</v>
      </c>
      <c r="E109">
        <f>Master!D109</f>
        <v>0</v>
      </c>
      <c r="G109">
        <f>Master!E109</f>
        <v>0</v>
      </c>
      <c r="I109">
        <f>Master!F109</f>
        <v>0</v>
      </c>
      <c r="K109">
        <f>Master!G109</f>
        <v>0</v>
      </c>
      <c r="M109">
        <f>Master!H109</f>
        <v>0</v>
      </c>
      <c r="O109">
        <f>Master!I109</f>
        <v>0</v>
      </c>
      <c r="Q109">
        <f>Master!J109</f>
        <v>0</v>
      </c>
      <c r="S109">
        <f>Master!K109</f>
        <v>0</v>
      </c>
      <c r="U109">
        <f>Master!L109</f>
        <v>0</v>
      </c>
      <c r="W109">
        <f>Master!M109</f>
        <v>0</v>
      </c>
      <c r="Y109">
        <f>Master!N109</f>
        <v>0</v>
      </c>
      <c r="AA109">
        <f>Master!O109</f>
        <v>0</v>
      </c>
      <c r="AC109">
        <f>Master!P109</f>
        <v>0</v>
      </c>
      <c r="AE109">
        <f>Master!Q109</f>
        <v>0</v>
      </c>
      <c r="AG109">
        <f>Master!R109</f>
        <v>0</v>
      </c>
      <c r="AI109">
        <f>Master!S109</f>
        <v>0</v>
      </c>
      <c r="AK109">
        <f>Master!T109</f>
        <v>0</v>
      </c>
      <c r="AM109">
        <f>Master!W109</f>
        <v>0</v>
      </c>
      <c r="AO109">
        <f>Master!X109</f>
        <v>0</v>
      </c>
    </row>
    <row r="110" spans="1:42">
      <c r="A110" t="str">
        <f>Master!A110</f>
        <v>Receivables days (days sales outstanding)</v>
      </c>
      <c r="B110" t="str">
        <f>Master!B110</f>
        <v>(Accounts receivable) / (Revenue/365)</v>
      </c>
      <c r="C110">
        <f>Master!C110</f>
        <v>0</v>
      </c>
      <c r="E110">
        <f>Master!D110</f>
        <v>0</v>
      </c>
      <c r="G110">
        <f>Master!E110</f>
        <v>75.92</v>
      </c>
      <c r="I110">
        <f>Master!F110</f>
        <v>29.93</v>
      </c>
      <c r="K110">
        <f>Master!G110</f>
        <v>9.49</v>
      </c>
      <c r="M110">
        <f>Master!H110</f>
        <v>75.433333333333337</v>
      </c>
      <c r="O110">
        <f>Master!I110</f>
        <v>30.112500000000001</v>
      </c>
      <c r="Q110">
        <f>Master!J110</f>
        <v>10.0375</v>
      </c>
      <c r="S110">
        <f>Master!K110</f>
        <v>7.3</v>
      </c>
      <c r="U110">
        <f>Master!L110</f>
        <v>75.433333333333337</v>
      </c>
      <c r="W110">
        <f>Master!M110</f>
        <v>0</v>
      </c>
      <c r="Y110">
        <f>Master!N110</f>
        <v>0</v>
      </c>
      <c r="AA110">
        <f>Master!O110</f>
        <v>0</v>
      </c>
      <c r="AC110">
        <f>Master!P110</f>
        <v>0</v>
      </c>
      <c r="AE110">
        <f>Master!Q110</f>
        <v>75.433333333333337</v>
      </c>
      <c r="AG110">
        <f>Master!R110</f>
        <v>0</v>
      </c>
      <c r="AI110">
        <f>Master!S110</f>
        <v>0</v>
      </c>
      <c r="AK110">
        <f>Master!T110</f>
        <v>0</v>
      </c>
      <c r="AM110">
        <f>Master!W110</f>
        <v>0</v>
      </c>
      <c r="AO110">
        <f>Master!X110</f>
        <v>0</v>
      </c>
    </row>
    <row r="111" spans="1:42">
      <c r="A111" t="str">
        <f>Master!A111</f>
        <v>Payables days</v>
      </c>
      <c r="B111" t="str">
        <f>Master!B111</f>
        <v>(Accounts payable) / (operating expenses / 365)</v>
      </c>
      <c r="C111">
        <f>Master!C111</f>
        <v>0</v>
      </c>
      <c r="E111">
        <f>Master!D111</f>
        <v>0</v>
      </c>
      <c r="G111">
        <f>Master!E111</f>
        <v>74.106060606060609</v>
      </c>
      <c r="I111">
        <f>Master!F111</f>
        <v>29.973509933774835</v>
      </c>
      <c r="K111">
        <f>Master!G111</f>
        <v>9.1771428571428562</v>
      </c>
      <c r="M111">
        <f>Master!H111</f>
        <v>73.891797556719027</v>
      </c>
      <c r="O111">
        <f>Master!I111</f>
        <v>74.125964010282772</v>
      </c>
      <c r="Q111">
        <f>Master!J111</f>
        <v>9.125</v>
      </c>
      <c r="S111">
        <f>Master!K111</f>
        <v>7.5257731958762886</v>
      </c>
      <c r="U111">
        <f>Master!L111</f>
        <v>29.928698752228161</v>
      </c>
      <c r="W111">
        <f>Master!M111</f>
        <v>28.441558441558442</v>
      </c>
      <c r="Y111">
        <f>Master!N111</f>
        <v>29.64467005076142</v>
      </c>
      <c r="AA111">
        <f>Master!O111</f>
        <v>8.5882352941176467</v>
      </c>
      <c r="AC111">
        <f>Master!P111</f>
        <v>74.569892473118273</v>
      </c>
      <c r="AE111">
        <f>Master!Q111</f>
        <v>29.480769230769234</v>
      </c>
      <c r="AG111">
        <f>Master!R111</f>
        <v>26.707317073170731</v>
      </c>
      <c r="AI111">
        <f>Master!S111</f>
        <v>74.972972972972968</v>
      </c>
      <c r="AK111">
        <f>Master!T111</f>
        <v>28.347312830071452</v>
      </c>
      <c r="AM111">
        <f>Master!W111</f>
        <v>29.720101781170484</v>
      </c>
      <c r="AO111">
        <f>Master!X111</f>
        <v>27.166400850611378</v>
      </c>
    </row>
    <row r="112" spans="1:42">
      <c r="A112" t="str">
        <f>Master!A112</f>
        <v>Inventory days</v>
      </c>
      <c r="B112" t="str">
        <f>Master!B112</f>
        <v>(Inventory) / (COGS per day)</v>
      </c>
      <c r="C112">
        <f>Master!C112</f>
        <v>0</v>
      </c>
      <c r="E112">
        <f>Master!D112</f>
        <v>0</v>
      </c>
      <c r="G112">
        <f>Master!E112</f>
        <v>30.005517241379309</v>
      </c>
      <c r="I112">
        <f>Master!F112</f>
        <v>0</v>
      </c>
      <c r="K112">
        <f>Master!G112</f>
        <v>29.997384615384615</v>
      </c>
      <c r="M112">
        <f>Master!H112</f>
        <v>30.006041666666665</v>
      </c>
      <c r="O112">
        <f>Master!I112</f>
        <v>30.007211538461537</v>
      </c>
      <c r="Q112">
        <f>Master!J112</f>
        <v>30.000192307692309</v>
      </c>
      <c r="S112">
        <f>Master!K112</f>
        <v>10.015243902439025</v>
      </c>
      <c r="U112">
        <f>Master!L112</f>
        <v>74.996581196581204</v>
      </c>
      <c r="W112">
        <f>Master!M112</f>
        <v>30.004871794871793</v>
      </c>
      <c r="Y112">
        <f>Master!N112</f>
        <v>29.995512820512822</v>
      </c>
      <c r="AA112">
        <f>Master!O112</f>
        <v>30.004871794871793</v>
      </c>
      <c r="AC112">
        <f>Master!P112</f>
        <v>10.005294117647059</v>
      </c>
      <c r="AE112">
        <f>Master!Q112</f>
        <v>30.003</v>
      </c>
      <c r="AG112">
        <f>Master!R112</f>
        <v>29.982142857142861</v>
      </c>
      <c r="AI112">
        <f>Master!S112</f>
        <v>30.006041666666665</v>
      </c>
      <c r="AK112">
        <f>Master!T112</f>
        <v>8.0861538461538469</v>
      </c>
      <c r="AM112">
        <f>Master!W112</f>
        <v>7.9977941176470591</v>
      </c>
      <c r="AO112">
        <f>Master!X112</f>
        <v>2.0156716417910445</v>
      </c>
    </row>
    <row r="113" spans="1:41">
      <c r="A113">
        <f>Master!A113</f>
        <v>0</v>
      </c>
      <c r="B113">
        <f>Master!B113</f>
        <v>0</v>
      </c>
      <c r="C113">
        <f>Master!C113</f>
        <v>0</v>
      </c>
      <c r="E113">
        <f>Master!D113</f>
        <v>0</v>
      </c>
      <c r="G113">
        <f>Master!E113</f>
        <v>0</v>
      </c>
      <c r="I113">
        <f>Master!F113</f>
        <v>0</v>
      </c>
      <c r="K113">
        <f>Master!G113</f>
        <v>0</v>
      </c>
      <c r="M113">
        <f>Master!H113</f>
        <v>0</v>
      </c>
      <c r="O113">
        <f>Master!I113</f>
        <v>0</v>
      </c>
      <c r="Q113">
        <f>Master!J113</f>
        <v>0</v>
      </c>
      <c r="S113">
        <f>Master!K113</f>
        <v>0</v>
      </c>
      <c r="U113">
        <f>Master!L113</f>
        <v>0</v>
      </c>
      <c r="W113">
        <f>Master!M113</f>
        <v>0</v>
      </c>
      <c r="Y113">
        <f>Master!N113</f>
        <v>0</v>
      </c>
      <c r="AA113">
        <f>Master!O113</f>
        <v>0</v>
      </c>
      <c r="AC113">
        <f>Master!P113</f>
        <v>0</v>
      </c>
      <c r="AE113">
        <f>Master!Q113</f>
        <v>0</v>
      </c>
      <c r="AG113">
        <f>Master!R113</f>
        <v>0</v>
      </c>
      <c r="AI113">
        <f>Master!S113</f>
        <v>0</v>
      </c>
      <c r="AK113">
        <f>Master!T113</f>
        <v>0</v>
      </c>
      <c r="AM113">
        <f>Master!W113</f>
        <v>0</v>
      </c>
      <c r="AO113">
        <f>Master!X113</f>
        <v>0</v>
      </c>
    </row>
    <row r="114" spans="1:41">
      <c r="A114" t="str">
        <f>Master!A114</f>
        <v>random number</v>
      </c>
      <c r="B114">
        <f>Master!B114</f>
        <v>0</v>
      </c>
      <c r="C114">
        <f>Master!C114</f>
        <v>0.94510566176748412</v>
      </c>
      <c r="E114">
        <f>Master!D114</f>
        <v>0.96381419546897185</v>
      </c>
      <c r="G114">
        <f>Master!E114</f>
        <v>0</v>
      </c>
      <c r="I114">
        <f>Master!F114</f>
        <v>0.79712378818298735</v>
      </c>
      <c r="K114">
        <f>Master!G114</f>
        <v>0</v>
      </c>
      <c r="M114">
        <f>Master!H114</f>
        <v>0.80430298946211298</v>
      </c>
      <c r="O114">
        <f>Master!I114</f>
        <v>0</v>
      </c>
      <c r="Q114">
        <f>Master!J114</f>
        <v>0.70285874979925689</v>
      </c>
      <c r="S114">
        <f>Master!K114</f>
        <v>0.26419087825413889</v>
      </c>
      <c r="U114">
        <f>Master!L114</f>
        <v>0.52648698794424931</v>
      </c>
      <c r="W114">
        <f>Master!M114</f>
        <v>0.11858957185452823</v>
      </c>
      <c r="Y114">
        <f>Master!N114</f>
        <v>0.18687316094744233</v>
      </c>
      <c r="AA114">
        <f>Master!O114</f>
        <v>0.17155103703452679</v>
      </c>
      <c r="AC114">
        <f>Master!P114</f>
        <v>0.72348157863711915</v>
      </c>
      <c r="AE114">
        <f>Master!Q114</f>
        <v>0.84466005541907796</v>
      </c>
      <c r="AG114">
        <f>Master!R114</f>
        <v>0.79419743086428984</v>
      </c>
      <c r="AI114">
        <f>Master!S114</f>
        <v>0.7046511440355796</v>
      </c>
      <c r="AK114">
        <f>Master!T114</f>
        <v>0.2100643262216888</v>
      </c>
      <c r="AM114">
        <f>Master!W114</f>
        <v>0.44810979455957667</v>
      </c>
      <c r="AO114">
        <f>Master!X114</f>
        <v>0.71850557068079102</v>
      </c>
    </row>
    <row r="115" spans="1:41">
      <c r="A115" t="str">
        <f>Master!A115</f>
        <v>Letter to encode</v>
      </c>
      <c r="B115">
        <f>Master!B115</f>
        <v>0</v>
      </c>
      <c r="C115" t="str">
        <f>Master!C115</f>
        <v>F</v>
      </c>
      <c r="E115" t="str">
        <f>Master!D115</f>
        <v>B</v>
      </c>
      <c r="G115" t="str">
        <f>Master!E115</f>
        <v>N</v>
      </c>
      <c r="I115" t="str">
        <f>Master!F115</f>
        <v>E</v>
      </c>
      <c r="K115" t="str">
        <f>Master!G115</f>
        <v>W</v>
      </c>
      <c r="M115" t="str">
        <f>Master!H115</f>
        <v>S</v>
      </c>
      <c r="O115" t="str">
        <f>Master!I115</f>
        <v>T</v>
      </c>
      <c r="Q115" t="str">
        <f>Master!J115</f>
        <v>O</v>
      </c>
      <c r="S115" t="str">
        <f>Master!K115</f>
        <v>C</v>
      </c>
      <c r="U115" t="str">
        <f>Master!L115</f>
        <v>K</v>
      </c>
      <c r="W115" t="str">
        <f>Master!M115</f>
        <v>O</v>
      </c>
      <c r="Y115" t="str">
        <f>Master!N115</f>
        <v>F</v>
      </c>
      <c r="AA115" t="str">
        <f>Master!O115</f>
        <v>F</v>
      </c>
      <c r="AC115" t="str">
        <f>Master!P115</f>
        <v>E</v>
      </c>
      <c r="AE115" t="str">
        <f>Master!Q115</f>
        <v>R</v>
      </c>
      <c r="AG115" t="str">
        <f>Master!R115</f>
        <v>I</v>
      </c>
      <c r="AI115" t="str">
        <f>Master!S115</f>
        <v>N</v>
      </c>
      <c r="AK115" t="str">
        <f>Master!T115</f>
        <v>G</v>
      </c>
      <c r="AM115" t="str">
        <f>Master!W115</f>
        <v>D</v>
      </c>
      <c r="AO115" t="str">
        <f>Master!X115</f>
        <v>U</v>
      </c>
    </row>
    <row r="116" spans="1:41">
      <c r="A116">
        <f>Master!A116</f>
        <v>0</v>
      </c>
      <c r="B116">
        <f>Master!B116</f>
        <v>0</v>
      </c>
      <c r="C116">
        <f>Master!C116</f>
        <v>6</v>
      </c>
      <c r="E116">
        <f>Master!D116</f>
        <v>2</v>
      </c>
      <c r="G116">
        <f>Master!E116</f>
        <v>14</v>
      </c>
      <c r="I116">
        <f>Master!F116</f>
        <v>5</v>
      </c>
      <c r="K116">
        <f>Master!G116</f>
        <v>23</v>
      </c>
      <c r="M116">
        <f>Master!H116</f>
        <v>19</v>
      </c>
      <c r="O116">
        <f>Master!I116</f>
        <v>20</v>
      </c>
      <c r="Q116">
        <f>Master!J116</f>
        <v>15</v>
      </c>
      <c r="S116">
        <f>Master!K116</f>
        <v>3</v>
      </c>
      <c r="U116">
        <f>Master!L116</f>
        <v>11</v>
      </c>
      <c r="W116">
        <f>Master!M116</f>
        <v>15</v>
      </c>
      <c r="Y116">
        <f>Master!N116</f>
        <v>6</v>
      </c>
      <c r="AA116">
        <f>Master!O116</f>
        <v>6</v>
      </c>
      <c r="AC116">
        <f>Master!P116</f>
        <v>5</v>
      </c>
      <c r="AE116">
        <f>Master!Q116</f>
        <v>18</v>
      </c>
      <c r="AG116">
        <f>Master!R116</f>
        <v>9</v>
      </c>
      <c r="AI116">
        <f>Master!S116</f>
        <v>14</v>
      </c>
      <c r="AK116">
        <f>Master!T116</f>
        <v>7</v>
      </c>
      <c r="AM116">
        <f>Master!W116</f>
        <v>4</v>
      </c>
      <c r="AO116">
        <f>Master!X116</f>
        <v>21</v>
      </c>
    </row>
    <row r="117" spans="1:41">
      <c r="A117" t="s">
        <v>316</v>
      </c>
      <c r="B117">
        <f>Master!B117</f>
        <v>0</v>
      </c>
      <c r="C117" t="str">
        <f>Master!C117</f>
        <v>T</v>
      </c>
      <c r="E117" t="str">
        <f>Master!D117</f>
        <v>A</v>
      </c>
      <c r="G117" t="str">
        <f>Master!E117</f>
        <v>X</v>
      </c>
      <c r="I117" t="str">
        <f>Master!F117</f>
        <v>L</v>
      </c>
      <c r="K117" t="str">
        <f>Master!G117</f>
        <v>I</v>
      </c>
      <c r="M117" t="str">
        <f>Master!H117</f>
        <v>N</v>
      </c>
      <c r="O117" t="str">
        <f>Master!I117</f>
        <v>E</v>
      </c>
      <c r="Q117" t="str">
        <f>Master!J117</f>
        <v>R</v>
      </c>
      <c r="S117" t="str">
        <f>Master!K117</f>
        <v>E</v>
      </c>
      <c r="U117" t="str">
        <f>Master!L117</f>
        <v>D</v>
      </c>
      <c r="W117" t="str">
        <f>Master!M117</f>
        <v>H</v>
      </c>
      <c r="Y117" t="str">
        <f>Master!N117</f>
        <v>E</v>
      </c>
      <c r="AA117" t="str">
        <f>Master!O117</f>
        <v>R</v>
      </c>
      <c r="AC117" t="str">
        <f>Master!P117</f>
        <v>R</v>
      </c>
      <c r="AE117" t="str">
        <f>Master!Q117</f>
        <v>I</v>
      </c>
      <c r="AG117" t="str">
        <f>Master!R117</f>
        <v>N</v>
      </c>
      <c r="AI117" t="str">
        <f>Master!S117</f>
        <v>G</v>
      </c>
      <c r="AK117">
        <f>Master!T117</f>
        <v>0</v>
      </c>
      <c r="AM117" t="str">
        <f>Master!W117</f>
        <v>N</v>
      </c>
      <c r="AO117" t="str">
        <f>Master!X117</f>
        <v>G</v>
      </c>
    </row>
    <row r="118" spans="1:41">
      <c r="A118">
        <f>Master!A118</f>
        <v>0</v>
      </c>
      <c r="B118">
        <f>Master!B118</f>
        <v>0</v>
      </c>
      <c r="C118">
        <f>Master!C118</f>
        <v>20</v>
      </c>
      <c r="E118">
        <f>Master!D118</f>
        <v>1</v>
      </c>
      <c r="G118">
        <f>Master!E118</f>
        <v>24</v>
      </c>
      <c r="I118">
        <f>Master!F118</f>
        <v>12</v>
      </c>
      <c r="K118">
        <f>Master!G118</f>
        <v>9</v>
      </c>
      <c r="M118">
        <f>Master!H118</f>
        <v>14</v>
      </c>
      <c r="O118">
        <f>Master!I118</f>
        <v>5</v>
      </c>
      <c r="Q118">
        <f>Master!J118</f>
        <v>18</v>
      </c>
      <c r="S118">
        <f>Master!K118</f>
        <v>5</v>
      </c>
      <c r="U118">
        <f>Master!L118</f>
        <v>4</v>
      </c>
      <c r="W118">
        <f>Master!M118</f>
        <v>8</v>
      </c>
      <c r="Y118">
        <f>Master!N118</f>
        <v>5</v>
      </c>
      <c r="AA118">
        <f>Master!O118</f>
        <v>18</v>
      </c>
      <c r="AC118">
        <f>Master!P118</f>
        <v>18</v>
      </c>
      <c r="AE118">
        <f>Master!Q118</f>
        <v>9</v>
      </c>
      <c r="AG118">
        <f>Master!R118</f>
        <v>14</v>
      </c>
      <c r="AI118">
        <f>Master!S118</f>
        <v>7</v>
      </c>
      <c r="AK118">
        <f>Master!T118</f>
        <v>0</v>
      </c>
      <c r="AM118">
        <f>Master!W118</f>
        <v>14</v>
      </c>
      <c r="AO118">
        <f>Master!X118</f>
        <v>7</v>
      </c>
    </row>
    <row r="119" spans="1:41">
      <c r="A119" t="str">
        <f>Master!A119</f>
        <v>Real ordering:</v>
      </c>
      <c r="B119">
        <f>Master!B119</f>
        <v>0</v>
      </c>
      <c r="C119">
        <f>Master!C119</f>
        <v>1</v>
      </c>
      <c r="E119">
        <f>Master!D119</f>
        <v>2</v>
      </c>
      <c r="G119">
        <f>Master!E119</f>
        <v>3</v>
      </c>
      <c r="I119">
        <f>Master!F119</f>
        <v>4</v>
      </c>
      <c r="K119">
        <f>Master!G119</f>
        <v>5</v>
      </c>
      <c r="M119">
        <f>Master!H119</f>
        <v>6</v>
      </c>
      <c r="O119">
        <f>Master!I119</f>
        <v>7</v>
      </c>
      <c r="Q119">
        <f>Master!J119</f>
        <v>8</v>
      </c>
      <c r="S119">
        <f>Master!K119</f>
        <v>9</v>
      </c>
      <c r="U119">
        <f>Master!L119</f>
        <v>10</v>
      </c>
      <c r="W119">
        <f>Master!M119</f>
        <v>11</v>
      </c>
      <c r="Y119">
        <f>Master!N119</f>
        <v>12</v>
      </c>
      <c r="AA119">
        <f>Master!O119</f>
        <v>13</v>
      </c>
      <c r="AC119">
        <f>Master!P119</f>
        <v>14</v>
      </c>
      <c r="AE119">
        <f>Master!Q119</f>
        <v>15</v>
      </c>
      <c r="AG119">
        <f>Master!R119</f>
        <v>16</v>
      </c>
      <c r="AI119">
        <f>Master!S119</f>
        <v>17</v>
      </c>
      <c r="AK119">
        <f>Master!T119</f>
        <v>18</v>
      </c>
      <c r="AM119">
        <f>Master!W119</f>
        <v>19</v>
      </c>
      <c r="AO119">
        <f>Master!X119</f>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Descriptions (2)</vt:lpstr>
      <vt:lpstr>Characteristics</vt:lpstr>
      <vt:lpstr>Master</vt:lpstr>
      <vt:lpstr>Sheet1</vt:lpstr>
    </vt:vector>
  </TitlesOfParts>
  <Company>Flextronics Int.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sjckrobi</dc:creator>
  <cp:lastModifiedBy>sjckrobi</cp:lastModifiedBy>
  <cp:lastPrinted>2013-11-14T04:41:49Z</cp:lastPrinted>
  <dcterms:created xsi:type="dcterms:W3CDTF">2013-11-10T17:52:31Z</dcterms:created>
  <dcterms:modified xsi:type="dcterms:W3CDTF">2013-12-30T16:57:18Z</dcterms:modified>
</cp:coreProperties>
</file>