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15" yWindow="3465" windowWidth="19155" windowHeight="6210" firstSheet="1" activeTab="2"/>
  </bookViews>
  <sheets>
    <sheet name="Descriptions (2)" sheetId="4" r:id="rId1"/>
    <sheet name="Master" sheetId="1" r:id="rId2"/>
    <sheet name="Sheet1" sheetId="5" r:id="rId3"/>
  </sheets>
  <definedNames>
    <definedName name="magic">Master!$B$151</definedName>
  </definedNames>
  <calcPr calcId="145621"/>
</workbook>
</file>

<file path=xl/calcChain.xml><?xml version="1.0" encoding="utf-8"?>
<calcChain xmlns="http://schemas.openxmlformats.org/spreadsheetml/2006/main">
  <c r="N13" i="5" l="1"/>
  <c r="U93" i="1" l="1"/>
  <c r="T18" i="1" l="1"/>
  <c r="D7" i="1"/>
  <c r="V84" i="1"/>
  <c r="U84" i="1"/>
  <c r="S84" i="1"/>
  <c r="R84" i="1"/>
  <c r="Q84" i="1"/>
  <c r="H84" i="1"/>
  <c r="G84" i="1"/>
  <c r="F84" i="1"/>
  <c r="D84" i="1"/>
  <c r="C84" i="1"/>
  <c r="T84" i="1"/>
  <c r="T20" i="1"/>
  <c r="C19" i="1" s="1"/>
  <c r="C6" i="1" s="1"/>
  <c r="V20" i="1"/>
  <c r="M15" i="1"/>
  <c r="C89" i="1"/>
  <c r="E83" i="1"/>
  <c r="E13" i="1" s="1"/>
  <c r="D25" i="1"/>
  <c r="E25" i="1"/>
  <c r="F25" i="1"/>
  <c r="G25" i="1"/>
  <c r="H25" i="1"/>
  <c r="Q25" i="1"/>
  <c r="R25" i="1"/>
  <c r="S25" i="1"/>
  <c r="T25" i="1"/>
  <c r="U25" i="1"/>
  <c r="V25" i="1"/>
  <c r="C25" i="1"/>
  <c r="T16" i="1" l="1"/>
  <c r="R16" i="1"/>
  <c r="Q16" i="1"/>
  <c r="P16" i="1"/>
  <c r="H16" i="1"/>
  <c r="G16" i="1"/>
  <c r="E16" i="1"/>
  <c r="D16" i="1"/>
  <c r="C16" i="1"/>
  <c r="V16" i="1"/>
  <c r="B29" i="5" l="1"/>
  <c r="AM18" i="5"/>
  <c r="AM19" i="5"/>
  <c r="AK16" i="5"/>
  <c r="AK18" i="5"/>
  <c r="A19" i="5"/>
  <c r="G19" i="5"/>
  <c r="C19" i="5"/>
  <c r="E19" i="5"/>
  <c r="I19" i="5"/>
  <c r="K19" i="5"/>
  <c r="M19" i="5"/>
  <c r="O19" i="5"/>
  <c r="Q19" i="5"/>
  <c r="S19" i="5"/>
  <c r="U19" i="5"/>
  <c r="W19" i="5"/>
  <c r="Y19" i="5"/>
  <c r="AA19" i="5"/>
  <c r="AC19" i="5"/>
  <c r="AE19" i="5"/>
  <c r="AG19" i="5"/>
  <c r="AI19" i="5"/>
  <c r="AK19" i="5"/>
  <c r="AO19" i="5"/>
  <c r="V77" i="1"/>
  <c r="U77" i="1"/>
  <c r="F79" i="1"/>
  <c r="K79" i="1"/>
  <c r="S79" i="5" s="1"/>
  <c r="L79" i="1"/>
  <c r="U79" i="5" s="1"/>
  <c r="M79" i="1"/>
  <c r="W79" i="5" s="1"/>
  <c r="N79" i="1"/>
  <c r="Y79" i="5" s="1"/>
  <c r="O79" i="1"/>
  <c r="P79" i="1"/>
  <c r="AC79" i="5" s="1"/>
  <c r="Q79" i="1"/>
  <c r="AE79" i="5" s="1"/>
  <c r="R79" i="1"/>
  <c r="AG79" i="5" s="1"/>
  <c r="S79" i="1"/>
  <c r="T79" i="1"/>
  <c r="AK79" i="5" s="1"/>
  <c r="U79" i="1"/>
  <c r="AM79" i="5" s="1"/>
  <c r="V79" i="1"/>
  <c r="E79" i="1"/>
  <c r="D78" i="1"/>
  <c r="C78" i="1"/>
  <c r="E78" i="1"/>
  <c r="F78" i="1"/>
  <c r="K78" i="1"/>
  <c r="S78" i="1"/>
  <c r="R78" i="1"/>
  <c r="Q78" i="1"/>
  <c r="P78" i="1"/>
  <c r="O78" i="1"/>
  <c r="AA78" i="5" s="1"/>
  <c r="N78" i="1"/>
  <c r="Y78" i="5" s="1"/>
  <c r="M78" i="1"/>
  <c r="W78" i="5" s="1"/>
  <c r="L78" i="1"/>
  <c r="T78" i="1"/>
  <c r="AK78" i="5" s="1"/>
  <c r="U78" i="1"/>
  <c r="V78" i="1"/>
  <c r="S77" i="1"/>
  <c r="R77" i="1"/>
  <c r="Q77" i="1"/>
  <c r="P77" i="1"/>
  <c r="F77" i="1"/>
  <c r="E77" i="1"/>
  <c r="W65" i="5"/>
  <c r="W61" i="5"/>
  <c r="AR90" i="5"/>
  <c r="E15" i="5"/>
  <c r="D12" i="1"/>
  <c r="E12" i="5" s="1"/>
  <c r="C12" i="1"/>
  <c r="C12" i="5" s="1"/>
  <c r="AM12" i="5"/>
  <c r="AO12" i="5"/>
  <c r="K12" i="5"/>
  <c r="M12" i="5"/>
  <c r="O12" i="5"/>
  <c r="Q12" i="5"/>
  <c r="S12" i="5"/>
  <c r="U12" i="5"/>
  <c r="W12" i="5"/>
  <c r="Y12" i="5"/>
  <c r="AA12" i="5"/>
  <c r="AC12" i="5"/>
  <c r="AE12" i="5"/>
  <c r="AG12" i="5"/>
  <c r="AI12" i="5"/>
  <c r="AK12" i="5"/>
  <c r="I12" i="5"/>
  <c r="G12" i="5"/>
  <c r="A12" i="5"/>
  <c r="B12" i="5"/>
  <c r="C68" i="1"/>
  <c r="C68" i="5" s="1"/>
  <c r="C48" i="5"/>
  <c r="C60" i="5"/>
  <c r="E81" i="5"/>
  <c r="C81" i="5"/>
  <c r="V76" i="1"/>
  <c r="V110" i="1" s="1"/>
  <c r="A114" i="5"/>
  <c r="B114" i="5"/>
  <c r="A115" i="5"/>
  <c r="B115" i="5"/>
  <c r="C115" i="5"/>
  <c r="E115" i="5"/>
  <c r="G115" i="5"/>
  <c r="I115" i="5"/>
  <c r="K115" i="5"/>
  <c r="M115" i="5"/>
  <c r="O115" i="5"/>
  <c r="Q115" i="5"/>
  <c r="S115" i="5"/>
  <c r="U115" i="5"/>
  <c r="W115" i="5"/>
  <c r="Y115" i="5"/>
  <c r="AA115" i="5"/>
  <c r="AC115" i="5"/>
  <c r="AE115" i="5"/>
  <c r="AG115" i="5"/>
  <c r="AI115" i="5"/>
  <c r="AK115" i="5"/>
  <c r="AM115" i="5"/>
  <c r="AO115" i="5"/>
  <c r="A116" i="5"/>
  <c r="B116" i="5"/>
  <c r="A117" i="5"/>
  <c r="B117" i="5"/>
  <c r="C117" i="5"/>
  <c r="E117" i="5"/>
  <c r="G117" i="5"/>
  <c r="I117" i="5"/>
  <c r="K117" i="5"/>
  <c r="M117" i="5"/>
  <c r="O117" i="5"/>
  <c r="Q117" i="5"/>
  <c r="S117" i="5"/>
  <c r="U117" i="5"/>
  <c r="W117" i="5"/>
  <c r="Y117" i="5"/>
  <c r="AA117" i="5"/>
  <c r="AC117" i="5"/>
  <c r="AE117" i="5"/>
  <c r="AG117" i="5"/>
  <c r="AI117" i="5"/>
  <c r="AK117" i="5"/>
  <c r="AM117" i="5"/>
  <c r="AO117" i="5"/>
  <c r="A118" i="5"/>
  <c r="B118" i="5"/>
  <c r="A119" i="5"/>
  <c r="B119" i="5"/>
  <c r="C119" i="5"/>
  <c r="E119" i="5"/>
  <c r="G119" i="5"/>
  <c r="I119" i="5"/>
  <c r="K119" i="5"/>
  <c r="M119" i="5"/>
  <c r="O119" i="5"/>
  <c r="Q119" i="5"/>
  <c r="S119" i="5"/>
  <c r="U119" i="5"/>
  <c r="W119" i="5"/>
  <c r="Y119" i="5"/>
  <c r="AA119" i="5"/>
  <c r="AC119" i="5"/>
  <c r="G114" i="5"/>
  <c r="H102" i="5" s="1"/>
  <c r="I114" i="5"/>
  <c r="J81" i="5" s="1"/>
  <c r="K114" i="5"/>
  <c r="L102" i="5" s="1"/>
  <c r="M114" i="5"/>
  <c r="N81" i="5" s="1"/>
  <c r="O114" i="5"/>
  <c r="P102" i="5" s="1"/>
  <c r="Q114" i="5"/>
  <c r="R81" i="5" s="1"/>
  <c r="S114" i="5"/>
  <c r="T81" i="5" s="1"/>
  <c r="U114" i="5"/>
  <c r="V81" i="5" s="1"/>
  <c r="W114" i="5"/>
  <c r="X81" i="5" s="1"/>
  <c r="Y114" i="5"/>
  <c r="Z81" i="5" s="1"/>
  <c r="AA114" i="5"/>
  <c r="AB81" i="5" s="1"/>
  <c r="AC114" i="5"/>
  <c r="AD81" i="5" s="1"/>
  <c r="AE114" i="5"/>
  <c r="AF81" i="5" s="1"/>
  <c r="AG114" i="5"/>
  <c r="AH81" i="5" s="1"/>
  <c r="AI114" i="5"/>
  <c r="AJ81" i="5" s="1"/>
  <c r="AK114" i="5"/>
  <c r="AL81" i="5" s="1"/>
  <c r="AM114" i="5"/>
  <c r="AN81" i="5" s="1"/>
  <c r="AO114" i="5"/>
  <c r="AP81" i="5" s="1"/>
  <c r="F47" i="1"/>
  <c r="H47" i="1"/>
  <c r="Q47" i="1"/>
  <c r="R47" i="1"/>
  <c r="S47" i="1"/>
  <c r="T47" i="1"/>
  <c r="U47" i="1"/>
  <c r="V47" i="1"/>
  <c r="E47" i="1"/>
  <c r="I78" i="5"/>
  <c r="U78" i="5"/>
  <c r="AC78" i="5"/>
  <c r="AO78" i="5"/>
  <c r="I79" i="5"/>
  <c r="AA79" i="5"/>
  <c r="AI79" i="5"/>
  <c r="AO79" i="5"/>
  <c r="C87" i="5"/>
  <c r="C89" i="5"/>
  <c r="C91" i="5"/>
  <c r="C92" i="5"/>
  <c r="C93" i="5"/>
  <c r="C96" i="5"/>
  <c r="C97" i="5"/>
  <c r="C98" i="5"/>
  <c r="C101" i="5"/>
  <c r="C104" i="5"/>
  <c r="C105" i="5"/>
  <c r="C106" i="5"/>
  <c r="C107" i="5"/>
  <c r="C108" i="5"/>
  <c r="C109" i="5"/>
  <c r="C110" i="5"/>
  <c r="C111" i="5"/>
  <c r="C112" i="5"/>
  <c r="C113" i="5"/>
  <c r="AR84" i="5"/>
  <c r="B83" i="5"/>
  <c r="AR85" i="5"/>
  <c r="E98" i="5"/>
  <c r="AO2" i="5"/>
  <c r="AO3" i="5"/>
  <c r="AO4" i="5"/>
  <c r="AO5" i="5"/>
  <c r="AO6" i="5"/>
  <c r="AO7" i="5"/>
  <c r="AO9" i="5"/>
  <c r="AO10" i="5"/>
  <c r="AO14" i="5"/>
  <c r="AO22" i="5"/>
  <c r="AO26" i="5"/>
  <c r="AO27" i="5"/>
  <c r="AO29" i="5"/>
  <c r="AO31" i="5"/>
  <c r="AO33" i="5"/>
  <c r="AO34" i="5"/>
  <c r="AO35" i="5"/>
  <c r="AO36" i="5"/>
  <c r="AO37" i="5"/>
  <c r="AO38" i="5"/>
  <c r="AO40" i="5"/>
  <c r="AO41" i="5"/>
  <c r="AO44" i="5"/>
  <c r="AO45" i="5"/>
  <c r="AO46" i="5"/>
  <c r="AO48" i="5"/>
  <c r="AO49" i="5"/>
  <c r="AO50" i="5"/>
  <c r="AO51" i="5"/>
  <c r="AO52" i="5"/>
  <c r="AO54" i="5"/>
  <c r="AO55" i="5"/>
  <c r="AO56" i="5"/>
  <c r="AO58" i="5"/>
  <c r="AO59" i="5"/>
  <c r="AO60" i="5"/>
  <c r="AO61" i="5"/>
  <c r="AO62" i="5"/>
  <c r="AO63" i="5"/>
  <c r="AO65" i="5"/>
  <c r="AO67" i="5"/>
  <c r="AO69" i="5"/>
  <c r="AO70" i="5"/>
  <c r="AO71" i="5"/>
  <c r="AO72" i="5"/>
  <c r="AO73" i="5"/>
  <c r="AO75" i="5"/>
  <c r="AO80" i="5"/>
  <c r="AO82" i="5"/>
  <c r="AO83" i="5"/>
  <c r="AO87" i="5"/>
  <c r="AO88" i="5"/>
  <c r="AO89" i="5"/>
  <c r="AO91" i="5"/>
  <c r="AO92" i="5"/>
  <c r="AO96" i="5"/>
  <c r="AO97" i="5"/>
  <c r="AO98" i="5"/>
  <c r="AO101" i="5"/>
  <c r="AO104" i="5"/>
  <c r="AO105" i="5"/>
  <c r="AO109" i="5"/>
  <c r="AO113" i="5"/>
  <c r="AM2" i="5"/>
  <c r="AM3" i="5"/>
  <c r="AM4" i="5"/>
  <c r="AM5" i="5"/>
  <c r="AM6" i="5"/>
  <c r="AM7" i="5"/>
  <c r="AM9" i="5"/>
  <c r="AM10" i="5"/>
  <c r="AM14" i="5"/>
  <c r="AM22" i="5"/>
  <c r="AM26" i="5"/>
  <c r="AM27" i="5"/>
  <c r="AM29" i="5"/>
  <c r="AM31" i="5"/>
  <c r="AM33" i="5"/>
  <c r="AM34" i="5"/>
  <c r="AM35" i="5"/>
  <c r="AM36" i="5"/>
  <c r="AM37" i="5"/>
  <c r="AM38" i="5"/>
  <c r="AM40" i="5"/>
  <c r="AM41" i="5"/>
  <c r="AM44" i="5"/>
  <c r="AM45" i="5"/>
  <c r="AM46" i="5"/>
  <c r="AM48" i="5"/>
  <c r="AM49" i="5"/>
  <c r="AM50" i="5"/>
  <c r="AM51" i="5"/>
  <c r="AM52" i="5"/>
  <c r="AM54" i="5"/>
  <c r="AM55" i="5"/>
  <c r="AM56" i="5"/>
  <c r="AM58" i="5"/>
  <c r="AM59" i="5"/>
  <c r="AM60" i="5"/>
  <c r="AM61" i="5"/>
  <c r="AM62" i="5"/>
  <c r="AM63" i="5"/>
  <c r="AM65" i="5"/>
  <c r="AM67" i="5"/>
  <c r="AM69" i="5"/>
  <c r="AM70" i="5"/>
  <c r="AM71" i="5"/>
  <c r="AM72" i="5"/>
  <c r="AM73" i="5"/>
  <c r="AM75" i="5"/>
  <c r="AM80" i="5"/>
  <c r="AM82" i="5"/>
  <c r="AM87" i="5"/>
  <c r="AM88" i="5"/>
  <c r="AM89" i="5"/>
  <c r="AM91" i="5"/>
  <c r="AM92" i="5"/>
  <c r="AM96" i="5"/>
  <c r="AM97" i="5"/>
  <c r="AM98" i="5"/>
  <c r="AM101" i="5"/>
  <c r="AM104" i="5"/>
  <c r="AM105" i="5"/>
  <c r="AM109" i="5"/>
  <c r="AM113" i="5"/>
  <c r="AK2" i="5"/>
  <c r="AK3" i="5"/>
  <c r="AK4" i="5"/>
  <c r="AK5" i="5"/>
  <c r="AK6" i="5"/>
  <c r="AK7" i="5"/>
  <c r="AK9" i="5"/>
  <c r="AK10" i="5"/>
  <c r="AK14" i="5"/>
  <c r="AK22" i="5"/>
  <c r="AK26" i="5"/>
  <c r="AK27" i="5"/>
  <c r="AK29" i="5"/>
  <c r="AK31" i="5"/>
  <c r="AK33" i="5"/>
  <c r="AK34" i="5"/>
  <c r="AK35" i="5"/>
  <c r="AK36" i="5"/>
  <c r="AK37" i="5"/>
  <c r="AK38" i="5"/>
  <c r="AK40" i="5"/>
  <c r="AK41" i="5"/>
  <c r="AK44" i="5"/>
  <c r="AK45" i="5"/>
  <c r="AK46" i="5"/>
  <c r="AK48" i="5"/>
  <c r="AK49" i="5"/>
  <c r="AK50" i="5"/>
  <c r="AK51" i="5"/>
  <c r="AK52" i="5"/>
  <c r="AK54" i="5"/>
  <c r="AK55" i="5"/>
  <c r="AK56" i="5"/>
  <c r="AK58" i="5"/>
  <c r="AK59" i="5"/>
  <c r="AK60" i="5"/>
  <c r="AK61" i="5"/>
  <c r="AK62" i="5"/>
  <c r="AK63" i="5"/>
  <c r="AK65" i="5"/>
  <c r="AK67" i="5"/>
  <c r="AK69" i="5"/>
  <c r="AK70" i="5"/>
  <c r="AK71" i="5"/>
  <c r="AK72" i="5"/>
  <c r="AK73" i="5"/>
  <c r="AK75" i="5"/>
  <c r="AK80" i="5"/>
  <c r="AK82" i="5"/>
  <c r="AK87" i="5"/>
  <c r="AK88" i="5"/>
  <c r="AK89" i="5"/>
  <c r="AK91" i="5"/>
  <c r="AK92" i="5"/>
  <c r="AK96" i="5"/>
  <c r="AK97" i="5"/>
  <c r="AK98" i="5"/>
  <c r="AK101" i="5"/>
  <c r="AK104" i="5"/>
  <c r="AK105" i="5"/>
  <c r="AK109" i="5"/>
  <c r="AK113" i="5"/>
  <c r="AI2" i="5"/>
  <c r="AI3" i="5"/>
  <c r="AI4" i="5"/>
  <c r="AI5" i="5"/>
  <c r="AI6" i="5"/>
  <c r="AI7" i="5"/>
  <c r="AI9" i="5"/>
  <c r="AI10" i="5"/>
  <c r="AI14" i="5"/>
  <c r="AI22" i="5"/>
  <c r="AI26" i="5"/>
  <c r="AI27" i="5"/>
  <c r="AI29" i="5"/>
  <c r="AI31" i="5"/>
  <c r="AI33" i="5"/>
  <c r="AI34" i="5"/>
  <c r="AI35" i="5"/>
  <c r="AI36" i="5"/>
  <c r="AI37" i="5"/>
  <c r="AI38" i="5"/>
  <c r="AI40" i="5"/>
  <c r="AI41" i="5"/>
  <c r="AI44" i="5"/>
  <c r="AI45" i="5"/>
  <c r="AI46" i="5"/>
  <c r="AI48" i="5"/>
  <c r="AI49" i="5"/>
  <c r="AI50" i="5"/>
  <c r="AI51" i="5"/>
  <c r="AI52" i="5"/>
  <c r="AI54" i="5"/>
  <c r="AI55" i="5"/>
  <c r="AI56" i="5"/>
  <c r="AI58" i="5"/>
  <c r="AI59" i="5"/>
  <c r="AI60" i="5"/>
  <c r="AI61" i="5"/>
  <c r="AI62" i="5"/>
  <c r="AI63" i="5"/>
  <c r="AI65" i="5"/>
  <c r="AI67" i="5"/>
  <c r="AI69" i="5"/>
  <c r="AI70" i="5"/>
  <c r="AI71" i="5"/>
  <c r="AI72" i="5"/>
  <c r="AI73" i="5"/>
  <c r="AI75" i="5"/>
  <c r="AI80" i="5"/>
  <c r="AI82" i="5"/>
  <c r="AI87" i="5"/>
  <c r="AI88" i="5"/>
  <c r="AI89" i="5"/>
  <c r="AI91" i="5"/>
  <c r="AI92" i="5"/>
  <c r="AI96" i="5"/>
  <c r="AI97" i="5"/>
  <c r="AI98" i="5"/>
  <c r="AI101" i="5"/>
  <c r="AI104" i="5"/>
  <c r="AI105" i="5"/>
  <c r="AI109" i="5"/>
  <c r="AI113" i="5"/>
  <c r="AG2" i="5"/>
  <c r="AG3" i="5"/>
  <c r="AG4" i="5"/>
  <c r="AG5" i="5"/>
  <c r="AG6" i="5"/>
  <c r="AG7" i="5"/>
  <c r="AG9" i="5"/>
  <c r="AG10" i="5"/>
  <c r="AG14" i="5"/>
  <c r="AG22" i="5"/>
  <c r="AG26" i="5"/>
  <c r="AG27" i="5"/>
  <c r="AG29" i="5"/>
  <c r="AG31" i="5"/>
  <c r="AG33" i="5"/>
  <c r="AG34" i="5"/>
  <c r="AG35" i="5"/>
  <c r="AG36" i="5"/>
  <c r="AG37" i="5"/>
  <c r="AG38" i="5"/>
  <c r="AG40" i="5"/>
  <c r="AG41" i="5"/>
  <c r="AG44" i="5"/>
  <c r="AG45" i="5"/>
  <c r="AG46" i="5"/>
  <c r="AG48" i="5"/>
  <c r="AG49" i="5"/>
  <c r="AG50" i="5"/>
  <c r="AG51" i="5"/>
  <c r="AG52" i="5"/>
  <c r="AG54" i="5"/>
  <c r="AG55" i="5"/>
  <c r="AG56" i="5"/>
  <c r="AG58" i="5"/>
  <c r="AG59" i="5"/>
  <c r="AG60" i="5"/>
  <c r="AG61" i="5"/>
  <c r="AG62" i="5"/>
  <c r="AG63" i="5"/>
  <c r="AG65" i="5"/>
  <c r="AG67" i="5"/>
  <c r="AG69" i="5"/>
  <c r="AG70" i="5"/>
  <c r="AG71" i="5"/>
  <c r="AG72" i="5"/>
  <c r="AG73" i="5"/>
  <c r="AG75" i="5"/>
  <c r="AG80" i="5"/>
  <c r="AG82" i="5"/>
  <c r="AG87" i="5"/>
  <c r="AG88" i="5"/>
  <c r="AG89" i="5"/>
  <c r="AG91" i="5"/>
  <c r="AG92" i="5"/>
  <c r="AG96" i="5"/>
  <c r="AG97" i="5"/>
  <c r="AG98" i="5"/>
  <c r="AG101" i="5"/>
  <c r="AG104" i="5"/>
  <c r="AG105" i="5"/>
  <c r="AG109" i="5"/>
  <c r="AG113" i="5"/>
  <c r="AE2" i="5"/>
  <c r="AE3" i="5"/>
  <c r="AE4" i="5"/>
  <c r="AE5" i="5"/>
  <c r="AE6" i="5"/>
  <c r="AE7" i="5"/>
  <c r="AE9" i="5"/>
  <c r="AE10" i="5"/>
  <c r="AE14" i="5"/>
  <c r="AE22" i="5"/>
  <c r="AE26" i="5"/>
  <c r="AE27" i="5"/>
  <c r="AE29" i="5"/>
  <c r="AE31" i="5"/>
  <c r="AE33" i="5"/>
  <c r="AE34" i="5"/>
  <c r="AE35" i="5"/>
  <c r="AE36" i="5"/>
  <c r="AE37" i="5"/>
  <c r="AE38" i="5"/>
  <c r="AE40" i="5"/>
  <c r="AE41" i="5"/>
  <c r="AE44" i="5"/>
  <c r="AE45" i="5"/>
  <c r="AE46" i="5"/>
  <c r="AE48" i="5"/>
  <c r="AE49" i="5"/>
  <c r="AE50" i="5"/>
  <c r="AE51" i="5"/>
  <c r="AE52" i="5"/>
  <c r="AE54" i="5"/>
  <c r="AE55" i="5"/>
  <c r="AE56" i="5"/>
  <c r="AE58" i="5"/>
  <c r="AE59" i="5"/>
  <c r="AE60" i="5"/>
  <c r="AE61" i="5"/>
  <c r="AE62" i="5"/>
  <c r="AE63" i="5"/>
  <c r="AE65" i="5"/>
  <c r="AE67" i="5"/>
  <c r="AE69" i="5"/>
  <c r="AE70" i="5"/>
  <c r="AE71" i="5"/>
  <c r="AE72" i="5"/>
  <c r="AE73" i="5"/>
  <c r="AE75" i="5"/>
  <c r="AE80" i="5"/>
  <c r="AE82" i="5"/>
  <c r="AE87" i="5"/>
  <c r="AE88" i="5"/>
  <c r="AE89" i="5"/>
  <c r="AE91" i="5"/>
  <c r="AE92" i="5"/>
  <c r="AE96" i="5"/>
  <c r="AE97" i="5"/>
  <c r="AE98" i="5"/>
  <c r="AE101" i="5"/>
  <c r="AE104" i="5"/>
  <c r="AE105" i="5"/>
  <c r="AE109" i="5"/>
  <c r="AE113" i="5"/>
  <c r="AC2" i="5"/>
  <c r="AC3" i="5"/>
  <c r="AC4" i="5"/>
  <c r="AC5" i="5"/>
  <c r="AC6" i="5"/>
  <c r="AC7" i="5"/>
  <c r="AC9" i="5"/>
  <c r="AC10" i="5"/>
  <c r="AC14" i="5"/>
  <c r="AC22" i="5"/>
  <c r="AC26" i="5"/>
  <c r="AC27" i="5"/>
  <c r="AC29" i="5"/>
  <c r="AC31" i="5"/>
  <c r="AC33" i="5"/>
  <c r="AC34" i="5"/>
  <c r="AC35" i="5"/>
  <c r="AC36" i="5"/>
  <c r="AC37" i="5"/>
  <c r="AC38" i="5"/>
  <c r="AC40" i="5"/>
  <c r="AC41" i="5"/>
  <c r="AC44" i="5"/>
  <c r="AC45" i="5"/>
  <c r="AC46" i="5"/>
  <c r="AC48" i="5"/>
  <c r="AC49" i="5"/>
  <c r="AC50" i="5"/>
  <c r="AC51" i="5"/>
  <c r="AC52" i="5"/>
  <c r="AC54" i="5"/>
  <c r="AC55" i="5"/>
  <c r="AC56" i="5"/>
  <c r="AC58" i="5"/>
  <c r="AC59" i="5"/>
  <c r="AC60" i="5"/>
  <c r="AC61" i="5"/>
  <c r="AC62" i="5"/>
  <c r="AC63" i="5"/>
  <c r="AC65" i="5"/>
  <c r="AC67" i="5"/>
  <c r="AC69" i="5"/>
  <c r="AC70" i="5"/>
  <c r="AC71" i="5"/>
  <c r="AC72" i="5"/>
  <c r="AC73" i="5"/>
  <c r="AC75" i="5"/>
  <c r="AC80" i="5"/>
  <c r="AC82" i="5"/>
  <c r="AC87" i="5"/>
  <c r="AC88" i="5"/>
  <c r="AC89" i="5"/>
  <c r="AC91" i="5"/>
  <c r="AC92" i="5"/>
  <c r="AC96" i="5"/>
  <c r="AC97" i="5"/>
  <c r="AC98" i="5"/>
  <c r="AC101" i="5"/>
  <c r="AC104" i="5"/>
  <c r="AC105" i="5"/>
  <c r="AC109" i="5"/>
  <c r="AC113" i="5"/>
  <c r="AA2" i="5"/>
  <c r="AA3" i="5"/>
  <c r="AA4" i="5"/>
  <c r="AA5" i="5"/>
  <c r="AA6" i="5"/>
  <c r="AA7" i="5"/>
  <c r="AA9" i="5"/>
  <c r="AA10" i="5"/>
  <c r="AA14" i="5"/>
  <c r="AA22" i="5"/>
  <c r="AA26" i="5"/>
  <c r="AA27" i="5"/>
  <c r="AA29" i="5"/>
  <c r="AA31" i="5"/>
  <c r="AA33" i="5"/>
  <c r="AA34" i="5"/>
  <c r="AA35" i="5"/>
  <c r="AA36" i="5"/>
  <c r="AA37" i="5"/>
  <c r="AA38" i="5"/>
  <c r="AA40" i="5"/>
  <c r="AA41" i="5"/>
  <c r="AA44" i="5"/>
  <c r="AA45" i="5"/>
  <c r="AA46" i="5"/>
  <c r="AA48" i="5"/>
  <c r="AA49" i="5"/>
  <c r="AA50" i="5"/>
  <c r="AA51" i="5"/>
  <c r="AA52" i="5"/>
  <c r="AA54" i="5"/>
  <c r="AA55" i="5"/>
  <c r="AA56" i="5"/>
  <c r="AA58" i="5"/>
  <c r="AA59" i="5"/>
  <c r="AA60" i="5"/>
  <c r="AA61" i="5"/>
  <c r="AA62" i="5"/>
  <c r="AA63" i="5"/>
  <c r="AA65" i="5"/>
  <c r="AA67" i="5"/>
  <c r="AA69" i="5"/>
  <c r="AA70" i="5"/>
  <c r="AA71" i="5"/>
  <c r="AA72" i="5"/>
  <c r="AA73" i="5"/>
  <c r="AA75" i="5"/>
  <c r="AA80" i="5"/>
  <c r="AA82" i="5"/>
  <c r="AA87" i="5"/>
  <c r="AA88" i="5"/>
  <c r="AA89" i="5"/>
  <c r="AA91" i="5"/>
  <c r="AA92" i="5"/>
  <c r="AA96" i="5"/>
  <c r="AA97" i="5"/>
  <c r="AA98" i="5"/>
  <c r="AA101" i="5"/>
  <c r="AA104" i="5"/>
  <c r="AA105" i="5"/>
  <c r="AA109" i="5"/>
  <c r="AA113" i="5"/>
  <c r="Y2" i="5"/>
  <c r="Y3" i="5"/>
  <c r="Y4" i="5"/>
  <c r="Y5" i="5"/>
  <c r="Y6" i="5"/>
  <c r="Y7" i="5"/>
  <c r="Y9" i="5"/>
  <c r="Y10" i="5"/>
  <c r="Y14" i="5"/>
  <c r="Y22" i="5"/>
  <c r="Y26" i="5"/>
  <c r="Y27" i="5"/>
  <c r="Y29" i="5"/>
  <c r="Y31" i="5"/>
  <c r="Y33" i="5"/>
  <c r="Y34" i="5"/>
  <c r="Y35" i="5"/>
  <c r="Y36" i="5"/>
  <c r="Y37" i="5"/>
  <c r="Y38" i="5"/>
  <c r="Y40" i="5"/>
  <c r="Y41" i="5"/>
  <c r="Y44" i="5"/>
  <c r="Y45" i="5"/>
  <c r="Y46" i="5"/>
  <c r="Y48" i="5"/>
  <c r="Y49" i="5"/>
  <c r="Y50" i="5"/>
  <c r="Y51" i="5"/>
  <c r="Y52" i="5"/>
  <c r="Y54" i="5"/>
  <c r="Y55" i="5"/>
  <c r="Y56" i="5"/>
  <c r="Y58" i="5"/>
  <c r="Y59" i="5"/>
  <c r="Y60" i="5"/>
  <c r="Y61" i="5"/>
  <c r="Y62" i="5"/>
  <c r="Y63" i="5"/>
  <c r="Y65" i="5"/>
  <c r="Y67" i="5"/>
  <c r="Y69" i="5"/>
  <c r="Y70" i="5"/>
  <c r="Y71" i="5"/>
  <c r="Y72" i="5"/>
  <c r="Y73" i="5"/>
  <c r="Y75" i="5"/>
  <c r="Y80" i="5"/>
  <c r="Y82" i="5"/>
  <c r="Y87" i="5"/>
  <c r="Y88" i="5"/>
  <c r="Y89" i="5"/>
  <c r="Y91" i="5"/>
  <c r="Y92" i="5"/>
  <c r="Y96" i="5"/>
  <c r="Y97" i="5"/>
  <c r="Y98" i="5"/>
  <c r="Y101" i="5"/>
  <c r="Y104" i="5"/>
  <c r="Y105" i="5"/>
  <c r="Y109" i="5"/>
  <c r="Y113" i="5"/>
  <c r="W2" i="5"/>
  <c r="W3" i="5"/>
  <c r="W4" i="5"/>
  <c r="W5" i="5"/>
  <c r="W6" i="5"/>
  <c r="W7" i="5"/>
  <c r="W9" i="5"/>
  <c r="W10" i="5"/>
  <c r="W14" i="5"/>
  <c r="W22" i="5"/>
  <c r="W26" i="5"/>
  <c r="W27" i="5"/>
  <c r="W29" i="5"/>
  <c r="W31" i="5"/>
  <c r="W33" i="5"/>
  <c r="W34" i="5"/>
  <c r="W35" i="5"/>
  <c r="W36" i="5"/>
  <c r="W37" i="5"/>
  <c r="W38" i="5"/>
  <c r="W40" i="5"/>
  <c r="W41" i="5"/>
  <c r="W44" i="5"/>
  <c r="W45" i="5"/>
  <c r="W46" i="5"/>
  <c r="W48" i="5"/>
  <c r="W49" i="5"/>
  <c r="W50" i="5"/>
  <c r="W51" i="5"/>
  <c r="W52" i="5"/>
  <c r="W54" i="5"/>
  <c r="W55" i="5"/>
  <c r="W56" i="5"/>
  <c r="W58" i="5"/>
  <c r="W59" i="5"/>
  <c r="W60" i="5"/>
  <c r="W62" i="5"/>
  <c r="W63" i="5"/>
  <c r="W67" i="5"/>
  <c r="W69" i="5"/>
  <c r="W70" i="5"/>
  <c r="W71" i="5"/>
  <c r="W72" i="5"/>
  <c r="W73" i="5"/>
  <c r="W75" i="5"/>
  <c r="W80" i="5"/>
  <c r="W82" i="5"/>
  <c r="W87" i="5"/>
  <c r="W88" i="5"/>
  <c r="W89" i="5"/>
  <c r="W91" i="5"/>
  <c r="W92" i="5"/>
  <c r="W96" i="5"/>
  <c r="W97" i="5"/>
  <c r="W98" i="5"/>
  <c r="W101" i="5"/>
  <c r="W104" i="5"/>
  <c r="W105" i="5"/>
  <c r="W109" i="5"/>
  <c r="W113" i="5"/>
  <c r="U2" i="5"/>
  <c r="U3" i="5"/>
  <c r="U4" i="5"/>
  <c r="U5" i="5"/>
  <c r="U6" i="5"/>
  <c r="U7" i="5"/>
  <c r="U9" i="5"/>
  <c r="U10" i="5"/>
  <c r="U14" i="5"/>
  <c r="U22" i="5"/>
  <c r="U26" i="5"/>
  <c r="U27" i="5"/>
  <c r="U29" i="5"/>
  <c r="U31" i="5"/>
  <c r="U33" i="5"/>
  <c r="U34" i="5"/>
  <c r="U35" i="5"/>
  <c r="U36" i="5"/>
  <c r="U37" i="5"/>
  <c r="U38" i="5"/>
  <c r="U40" i="5"/>
  <c r="U41" i="5"/>
  <c r="U44" i="5"/>
  <c r="U45" i="5"/>
  <c r="U46" i="5"/>
  <c r="U48" i="5"/>
  <c r="U49" i="5"/>
  <c r="U50" i="5"/>
  <c r="U51" i="5"/>
  <c r="U52" i="5"/>
  <c r="U54" i="5"/>
  <c r="U55" i="5"/>
  <c r="U56" i="5"/>
  <c r="U58" i="5"/>
  <c r="U59" i="5"/>
  <c r="U60" i="5"/>
  <c r="U61" i="5"/>
  <c r="U62" i="5"/>
  <c r="U63" i="5"/>
  <c r="U65" i="5"/>
  <c r="U67" i="5"/>
  <c r="U69" i="5"/>
  <c r="U70" i="5"/>
  <c r="U71" i="5"/>
  <c r="U72" i="5"/>
  <c r="U73" i="5"/>
  <c r="U75" i="5"/>
  <c r="U80" i="5"/>
  <c r="U82" i="5"/>
  <c r="U87" i="5"/>
  <c r="U88" i="5"/>
  <c r="U89" i="5"/>
  <c r="U91" i="5"/>
  <c r="U92" i="5"/>
  <c r="U96" i="5"/>
  <c r="U97" i="5"/>
  <c r="U98" i="5"/>
  <c r="U101" i="5"/>
  <c r="U104" i="5"/>
  <c r="U105" i="5"/>
  <c r="U109" i="5"/>
  <c r="U113" i="5"/>
  <c r="S2" i="5"/>
  <c r="S3" i="5"/>
  <c r="S4" i="5"/>
  <c r="S5" i="5"/>
  <c r="S6" i="5"/>
  <c r="S7" i="5"/>
  <c r="S9" i="5"/>
  <c r="S10" i="5"/>
  <c r="S14" i="5"/>
  <c r="S22" i="5"/>
  <c r="S26" i="5"/>
  <c r="S27" i="5"/>
  <c r="S29" i="5"/>
  <c r="S31" i="5"/>
  <c r="S33" i="5"/>
  <c r="S34" i="5"/>
  <c r="S35" i="5"/>
  <c r="S36" i="5"/>
  <c r="S37" i="5"/>
  <c r="S38" i="5"/>
  <c r="S40" i="5"/>
  <c r="S41" i="5"/>
  <c r="S44" i="5"/>
  <c r="S45" i="5"/>
  <c r="S46" i="5"/>
  <c r="S48" i="5"/>
  <c r="S49" i="5"/>
  <c r="S50" i="5"/>
  <c r="S51" i="5"/>
  <c r="S52" i="5"/>
  <c r="S54" i="5"/>
  <c r="S55" i="5"/>
  <c r="S56" i="5"/>
  <c r="S58" i="5"/>
  <c r="S59" i="5"/>
  <c r="S60" i="5"/>
  <c r="S61" i="5"/>
  <c r="S62" i="5"/>
  <c r="S63" i="5"/>
  <c r="S65" i="5"/>
  <c r="S67" i="5"/>
  <c r="S69" i="5"/>
  <c r="S70" i="5"/>
  <c r="S71" i="5"/>
  <c r="S72" i="5"/>
  <c r="S73" i="5"/>
  <c r="S75" i="5"/>
  <c r="S80" i="5"/>
  <c r="S82" i="5"/>
  <c r="S87" i="5"/>
  <c r="S88" i="5"/>
  <c r="S89" i="5"/>
  <c r="S91" i="5"/>
  <c r="S92" i="5"/>
  <c r="S96" i="5"/>
  <c r="S97" i="5"/>
  <c r="S98" i="5"/>
  <c r="S101" i="5"/>
  <c r="S104" i="5"/>
  <c r="S105" i="5"/>
  <c r="S109" i="5"/>
  <c r="S113" i="5"/>
  <c r="Q2" i="5"/>
  <c r="Q3" i="5"/>
  <c r="Q4" i="5"/>
  <c r="Q5" i="5"/>
  <c r="Q6" i="5"/>
  <c r="Q7" i="5"/>
  <c r="Q9" i="5"/>
  <c r="Q10" i="5"/>
  <c r="Q14" i="5"/>
  <c r="Q22" i="5"/>
  <c r="Q26" i="5"/>
  <c r="Q27" i="5"/>
  <c r="Q29" i="5"/>
  <c r="Q31" i="5"/>
  <c r="Q33" i="5"/>
  <c r="Q34" i="5"/>
  <c r="Q35" i="5"/>
  <c r="Q36" i="5"/>
  <c r="Q37" i="5"/>
  <c r="Q38" i="5"/>
  <c r="Q40" i="5"/>
  <c r="Q41" i="5"/>
  <c r="Q44" i="5"/>
  <c r="Q45" i="5"/>
  <c r="Q46" i="5"/>
  <c r="Q48" i="5"/>
  <c r="Q49" i="5"/>
  <c r="Q50" i="5"/>
  <c r="Q51" i="5"/>
  <c r="Q52" i="5"/>
  <c r="Q54" i="5"/>
  <c r="Q55" i="5"/>
  <c r="Q56" i="5"/>
  <c r="Q58" i="5"/>
  <c r="Q59" i="5"/>
  <c r="Q60" i="5"/>
  <c r="Q61" i="5"/>
  <c r="Q62" i="5"/>
  <c r="Q63" i="5"/>
  <c r="Q65" i="5"/>
  <c r="Q67" i="5"/>
  <c r="Q69" i="5"/>
  <c r="Q70" i="5"/>
  <c r="Q71" i="5"/>
  <c r="Q72" i="5"/>
  <c r="Q73" i="5"/>
  <c r="Q75" i="5"/>
  <c r="Q80" i="5"/>
  <c r="Q82" i="5"/>
  <c r="Q87" i="5"/>
  <c r="Q88" i="5"/>
  <c r="Q89" i="5"/>
  <c r="Q91" i="5"/>
  <c r="Q92" i="5"/>
  <c r="Q96" i="5"/>
  <c r="Q97" i="5"/>
  <c r="Q98" i="5"/>
  <c r="Q101" i="5"/>
  <c r="Q104" i="5"/>
  <c r="Q105" i="5"/>
  <c r="Q109" i="5"/>
  <c r="Q113" i="5"/>
  <c r="O2" i="5"/>
  <c r="O3" i="5"/>
  <c r="O4" i="5"/>
  <c r="O5" i="5"/>
  <c r="O6" i="5"/>
  <c r="O7" i="5"/>
  <c r="O9" i="5"/>
  <c r="O10" i="5"/>
  <c r="O14" i="5"/>
  <c r="O22" i="5"/>
  <c r="O26" i="5"/>
  <c r="O27" i="5"/>
  <c r="O29" i="5"/>
  <c r="O31" i="5"/>
  <c r="O33" i="5"/>
  <c r="O34" i="5"/>
  <c r="O35" i="5"/>
  <c r="O36" i="5"/>
  <c r="O37" i="5"/>
  <c r="O38" i="5"/>
  <c r="O40" i="5"/>
  <c r="O41" i="5"/>
  <c r="O44" i="5"/>
  <c r="O45" i="5"/>
  <c r="O46" i="5"/>
  <c r="O48" i="5"/>
  <c r="O49" i="5"/>
  <c r="O50" i="5"/>
  <c r="O51" i="5"/>
  <c r="O52" i="5"/>
  <c r="O54" i="5"/>
  <c r="O55" i="5"/>
  <c r="O56" i="5"/>
  <c r="O58" i="5"/>
  <c r="O59" i="5"/>
  <c r="O60" i="5"/>
  <c r="O61" i="5"/>
  <c r="O62" i="5"/>
  <c r="O63" i="5"/>
  <c r="O65" i="5"/>
  <c r="O67" i="5"/>
  <c r="O69" i="5"/>
  <c r="O70" i="5"/>
  <c r="O71" i="5"/>
  <c r="O72" i="5"/>
  <c r="O73" i="5"/>
  <c r="O75" i="5"/>
  <c r="O80" i="5"/>
  <c r="O82" i="5"/>
  <c r="O87" i="5"/>
  <c r="O88" i="5"/>
  <c r="O89" i="5"/>
  <c r="O91" i="5"/>
  <c r="O92" i="5"/>
  <c r="O94" i="5"/>
  <c r="O96" i="5"/>
  <c r="O97" i="5"/>
  <c r="O98" i="5"/>
  <c r="O101" i="5"/>
  <c r="O104" i="5"/>
  <c r="O105" i="5"/>
  <c r="O109" i="5"/>
  <c r="O113" i="5"/>
  <c r="M2" i="5"/>
  <c r="M3" i="5"/>
  <c r="M4" i="5"/>
  <c r="M5" i="5"/>
  <c r="M6" i="5"/>
  <c r="M7" i="5"/>
  <c r="M9" i="5"/>
  <c r="M10" i="5"/>
  <c r="M14" i="5"/>
  <c r="M22" i="5"/>
  <c r="M26" i="5"/>
  <c r="M27" i="5"/>
  <c r="M29" i="5"/>
  <c r="M31" i="5"/>
  <c r="M33" i="5"/>
  <c r="M34" i="5"/>
  <c r="M35" i="5"/>
  <c r="M36" i="5"/>
  <c r="M37" i="5"/>
  <c r="M38" i="5"/>
  <c r="M40" i="5"/>
  <c r="M41" i="5"/>
  <c r="M44" i="5"/>
  <c r="M45" i="5"/>
  <c r="M46" i="5"/>
  <c r="M48" i="5"/>
  <c r="M49" i="5"/>
  <c r="M50" i="5"/>
  <c r="M51" i="5"/>
  <c r="M52" i="5"/>
  <c r="M54" i="5"/>
  <c r="M55" i="5"/>
  <c r="M56" i="5"/>
  <c r="M58" i="5"/>
  <c r="M59" i="5"/>
  <c r="M60" i="5"/>
  <c r="M61" i="5"/>
  <c r="M62" i="5"/>
  <c r="M63" i="5"/>
  <c r="M65" i="5"/>
  <c r="M67" i="5"/>
  <c r="M69" i="5"/>
  <c r="M70" i="5"/>
  <c r="M71" i="5"/>
  <c r="M72" i="5"/>
  <c r="M73" i="5"/>
  <c r="M75" i="5"/>
  <c r="M80" i="5"/>
  <c r="M82" i="5"/>
  <c r="M87" i="5"/>
  <c r="M88" i="5"/>
  <c r="M89" i="5"/>
  <c r="M91" i="5"/>
  <c r="M92" i="5"/>
  <c r="M96" i="5"/>
  <c r="M97" i="5"/>
  <c r="M98" i="5"/>
  <c r="M101" i="5"/>
  <c r="M104" i="5"/>
  <c r="M105" i="5"/>
  <c r="M109" i="5"/>
  <c r="M113" i="5"/>
  <c r="K2" i="5"/>
  <c r="K3" i="5"/>
  <c r="K4" i="5"/>
  <c r="K5" i="5"/>
  <c r="K6" i="5"/>
  <c r="K7" i="5"/>
  <c r="K9" i="5"/>
  <c r="K10" i="5"/>
  <c r="K14" i="5"/>
  <c r="K22" i="5"/>
  <c r="K26" i="5"/>
  <c r="K27" i="5"/>
  <c r="K29" i="5"/>
  <c r="K31" i="5"/>
  <c r="K33" i="5"/>
  <c r="K34" i="5"/>
  <c r="K35" i="5"/>
  <c r="K36" i="5"/>
  <c r="K37" i="5"/>
  <c r="K38" i="5"/>
  <c r="K40" i="5"/>
  <c r="K41" i="5"/>
  <c r="K44" i="5"/>
  <c r="K45" i="5"/>
  <c r="K46" i="5"/>
  <c r="K48" i="5"/>
  <c r="K49" i="5"/>
  <c r="K50" i="5"/>
  <c r="K51" i="5"/>
  <c r="K52" i="5"/>
  <c r="K54" i="5"/>
  <c r="K55" i="5"/>
  <c r="K56" i="5"/>
  <c r="K58" i="5"/>
  <c r="K59" i="5"/>
  <c r="K60" i="5"/>
  <c r="K61" i="5"/>
  <c r="K62" i="5"/>
  <c r="K63" i="5"/>
  <c r="K65" i="5"/>
  <c r="K67" i="5"/>
  <c r="K69" i="5"/>
  <c r="K70" i="5"/>
  <c r="K71" i="5"/>
  <c r="K72" i="5"/>
  <c r="K73" i="5"/>
  <c r="K75" i="5"/>
  <c r="K80" i="5"/>
  <c r="K82" i="5"/>
  <c r="K87" i="5"/>
  <c r="K88" i="5"/>
  <c r="K89" i="5"/>
  <c r="K91" i="5"/>
  <c r="K92" i="5"/>
  <c r="K96" i="5"/>
  <c r="K97" i="5"/>
  <c r="K98" i="5"/>
  <c r="K101" i="5"/>
  <c r="K104" i="5"/>
  <c r="K105" i="5"/>
  <c r="K109" i="5"/>
  <c r="K113" i="5"/>
  <c r="I2" i="5"/>
  <c r="I3" i="5"/>
  <c r="I4" i="5"/>
  <c r="I5" i="5"/>
  <c r="I6" i="5"/>
  <c r="I7" i="5"/>
  <c r="I9" i="5"/>
  <c r="I10" i="5"/>
  <c r="I14" i="5"/>
  <c r="I22" i="5"/>
  <c r="I26" i="5"/>
  <c r="I27" i="5"/>
  <c r="I29" i="5"/>
  <c r="I31" i="5"/>
  <c r="I33" i="5"/>
  <c r="I34" i="5"/>
  <c r="I35" i="5"/>
  <c r="I36" i="5"/>
  <c r="I37" i="5"/>
  <c r="I38" i="5"/>
  <c r="I40" i="5"/>
  <c r="I41" i="5"/>
  <c r="I44" i="5"/>
  <c r="I45" i="5"/>
  <c r="I46" i="5"/>
  <c r="I48" i="5"/>
  <c r="I49" i="5"/>
  <c r="I50" i="5"/>
  <c r="I51" i="5"/>
  <c r="I52" i="5"/>
  <c r="I54" i="5"/>
  <c r="I55" i="5"/>
  <c r="I56" i="5"/>
  <c r="I58" i="5"/>
  <c r="I59" i="5"/>
  <c r="I60" i="5"/>
  <c r="I61" i="5"/>
  <c r="I62" i="5"/>
  <c r="I63" i="5"/>
  <c r="I65" i="5"/>
  <c r="I67" i="5"/>
  <c r="I69" i="5"/>
  <c r="I70" i="5"/>
  <c r="I71" i="5"/>
  <c r="I72" i="5"/>
  <c r="I73" i="5"/>
  <c r="I75" i="5"/>
  <c r="I80" i="5"/>
  <c r="I82" i="5"/>
  <c r="I87" i="5"/>
  <c r="I88" i="5"/>
  <c r="I89" i="5"/>
  <c r="I91" i="5"/>
  <c r="I92" i="5"/>
  <c r="I96" i="5"/>
  <c r="I97" i="5"/>
  <c r="I98" i="5"/>
  <c r="I101" i="5"/>
  <c r="I104" i="5"/>
  <c r="I105" i="5"/>
  <c r="I109" i="5"/>
  <c r="I113" i="5"/>
  <c r="G2" i="5"/>
  <c r="G3" i="5"/>
  <c r="G4" i="5"/>
  <c r="G5" i="5"/>
  <c r="G6" i="5"/>
  <c r="G7" i="5"/>
  <c r="G9" i="5"/>
  <c r="G10" i="5"/>
  <c r="G14" i="5"/>
  <c r="G22" i="5"/>
  <c r="G26" i="5"/>
  <c r="G27" i="5"/>
  <c r="G29" i="5"/>
  <c r="G31" i="5"/>
  <c r="G33" i="5"/>
  <c r="G34" i="5"/>
  <c r="G35" i="5"/>
  <c r="G36" i="5"/>
  <c r="G37" i="5"/>
  <c r="G38" i="5"/>
  <c r="G40" i="5"/>
  <c r="G41" i="5"/>
  <c r="G44" i="5"/>
  <c r="G45" i="5"/>
  <c r="G46" i="5"/>
  <c r="G48" i="5"/>
  <c r="G49" i="5"/>
  <c r="G50" i="5"/>
  <c r="G51" i="5"/>
  <c r="G52" i="5"/>
  <c r="G54" i="5"/>
  <c r="G55" i="5"/>
  <c r="G56" i="5"/>
  <c r="G58" i="5"/>
  <c r="G59" i="5"/>
  <c r="G60" i="5"/>
  <c r="G61" i="5"/>
  <c r="G62" i="5"/>
  <c r="G63" i="5"/>
  <c r="G65" i="5"/>
  <c r="G67" i="5"/>
  <c r="G69" i="5"/>
  <c r="G70" i="5"/>
  <c r="G71" i="5"/>
  <c r="G72" i="5"/>
  <c r="G73" i="5"/>
  <c r="G75" i="5"/>
  <c r="G80" i="5"/>
  <c r="G82" i="5"/>
  <c r="G87" i="5"/>
  <c r="G88" i="5"/>
  <c r="G89" i="5"/>
  <c r="G91" i="5"/>
  <c r="G92" i="5"/>
  <c r="G96" i="5"/>
  <c r="G97" i="5"/>
  <c r="G98" i="5"/>
  <c r="G101" i="5"/>
  <c r="G104" i="5"/>
  <c r="G105" i="5"/>
  <c r="G109" i="5"/>
  <c r="G113" i="5"/>
  <c r="E2" i="5"/>
  <c r="E3" i="5"/>
  <c r="E4" i="5"/>
  <c r="E6" i="5"/>
  <c r="E9" i="5"/>
  <c r="E10" i="5"/>
  <c r="E11" i="5"/>
  <c r="E13" i="5"/>
  <c r="E14" i="5"/>
  <c r="E20" i="5"/>
  <c r="E22" i="5"/>
  <c r="E24" i="5"/>
  <c r="E26" i="5"/>
  <c r="E27" i="5"/>
  <c r="E29" i="5"/>
  <c r="E31" i="5"/>
  <c r="E33" i="5"/>
  <c r="E34" i="5"/>
  <c r="E35" i="5"/>
  <c r="E36" i="5"/>
  <c r="E37" i="5"/>
  <c r="E38" i="5"/>
  <c r="E40" i="5"/>
  <c r="E41" i="5"/>
  <c r="E44" i="5"/>
  <c r="E45" i="5"/>
  <c r="E46" i="5"/>
  <c r="E48" i="5"/>
  <c r="E49" i="5"/>
  <c r="E50" i="5"/>
  <c r="E51" i="5"/>
  <c r="E52" i="5"/>
  <c r="E54" i="5"/>
  <c r="E55" i="5"/>
  <c r="E56" i="5"/>
  <c r="E58" i="5"/>
  <c r="E59" i="5"/>
  <c r="E61" i="5"/>
  <c r="E62" i="5"/>
  <c r="E63" i="5"/>
  <c r="E67" i="5"/>
  <c r="E69" i="5"/>
  <c r="E70" i="5"/>
  <c r="E71" i="5"/>
  <c r="E72" i="5"/>
  <c r="E73" i="5"/>
  <c r="E75" i="5"/>
  <c r="E76" i="5"/>
  <c r="E80" i="5"/>
  <c r="E82" i="5"/>
  <c r="E87" i="5"/>
  <c r="E89" i="5"/>
  <c r="E91" i="5"/>
  <c r="E92" i="5"/>
  <c r="E93" i="5"/>
  <c r="E96" i="5"/>
  <c r="E97" i="5"/>
  <c r="E101" i="5"/>
  <c r="E104" i="5"/>
  <c r="E105" i="5"/>
  <c r="E106" i="5"/>
  <c r="E107" i="5"/>
  <c r="E108" i="5"/>
  <c r="E109" i="5"/>
  <c r="E110" i="5"/>
  <c r="E111" i="5"/>
  <c r="E112" i="5"/>
  <c r="E113" i="5"/>
  <c r="C2" i="5"/>
  <c r="C3" i="5"/>
  <c r="C4" i="5"/>
  <c r="C6" i="5"/>
  <c r="C7" i="5"/>
  <c r="C9" i="5"/>
  <c r="C10" i="5"/>
  <c r="C11" i="5"/>
  <c r="C13" i="5"/>
  <c r="C14" i="5"/>
  <c r="C15" i="5"/>
  <c r="C20" i="5"/>
  <c r="C22" i="5"/>
  <c r="C24" i="5"/>
  <c r="C26" i="5"/>
  <c r="C27" i="5"/>
  <c r="C29" i="5"/>
  <c r="C31" i="5"/>
  <c r="C33" i="5"/>
  <c r="C34" i="5"/>
  <c r="C35" i="5"/>
  <c r="C36" i="5"/>
  <c r="C37" i="5"/>
  <c r="C38" i="5"/>
  <c r="C40" i="5"/>
  <c r="C41" i="5"/>
  <c r="C44" i="5"/>
  <c r="C45" i="5"/>
  <c r="C46" i="5"/>
  <c r="C49" i="5"/>
  <c r="C50" i="5"/>
  <c r="C51" i="5"/>
  <c r="C52" i="5"/>
  <c r="C54" i="5"/>
  <c r="C55" i="5"/>
  <c r="C56" i="5"/>
  <c r="C58" i="5"/>
  <c r="C59" i="5"/>
  <c r="C61" i="5"/>
  <c r="C62" i="5"/>
  <c r="C63" i="5"/>
  <c r="C67" i="5"/>
  <c r="C69" i="5"/>
  <c r="C70" i="5"/>
  <c r="C71" i="5"/>
  <c r="C72" i="5"/>
  <c r="C73" i="5"/>
  <c r="C75" i="5"/>
  <c r="C76" i="5"/>
  <c r="C80" i="5"/>
  <c r="C82" i="5"/>
  <c r="B2" i="5"/>
  <c r="B3" i="5"/>
  <c r="B4" i="5"/>
  <c r="B5" i="5"/>
  <c r="B6" i="5"/>
  <c r="B7" i="5"/>
  <c r="B8" i="5"/>
  <c r="B9" i="5"/>
  <c r="B10" i="5"/>
  <c r="B11" i="5"/>
  <c r="B13" i="5"/>
  <c r="B14" i="5"/>
  <c r="B15" i="5"/>
  <c r="B16" i="5"/>
  <c r="B17" i="5"/>
  <c r="B18" i="5"/>
  <c r="B20" i="5"/>
  <c r="B21" i="5"/>
  <c r="B22" i="5"/>
  <c r="B23" i="5"/>
  <c r="B24" i="5"/>
  <c r="B25" i="5"/>
  <c r="B26" i="5"/>
  <c r="B27" i="5"/>
  <c r="B28"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A2" i="5"/>
  <c r="A3" i="5"/>
  <c r="A4" i="5"/>
  <c r="A5" i="5"/>
  <c r="A6" i="5"/>
  <c r="A7" i="5"/>
  <c r="A8" i="5"/>
  <c r="A9" i="5"/>
  <c r="A10" i="5"/>
  <c r="A11" i="5"/>
  <c r="A13" i="5"/>
  <c r="A14" i="5"/>
  <c r="A15" i="5"/>
  <c r="A16" i="5"/>
  <c r="A17" i="5"/>
  <c r="A18"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D57" i="1"/>
  <c r="E57" i="5" s="1"/>
  <c r="E57" i="1"/>
  <c r="G57" i="5" s="1"/>
  <c r="F57" i="1"/>
  <c r="I57" i="5" s="1"/>
  <c r="G57" i="1"/>
  <c r="K57" i="5" s="1"/>
  <c r="H57" i="1"/>
  <c r="M57" i="5" s="1"/>
  <c r="O57" i="5"/>
  <c r="J57" i="1"/>
  <c r="Q57" i="5" s="1"/>
  <c r="K57" i="1"/>
  <c r="S57" i="5" s="1"/>
  <c r="L57" i="1"/>
  <c r="U57" i="5" s="1"/>
  <c r="M57" i="1"/>
  <c r="W57" i="5" s="1"/>
  <c r="N57" i="1"/>
  <c r="Y57" i="5" s="1"/>
  <c r="O57" i="1"/>
  <c r="AA57" i="5" s="1"/>
  <c r="P57" i="1"/>
  <c r="AC57" i="5" s="1"/>
  <c r="Q57" i="1"/>
  <c r="AE57" i="5" s="1"/>
  <c r="R57" i="1"/>
  <c r="AG57" i="5" s="1"/>
  <c r="S57" i="1"/>
  <c r="AI57" i="5" s="1"/>
  <c r="T57" i="1"/>
  <c r="AK57" i="5" s="1"/>
  <c r="U57" i="1"/>
  <c r="AM57" i="5" s="1"/>
  <c r="V57" i="1"/>
  <c r="AO57" i="5" s="1"/>
  <c r="C57" i="1"/>
  <c r="C57" i="5" s="1"/>
  <c r="D68" i="1"/>
  <c r="E68" i="5" s="1"/>
  <c r="E47" i="5"/>
  <c r="C47" i="5"/>
  <c r="D1" i="1"/>
  <c r="E1" i="1" s="1"/>
  <c r="Q119" i="1"/>
  <c r="R119" i="1" s="1"/>
  <c r="S119" i="1" s="1"/>
  <c r="T119" i="1" s="1"/>
  <c r="U119" i="1" s="1"/>
  <c r="V119" i="1" s="1"/>
  <c r="AO119" i="5" s="1"/>
  <c r="E15" i="1"/>
  <c r="G15" i="5" s="1"/>
  <c r="F15" i="1"/>
  <c r="I15" i="5" s="1"/>
  <c r="G15" i="1"/>
  <c r="K15" i="5" s="1"/>
  <c r="H15" i="1"/>
  <c r="M15" i="5" s="1"/>
  <c r="I15" i="1"/>
  <c r="O15" i="5" s="1"/>
  <c r="J15" i="1"/>
  <c r="Q15" i="5" s="1"/>
  <c r="K15" i="1"/>
  <c r="S15" i="5" s="1"/>
  <c r="L15" i="1"/>
  <c r="U15" i="5" s="1"/>
  <c r="AK15" i="5"/>
  <c r="V15" i="1"/>
  <c r="AO15" i="5" s="1"/>
  <c r="E78" i="5"/>
  <c r="D79" i="1"/>
  <c r="E79" i="5" s="1"/>
  <c r="C79" i="1"/>
  <c r="C79" i="5" s="1"/>
  <c r="C78" i="5"/>
  <c r="A1" i="5"/>
  <c r="B1" i="5"/>
  <c r="C1" i="5"/>
  <c r="E68" i="1"/>
  <c r="G68" i="5" s="1"/>
  <c r="F68" i="1"/>
  <c r="I68" i="5" s="1"/>
  <c r="G68" i="1"/>
  <c r="K68" i="5" s="1"/>
  <c r="H68" i="1"/>
  <c r="M68" i="5" s="1"/>
  <c r="I68" i="1"/>
  <c r="O68" i="5" s="1"/>
  <c r="J68" i="1"/>
  <c r="Q68" i="5" s="1"/>
  <c r="K68" i="1"/>
  <c r="S68" i="5" s="1"/>
  <c r="L68" i="1"/>
  <c r="U68" i="5" s="1"/>
  <c r="M68" i="1"/>
  <c r="W68" i="5" s="1"/>
  <c r="N68" i="1"/>
  <c r="Y68" i="5" s="1"/>
  <c r="O68" i="1"/>
  <c r="AA68" i="5" s="1"/>
  <c r="P68" i="1"/>
  <c r="AC68" i="5" s="1"/>
  <c r="Q68" i="1"/>
  <c r="AE68" i="5" s="1"/>
  <c r="R68" i="1"/>
  <c r="AG68" i="5" s="1"/>
  <c r="S68" i="1"/>
  <c r="AI68" i="5" s="1"/>
  <c r="T68" i="1"/>
  <c r="AK68" i="5" s="1"/>
  <c r="U68" i="1"/>
  <c r="AM68" i="5" s="1"/>
  <c r="V68" i="1"/>
  <c r="AO68" i="5" s="1"/>
  <c r="AI78" i="5" l="1"/>
  <c r="S78" i="5"/>
  <c r="F112" i="1"/>
  <c r="E1" i="5"/>
  <c r="AM78" i="5"/>
  <c r="Q112" i="1"/>
  <c r="AG78" i="5"/>
  <c r="AE78" i="5"/>
  <c r="E114" i="5"/>
  <c r="F81" i="5" s="1"/>
  <c r="C114" i="5"/>
  <c r="D81" i="5" s="1"/>
  <c r="R112" i="1"/>
  <c r="S112" i="1"/>
  <c r="P90" i="5"/>
  <c r="L90" i="5"/>
  <c r="H90" i="5"/>
  <c r="U112" i="1"/>
  <c r="P112" i="1"/>
  <c r="E112" i="1"/>
  <c r="K112" i="1"/>
  <c r="V112" i="1"/>
  <c r="AK119" i="5"/>
  <c r="AO18" i="5"/>
  <c r="AO8" i="5"/>
  <c r="AI119" i="5"/>
  <c r="AM119" i="5"/>
  <c r="AE119" i="5"/>
  <c r="AG119" i="5"/>
  <c r="G1" i="5"/>
  <c r="F1" i="1"/>
  <c r="E16" i="5"/>
  <c r="D17" i="1"/>
  <c r="E17" i="5" s="1"/>
  <c r="D99" i="1"/>
  <c r="E99" i="5" s="1"/>
  <c r="E25" i="5"/>
  <c r="G16" i="5"/>
  <c r="E17" i="1"/>
  <c r="G17" i="5" s="1"/>
  <c r="E64" i="1"/>
  <c r="G64" i="5" s="1"/>
  <c r="E74" i="1"/>
  <c r="B167" i="1"/>
  <c r="E85" i="1"/>
  <c r="G85" i="5" s="1"/>
  <c r="H85" i="5" s="1"/>
  <c r="G86" i="5"/>
  <c r="H86" i="5" s="1"/>
  <c r="G25" i="5"/>
  <c r="F16" i="1"/>
  <c r="F17" i="1"/>
  <c r="I17" i="5" s="1"/>
  <c r="F64" i="1"/>
  <c r="I64" i="5" s="1"/>
  <c r="F74" i="1"/>
  <c r="I84" i="5"/>
  <c r="J84" i="5" s="1"/>
  <c r="I25" i="5"/>
  <c r="G76" i="1"/>
  <c r="G110" i="1" s="1"/>
  <c r="K16" i="5"/>
  <c r="G17" i="1"/>
  <c r="K17" i="5" s="1"/>
  <c r="G64" i="1"/>
  <c r="K64" i="5" s="1"/>
  <c r="G74" i="1"/>
  <c r="K84" i="5"/>
  <c r="L84" i="5" s="1"/>
  <c r="G85" i="1"/>
  <c r="K85" i="5" s="1"/>
  <c r="L85" i="5" s="1"/>
  <c r="K86" i="5"/>
  <c r="L86" i="5" s="1"/>
  <c r="K25" i="5"/>
  <c r="H76" i="1"/>
  <c r="H110" i="1" s="1"/>
  <c r="M16" i="5"/>
  <c r="H17" i="1"/>
  <c r="M17" i="5" s="1"/>
  <c r="H64" i="1"/>
  <c r="M64" i="5" s="1"/>
  <c r="H74" i="1"/>
  <c r="M84" i="5"/>
  <c r="N84" i="5" s="1"/>
  <c r="M86" i="5"/>
  <c r="N86" i="5" s="1"/>
  <c r="M25" i="5"/>
  <c r="I64" i="1"/>
  <c r="O64" i="5" s="1"/>
  <c r="I74" i="1"/>
  <c r="I84" i="1"/>
  <c r="I85" i="1"/>
  <c r="O85" i="5" s="1"/>
  <c r="P85" i="5" s="1"/>
  <c r="J16" i="1"/>
  <c r="J17" i="1"/>
  <c r="Q17" i="5" s="1"/>
  <c r="K76" i="1"/>
  <c r="K110" i="1" s="1"/>
  <c r="K17" i="1"/>
  <c r="S17" i="5" s="1"/>
  <c r="L17" i="1"/>
  <c r="U17" i="5" s="1"/>
  <c r="M76" i="1"/>
  <c r="M110" i="1" s="1"/>
  <c r="M84" i="1"/>
  <c r="M17" i="1"/>
  <c r="W17" i="5" s="1"/>
  <c r="M64" i="1"/>
  <c r="M74" i="1"/>
  <c r="M85" i="1"/>
  <c r="W85" i="5" s="1"/>
  <c r="X85" i="5" s="1"/>
  <c r="M25" i="1"/>
  <c r="O76" i="1"/>
  <c r="O110" i="1" s="1"/>
  <c r="P76" i="1"/>
  <c r="P110" i="1" s="1"/>
  <c r="P17" i="1"/>
  <c r="AC17" i="5" s="1"/>
  <c r="Q76" i="1"/>
  <c r="Q110" i="1" s="1"/>
  <c r="AE16" i="5"/>
  <c r="R76" i="1"/>
  <c r="R110" i="1" s="1"/>
  <c r="AG16" i="5"/>
  <c r="R17" i="1"/>
  <c r="AG17" i="5" s="1"/>
  <c r="S17" i="1"/>
  <c r="AI17" i="5" s="1"/>
  <c r="AI25" i="5"/>
  <c r="T17" i="1"/>
  <c r="AK17" i="5" s="1"/>
  <c r="T64" i="1"/>
  <c r="AK64" i="5" s="1"/>
  <c r="T74" i="1"/>
  <c r="AK84" i="5"/>
  <c r="AL84" i="5" s="1"/>
  <c r="T85" i="1"/>
  <c r="AK85" i="5" s="1"/>
  <c r="AL85" i="5" s="1"/>
  <c r="AK86" i="5"/>
  <c r="AL86" i="5" s="1"/>
  <c r="AK25" i="5"/>
  <c r="AM16" i="5"/>
  <c r="U17" i="1"/>
  <c r="AM17" i="5" s="1"/>
  <c r="U74" i="1"/>
  <c r="U85" i="1"/>
  <c r="AM85" i="5" s="1"/>
  <c r="AN85" i="5" s="1"/>
  <c r="AM86" i="5"/>
  <c r="AM25" i="5"/>
  <c r="AO16" i="5"/>
  <c r="V17" i="1"/>
  <c r="AO17" i="5" s="1"/>
  <c r="V64" i="1"/>
  <c r="AO64" i="5" s="1"/>
  <c r="V74" i="1"/>
  <c r="V81" i="1" s="1"/>
  <c r="AO84" i="5"/>
  <c r="AP84" i="5" s="1"/>
  <c r="V85" i="1"/>
  <c r="AO85" i="5" s="1"/>
  <c r="AP85" i="5" s="1"/>
  <c r="AO86" i="5"/>
  <c r="AP86" i="5" s="1"/>
  <c r="AO25" i="5"/>
  <c r="C16" i="5"/>
  <c r="C17" i="1"/>
  <c r="C17" i="5" s="1"/>
  <c r="C99" i="1"/>
  <c r="C99" i="5" s="1"/>
  <c r="C25" i="5"/>
  <c r="D64" i="1"/>
  <c r="E64" i="5" s="1"/>
  <c r="Q64" i="1"/>
  <c r="AE64" i="5" s="1"/>
  <c r="R64" i="1"/>
  <c r="AG64" i="5" s="1"/>
  <c r="S64" i="1"/>
  <c r="AI64" i="5" s="1"/>
  <c r="C64" i="1"/>
  <c r="C74" i="1"/>
  <c r="C74" i="5" s="1"/>
  <c r="C84" i="5"/>
  <c r="D84" i="5" s="1"/>
  <c r="C85" i="1"/>
  <c r="C85" i="5" s="1"/>
  <c r="D85" i="5" s="1"/>
  <c r="C86" i="5"/>
  <c r="D86" i="5" s="1"/>
  <c r="D74" i="1"/>
  <c r="E74" i="5" s="1"/>
  <c r="E84" i="5"/>
  <c r="F84" i="5" s="1"/>
  <c r="D85" i="1"/>
  <c r="E85" i="5" s="1"/>
  <c r="F85" i="5" s="1"/>
  <c r="E86" i="5"/>
  <c r="F86" i="5" s="1"/>
  <c r="I47" i="5"/>
  <c r="AE47" i="5"/>
  <c r="AK47" i="5"/>
  <c r="AM47" i="5"/>
  <c r="AO47" i="5"/>
  <c r="Q85" i="1"/>
  <c r="AE85" i="5" s="1"/>
  <c r="AF85" i="5" s="1"/>
  <c r="R85" i="1"/>
  <c r="AG85" i="5" s="1"/>
  <c r="AH85" i="5" s="1"/>
  <c r="S85" i="1"/>
  <c r="AI85" i="5" s="1"/>
  <c r="AJ85" i="5" s="1"/>
  <c r="AE86" i="5"/>
  <c r="AF86" i="5" s="1"/>
  <c r="AG86" i="5"/>
  <c r="AH86" i="5" s="1"/>
  <c r="AE84" i="5"/>
  <c r="AF84" i="5" s="1"/>
  <c r="AG84" i="5"/>
  <c r="AH84" i="5" s="1"/>
  <c r="AI84" i="5"/>
  <c r="AJ84" i="5" s="1"/>
  <c r="D116" i="1"/>
  <c r="E116" i="5" s="1"/>
  <c r="E116" i="1"/>
  <c r="G116" i="5" s="1"/>
  <c r="F116" i="1"/>
  <c r="I116" i="5" s="1"/>
  <c r="G116" i="1"/>
  <c r="K116" i="5" s="1"/>
  <c r="H116" i="1"/>
  <c r="M116" i="5" s="1"/>
  <c r="V118" i="1"/>
  <c r="U118" i="1"/>
  <c r="T118" i="1"/>
  <c r="S118" i="1"/>
  <c r="R118" i="1"/>
  <c r="Q118" i="1"/>
  <c r="P118" i="1"/>
  <c r="O118" i="1"/>
  <c r="N118" i="1"/>
  <c r="M118" i="1"/>
  <c r="L118" i="1"/>
  <c r="K118" i="1"/>
  <c r="J118" i="1"/>
  <c r="I118" i="1"/>
  <c r="H118" i="1"/>
  <c r="G118" i="1"/>
  <c r="F118" i="1"/>
  <c r="E118" i="1"/>
  <c r="D118" i="1"/>
  <c r="C118" i="1"/>
  <c r="C116" i="1"/>
  <c r="C116" i="5" s="1"/>
  <c r="M47" i="5"/>
  <c r="I116" i="1"/>
  <c r="O116" i="5" s="1"/>
  <c r="J116" i="1"/>
  <c r="Q116" i="5" s="1"/>
  <c r="K116" i="1"/>
  <c r="S116" i="5" s="1"/>
  <c r="L116" i="1"/>
  <c r="U116" i="5" s="1"/>
  <c r="M116" i="1"/>
  <c r="W116" i="5" s="1"/>
  <c r="N116" i="1"/>
  <c r="Y116" i="5" s="1"/>
  <c r="O116" i="1"/>
  <c r="AA116" i="5" s="1"/>
  <c r="P116" i="1"/>
  <c r="AC116" i="5" s="1"/>
  <c r="Q116" i="1"/>
  <c r="AE116" i="5" s="1"/>
  <c r="R116" i="1"/>
  <c r="AG116" i="5" s="1"/>
  <c r="S116" i="1"/>
  <c r="AI116" i="5" s="1"/>
  <c r="T116" i="1"/>
  <c r="AK116" i="5" s="1"/>
  <c r="U116" i="1"/>
  <c r="AM116" i="5" s="1"/>
  <c r="V116" i="1"/>
  <c r="AO116" i="5" s="1"/>
  <c r="B153" i="1"/>
  <c r="N25" i="1"/>
  <c r="P85" i="1"/>
  <c r="AC85" i="5" s="1"/>
  <c r="AD85" i="5" s="1"/>
  <c r="O85" i="1"/>
  <c r="AA85" i="5" s="1"/>
  <c r="AB85" i="5" s="1"/>
  <c r="N85" i="1"/>
  <c r="Y85" i="5" s="1"/>
  <c r="Z85" i="5" s="1"/>
  <c r="L85" i="1"/>
  <c r="U85" i="5" s="1"/>
  <c r="V85" i="5" s="1"/>
  <c r="K85" i="1"/>
  <c r="S85" i="5" s="1"/>
  <c r="T85" i="5" s="1"/>
  <c r="J85" i="1"/>
  <c r="Q85" i="5" s="1"/>
  <c r="R85" i="5" s="1"/>
  <c r="P64" i="1"/>
  <c r="AC64" i="5" s="1"/>
  <c r="O64" i="1"/>
  <c r="AA64" i="5" s="1"/>
  <c r="L64" i="1"/>
  <c r="U64" i="5" s="1"/>
  <c r="K64" i="1"/>
  <c r="S64" i="5" s="1"/>
  <c r="J64" i="1"/>
  <c r="Q64" i="5" s="1"/>
  <c r="P84" i="1"/>
  <c r="O84" i="1"/>
  <c r="L84" i="1"/>
  <c r="K84" i="1"/>
  <c r="J84" i="1"/>
  <c r="G47" i="5"/>
  <c r="Q86" i="5"/>
  <c r="R86" i="5" s="1"/>
  <c r="S74" i="1"/>
  <c r="Q74" i="1"/>
  <c r="Q81" i="1" s="1"/>
  <c r="R74" i="1"/>
  <c r="L74" i="1"/>
  <c r="N74" i="1"/>
  <c r="K74" i="1"/>
  <c r="J74" i="1"/>
  <c r="O74" i="1"/>
  <c r="P74" i="1"/>
  <c r="P81" i="1" l="1"/>
  <c r="R81" i="1"/>
  <c r="K81" i="1"/>
  <c r="L76" i="1"/>
  <c r="L110" i="1" s="1"/>
  <c r="L16" i="1"/>
  <c r="S76" i="1"/>
  <c r="S110" i="1" s="1"/>
  <c r="S16" i="1"/>
  <c r="N76" i="1"/>
  <c r="N110" i="1" s="1"/>
  <c r="N16" i="1"/>
  <c r="I76" i="1"/>
  <c r="I110" i="1" s="1"/>
  <c r="I18" i="1"/>
  <c r="O18" i="5" s="1"/>
  <c r="I11" i="1"/>
  <c r="I17" i="1"/>
  <c r="I16" i="1"/>
  <c r="O16" i="5" s="1"/>
  <c r="O25" i="1"/>
  <c r="AA25" i="5" s="1"/>
  <c r="J25" i="1"/>
  <c r="Q25" i="5" s="1"/>
  <c r="I25" i="1"/>
  <c r="L25" i="1"/>
  <c r="U25" i="5" s="1"/>
  <c r="K25" i="1"/>
  <c r="S25" i="5" s="1"/>
  <c r="P25" i="1"/>
  <c r="AC25" i="5" s="1"/>
  <c r="Y25" i="5"/>
  <c r="U84" i="5"/>
  <c r="V84" i="5" s="1"/>
  <c r="Y84" i="5"/>
  <c r="Z84" i="5" s="1"/>
  <c r="S84" i="5"/>
  <c r="T84" i="5" s="1"/>
  <c r="AC84" i="5"/>
  <c r="AD84" i="5" s="1"/>
  <c r="Q84" i="5"/>
  <c r="R84" i="5" s="1"/>
  <c r="AA84" i="5"/>
  <c r="AB84" i="5" s="1"/>
  <c r="O84" i="5"/>
  <c r="P84" i="5" s="1"/>
  <c r="O16" i="1"/>
  <c r="AA16" i="5" s="1"/>
  <c r="M16" i="1"/>
  <c r="W16" i="5" s="1"/>
  <c r="K16" i="1"/>
  <c r="S16" i="5" s="1"/>
  <c r="AP18" i="5"/>
  <c r="M118" i="5"/>
  <c r="AC118" i="5"/>
  <c r="U76" i="1"/>
  <c r="U110" i="1" s="1"/>
  <c r="U15" i="1"/>
  <c r="AM15" i="5" s="1"/>
  <c r="J76" i="1"/>
  <c r="J11" i="1"/>
  <c r="C118" i="5"/>
  <c r="S118" i="5"/>
  <c r="AA118" i="5"/>
  <c r="AI118" i="5"/>
  <c r="E76" i="1"/>
  <c r="E110" i="1" s="1"/>
  <c r="I118" i="5"/>
  <c r="Q118" i="5"/>
  <c r="Y118" i="5"/>
  <c r="AG118" i="5"/>
  <c r="AO118" i="5"/>
  <c r="F76" i="1"/>
  <c r="F110" i="1" s="1"/>
  <c r="E118" i="5"/>
  <c r="U118" i="5"/>
  <c r="AK118" i="5"/>
  <c r="W64" i="5"/>
  <c r="M66" i="1"/>
  <c r="W66" i="5" s="1"/>
  <c r="K118" i="5"/>
  <c r="G118" i="5"/>
  <c r="O118" i="5"/>
  <c r="W118" i="5"/>
  <c r="AE118" i="5"/>
  <c r="AM118" i="5"/>
  <c r="C64" i="5"/>
  <c r="M74" i="5"/>
  <c r="AO74" i="5"/>
  <c r="Y74" i="5"/>
  <c r="AM74" i="5"/>
  <c r="AK74" i="5"/>
  <c r="Q74" i="5"/>
  <c r="AG74" i="5"/>
  <c r="W74" i="5"/>
  <c r="I74" i="5"/>
  <c r="G74" i="5"/>
  <c r="AA74" i="5"/>
  <c r="U74" i="5"/>
  <c r="AC74" i="5"/>
  <c r="AI74" i="5"/>
  <c r="S74" i="5"/>
  <c r="AE74" i="5"/>
  <c r="O74" i="5"/>
  <c r="K74" i="5"/>
  <c r="T76" i="1"/>
  <c r="G84" i="5"/>
  <c r="H84" i="5" s="1"/>
  <c r="AE25" i="5"/>
  <c r="AG25" i="5"/>
  <c r="W25" i="5"/>
  <c r="O25" i="5"/>
  <c r="K83" i="1"/>
  <c r="J83" i="1"/>
  <c r="E18" i="1"/>
  <c r="G18" i="5" s="1"/>
  <c r="G8" i="5"/>
  <c r="L47" i="1"/>
  <c r="U47" i="5" s="1"/>
  <c r="P47" i="1"/>
  <c r="AC47" i="5" s="1"/>
  <c r="AM8" i="5"/>
  <c r="AN18" i="5" s="1"/>
  <c r="U83" i="1"/>
  <c r="AI8" i="5"/>
  <c r="S83" i="1"/>
  <c r="S18" i="1"/>
  <c r="AI18" i="5" s="1"/>
  <c r="O83" i="1"/>
  <c r="AA8" i="5"/>
  <c r="O18" i="1"/>
  <c r="AA18" i="5" s="1"/>
  <c r="F18" i="1"/>
  <c r="I18" i="5" s="1"/>
  <c r="I8" i="5"/>
  <c r="K47" i="1"/>
  <c r="S47" i="5" s="1"/>
  <c r="O47" i="1"/>
  <c r="AA47" i="5" s="1"/>
  <c r="J47" i="1"/>
  <c r="Q47" i="5" s="1"/>
  <c r="N47" i="1"/>
  <c r="Y47" i="5" s="1"/>
  <c r="Q18" i="1"/>
  <c r="AE18" i="5" s="1"/>
  <c r="Q83" i="1"/>
  <c r="AE8" i="5"/>
  <c r="Y8" i="5"/>
  <c r="N18" i="1"/>
  <c r="Y18" i="5" s="1"/>
  <c r="N83" i="1"/>
  <c r="K18" i="1"/>
  <c r="S18" i="5" s="1"/>
  <c r="S8" i="5"/>
  <c r="J18" i="1"/>
  <c r="Q18" i="5" s="1"/>
  <c r="Q8" i="5"/>
  <c r="K8" i="5"/>
  <c r="G18" i="1"/>
  <c r="K18" i="5" s="1"/>
  <c r="L83" i="1"/>
  <c r="M47" i="1"/>
  <c r="W47" i="5" s="1"/>
  <c r="AK8" i="5"/>
  <c r="P18" i="1"/>
  <c r="AC18" i="5" s="1"/>
  <c r="AC8" i="5"/>
  <c r="M18" i="1"/>
  <c r="W18" i="5" s="1"/>
  <c r="M83" i="1"/>
  <c r="W8" i="5"/>
  <c r="U8" i="5"/>
  <c r="L18" i="1"/>
  <c r="U18" i="5" s="1"/>
  <c r="O8" i="5"/>
  <c r="H83" i="1"/>
  <c r="M8" i="5"/>
  <c r="H18" i="1"/>
  <c r="M18" i="5" s="1"/>
  <c r="R18" i="1"/>
  <c r="AG18" i="5" s="1"/>
  <c r="R83" i="1"/>
  <c r="AG8" i="5"/>
  <c r="P83" i="1"/>
  <c r="O17" i="1"/>
  <c r="AA17" i="5" s="1"/>
  <c r="Q17" i="1"/>
  <c r="AE17" i="5" s="1"/>
  <c r="N17" i="1"/>
  <c r="Y17" i="5" s="1"/>
  <c r="M76" i="5"/>
  <c r="E20" i="1"/>
  <c r="AI16" i="5"/>
  <c r="B155" i="1"/>
  <c r="B154" i="1" s="1"/>
  <c r="C65" i="1"/>
  <c r="C65" i="5" s="1"/>
  <c r="D65" i="1"/>
  <c r="F20" i="1"/>
  <c r="I20" i="5" s="1"/>
  <c r="D94" i="1"/>
  <c r="E94" i="5" s="1"/>
  <c r="C94" i="1"/>
  <c r="C94" i="5" s="1"/>
  <c r="G1" i="1"/>
  <c r="I1" i="5"/>
  <c r="AI86" i="5"/>
  <c r="AJ86" i="5" s="1"/>
  <c r="I20" i="1"/>
  <c r="O20" i="5" s="1"/>
  <c r="AA76" i="5"/>
  <c r="Y76" i="5"/>
  <c r="N20" i="1"/>
  <c r="Y20" i="5" s="1"/>
  <c r="S76" i="5"/>
  <c r="W84" i="5"/>
  <c r="X84" i="5" s="1"/>
  <c r="F85" i="1"/>
  <c r="I85" i="5" s="1"/>
  <c r="J85" i="5" s="1"/>
  <c r="S15" i="1"/>
  <c r="AI15" i="5" s="1"/>
  <c r="R15" i="1"/>
  <c r="AG15" i="5" s="1"/>
  <c r="AC15" i="5"/>
  <c r="W15" i="5"/>
  <c r="N15" i="1"/>
  <c r="Y15" i="5" s="1"/>
  <c r="G83" i="1"/>
  <c r="R20" i="1"/>
  <c r="AG20" i="5" s="1"/>
  <c r="M20" i="1"/>
  <c r="W20" i="5" s="1"/>
  <c r="K20" i="1"/>
  <c r="S20" i="5" s="1"/>
  <c r="H85" i="1"/>
  <c r="M85" i="5" s="1"/>
  <c r="N85" i="5" s="1"/>
  <c r="I16" i="5"/>
  <c r="Q15" i="1"/>
  <c r="AE15" i="5" s="1"/>
  <c r="O15" i="1"/>
  <c r="AA15" i="5" s="1"/>
  <c r="AG76" i="5"/>
  <c r="AC76" i="5"/>
  <c r="AM84" i="5"/>
  <c r="AN84" i="5" s="1"/>
  <c r="AC16" i="5"/>
  <c r="H20" i="1"/>
  <c r="M20" i="5" s="1"/>
  <c r="AA86" i="5"/>
  <c r="AB86" i="5" s="1"/>
  <c r="AE76" i="5"/>
  <c r="Y86" i="5"/>
  <c r="Z86" i="5" s="1"/>
  <c r="AO76" i="5"/>
  <c r="I86" i="5"/>
  <c r="J86" i="5" s="1"/>
  <c r="U86" i="5"/>
  <c r="V86" i="5" s="1"/>
  <c r="AC86" i="5"/>
  <c r="AD86" i="5" s="1"/>
  <c r="AO20" i="5"/>
  <c r="O11" i="1"/>
  <c r="W76" i="5"/>
  <c r="O86" i="5"/>
  <c r="P86" i="5" s="1"/>
  <c r="I76" i="5"/>
  <c r="S86" i="5"/>
  <c r="T86" i="5" s="1"/>
  <c r="P20" i="1"/>
  <c r="AC20" i="5" s="1"/>
  <c r="O20" i="1"/>
  <c r="AA20" i="5" s="1"/>
  <c r="Y16" i="5"/>
  <c r="U16" i="5"/>
  <c r="Q16" i="5"/>
  <c r="K76" i="5"/>
  <c r="AI76" i="5"/>
  <c r="U20" i="1"/>
  <c r="AM20" i="5" s="1"/>
  <c r="S20" i="1"/>
  <c r="AI20" i="5" s="1"/>
  <c r="G20" i="1"/>
  <c r="K20" i="5" s="1"/>
  <c r="L11" i="1"/>
  <c r="C77" i="1"/>
  <c r="C77" i="5" s="1"/>
  <c r="N11" i="1"/>
  <c r="N77" i="1" s="1"/>
  <c r="O17" i="5"/>
  <c r="D77" i="1"/>
  <c r="E77" i="5" s="1"/>
  <c r="AK20" i="5"/>
  <c r="Q20" i="1"/>
  <c r="AE20" i="5" s="1"/>
  <c r="M11" i="1"/>
  <c r="M77" i="1" s="1"/>
  <c r="L20" i="1"/>
  <c r="U20" i="5" s="1"/>
  <c r="J20" i="1"/>
  <c r="Q20" i="5" s="1"/>
  <c r="O76" i="5"/>
  <c r="G11" i="1"/>
  <c r="R66" i="1"/>
  <c r="AG66" i="5" s="1"/>
  <c r="S66" i="1"/>
  <c r="AI66" i="5" s="1"/>
  <c r="V66" i="1"/>
  <c r="AO66" i="5" s="1"/>
  <c r="T66" i="1"/>
  <c r="AK66" i="5" s="1"/>
  <c r="F66" i="1"/>
  <c r="I66" i="5" s="1"/>
  <c r="E66" i="1"/>
  <c r="G66" i="5" s="1"/>
  <c r="H66" i="1"/>
  <c r="M66" i="5" s="1"/>
  <c r="V13" i="1"/>
  <c r="V108" i="1" s="1"/>
  <c r="G66" i="1"/>
  <c r="K66" i="5" s="1"/>
  <c r="Q66" i="1"/>
  <c r="AE66" i="5" s="1"/>
  <c r="W86" i="5"/>
  <c r="X86" i="5" s="1"/>
  <c r="K66" i="1"/>
  <c r="S66" i="5" s="1"/>
  <c r="I66" i="1"/>
  <c r="O66" i="5" s="1"/>
  <c r="J66" i="1"/>
  <c r="Q66" i="5" s="1"/>
  <c r="O66" i="1"/>
  <c r="AA66" i="5" s="1"/>
  <c r="L66" i="1"/>
  <c r="U66" i="5" s="1"/>
  <c r="P66" i="1"/>
  <c r="AC66" i="5" s="1"/>
  <c r="K90" i="1" l="1"/>
  <c r="K99" i="1" s="1"/>
  <c r="K24" i="1" s="1"/>
  <c r="U76" i="5"/>
  <c r="AM76" i="5"/>
  <c r="G76" i="5"/>
  <c r="E81" i="1"/>
  <c r="E90" i="1" s="1"/>
  <c r="L77" i="1"/>
  <c r="L81" i="1" s="1"/>
  <c r="O77" i="1"/>
  <c r="O81" i="1" s="1"/>
  <c r="N112" i="1"/>
  <c r="N81" i="1"/>
  <c r="AK76" i="5"/>
  <c r="T110" i="1"/>
  <c r="S81" i="1"/>
  <c r="J79" i="1"/>
  <c r="J78" i="1"/>
  <c r="J77" i="1"/>
  <c r="G77" i="1"/>
  <c r="G79" i="1"/>
  <c r="G78" i="1"/>
  <c r="M112" i="1"/>
  <c r="M81" i="1"/>
  <c r="T77" i="1"/>
  <c r="T81" i="1" s="1"/>
  <c r="Q76" i="5"/>
  <c r="J110" i="1"/>
  <c r="F81" i="1"/>
  <c r="I79" i="1"/>
  <c r="O79" i="5" s="1"/>
  <c r="I78" i="1"/>
  <c r="I77" i="1"/>
  <c r="U81" i="1"/>
  <c r="V18" i="5"/>
  <c r="AD18" i="5"/>
  <c r="G20" i="5"/>
  <c r="E21" i="1"/>
  <c r="H77" i="1"/>
  <c r="H78" i="1"/>
  <c r="H79" i="1"/>
  <c r="M79" i="5" s="1"/>
  <c r="AN29" i="5"/>
  <c r="AN30" i="5"/>
  <c r="H29" i="5"/>
  <c r="H30" i="5"/>
  <c r="Z29" i="5"/>
  <c r="Z30" i="5"/>
  <c r="AD30" i="5"/>
  <c r="AD29" i="5"/>
  <c r="P29" i="5"/>
  <c r="P30" i="5"/>
  <c r="F30" i="5"/>
  <c r="F29" i="5"/>
  <c r="AH30" i="5"/>
  <c r="AH29" i="5"/>
  <c r="AB30" i="5"/>
  <c r="AB29" i="5"/>
  <c r="X29" i="5"/>
  <c r="X30" i="5"/>
  <c r="V30" i="5"/>
  <c r="V29" i="5"/>
  <c r="AP29" i="5"/>
  <c r="AP30" i="5"/>
  <c r="J29" i="5"/>
  <c r="J30" i="5"/>
  <c r="AJ29" i="5"/>
  <c r="AJ30" i="5"/>
  <c r="D29" i="5"/>
  <c r="D30" i="5"/>
  <c r="AF29" i="5"/>
  <c r="AF30" i="5"/>
  <c r="L30" i="5"/>
  <c r="L29" i="5"/>
  <c r="AL30" i="5"/>
  <c r="AL29" i="5"/>
  <c r="R30" i="5"/>
  <c r="R29" i="5"/>
  <c r="T30" i="5"/>
  <c r="T29" i="5"/>
  <c r="N30" i="5"/>
  <c r="N29" i="5"/>
  <c r="N18" i="5"/>
  <c r="L18" i="5"/>
  <c r="AH18" i="5"/>
  <c r="Z18" i="5"/>
  <c r="AF18" i="5"/>
  <c r="AB18" i="5"/>
  <c r="H18" i="5"/>
  <c r="X18" i="5"/>
  <c r="AL18" i="5"/>
  <c r="P18" i="5"/>
  <c r="T18" i="5"/>
  <c r="J18" i="5"/>
  <c r="AJ18" i="5"/>
  <c r="R18" i="5"/>
  <c r="Q79" i="5"/>
  <c r="Q78" i="5"/>
  <c r="Y83" i="5"/>
  <c r="AE83" i="5"/>
  <c r="AI83" i="5"/>
  <c r="AG83" i="5"/>
  <c r="AA83" i="5"/>
  <c r="AM83" i="5"/>
  <c r="W83" i="5"/>
  <c r="E65" i="5"/>
  <c r="D60" i="1"/>
  <c r="E60" i="5" s="1"/>
  <c r="M83" i="5"/>
  <c r="I83" i="5"/>
  <c r="AC83" i="5"/>
  <c r="U83" i="5"/>
  <c r="Q83" i="5"/>
  <c r="C66" i="1"/>
  <c r="C66" i="5" s="1"/>
  <c r="K83" i="5"/>
  <c r="AK83" i="5"/>
  <c r="G83" i="5"/>
  <c r="S83" i="5"/>
  <c r="O83" i="5"/>
  <c r="AO13" i="5"/>
  <c r="V21" i="1"/>
  <c r="V93" i="1" s="1"/>
  <c r="V111" i="1" s="1"/>
  <c r="W11" i="5"/>
  <c r="X11" i="5" s="1"/>
  <c r="O78" i="5"/>
  <c r="O11" i="5"/>
  <c r="P11" i="5" s="1"/>
  <c r="U11" i="5"/>
  <c r="V11" i="5" s="1"/>
  <c r="M11" i="5"/>
  <c r="N11" i="5" s="1"/>
  <c r="Q11" i="5"/>
  <c r="R11" i="5" s="1"/>
  <c r="AK11" i="5"/>
  <c r="S11" i="5"/>
  <c r="T11" i="5" s="1"/>
  <c r="AG11" i="5"/>
  <c r="AH11" i="5" s="1"/>
  <c r="Y11" i="5"/>
  <c r="Z11" i="5" s="1"/>
  <c r="AM11" i="5"/>
  <c r="AN11" i="5" s="1"/>
  <c r="AA11" i="5"/>
  <c r="AB11" i="5" s="1"/>
  <c r="G79" i="5"/>
  <c r="G78" i="5"/>
  <c r="G11" i="5"/>
  <c r="H11" i="5" s="1"/>
  <c r="I11" i="5"/>
  <c r="J11" i="5" s="1"/>
  <c r="AO11" i="5"/>
  <c r="AP11" i="5" s="1"/>
  <c r="AI11" i="5"/>
  <c r="AJ11" i="5" s="1"/>
  <c r="K78" i="5"/>
  <c r="K79" i="5"/>
  <c r="K11" i="5"/>
  <c r="L11" i="5" s="1"/>
  <c r="AC11" i="5"/>
  <c r="AD11" i="5" s="1"/>
  <c r="AE11" i="5"/>
  <c r="AF11" i="5" s="1"/>
  <c r="M110" i="5"/>
  <c r="AC110" i="5"/>
  <c r="F13" i="1"/>
  <c r="I13" i="5" s="1"/>
  <c r="I13" i="1"/>
  <c r="O13" i="5" s="1"/>
  <c r="L13" i="1"/>
  <c r="U13" i="5" s="1"/>
  <c r="Q110" i="5"/>
  <c r="K1" i="5"/>
  <c r="H1" i="1"/>
  <c r="O13" i="1"/>
  <c r="AA13" i="5" s="1"/>
  <c r="AM110" i="5"/>
  <c r="M13" i="1"/>
  <c r="W13" i="5" s="1"/>
  <c r="R13" i="1"/>
  <c r="AA110" i="5"/>
  <c r="Y110" i="5"/>
  <c r="AI106" i="5"/>
  <c r="I110" i="5"/>
  <c r="G110" i="5"/>
  <c r="Q13" i="1"/>
  <c r="AE13" i="5" s="1"/>
  <c r="N13" i="1"/>
  <c r="Y13" i="5" s="1"/>
  <c r="G106" i="5"/>
  <c r="P13" i="1"/>
  <c r="AC13" i="5" s="1"/>
  <c r="W110" i="5"/>
  <c r="AI110" i="5"/>
  <c r="AG110" i="5"/>
  <c r="AK110" i="5"/>
  <c r="U110" i="5"/>
  <c r="S110" i="5"/>
  <c r="G13" i="1"/>
  <c r="K13" i="5" s="1"/>
  <c r="O106" i="5"/>
  <c r="AO110" i="5"/>
  <c r="G13" i="5"/>
  <c r="U106" i="5"/>
  <c r="S13" i="1"/>
  <c r="AI13" i="5" s="1"/>
  <c r="K13" i="1"/>
  <c r="S13" i="5" s="1"/>
  <c r="AA106" i="5"/>
  <c r="J13" i="1"/>
  <c r="Q13" i="5" s="1"/>
  <c r="AE110" i="5"/>
  <c r="AM106" i="5"/>
  <c r="I106" i="5"/>
  <c r="M106" i="5"/>
  <c r="AC106" i="5"/>
  <c r="AE106" i="5"/>
  <c r="Y106" i="5"/>
  <c r="U13" i="1"/>
  <c r="AM13" i="5" s="1"/>
  <c r="K110" i="5"/>
  <c r="H13" i="1"/>
  <c r="M13" i="5" s="1"/>
  <c r="T13" i="1"/>
  <c r="AK13" i="5" s="1"/>
  <c r="AK106" i="5"/>
  <c r="AO106" i="5"/>
  <c r="S106" i="5"/>
  <c r="AG106" i="5"/>
  <c r="K106" i="5"/>
  <c r="O110" i="5"/>
  <c r="W106" i="5"/>
  <c r="Q106" i="5"/>
  <c r="V43" i="1"/>
  <c r="AO43" i="5" s="1"/>
  <c r="H81" i="1" l="1"/>
  <c r="H90" i="1" s="1"/>
  <c r="I81" i="1"/>
  <c r="I90" i="1" s="1"/>
  <c r="G81" i="1"/>
  <c r="G90" i="1" s="1"/>
  <c r="L112" i="1"/>
  <c r="I112" i="1"/>
  <c r="O112" i="5" s="1"/>
  <c r="J112" i="1"/>
  <c r="Q112" i="5" s="1"/>
  <c r="J81" i="1"/>
  <c r="O112" i="1"/>
  <c r="T112" i="1"/>
  <c r="AK112" i="5" s="1"/>
  <c r="G112" i="1"/>
  <c r="K112" i="5" s="1"/>
  <c r="H112" i="1"/>
  <c r="M78" i="5"/>
  <c r="K108" i="1"/>
  <c r="T108" i="1"/>
  <c r="M77" i="5"/>
  <c r="AO77" i="5"/>
  <c r="Y77" i="5"/>
  <c r="N90" i="1"/>
  <c r="D66" i="1"/>
  <c r="E66" i="5" s="1"/>
  <c r="I108" i="1"/>
  <c r="E108" i="1"/>
  <c r="G108" i="1"/>
  <c r="AG77" i="5"/>
  <c r="R90" i="1"/>
  <c r="AC77" i="5"/>
  <c r="P90" i="1"/>
  <c r="P99" i="1" s="1"/>
  <c r="AA77" i="5"/>
  <c r="O90" i="1"/>
  <c r="S77" i="5"/>
  <c r="AE77" i="5"/>
  <c r="Q90" i="1"/>
  <c r="AI77" i="5"/>
  <c r="S90" i="1"/>
  <c r="AM77" i="5"/>
  <c r="AK77" i="5"/>
  <c r="T90" i="1"/>
  <c r="U77" i="5"/>
  <c r="L90" i="1"/>
  <c r="L99" i="1" s="1"/>
  <c r="F108" i="1"/>
  <c r="J108" i="1"/>
  <c r="P108" i="1"/>
  <c r="H108" i="1"/>
  <c r="W77" i="5"/>
  <c r="M90" i="1"/>
  <c r="K77" i="5"/>
  <c r="I77" i="5"/>
  <c r="G77" i="5"/>
  <c r="Q77" i="5"/>
  <c r="O77" i="5"/>
  <c r="AO21" i="5"/>
  <c r="AO93" i="5"/>
  <c r="AK81" i="5"/>
  <c r="F21" i="1"/>
  <c r="F93" i="1" s="1"/>
  <c r="F111" i="1" s="1"/>
  <c r="R43" i="1"/>
  <c r="AG43" i="5" s="1"/>
  <c r="AG13" i="5"/>
  <c r="O43" i="1"/>
  <c r="AA43" i="5" s="1"/>
  <c r="L43" i="1"/>
  <c r="U43" i="5" s="1"/>
  <c r="I21" i="1"/>
  <c r="I93" i="1" s="1"/>
  <c r="I111" i="1" s="1"/>
  <c r="P43" i="1"/>
  <c r="AC43" i="5" s="1"/>
  <c r="U21" i="1"/>
  <c r="Q43" i="1"/>
  <c r="AE43" i="5" s="1"/>
  <c r="T21" i="1"/>
  <c r="T93" i="1" s="1"/>
  <c r="T111" i="1" s="1"/>
  <c r="S21" i="1"/>
  <c r="S93" i="1" s="1"/>
  <c r="S111" i="1" s="1"/>
  <c r="F43" i="1"/>
  <c r="I43" i="5" s="1"/>
  <c r="G43" i="1"/>
  <c r="K43" i="5" s="1"/>
  <c r="R21" i="1"/>
  <c r="R93" i="1" s="1"/>
  <c r="R111" i="1" s="1"/>
  <c r="M21" i="1"/>
  <c r="M93" i="1" s="1"/>
  <c r="M111" i="1" s="1"/>
  <c r="N21" i="1"/>
  <c r="N93" i="1" s="1"/>
  <c r="N111" i="1" s="1"/>
  <c r="P21" i="1"/>
  <c r="P93" i="1" s="1"/>
  <c r="P111" i="1" s="1"/>
  <c r="J43" i="1"/>
  <c r="Q43" i="5" s="1"/>
  <c r="O21" i="1"/>
  <c r="O93" i="1" s="1"/>
  <c r="O111" i="1" s="1"/>
  <c r="M43" i="1"/>
  <c r="W43" i="5" s="1"/>
  <c r="I43" i="1"/>
  <c r="O43" i="5" s="1"/>
  <c r="L21" i="1"/>
  <c r="L93" i="1" s="1"/>
  <c r="L111" i="1" s="1"/>
  <c r="M1" i="5"/>
  <c r="I1" i="1"/>
  <c r="Q21" i="1"/>
  <c r="Q93" i="1" s="1"/>
  <c r="Q111" i="1" s="1"/>
  <c r="N43" i="1"/>
  <c r="Y43" i="5" s="1"/>
  <c r="U43" i="1"/>
  <c r="AM43" i="5" s="1"/>
  <c r="E93" i="1"/>
  <c r="E111" i="1" s="1"/>
  <c r="E43" i="1"/>
  <c r="G43" i="5" s="1"/>
  <c r="G21" i="1"/>
  <c r="G93" i="1" s="1"/>
  <c r="G111" i="1" s="1"/>
  <c r="I112" i="5"/>
  <c r="AM112" i="5"/>
  <c r="S43" i="1"/>
  <c r="AI43" i="5" s="1"/>
  <c r="K21" i="1"/>
  <c r="K93" i="1" s="1"/>
  <c r="K111" i="1" s="1"/>
  <c r="S43" i="5"/>
  <c r="J21" i="1"/>
  <c r="J93" i="1" s="1"/>
  <c r="J111" i="1" s="1"/>
  <c r="D43" i="1"/>
  <c r="E43" i="5" s="1"/>
  <c r="G112" i="5"/>
  <c r="AA112" i="5"/>
  <c r="T43" i="1"/>
  <c r="AK43" i="5" s="1"/>
  <c r="C43" i="1"/>
  <c r="C43" i="5" s="1"/>
  <c r="AI112" i="5"/>
  <c r="AC112" i="5"/>
  <c r="AO112" i="5"/>
  <c r="W112" i="5"/>
  <c r="AG112" i="5"/>
  <c r="S112" i="5"/>
  <c r="H21" i="1"/>
  <c r="H93" i="1" s="1"/>
  <c r="H111" i="1" s="1"/>
  <c r="H43" i="1"/>
  <c r="M43" i="5" s="1"/>
  <c r="U112" i="5"/>
  <c r="AE112" i="5"/>
  <c r="Y112" i="5"/>
  <c r="AO107" i="5"/>
  <c r="V23" i="1"/>
  <c r="AO23" i="5" s="1"/>
  <c r="U111" i="1" l="1"/>
  <c r="AI81" i="5"/>
  <c r="U81" i="5"/>
  <c r="Q81" i="5"/>
  <c r="J90" i="1"/>
  <c r="J99" i="1" s="1"/>
  <c r="Q99" i="5" s="1"/>
  <c r="AM81" i="5"/>
  <c r="U90" i="1"/>
  <c r="AM90" i="5" s="1"/>
  <c r="AN90" i="5" s="1"/>
  <c r="AO81" i="5"/>
  <c r="V90" i="1"/>
  <c r="AA81" i="5"/>
  <c r="I81" i="5"/>
  <c r="F90" i="1"/>
  <c r="I90" i="5" s="1"/>
  <c r="J90" i="5" s="1"/>
  <c r="S81" i="5"/>
  <c r="AC81" i="5"/>
  <c r="AG81" i="5"/>
  <c r="AE81" i="5"/>
  <c r="Y81" i="5"/>
  <c r="W81" i="5"/>
  <c r="M21" i="5"/>
  <c r="M93" i="5"/>
  <c r="AM21" i="5"/>
  <c r="AM93" i="5"/>
  <c r="G21" i="5"/>
  <c r="I21" i="5"/>
  <c r="AG21" i="5"/>
  <c r="AG93" i="5"/>
  <c r="AK21" i="5"/>
  <c r="K21" i="5"/>
  <c r="K93" i="5"/>
  <c r="AG90" i="5"/>
  <c r="AH90" i="5" s="1"/>
  <c r="Y90" i="5"/>
  <c r="Z90" i="5" s="1"/>
  <c r="S90" i="5"/>
  <c r="T90" i="5" s="1"/>
  <c r="AC90" i="5"/>
  <c r="AD90" i="5" s="1"/>
  <c r="U90" i="5"/>
  <c r="V90" i="5" s="1"/>
  <c r="AE90" i="5"/>
  <c r="AF90" i="5" s="1"/>
  <c r="AA90" i="5"/>
  <c r="AB90" i="5" s="1"/>
  <c r="W90" i="5"/>
  <c r="X90" i="5" s="1"/>
  <c r="AI90" i="5"/>
  <c r="AJ90" i="5" s="1"/>
  <c r="AK90" i="5"/>
  <c r="AL90" i="5" s="1"/>
  <c r="U21" i="5"/>
  <c r="U93" i="5"/>
  <c r="Y21" i="5"/>
  <c r="Y93" i="5"/>
  <c r="Q21" i="5"/>
  <c r="Q93" i="5"/>
  <c r="AC21" i="5"/>
  <c r="O21" i="5"/>
  <c r="O93" i="5"/>
  <c r="S21" i="5"/>
  <c r="S93" i="5"/>
  <c r="AA21" i="5"/>
  <c r="AA93" i="5"/>
  <c r="W21" i="5"/>
  <c r="T23" i="1"/>
  <c r="AK23" i="5" s="1"/>
  <c r="I93" i="5"/>
  <c r="F23" i="1"/>
  <c r="I23" i="5" s="1"/>
  <c r="AC99" i="5"/>
  <c r="G81" i="5"/>
  <c r="H81" i="5" s="1"/>
  <c r="K81" i="5"/>
  <c r="L81" i="5" s="1"/>
  <c r="I107" i="5"/>
  <c r="AK107" i="5"/>
  <c r="O81" i="5"/>
  <c r="P81" i="5" s="1"/>
  <c r="AI93" i="5"/>
  <c r="AI21" i="5"/>
  <c r="AE93" i="5"/>
  <c r="AE21" i="5"/>
  <c r="I23" i="1"/>
  <c r="O23" i="5" s="1"/>
  <c r="AG107" i="5"/>
  <c r="G107" i="5"/>
  <c r="O107" i="5"/>
  <c r="AM107" i="5"/>
  <c r="R23" i="1"/>
  <c r="AG23" i="5" s="1"/>
  <c r="K107" i="5"/>
  <c r="W107" i="5"/>
  <c r="T99" i="1"/>
  <c r="U23" i="1"/>
  <c r="AM23" i="5" s="1"/>
  <c r="AC107" i="5"/>
  <c r="Q23" i="1"/>
  <c r="AE23" i="5" s="1"/>
  <c r="AI107" i="5"/>
  <c r="M23" i="1"/>
  <c r="W23" i="5" s="1"/>
  <c r="S23" i="1"/>
  <c r="AI23" i="5" s="1"/>
  <c r="U99" i="5"/>
  <c r="O99" i="1"/>
  <c r="O23" i="1"/>
  <c r="AA23" i="5" s="1"/>
  <c r="N23" i="1"/>
  <c r="Y23" i="5" s="1"/>
  <c r="U107" i="5"/>
  <c r="Y107" i="5"/>
  <c r="P23" i="1"/>
  <c r="AC23" i="5" s="1"/>
  <c r="AA107" i="5"/>
  <c r="L23" i="1"/>
  <c r="U23" i="5" s="1"/>
  <c r="AE107" i="5"/>
  <c r="O1" i="5"/>
  <c r="J1" i="1"/>
  <c r="E23" i="1"/>
  <c r="G23" i="5" s="1"/>
  <c r="AG47" i="5"/>
  <c r="R99" i="1"/>
  <c r="AG99" i="5" s="1"/>
  <c r="S99" i="1"/>
  <c r="AI99" i="5" s="1"/>
  <c r="N99" i="1"/>
  <c r="Y99" i="5" s="1"/>
  <c r="S99" i="5"/>
  <c r="Q107" i="5"/>
  <c r="G23" i="1"/>
  <c r="K23" i="5" s="1"/>
  <c r="J23" i="1"/>
  <c r="Q23" i="5" s="1"/>
  <c r="M99" i="1"/>
  <c r="W99" i="5" s="1"/>
  <c r="Q99" i="1"/>
  <c r="AE99" i="5" s="1"/>
  <c r="AI47" i="5"/>
  <c r="K23" i="1"/>
  <c r="S23" i="5" s="1"/>
  <c r="S107" i="5"/>
  <c r="M112" i="5"/>
  <c r="H23" i="1"/>
  <c r="M23" i="5" s="1"/>
  <c r="M107" i="5"/>
  <c r="AO111" i="5"/>
  <c r="AO90" i="5" l="1"/>
  <c r="AP90" i="5" s="1"/>
  <c r="V99" i="1"/>
  <c r="AO99" i="5" s="1"/>
  <c r="T94" i="1"/>
  <c r="AK94" i="5" s="1"/>
  <c r="T24" i="1"/>
  <c r="T28" i="1" s="1"/>
  <c r="T30" i="1" s="1"/>
  <c r="J24" i="1"/>
  <c r="J28" i="1" s="1"/>
  <c r="J30" i="1" s="1"/>
  <c r="U99" i="1"/>
  <c r="U94" i="1" s="1"/>
  <c r="AM94" i="5" s="1"/>
  <c r="F99" i="1"/>
  <c r="I99" i="5" s="1"/>
  <c r="J94" i="1"/>
  <c r="Q94" i="5" s="1"/>
  <c r="Q90" i="5"/>
  <c r="R90" i="5" s="1"/>
  <c r="G93" i="5"/>
  <c r="G90" i="5"/>
  <c r="O47" i="5"/>
  <c r="K47" i="5"/>
  <c r="AK93" i="5"/>
  <c r="AK111" i="5"/>
  <c r="AM111" i="5"/>
  <c r="I111" i="5"/>
  <c r="AG111" i="5"/>
  <c r="AI111" i="5"/>
  <c r="P94" i="1"/>
  <c r="AC94" i="5" s="1"/>
  <c r="P24" i="1"/>
  <c r="AO94" i="5"/>
  <c r="K90" i="5"/>
  <c r="O90" i="5"/>
  <c r="M81" i="5"/>
  <c r="V24" i="1"/>
  <c r="U111" i="5"/>
  <c r="O24" i="1"/>
  <c r="O28" i="1" s="1"/>
  <c r="O30" i="1" s="1"/>
  <c r="AA99" i="5"/>
  <c r="AK99" i="5"/>
  <c r="AC111" i="5"/>
  <c r="AC93" i="5"/>
  <c r="O111" i="5"/>
  <c r="AE111" i="5"/>
  <c r="W111" i="5"/>
  <c r="W93" i="5"/>
  <c r="L94" i="1"/>
  <c r="U94" i="5" s="1"/>
  <c r="O94" i="1"/>
  <c r="AA94" i="5" s="1"/>
  <c r="K111" i="5"/>
  <c r="Q94" i="1"/>
  <c r="AE94" i="5" s="1"/>
  <c r="S94" i="1"/>
  <c r="AI94" i="5" s="1"/>
  <c r="G111" i="5"/>
  <c r="L24" i="1"/>
  <c r="L28" i="1" s="1"/>
  <c r="L30" i="1" s="1"/>
  <c r="AG94" i="5"/>
  <c r="M94" i="1"/>
  <c r="W94" i="5" s="1"/>
  <c r="N94" i="1"/>
  <c r="Y94" i="5" s="1"/>
  <c r="K94" i="1"/>
  <c r="S94" i="5" s="1"/>
  <c r="Y111" i="5"/>
  <c r="AA111" i="5"/>
  <c r="Q1" i="5"/>
  <c r="K1" i="1"/>
  <c r="Q111" i="5"/>
  <c r="R24" i="1"/>
  <c r="R28" i="1" s="1"/>
  <c r="R30" i="1" s="1"/>
  <c r="S24" i="1"/>
  <c r="S28" i="1" s="1"/>
  <c r="S30" i="1" s="1"/>
  <c r="N24" i="1"/>
  <c r="N28" i="1" s="1"/>
  <c r="N30" i="1" s="1"/>
  <c r="K28" i="1"/>
  <c r="K30" i="1" s="1"/>
  <c r="M24" i="1"/>
  <c r="M28" i="1" s="1"/>
  <c r="M30" i="1" s="1"/>
  <c r="Q24" i="1"/>
  <c r="Q28" i="1" s="1"/>
  <c r="Q30" i="1" s="1"/>
  <c r="S111" i="5"/>
  <c r="I99" i="1"/>
  <c r="O99" i="5" s="1"/>
  <c r="G99" i="1"/>
  <c r="K99" i="5" s="1"/>
  <c r="E99" i="1"/>
  <c r="M111" i="5"/>
  <c r="Q24" i="5" l="1"/>
  <c r="R24" i="5" s="1"/>
  <c r="U24" i="1"/>
  <c r="U28" i="1" s="1"/>
  <c r="U30" i="1" s="1"/>
  <c r="AM99" i="5"/>
  <c r="F94" i="1"/>
  <c r="I94" i="5" s="1"/>
  <c r="F24" i="1"/>
  <c r="F28" i="1" s="1"/>
  <c r="F30" i="1" s="1"/>
  <c r="G99" i="5"/>
  <c r="Q28" i="5"/>
  <c r="Q30" i="5"/>
  <c r="Y30" i="5"/>
  <c r="AA30" i="5"/>
  <c r="S30" i="5"/>
  <c r="W30" i="5"/>
  <c r="AG30" i="5"/>
  <c r="AK30" i="5"/>
  <c r="AE30" i="5"/>
  <c r="AI30" i="5"/>
  <c r="U30" i="5"/>
  <c r="P28" i="1"/>
  <c r="P30" i="1" s="1"/>
  <c r="V28" i="1"/>
  <c r="V30" i="1" s="1"/>
  <c r="M90" i="5"/>
  <c r="N90" i="5" s="1"/>
  <c r="AC24" i="5"/>
  <c r="AD24" i="5" s="1"/>
  <c r="AO24" i="5"/>
  <c r="AP24" i="5" s="1"/>
  <c r="Y24" i="5"/>
  <c r="Z24" i="5" s="1"/>
  <c r="Y28" i="5"/>
  <c r="AA24" i="5"/>
  <c r="AB24" i="5" s="1"/>
  <c r="AA28" i="5"/>
  <c r="W24" i="5"/>
  <c r="X24" i="5" s="1"/>
  <c r="W28" i="5"/>
  <c r="AG24" i="5"/>
  <c r="AH24" i="5" s="1"/>
  <c r="AG28" i="5"/>
  <c r="AK24" i="5"/>
  <c r="AL24" i="5" s="1"/>
  <c r="AE24" i="5"/>
  <c r="AE28" i="5"/>
  <c r="AI24" i="5"/>
  <c r="AJ24" i="5" s="1"/>
  <c r="AI28" i="5"/>
  <c r="U24" i="5"/>
  <c r="V24" i="5" s="1"/>
  <c r="U28" i="5"/>
  <c r="S24" i="5"/>
  <c r="T24" i="5" s="1"/>
  <c r="S28" i="5"/>
  <c r="G94" i="1"/>
  <c r="K94" i="5" s="1"/>
  <c r="E94" i="1"/>
  <c r="G94" i="5" s="1"/>
  <c r="D88" i="1"/>
  <c r="S1" i="5"/>
  <c r="L1" i="1"/>
  <c r="E24" i="1"/>
  <c r="E28" i="1" s="1"/>
  <c r="E30" i="1" s="1"/>
  <c r="H99" i="1"/>
  <c r="M99" i="5" s="1"/>
  <c r="I24" i="1"/>
  <c r="I28" i="1" s="1"/>
  <c r="I30" i="1" s="1"/>
  <c r="G24" i="1"/>
  <c r="G28" i="1" s="1"/>
  <c r="G30" i="1" s="1"/>
  <c r="AM28" i="5" l="1"/>
  <c r="AM30" i="5"/>
  <c r="I28" i="5"/>
  <c r="I30" i="5"/>
  <c r="AM24" i="5"/>
  <c r="AN24" i="5" s="1"/>
  <c r="I24" i="5"/>
  <c r="J24" i="5" s="1"/>
  <c r="E88" i="5"/>
  <c r="D5" i="1"/>
  <c r="E5" i="5" s="1"/>
  <c r="C88" i="1"/>
  <c r="C5" i="1" s="1"/>
  <c r="J32" i="1"/>
  <c r="Q32" i="5" s="1"/>
  <c r="K30" i="5"/>
  <c r="G30" i="5"/>
  <c r="T32" i="1"/>
  <c r="AK32" i="5" s="1"/>
  <c r="O30" i="5"/>
  <c r="AC30" i="5"/>
  <c r="AO28" i="5"/>
  <c r="AO30" i="5"/>
  <c r="AC28" i="5"/>
  <c r="AF24" i="5"/>
  <c r="AK28" i="5"/>
  <c r="G24" i="5"/>
  <c r="H24" i="5" s="1"/>
  <c r="G28" i="5"/>
  <c r="L32" i="1"/>
  <c r="O24" i="5"/>
  <c r="P24" i="5" s="1"/>
  <c r="O28" i="5"/>
  <c r="K24" i="5"/>
  <c r="L24" i="5" s="1"/>
  <c r="K28" i="5"/>
  <c r="O32" i="1"/>
  <c r="Q32" i="1"/>
  <c r="H94" i="1"/>
  <c r="M94" i="5" s="1"/>
  <c r="M1" i="1"/>
  <c r="U1" i="5"/>
  <c r="R32" i="1"/>
  <c r="S32" i="1"/>
  <c r="N32" i="1"/>
  <c r="K32" i="1"/>
  <c r="M32" i="1"/>
  <c r="H24" i="1"/>
  <c r="H28" i="1" s="1"/>
  <c r="H30" i="1" s="1"/>
  <c r="U32" i="1" l="1"/>
  <c r="U42" i="1" s="1"/>
  <c r="AM42" i="5" s="1"/>
  <c r="F32" i="1"/>
  <c r="F42" i="1" s="1"/>
  <c r="I42" i="5" s="1"/>
  <c r="F5" i="5"/>
  <c r="Q108" i="5"/>
  <c r="J42" i="1"/>
  <c r="Q42" i="5" s="1"/>
  <c r="T42" i="1"/>
  <c r="AK42" i="5" s="1"/>
  <c r="M30" i="5"/>
  <c r="AK108" i="5"/>
  <c r="Y32" i="5"/>
  <c r="N42" i="1"/>
  <c r="Y42" i="5" s="1"/>
  <c r="AE32" i="5"/>
  <c r="Q42" i="1"/>
  <c r="AE42" i="5" s="1"/>
  <c r="AA32" i="5"/>
  <c r="O42" i="1"/>
  <c r="W32" i="5"/>
  <c r="M42" i="1"/>
  <c r="W42" i="5" s="1"/>
  <c r="AG32" i="5"/>
  <c r="R42" i="1"/>
  <c r="AG42" i="5" s="1"/>
  <c r="V32" i="1"/>
  <c r="AO108" i="5" s="1"/>
  <c r="S32" i="5"/>
  <c r="K42" i="1"/>
  <c r="S42" i="5" s="1"/>
  <c r="AI32" i="5"/>
  <c r="S42" i="1"/>
  <c r="AI42" i="5" s="1"/>
  <c r="U32" i="5"/>
  <c r="L42" i="1"/>
  <c r="U42" i="5" s="1"/>
  <c r="P32" i="1"/>
  <c r="P42" i="1" s="1"/>
  <c r="U108" i="5"/>
  <c r="M24" i="5"/>
  <c r="N24" i="5" s="1"/>
  <c r="M28" i="5"/>
  <c r="C88" i="5"/>
  <c r="C5" i="5"/>
  <c r="AA108" i="5"/>
  <c r="AM108" i="5"/>
  <c r="E32" i="1"/>
  <c r="I32" i="1"/>
  <c r="G32" i="1"/>
  <c r="W1" i="5"/>
  <c r="N1" i="1"/>
  <c r="AI108" i="5"/>
  <c r="AG108" i="5"/>
  <c r="Y108" i="5"/>
  <c r="S108" i="5"/>
  <c r="W108" i="5"/>
  <c r="AE108" i="5"/>
  <c r="AM32" i="5" l="1"/>
  <c r="F53" i="1"/>
  <c r="F39" i="1" s="1"/>
  <c r="I39" i="5" s="1"/>
  <c r="I32" i="5"/>
  <c r="J53" i="1"/>
  <c r="Q53" i="5" s="1"/>
  <c r="T53" i="1"/>
  <c r="K32" i="5"/>
  <c r="G42" i="1"/>
  <c r="K42" i="5" s="1"/>
  <c r="G32" i="5"/>
  <c r="E42" i="1"/>
  <c r="G42" i="5" s="1"/>
  <c r="AO32" i="5"/>
  <c r="V42" i="1"/>
  <c r="AO42" i="5" s="1"/>
  <c r="O32" i="5"/>
  <c r="I42" i="1"/>
  <c r="O42" i="5" s="1"/>
  <c r="AC32" i="5"/>
  <c r="AC108" i="5"/>
  <c r="D5" i="5"/>
  <c r="L53" i="1"/>
  <c r="U53" i="1"/>
  <c r="AA42" i="5"/>
  <c r="O53" i="1"/>
  <c r="O39" i="1" s="1"/>
  <c r="H32" i="1"/>
  <c r="C8" i="1"/>
  <c r="C18" i="1" s="1"/>
  <c r="M53" i="1"/>
  <c r="M39" i="1" s="1"/>
  <c r="Y1" i="5"/>
  <c r="O1" i="1"/>
  <c r="R53" i="1"/>
  <c r="R39" i="1" s="1"/>
  <c r="S53" i="1"/>
  <c r="S39" i="1" s="1"/>
  <c r="N53" i="1"/>
  <c r="K53" i="1"/>
  <c r="K39" i="1" s="1"/>
  <c r="Q53" i="1"/>
  <c r="Q39" i="1" s="1"/>
  <c r="O108" i="5"/>
  <c r="I53" i="5" l="1"/>
  <c r="K108" i="5"/>
  <c r="J39" i="1"/>
  <c r="Q39" i="5" s="1"/>
  <c r="I108" i="5"/>
  <c r="C83" i="1"/>
  <c r="C90" i="1" s="1"/>
  <c r="L39" i="1"/>
  <c r="U39" i="5" s="1"/>
  <c r="T39" i="1"/>
  <c r="AK39" i="5" s="1"/>
  <c r="AK53" i="5"/>
  <c r="M32" i="5"/>
  <c r="H42" i="1"/>
  <c r="M42" i="5" s="1"/>
  <c r="V53" i="1"/>
  <c r="AC42" i="5"/>
  <c r="P53" i="1"/>
  <c r="P39" i="1" s="1"/>
  <c r="AM53" i="5"/>
  <c r="U53" i="5"/>
  <c r="AE53" i="5"/>
  <c r="AE39" i="5"/>
  <c r="AI53" i="5"/>
  <c r="AI39" i="5"/>
  <c r="W53" i="5"/>
  <c r="W39" i="5"/>
  <c r="Y53" i="5"/>
  <c r="S53" i="5"/>
  <c r="S39" i="5"/>
  <c r="AG53" i="5"/>
  <c r="AG39" i="5"/>
  <c r="AA53" i="5"/>
  <c r="AA39" i="5"/>
  <c r="C8" i="5"/>
  <c r="AA1" i="5"/>
  <c r="P1" i="1"/>
  <c r="N64" i="1"/>
  <c r="Y64" i="5" s="1"/>
  <c r="I53" i="1"/>
  <c r="I39" i="1" s="1"/>
  <c r="M108" i="5"/>
  <c r="E53" i="1"/>
  <c r="E39" i="1" s="1"/>
  <c r="G53" i="1"/>
  <c r="G39" i="1" s="1"/>
  <c r="C90" i="5" l="1"/>
  <c r="D90" i="5" s="1"/>
  <c r="G108" i="5"/>
  <c r="C18" i="5"/>
  <c r="D18" i="5" s="1"/>
  <c r="C21" i="1"/>
  <c r="C23" i="1" s="1"/>
  <c r="C83" i="5"/>
  <c r="AO53" i="5"/>
  <c r="V39" i="1"/>
  <c r="AO39" i="5" s="1"/>
  <c r="AC39" i="5"/>
  <c r="AC53" i="5"/>
  <c r="AM64" i="5"/>
  <c r="U66" i="1"/>
  <c r="O53" i="5"/>
  <c r="O39" i="5"/>
  <c r="K53" i="5"/>
  <c r="K39" i="5"/>
  <c r="G53" i="5"/>
  <c r="G39" i="5"/>
  <c r="Q1" i="1"/>
  <c r="AC1" i="5"/>
  <c r="N66" i="1"/>
  <c r="H53" i="1"/>
  <c r="H39" i="1" s="1"/>
  <c r="C21" i="5" l="1"/>
  <c r="C28" i="1"/>
  <c r="C30" i="1" s="1"/>
  <c r="Y66" i="5"/>
  <c r="N39" i="1"/>
  <c r="Y39" i="5" s="1"/>
  <c r="AM66" i="5"/>
  <c r="U39" i="1"/>
  <c r="AM39" i="5" s="1"/>
  <c r="M53" i="5"/>
  <c r="M39" i="5"/>
  <c r="AE1" i="5"/>
  <c r="R1" i="1"/>
  <c r="C23" i="5" l="1"/>
  <c r="C32" i="1"/>
  <c r="AG1" i="5"/>
  <c r="S1" i="1"/>
  <c r="C28" i="5" l="1"/>
  <c r="C30" i="5"/>
  <c r="T1" i="1"/>
  <c r="AI1" i="5"/>
  <c r="U1" i="1" l="1"/>
  <c r="AK1" i="5"/>
  <c r="C32" i="5" l="1"/>
  <c r="C42" i="1"/>
  <c r="V1" i="1"/>
  <c r="AO1" i="5" s="1"/>
  <c r="AM1" i="5"/>
  <c r="U95" i="1"/>
  <c r="L95" i="1"/>
  <c r="V95" i="1"/>
  <c r="P95" i="1"/>
  <c r="S95" i="1"/>
  <c r="C95" i="1"/>
  <c r="R95" i="1"/>
  <c r="AG95" i="5" s="1"/>
  <c r="O95" i="1"/>
  <c r="D95" i="1"/>
  <c r="E95" i="5" s="1"/>
  <c r="I95" i="1"/>
  <c r="O95" i="5" s="1"/>
  <c r="J95" i="1"/>
  <c r="Q95" i="5" s="1"/>
  <c r="G95" i="1"/>
  <c r="Q95" i="1"/>
  <c r="AE95" i="5" s="1"/>
  <c r="K95" i="1"/>
  <c r="S95" i="5" s="1"/>
  <c r="E95" i="1"/>
  <c r="G95" i="5" s="1"/>
  <c r="F95" i="1"/>
  <c r="N95" i="1"/>
  <c r="Y95" i="5" s="1"/>
  <c r="M95" i="1"/>
  <c r="W95" i="5" s="1"/>
  <c r="H95" i="1"/>
  <c r="M95" i="5" s="1"/>
  <c r="T95" i="1"/>
  <c r="AK95" i="5" s="1"/>
  <c r="C42" i="5" l="1"/>
  <c r="C53" i="1"/>
  <c r="I100" i="1"/>
  <c r="R100" i="1"/>
  <c r="V100" i="1"/>
  <c r="V102" i="1" s="1"/>
  <c r="AO102" i="5" s="1"/>
  <c r="AP102" i="5" s="1"/>
  <c r="AO95" i="5"/>
  <c r="C100" i="1"/>
  <c r="C95" i="5"/>
  <c r="F100" i="1"/>
  <c r="F102" i="1" s="1"/>
  <c r="I102" i="5" s="1"/>
  <c r="J102" i="5" s="1"/>
  <c r="I95" i="5"/>
  <c r="G100" i="1"/>
  <c r="G102" i="1" s="1"/>
  <c r="K102" i="5" s="1"/>
  <c r="K95" i="5"/>
  <c r="L100" i="1"/>
  <c r="L102" i="1" s="1"/>
  <c r="U102" i="5" s="1"/>
  <c r="V102" i="5" s="1"/>
  <c r="U95" i="5"/>
  <c r="P100" i="1"/>
  <c r="P102" i="1" s="1"/>
  <c r="AC102" i="5" s="1"/>
  <c r="AD102" i="5" s="1"/>
  <c r="AC95" i="5"/>
  <c r="O100" i="1"/>
  <c r="O102" i="1" s="1"/>
  <c r="AA102" i="5" s="1"/>
  <c r="AB102" i="5" s="1"/>
  <c r="AA95" i="5"/>
  <c r="S100" i="1"/>
  <c r="S102" i="1" s="1"/>
  <c r="AI102" i="5" s="1"/>
  <c r="AJ102" i="5" s="1"/>
  <c r="AI95" i="5"/>
  <c r="U100" i="1"/>
  <c r="U102" i="1" s="1"/>
  <c r="AM102" i="5" s="1"/>
  <c r="AN102" i="5" s="1"/>
  <c r="AM95" i="5"/>
  <c r="H100" i="1"/>
  <c r="H102" i="1" s="1"/>
  <c r="M102" i="5" s="1"/>
  <c r="N102" i="5" s="1"/>
  <c r="E100" i="1"/>
  <c r="Q100" i="1"/>
  <c r="J100" i="1"/>
  <c r="T100" i="1"/>
  <c r="T102" i="1" s="1"/>
  <c r="AK102" i="5" s="1"/>
  <c r="AL102" i="5" s="1"/>
  <c r="M100" i="1"/>
  <c r="N100" i="1"/>
  <c r="D100" i="1"/>
  <c r="K100" i="1"/>
  <c r="K102" i="1" s="1"/>
  <c r="S102" i="5" s="1"/>
  <c r="T102" i="5" s="1"/>
  <c r="C102" i="1" l="1"/>
  <c r="C102" i="5" s="1"/>
  <c r="D102" i="5" s="1"/>
  <c r="C39" i="1"/>
  <c r="C39" i="5" s="1"/>
  <c r="C53" i="5"/>
  <c r="N102" i="1"/>
  <c r="Y102" i="5" s="1"/>
  <c r="Z102" i="5" s="1"/>
  <c r="Q102" i="1"/>
  <c r="AE102" i="5" s="1"/>
  <c r="AF102" i="5" s="1"/>
  <c r="Q103" i="5"/>
  <c r="J102" i="1"/>
  <c r="Q102" i="5" s="1"/>
  <c r="R102" i="5" s="1"/>
  <c r="O103" i="5"/>
  <c r="I102" i="1"/>
  <c r="O102" i="5" s="1"/>
  <c r="M102" i="1"/>
  <c r="W102" i="5" s="1"/>
  <c r="X102" i="5" s="1"/>
  <c r="E102" i="1"/>
  <c r="G102" i="5" s="1"/>
  <c r="AG103" i="5"/>
  <c r="R102" i="1"/>
  <c r="AG102" i="5" s="1"/>
  <c r="AH102" i="5" s="1"/>
  <c r="O100" i="5"/>
  <c r="AG100" i="5"/>
  <c r="S100" i="5"/>
  <c r="S103" i="5"/>
  <c r="AK100" i="5"/>
  <c r="AK103" i="5"/>
  <c r="M100" i="5"/>
  <c r="M103" i="5"/>
  <c r="AI100" i="5"/>
  <c r="AI103" i="5"/>
  <c r="AC100" i="5"/>
  <c r="AC103" i="5"/>
  <c r="U100" i="5"/>
  <c r="U103" i="5"/>
  <c r="I100" i="5"/>
  <c r="I103" i="5"/>
  <c r="AO100" i="5"/>
  <c r="AO103" i="5"/>
  <c r="E100" i="5"/>
  <c r="E103" i="5"/>
  <c r="AM100" i="5"/>
  <c r="AM103" i="5"/>
  <c r="AA100" i="5"/>
  <c r="AA103" i="5"/>
  <c r="K100" i="5"/>
  <c r="K103" i="5"/>
  <c r="C100" i="5"/>
  <c r="C103" i="5"/>
  <c r="Q100" i="5"/>
  <c r="W103" i="5"/>
  <c r="W100" i="5"/>
  <c r="G103" i="5"/>
  <c r="G100" i="5"/>
  <c r="Y103" i="5"/>
  <c r="Y100" i="5"/>
  <c r="AE103" i="5"/>
  <c r="AE100" i="5"/>
  <c r="F90" i="5"/>
  <c r="D8" i="1"/>
  <c r="E8" i="5" s="1"/>
  <c r="E7" i="5"/>
  <c r="D18" i="1" l="1"/>
  <c r="D21" i="1" s="1"/>
  <c r="E21" i="5" s="1"/>
  <c r="D83" i="1"/>
  <c r="D90" i="1" s="1"/>
  <c r="D102" i="1" s="1"/>
  <c r="E102" i="5" s="1"/>
  <c r="F102" i="5" s="1"/>
  <c r="D23" i="1" l="1"/>
  <c r="E23" i="5" s="1"/>
  <c r="E18" i="5"/>
  <c r="F18" i="5" s="1"/>
  <c r="E83" i="5"/>
  <c r="E90" i="5"/>
  <c r="D28" i="1"/>
  <c r="D30" i="1" l="1"/>
  <c r="E30" i="5" s="1"/>
  <c r="E28" i="5"/>
  <c r="D32" i="1" l="1"/>
  <c r="E32" i="5" l="1"/>
  <c r="D42" i="1"/>
  <c r="D53" i="1" l="1"/>
  <c r="E42" i="5"/>
  <c r="D39" i="1" l="1"/>
  <c r="E39" i="5" s="1"/>
  <c r="E53" i="5"/>
</calcChain>
</file>

<file path=xl/comments1.xml><?xml version="1.0" encoding="utf-8"?>
<comments xmlns="http://schemas.openxmlformats.org/spreadsheetml/2006/main">
  <authors>
    <author>sjckrobi</author>
  </authors>
  <commentList>
    <comment ref="M132" authorId="0">
      <text>
        <r>
          <rPr>
            <b/>
            <sz val="9"/>
            <color indexed="81"/>
            <rFont val="Tahoma"/>
            <family val="2"/>
          </rPr>
          <t>sjckrobi:</t>
        </r>
        <r>
          <rPr>
            <sz val="9"/>
            <color indexed="81"/>
            <rFont val="Tahoma"/>
            <family val="2"/>
          </rPr>
          <t xml:space="preserve">
all tea sellers have low margins (there are too many)
</t>
        </r>
      </text>
    </comment>
    <comment ref="Q132" authorId="0">
      <text>
        <r>
          <rPr>
            <b/>
            <sz val="9"/>
            <color indexed="81"/>
            <rFont val="Tahoma"/>
            <family val="2"/>
          </rPr>
          <t>sjckrobi:</t>
        </r>
        <r>
          <rPr>
            <sz val="9"/>
            <color indexed="81"/>
            <rFont val="Tahoma"/>
            <family val="2"/>
          </rPr>
          <t xml:space="preserve">
sjckrobi:
all tea sellers have low margins (there are too many)
</t>
        </r>
      </text>
    </comment>
    <comment ref="R132" authorId="0">
      <text>
        <r>
          <rPr>
            <b/>
            <sz val="9"/>
            <color indexed="81"/>
            <rFont val="Tahoma"/>
            <family val="2"/>
          </rPr>
          <t>sjckrobi:</t>
        </r>
        <r>
          <rPr>
            <sz val="9"/>
            <color indexed="81"/>
            <rFont val="Tahoma"/>
            <family val="2"/>
          </rPr>
          <t xml:space="preserve">
sjckrobi:
all tea sellers have low margins (there are too many)
</t>
        </r>
      </text>
    </comment>
    <comment ref="S132" authorId="0">
      <text>
        <r>
          <rPr>
            <b/>
            <sz val="9"/>
            <color indexed="81"/>
            <rFont val="Tahoma"/>
            <family val="2"/>
          </rPr>
          <t>sjckrobi:</t>
        </r>
        <r>
          <rPr>
            <sz val="9"/>
            <color indexed="81"/>
            <rFont val="Tahoma"/>
            <family val="2"/>
          </rPr>
          <t xml:space="preserve">
sjckrobi:
all tea sellers have low margins (there are too many)
</t>
        </r>
      </text>
    </comment>
  </commentList>
</comments>
</file>

<file path=xl/sharedStrings.xml><?xml version="1.0" encoding="utf-8"?>
<sst xmlns="http://schemas.openxmlformats.org/spreadsheetml/2006/main" count="656" uniqueCount="276">
  <si>
    <t>Assets</t>
  </si>
  <si>
    <t>Cash and cash equivalents</t>
  </si>
  <si>
    <t>Inventories</t>
  </si>
  <si>
    <t>Goodwill</t>
  </si>
  <si>
    <t>Deferred tax asset</t>
  </si>
  <si>
    <t>Intangible assets</t>
  </si>
  <si>
    <t>Mortgage loans</t>
  </si>
  <si>
    <t>Liabilities</t>
  </si>
  <si>
    <t>Consumer deposits</t>
  </si>
  <si>
    <t>Total current liabilities</t>
  </si>
  <si>
    <t>Long-term debt</t>
  </si>
  <si>
    <t>Statement of Operations</t>
  </si>
  <si>
    <t>Revenue</t>
  </si>
  <si>
    <t>Revenue from operating activities</t>
  </si>
  <si>
    <t>Revenue from interest</t>
  </si>
  <si>
    <t>Costs and expenses</t>
  </si>
  <si>
    <t>Cost of goods sold</t>
  </si>
  <si>
    <t>Provision for loan loss</t>
  </si>
  <si>
    <t>Other operating expenses</t>
  </si>
  <si>
    <t>Income (loss) from operations</t>
  </si>
  <si>
    <t>Other income (expense)</t>
  </si>
  <si>
    <t>Income before taxes</t>
  </si>
  <si>
    <t>Net Income</t>
  </si>
  <si>
    <t>Consolidated Statement of Cash Flows</t>
  </si>
  <si>
    <t>Cash from operating activities</t>
  </si>
  <si>
    <t>Provision for loan losses</t>
  </si>
  <si>
    <t>Stock-based compensation</t>
  </si>
  <si>
    <t>Increase (decrease) in assets</t>
  </si>
  <si>
    <t>Decrease (increase) in accounts recievable</t>
  </si>
  <si>
    <t>Increase (decrease) in accounts payable</t>
  </si>
  <si>
    <t>Decrease (increase) in Inventories</t>
  </si>
  <si>
    <t>Additions to unearned revenue</t>
  </si>
  <si>
    <t>Net cash flows from operating activities</t>
  </si>
  <si>
    <t>Cash flows from investing activities</t>
  </si>
  <si>
    <t>Sale (purchase) of fixed assets</t>
  </si>
  <si>
    <t>Cash flows from financing activities</t>
  </si>
  <si>
    <t>Repurchase of common stock</t>
  </si>
  <si>
    <t>Proceeds from exercise of stock options</t>
  </si>
  <si>
    <t>Dividend payment</t>
  </si>
  <si>
    <t>H</t>
  </si>
  <si>
    <t>B</t>
  </si>
  <si>
    <t>S</t>
  </si>
  <si>
    <t>P</t>
  </si>
  <si>
    <t>A</t>
  </si>
  <si>
    <t>R</t>
  </si>
  <si>
    <t>V</t>
  </si>
  <si>
    <t>D</t>
  </si>
  <si>
    <t>E</t>
  </si>
  <si>
    <t>U</t>
  </si>
  <si>
    <t>Intangible Assets</t>
  </si>
  <si>
    <t>Pays dividend</t>
  </si>
  <si>
    <t>share buyback</t>
  </si>
  <si>
    <t>Random Index for Puzzle Page List</t>
  </si>
  <si>
    <t>Index</t>
  </si>
  <si>
    <t>URL</t>
  </si>
  <si>
    <t>Company</t>
  </si>
  <si>
    <t>Description</t>
  </si>
  <si>
    <t>Mechanism</t>
  </si>
  <si>
    <t>Notes</t>
  </si>
  <si>
    <t>2A</t>
  </si>
  <si>
    <t>Ebony &amp; Birch</t>
  </si>
  <si>
    <t>Gryphon's very popular shoe polish shop, specializing in blacking and whiting.  The shop has been operating for as long as most people can remember, out of a single location near a well-visited park that Gryphon inherited from his father.</t>
  </si>
  <si>
    <t>Single customer shop.  Low margins, high COGS, high industry turnover.  Rent comparable to Magnanimouse's.</t>
  </si>
  <si>
    <t>hbsp.harvard.edu</t>
  </si>
  <si>
    <t>4A</t>
  </si>
  <si>
    <t>Purple Walrus</t>
  </si>
  <si>
    <t>Walrus's Oyster bar chain with several locations.  Customers include many wonderland commoners, including hedgehogs.  Flamingoes pay a small fee to stand in the oyster water. All customers are cash only.   Purple Walrus locations have not been doing well recently.</t>
  </si>
  <si>
    <t>Restaurant chain with very low COGS.  Small donation to the croquet club, high marketing expenses.  No A/R.</t>
  </si>
  <si>
    <t>Case #13024:</t>
  </si>
  <si>
    <t>1A</t>
  </si>
  <si>
    <t>Hare &amp; Rabbit</t>
  </si>
  <si>
    <t>White Rabbit's watch manufacturer: sells the highest-quality watches to select customers.  Contracts with distributors to get featured spots in customer shops.</t>
  </si>
  <si>
    <t>Manufacturer.  Low rent.  High accounts recievable.  Marketing cost.  Low inventory turnover.</t>
  </si>
  <si>
    <t>Winning the War for Talent in Emerging Markets: Why Women Are the Solution</t>
  </si>
  <si>
    <t>3A</t>
  </si>
  <si>
    <t>Rust Works and Chemical Supply</t>
  </si>
  <si>
    <t>Walrus's industrial production company.  Supplies polishes to Ebony &amp; Birch, Trains and tracks to Wonderland Travel Company, automation for warehouses and manufacturing, and other users of industrial goods.  No significant competition.</t>
  </si>
  <si>
    <t>Industrialist, monopolist.  Fat margins.</t>
  </si>
  <si>
    <t>Testsolve solution: WOMEN</t>
  </si>
  <si>
    <t>2B</t>
  </si>
  <si>
    <t>Caterpillar &amp; Son</t>
  </si>
  <si>
    <t>More industrial business, most banking online or remote.  Walrus is primary shareholder.</t>
  </si>
  <si>
    <t>high line for underwriting loans</t>
  </si>
  <si>
    <t>5B</t>
  </si>
  <si>
    <t>Magnanimouse Banking</t>
  </si>
  <si>
    <t>Known for good customer service.  Ten easily-accessible locations.</t>
  </si>
  <si>
    <t>7B</t>
  </si>
  <si>
    <t>Emerald tea leaf</t>
  </si>
  <si>
    <t>Dormouse's spinoff tea company. One location in a nice outdoor area.  Competes with Hatter &amp; Hatter.</t>
  </si>
  <si>
    <t>Customer shop. Similar to Hatter &amp; Hatter, but most numbers get divided by 4.  Rent comparable to Ebony &amp; Birch.</t>
  </si>
  <si>
    <t>1B</t>
  </si>
  <si>
    <t>Hatter &amp; Co.</t>
  </si>
  <si>
    <t>Hatter's chain of tea shops, which also sells teapots and teacups.  Known for helpful staff.  Steady business due to unbirthday parties, but operates on trust and has difficulty getting customers to pay.</t>
  </si>
  <si>
    <t>Consumer shop with high salary costs and high accounts recievable.</t>
  </si>
  <si>
    <t>6B</t>
  </si>
  <si>
    <t>Right Raven</t>
  </si>
  <si>
    <t>Hatter's furniture company, specializing in hand-made writing desks and tea tables. Each piece of wood is made by hand using traditional tools, sanded by hand, and joined using the strong double dovetail. Employees work outdoors for inspiration. Some sales are direct, some are through distributors.</t>
  </si>
  <si>
    <t>Low facility costs.  High labor costs.  A/R and cash nearly equivalent.</t>
  </si>
  <si>
    <t>3B</t>
  </si>
  <si>
    <t>First Wonderland Holding Company</t>
  </si>
  <si>
    <t>Corporate owner of Wonderland pie shop, Wonderland potion bottling company, and numerous restaurant brands acquired over the years. Owned in full by the court of the Red Queen who values the holding for its size and collects handsome dividends</t>
  </si>
  <si>
    <t>Dividends paid.  High goodwill from acquisitions.</t>
  </si>
  <si>
    <t>4B</t>
  </si>
  <si>
    <t>Travels with Turtles</t>
  </si>
  <si>
    <t>Mock Turtle's Wonderland-wide travel company. The transportation is highly dependable and provided by state-of-the-art trains. Trains run regularly regardless of demand.  Management keeps trains new by selling old trains to the Blue Diamond Croquet Club (or someone else).</t>
  </si>
  <si>
    <t>All costs are fixed. Depreciation is high, and new equipment is purchased regularly.</t>
  </si>
  <si>
    <t>1C</t>
  </si>
  <si>
    <t>Emblaze</t>
  </si>
  <si>
    <t>Cheshire cat's line of toothpaste</t>
  </si>
  <si>
    <t>High marketing costs, high intangible assets</t>
  </si>
  <si>
    <t>3C</t>
  </si>
  <si>
    <t>Blue Diamond Croquet Club</t>
  </si>
  <si>
    <t>Open croquet ground for Wonderland commoners, jointly run by the Flamingo League and Hedgehog Society, where normal croquet balls are used for play</t>
  </si>
  <si>
    <t xml:space="preserve">All income is from a donation.  </t>
  </si>
  <si>
    <t>2C</t>
  </si>
  <si>
    <t>Edgewood Gadgets</t>
  </si>
  <si>
    <t>High-growth software company serving all of Wonderland.</t>
  </si>
  <si>
    <t>High R&amp;D costs, high personnel costs.  Fast growth: large changes in cash-flow statement.</t>
  </si>
  <si>
    <t>ideas:</t>
  </si>
  <si>
    <t xml:space="preserve">make Walrus an industrialist … give him a steel plant.  </t>
  </si>
  <si>
    <t>Sells tobacco produced by Caterpillar Farms by mail order. Warehouses are automated.</t>
  </si>
  <si>
    <t>Distribution company.  Low salary &amp; benefits costs, high capital goods costs.</t>
  </si>
  <si>
    <t>also give him a consumer shop, but make it a pyramid scheme and use lots of tax credits.</t>
  </si>
  <si>
    <t>Use "intangible assets" where a brand is important.</t>
  </si>
  <si>
    <t>goodwill -- acquisitions</t>
  </si>
  <si>
    <t>dividends paid</t>
  </si>
  <si>
    <t>sewage treatment company that also sells effluent to area oysters.  Makes a donation to the save-an-oyster foundation.</t>
  </si>
  <si>
    <t>bank</t>
  </si>
  <si>
    <t>Letter to encode</t>
  </si>
  <si>
    <t>Real ordering:</t>
  </si>
  <si>
    <t>Size: 1 - 3</t>
  </si>
  <si>
    <t>Rental costs</t>
  </si>
  <si>
    <t>Mfg: 0 - 2 (1 is some mfg)</t>
  </si>
  <si>
    <t>Debt-financed</t>
  </si>
  <si>
    <t>Bank: consumer deposits, higher interest</t>
  </si>
  <si>
    <t>Bank with credit card &amp; low interest</t>
  </si>
  <si>
    <t>C</t>
  </si>
  <si>
    <t>high margin</t>
  </si>
  <si>
    <t>margin</t>
  </si>
  <si>
    <t>low margin</t>
  </si>
  <si>
    <t>days inv / AR / AP</t>
  </si>
  <si>
    <t>high days inv / AR / AP</t>
  </si>
  <si>
    <t>low days inv / AR / AP</t>
  </si>
  <si>
    <t>high cash / assets / legal fees</t>
  </si>
  <si>
    <t>depreciation</t>
  </si>
  <si>
    <t>depr / fixed assets</t>
  </si>
  <si>
    <t>large revenue</t>
  </si>
  <si>
    <t>med revenue</t>
  </si>
  <si>
    <t>low revenue</t>
  </si>
  <si>
    <t>magic number</t>
  </si>
  <si>
    <t>fixed assets / revenue</t>
  </si>
  <si>
    <t>high fixed assets / revenue</t>
  </si>
  <si>
    <t>gross margin</t>
  </si>
  <si>
    <t>net margin</t>
  </si>
  <si>
    <t>high</t>
  </si>
  <si>
    <t>low</t>
  </si>
  <si>
    <t>interest</t>
  </si>
  <si>
    <t>slow</t>
  </si>
  <si>
    <t>slow depr / fixed assets</t>
  </si>
  <si>
    <t>fast depr / fixed assets</t>
  </si>
  <si>
    <t>operating margin</t>
  </si>
  <si>
    <t>salary costs</t>
  </si>
  <si>
    <t>salary / costs</t>
  </si>
  <si>
    <t>high salary / costs</t>
  </si>
  <si>
    <t>low salary / costs</t>
  </si>
  <si>
    <t>growth</t>
  </si>
  <si>
    <t>growing</t>
  </si>
  <si>
    <t>receivables days</t>
  </si>
  <si>
    <t>payables days</t>
  </si>
  <si>
    <t>inventory days</t>
  </si>
  <si>
    <t>dye</t>
  </si>
  <si>
    <t>gears</t>
  </si>
  <si>
    <t>R&amp;D cost</t>
  </si>
  <si>
    <t>marketing cost</t>
  </si>
  <si>
    <t>calc</t>
  </si>
  <si>
    <t>low interest</t>
  </si>
  <si>
    <t>very low interest</t>
  </si>
  <si>
    <t>high interest</t>
  </si>
  <si>
    <t>Red herring letter to encode</t>
  </si>
  <si>
    <t>T</t>
  </si>
  <si>
    <t>X</t>
  </si>
  <si>
    <t>F</t>
  </si>
  <si>
    <t>O</t>
  </si>
  <si>
    <t>M</t>
  </si>
  <si>
    <t>I</t>
  </si>
  <si>
    <t>N</t>
  </si>
  <si>
    <t>G</t>
  </si>
  <si>
    <t>x</t>
  </si>
  <si>
    <t>invested capital / fixed assets / PP&amp;E</t>
  </si>
  <si>
    <t>dye days inv / AR / AP</t>
  </si>
  <si>
    <t>gears days inv / AR / AP</t>
  </si>
  <si>
    <t>high marketing cost (% revenue)</t>
  </si>
  <si>
    <t>low marketing cost (% revenue)</t>
  </si>
  <si>
    <t>check this .. Need to tax EBIT?</t>
  </si>
  <si>
    <t>Occupancy costs</t>
  </si>
  <si>
    <t>Other OpEx / revenue</t>
  </si>
  <si>
    <t>0m</t>
  </si>
  <si>
    <t>0u</t>
  </si>
  <si>
    <t>0s</t>
  </si>
  <si>
    <t>0h</t>
  </si>
  <si>
    <t>Statement of Assets \&amp; Liabilities</t>
  </si>
  <si>
    <t>Total Liabilities \&amp; Stockholders' Equity</t>
  </si>
  <si>
    <t>shop</t>
  </si>
  <si>
    <t>Inventory</t>
  </si>
  <si>
    <t>Low equipment: operates out of someone's house.</t>
  </si>
  <si>
    <t>small</t>
  </si>
  <si>
    <t>Interest expense</t>
  </si>
  <si>
    <t>Walrus tricks oysters into coming in for free.</t>
  </si>
  <si>
    <t>\mybox{Revenue from fees}</t>
  </si>
  <si>
    <t>Credit card fees</t>
  </si>
  <si>
    <t>Consumer loans</t>
  </si>
  <si>
    <t>one time legal payment</t>
  </si>
  <si>
    <t>one time legal award</t>
  </si>
  <si>
    <t>Chess set development</t>
  </si>
  <si>
    <t>Property \&amp; fixed assets</t>
  </si>
  <si>
    <t>Current portion of long-term loan assets</t>
  </si>
  <si>
    <t>Proceeds from issuance (repurchase) of long-term debt</t>
  </si>
  <si>
    <t>Deposits</t>
  </si>
  <si>
    <t>Loan assets</t>
  </si>
  <si>
    <t>Other revenue</t>
  </si>
  <si>
    <t>random number</t>
  </si>
  <si>
    <t>Purchases of treasury shares</t>
  </si>
  <si>
    <t>Purchase of financial assets</t>
  </si>
  <si>
    <t>Interest paid</t>
  </si>
  <si>
    <t>Depreciation is 1/100 fixed assets</t>
  </si>
  <si>
    <t>Depreciation is 1/20 fixed assets</t>
  </si>
  <si>
    <t>Investing in its own growth</t>
  </si>
  <si>
    <t>fast</t>
  </si>
  <si>
    <t>Depreciation years</t>
  </si>
  <si>
    <t>(fixed assets) / depreciation</t>
  </si>
  <si>
    <t>New debt incurred (repayed)</t>
  </si>
  <si>
    <t>Court upkeep</t>
  </si>
  <si>
    <t>experimentation</t>
  </si>
  <si>
    <t>Tea combination development</t>
  </si>
  <si>
    <t>Brand value</t>
  </si>
  <si>
    <t>Guards keep income low since it'd go to the Queen</t>
  </si>
  <si>
    <t>Manufacturing inventory</t>
  </si>
  <si>
    <t>Net cash flows from financing activities</t>
  </si>
  <si>
    <t>Net cash flows from investing activities</t>
  </si>
  <si>
    <t>Depreciation \&amp; amortization</t>
  </si>
  <si>
    <t>Research \&amp; development</t>
  </si>
  <si>
    <t>Salary and benefits</t>
  </si>
  <si>
    <t>Total revenue</t>
  </si>
  <si>
    <t>Advertising and marketing costs</t>
  </si>
  <si>
    <t>Total operating expenses</t>
  </si>
  <si>
    <t>Net income</t>
  </si>
  <si>
    <t>Cash and cash equivalents: beginning of period</t>
  </si>
  <si>
    <t>Cash and cash equivalents: end of period</t>
  </si>
  <si>
    <t>Current assets</t>
  </si>
  <si>
    <t>Accounts receivable</t>
  </si>
  <si>
    <t>Material inventory</t>
  </si>
  <si>
    <t>Finished goods inventory</t>
  </si>
  <si>
    <t>Total current assets</t>
  </si>
  <si>
    <t>Other assets</t>
  </si>
  <si>
    <t>Total assets</t>
  </si>
  <si>
    <t>Accounts payable</t>
  </si>
  <si>
    <t>Total liabilities</t>
  </si>
  <si>
    <t>Common stock</t>
  </si>
  <si>
    <t>Receivables days (days sales outstanding)</t>
  </si>
  <si>
    <t>Payables days</t>
  </si>
  <si>
    <t>Inventory days</t>
  </si>
  <si>
    <t>Income taxes paid</t>
  </si>
  <si>
    <t>Stockholders' equity</t>
  </si>
  <si>
    <t>(Accounts receivable) / (Revenue/365)</t>
  </si>
  <si>
    <t>(Accounts payable) / (operating expenses / 365)</t>
  </si>
  <si>
    <t>(Inventory) / (COGS per day)</t>
  </si>
  <si>
    <t>Current portion of debt</t>
  </si>
  <si>
    <t>Banking fees</t>
  </si>
  <si>
    <t>Special payment to small business owner</t>
  </si>
  <si>
    <t>Purple Walrus ``Fee'' returned to Walrus</t>
  </si>
  <si>
    <t>Untaxed revenue passed through Walrus's bank</t>
  </si>
  <si>
    <t>Deferred tax claimed (to offset future taxes)</t>
  </si>
  <si>
    <t>Cash to Red Queen</t>
  </si>
  <si>
    <t>Goodwill \&amp; Intangible assets</t>
  </si>
  <si>
    <t>One-time settlement in legal dispute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</si>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</sst>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9" x14ac:knownFonts="1">
    <font>
      <sz val="11"/>
      <color theme="1"/>
      <name val="Calibri"/>
      <family val="2"/>
      <scheme val="minor"/>
    </font>
    <font>
      <b/>
      <sz val="11"/>
      <color theme="1"/>
      <name val="Calibri"/>
      <family val="2"/>
      <scheme val="minor"/>
    </font>
    <font>
      <sz val="11"/>
      <name val="Calibri"/>
      <family val="2"/>
      <scheme val="minor"/>
    </font>
    <font>
      <sz val="11"/>
      <color theme="3" tint="-0.249977111117893"/>
      <name val="Calibri"/>
      <family val="2"/>
      <scheme val="minor"/>
    </font>
    <font>
      <sz val="11"/>
      <color theme="4" tint="-0.249977111117893"/>
      <name val="Calibri"/>
      <family val="2"/>
      <scheme val="minor"/>
    </font>
    <font>
      <sz val="11"/>
      <color theme="0" tint="-0.34998626667073579"/>
      <name val="Calibri"/>
      <family val="2"/>
      <scheme val="minor"/>
    </font>
    <font>
      <u/>
      <sz val="11"/>
      <color theme="10"/>
      <name val="Calibri"/>
      <family val="2"/>
    </font>
    <font>
      <sz val="11"/>
      <color theme="1"/>
      <name val="Arial"/>
      <family val="2"/>
    </font>
    <font>
      <b/>
      <sz val="11"/>
      <color rgb="FF000000"/>
      <name val="Arial"/>
      <family val="2"/>
    </font>
    <font>
      <b/>
      <sz val="10"/>
      <color rgb="FF000000"/>
      <name val="Arial"/>
      <family val="2"/>
    </font>
    <font>
      <b/>
      <sz val="11"/>
      <color theme="1"/>
      <name val="Arial"/>
      <family val="2"/>
    </font>
    <font>
      <b/>
      <sz val="10"/>
      <color theme="1"/>
      <name val="Arial"/>
      <family val="2"/>
    </font>
    <font>
      <sz val="11"/>
      <color rgb="FF000000"/>
      <name val="Arial"/>
      <family val="2"/>
    </font>
    <font>
      <sz val="10"/>
      <color rgb="FF000000"/>
      <name val="Arial"/>
      <family val="2"/>
    </font>
    <font>
      <sz val="10"/>
      <color theme="1"/>
      <name val="Arial"/>
      <family val="2"/>
    </font>
    <font>
      <sz val="9"/>
      <color indexed="81"/>
      <name val="Tahoma"/>
      <family val="2"/>
    </font>
    <font>
      <b/>
      <sz val="9"/>
      <color indexed="81"/>
      <name val="Tahoma"/>
      <family val="2"/>
    </font>
    <font>
      <sz val="11"/>
      <color theme="3"/>
      <name val="Calibri"/>
      <family val="2"/>
      <scheme val="minor"/>
    </font>
    <font>
      <sz val="11"/>
      <color rgb="FF00B050"/>
      <name val="Calibri"/>
      <family val="2"/>
      <scheme val="minor"/>
    </font>
    <font>
      <sz val="11"/>
      <color theme="4"/>
      <name val="Calibri"/>
      <family val="2"/>
      <scheme val="minor"/>
    </font>
    <font>
      <sz val="11"/>
      <color theme="9" tint="-0.499984740745262"/>
      <name val="Calibri"/>
      <family val="2"/>
      <scheme val="minor"/>
    </font>
    <font>
      <b/>
      <sz val="11"/>
      <color theme="9" tint="-0.499984740745262"/>
      <name val="Calibri"/>
      <family val="2"/>
      <scheme val="minor"/>
    </font>
    <font>
      <b/>
      <sz val="11"/>
      <color theme="3"/>
      <name val="Calibri"/>
      <family val="2"/>
      <scheme val="minor"/>
    </font>
    <font>
      <b/>
      <sz val="11"/>
      <color theme="3" tint="-0.249977111117893"/>
      <name val="Calibri"/>
      <family val="2"/>
      <scheme val="minor"/>
    </font>
    <font>
      <b/>
      <sz val="11"/>
      <name val="Calibri"/>
      <family val="2"/>
      <scheme val="minor"/>
    </font>
    <font>
      <b/>
      <sz val="11"/>
      <color theme="4"/>
      <name val="Calibri"/>
      <family val="2"/>
      <scheme val="minor"/>
    </font>
    <font>
      <b/>
      <sz val="11"/>
      <color theme="4" tint="-0.249977111117893"/>
      <name val="Calibri"/>
      <family val="2"/>
      <scheme val="minor"/>
    </font>
    <font>
      <b/>
      <sz val="11"/>
      <color rgb="FF00B050"/>
      <name val="Calibri"/>
      <family val="2"/>
      <scheme val="minor"/>
    </font>
    <font>
      <b/>
      <sz val="11"/>
      <color theme="3" tint="0.39997558519241921"/>
      <name val="Calibri"/>
      <family val="2"/>
      <scheme val="minor"/>
    </font>
  </fonts>
  <fills count="5">
    <fill>
      <patternFill patternType="none"/>
    </fill>
    <fill>
      <patternFill patternType="gray125"/>
    </fill>
    <fill>
      <patternFill patternType="solid">
        <fgColor theme="1"/>
        <bgColor indexed="64"/>
      </patternFill>
    </fill>
    <fill>
      <patternFill patternType="solid">
        <fgColor rgb="FFB7B7B7"/>
        <bgColor indexed="64"/>
      </patternFill>
    </fill>
    <fill>
      <patternFill patternType="solid">
        <fgColor rgb="FFFFFFFF"/>
        <bgColor indexed="64"/>
      </patternFill>
    </fill>
  </fills>
  <borders count="16">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right style="medium">
        <color rgb="FFCCCCCC"/>
      </right>
      <top/>
      <bottom style="medium">
        <color rgb="FF000000"/>
      </bottom>
      <diagonal/>
    </border>
    <border>
      <left/>
      <right style="medium">
        <color rgb="FFCCCCCC"/>
      </right>
      <top/>
      <bottom style="medium">
        <color rgb="FFCCCCCC"/>
      </bottom>
      <diagonal/>
    </border>
    <border>
      <left style="medium">
        <color rgb="FF000000"/>
      </left>
      <right style="medium">
        <color rgb="FF000000"/>
      </right>
      <top/>
      <bottom style="medium">
        <color rgb="FFCCCCCC"/>
      </bottom>
      <diagonal/>
    </border>
    <border>
      <left/>
      <right style="medium">
        <color rgb="FF000000"/>
      </right>
      <top/>
      <bottom style="medium">
        <color rgb="FFCCCCCC"/>
      </bottom>
      <diagonal/>
    </border>
    <border>
      <left/>
      <right style="medium">
        <color rgb="FF000000"/>
      </right>
      <top/>
      <bottom style="medium">
        <color rgb="FF000000"/>
      </bottom>
      <diagonal/>
    </border>
    <border>
      <left/>
      <right style="medium">
        <color rgb="FFCCCCCC"/>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80">
    <xf numFmtId="0" fontId="0" fillId="0" borderId="0" xfId="0"/>
    <xf numFmtId="0" fontId="1" fillId="0" borderId="0" xfId="0" applyFont="1"/>
    <xf numFmtId="0" fontId="0" fillId="0" borderId="0" xfId="0" applyAlignment="1">
      <alignment horizontal="left" indent="1"/>
    </xf>
    <xf numFmtId="0" fontId="3" fillId="0" borderId="0" xfId="0" applyFont="1" applyAlignment="1">
      <alignment horizontal="left"/>
    </xf>
    <xf numFmtId="0" fontId="0" fillId="0" borderId="0" xfId="0" applyAlignment="1">
      <alignment horizontal="left"/>
    </xf>
    <xf numFmtId="0" fontId="3" fillId="0" borderId="0" xfId="0" applyFont="1" applyAlignment="1">
      <alignment horizontal="left" indent="1"/>
    </xf>
    <xf numFmtId="0" fontId="0" fillId="2" borderId="0" xfId="0" applyFill="1"/>
    <xf numFmtId="0" fontId="0" fillId="0" borderId="0" xfId="0" applyFont="1" applyAlignment="1">
      <alignment horizontal="left" indent="1"/>
    </xf>
    <xf numFmtId="0" fontId="2" fillId="0" borderId="0" xfId="0" applyFont="1" applyAlignment="1">
      <alignment horizontal="left" indent="1"/>
    </xf>
    <xf numFmtId="0" fontId="4" fillId="0" borderId="0" xfId="0" applyFont="1" applyAlignment="1">
      <alignment horizontal="left"/>
    </xf>
    <xf numFmtId="0" fontId="4" fillId="0" borderId="0" xfId="0" applyFont="1"/>
    <xf numFmtId="0" fontId="5" fillId="0" borderId="0" xfId="0" applyFont="1" applyAlignment="1">
      <alignment horizontal="left" indent="1"/>
    </xf>
    <xf numFmtId="0" fontId="6" fillId="0" borderId="0" xfId="1" applyAlignment="1" applyProtection="1"/>
    <xf numFmtId="0" fontId="5" fillId="0" borderId="0" xfId="0" applyFont="1"/>
    <xf numFmtId="0" fontId="8" fillId="3" borderId="1" xfId="0" applyFont="1" applyFill="1" applyBorder="1" applyAlignment="1">
      <alignment horizontal="left" wrapText="1" readingOrder="1"/>
    </xf>
    <xf numFmtId="0" fontId="9" fillId="3" borderId="2" xfId="0" applyFont="1" applyFill="1" applyBorder="1" applyAlignment="1">
      <alignment horizontal="left" wrapText="1" readingOrder="1"/>
    </xf>
    <xf numFmtId="0" fontId="10" fillId="3" borderId="2" xfId="0" applyFont="1" applyFill="1" applyBorder="1" applyAlignment="1">
      <alignment wrapText="1"/>
    </xf>
    <xf numFmtId="0" fontId="11" fillId="3" borderId="2" xfId="0" applyFont="1" applyFill="1" applyBorder="1" applyAlignment="1">
      <alignment wrapText="1"/>
    </xf>
    <xf numFmtId="0" fontId="7" fillId="4" borderId="3" xfId="0" applyFont="1" applyFill="1" applyBorder="1" applyAlignment="1">
      <alignment wrapText="1"/>
    </xf>
    <xf numFmtId="0" fontId="7" fillId="4" borderId="4" xfId="0" applyFont="1" applyFill="1" applyBorder="1" applyAlignment="1">
      <alignment wrapText="1"/>
    </xf>
    <xf numFmtId="0" fontId="7" fillId="4" borderId="5" xfId="0" applyFont="1" applyFill="1" applyBorder="1" applyAlignment="1">
      <alignment wrapText="1"/>
    </xf>
    <xf numFmtId="0" fontId="7" fillId="4" borderId="6" xfId="0" applyFont="1" applyFill="1" applyBorder="1" applyAlignment="1">
      <alignment wrapText="1"/>
    </xf>
    <xf numFmtId="0" fontId="7" fillId="4" borderId="7" xfId="0" applyFont="1" applyFill="1" applyBorder="1" applyAlignment="1">
      <alignment wrapText="1"/>
    </xf>
    <xf numFmtId="0" fontId="12" fillId="4" borderId="6" xfId="0" applyFont="1" applyFill="1" applyBorder="1" applyAlignment="1">
      <alignment horizontal="right" wrapText="1"/>
    </xf>
    <xf numFmtId="0" fontId="13" fillId="0" borderId="5" xfId="0" applyFont="1" applyBorder="1" applyAlignment="1">
      <alignment horizontal="right" wrapText="1"/>
    </xf>
    <xf numFmtId="0" fontId="13" fillId="0" borderId="5" xfId="0" applyFont="1" applyBorder="1" applyAlignment="1">
      <alignment horizontal="left" wrapText="1" readingOrder="1"/>
    </xf>
    <xf numFmtId="0" fontId="14" fillId="0" borderId="7" xfId="0" applyFont="1" applyBorder="1" applyAlignment="1">
      <alignment wrapText="1"/>
    </xf>
    <xf numFmtId="0" fontId="14" fillId="0" borderId="5" xfId="0" applyFont="1" applyBorder="1" applyAlignment="1">
      <alignment wrapText="1"/>
    </xf>
    <xf numFmtId="0" fontId="6" fillId="0" borderId="5" xfId="1" applyBorder="1" applyAlignment="1" applyProtection="1">
      <alignment horizontal="left" wrapText="1" readingOrder="1"/>
    </xf>
    <xf numFmtId="0" fontId="7" fillId="4" borderId="8" xfId="0" applyFont="1" applyFill="1" applyBorder="1" applyAlignment="1">
      <alignment wrapText="1"/>
    </xf>
    <xf numFmtId="0" fontId="12" fillId="4" borderId="6" xfId="0" applyFont="1" applyFill="1" applyBorder="1" applyAlignment="1">
      <alignment horizontal="left" wrapText="1"/>
    </xf>
    <xf numFmtId="0" fontId="13" fillId="0" borderId="5" xfId="0" applyFont="1" applyBorder="1" applyAlignment="1">
      <alignment horizontal="left" wrapText="1"/>
    </xf>
    <xf numFmtId="0" fontId="0" fillId="0" borderId="0" xfId="0" applyAlignment="1">
      <alignment wrapText="1"/>
    </xf>
    <xf numFmtId="0" fontId="13" fillId="0" borderId="7" xfId="0" applyFont="1" applyBorder="1" applyAlignment="1">
      <alignment horizontal="left" wrapText="1" readingOrder="1"/>
    </xf>
    <xf numFmtId="0" fontId="12" fillId="4" borderId="6" xfId="0" applyFont="1" applyFill="1" applyBorder="1" applyAlignment="1">
      <alignment horizontal="right" wrapText="1" readingOrder="1"/>
    </xf>
    <xf numFmtId="0" fontId="13" fillId="4" borderId="5" xfId="0" applyFont="1" applyFill="1" applyBorder="1" applyAlignment="1">
      <alignment horizontal="right" wrapText="1" readingOrder="1"/>
    </xf>
    <xf numFmtId="0" fontId="13" fillId="4" borderId="5" xfId="0" applyFont="1" applyFill="1" applyBorder="1" applyAlignment="1">
      <alignment horizontal="left" wrapText="1" readingOrder="1"/>
    </xf>
    <xf numFmtId="0" fontId="13" fillId="4" borderId="7" xfId="0" applyFont="1" applyFill="1" applyBorder="1" applyAlignment="1">
      <alignment horizontal="left" wrapText="1" readingOrder="1"/>
    </xf>
    <xf numFmtId="0" fontId="14" fillId="4" borderId="5" xfId="0" applyFont="1" applyFill="1" applyBorder="1" applyAlignment="1">
      <alignment wrapText="1"/>
    </xf>
    <xf numFmtId="0" fontId="13" fillId="0" borderId="9" xfId="0" applyFont="1" applyFill="1" applyBorder="1" applyAlignment="1">
      <alignment horizontal="left" wrapText="1" readingOrder="1"/>
    </xf>
    <xf numFmtId="0" fontId="14" fillId="0" borderId="4" xfId="0" applyFont="1" applyBorder="1" applyAlignment="1">
      <alignment wrapText="1"/>
    </xf>
    <xf numFmtId="0" fontId="14" fillId="0" borderId="8" xfId="0" applyFont="1" applyBorder="1" applyAlignment="1">
      <alignment wrapText="1"/>
    </xf>
    <xf numFmtId="0" fontId="1" fillId="0" borderId="10" xfId="0" applyFont="1" applyBorder="1"/>
    <xf numFmtId="0" fontId="1" fillId="0" borderId="11" xfId="0" applyFont="1" applyBorder="1"/>
    <xf numFmtId="0" fontId="0" fillId="0" borderId="12" xfId="0" applyBorder="1"/>
    <xf numFmtId="0" fontId="0" fillId="0" borderId="13" xfId="0" applyBorder="1"/>
    <xf numFmtId="0" fontId="0" fillId="0" borderId="14" xfId="0" applyBorder="1"/>
    <xf numFmtId="0" fontId="0" fillId="0" borderId="15" xfId="0" applyBorder="1"/>
    <xf numFmtId="10" fontId="0" fillId="0" borderId="13" xfId="0" applyNumberFormat="1" applyBorder="1"/>
    <xf numFmtId="9" fontId="0" fillId="0" borderId="13" xfId="0" applyNumberFormat="1" applyBorder="1"/>
    <xf numFmtId="0" fontId="17" fillId="0" borderId="0" xfId="0" applyFont="1" applyAlignment="1">
      <alignment horizontal="left" indent="1"/>
    </xf>
    <xf numFmtId="0" fontId="17" fillId="0" borderId="0" xfId="0" applyFont="1"/>
    <xf numFmtId="0" fontId="17" fillId="0" borderId="0" xfId="0" applyFont="1" applyAlignment="1">
      <alignment horizontal="left"/>
    </xf>
    <xf numFmtId="0" fontId="18" fillId="0" borderId="0" xfId="0" applyFont="1"/>
    <xf numFmtId="0" fontId="19" fillId="0" borderId="0" xfId="0" applyFont="1" applyAlignment="1">
      <alignment horizontal="left" indent="1"/>
    </xf>
    <xf numFmtId="0" fontId="19" fillId="0" borderId="0" xfId="0" applyFont="1"/>
    <xf numFmtId="0" fontId="19" fillId="0" borderId="0" xfId="0" applyFont="1" applyAlignment="1">
      <alignment horizontal="left"/>
    </xf>
    <xf numFmtId="164" fontId="0" fillId="0" borderId="0" xfId="0" applyNumberFormat="1"/>
    <xf numFmtId="0" fontId="20" fillId="0" borderId="0" xfId="0" applyFont="1"/>
    <xf numFmtId="0" fontId="20" fillId="2" borderId="0" xfId="0" applyFont="1" applyFill="1"/>
    <xf numFmtId="164" fontId="20" fillId="0" borderId="0" xfId="0" applyNumberFormat="1" applyFont="1"/>
    <xf numFmtId="3" fontId="20" fillId="0" borderId="0" xfId="0" applyNumberFormat="1" applyFont="1"/>
    <xf numFmtId="3" fontId="17" fillId="0" borderId="0" xfId="0" applyNumberFormat="1" applyFont="1"/>
    <xf numFmtId="0" fontId="21" fillId="0" borderId="0" xfId="0" applyFont="1"/>
    <xf numFmtId="0" fontId="20" fillId="0" borderId="0" xfId="0" applyFont="1" applyAlignment="1">
      <alignment horizontal="left" indent="1"/>
    </xf>
    <xf numFmtId="0" fontId="1" fillId="0" borderId="0" xfId="0" applyFont="1" applyAlignment="1">
      <alignment horizontal="left" indent="1"/>
    </xf>
    <xf numFmtId="0" fontId="22" fillId="0" borderId="0" xfId="0" applyFont="1"/>
    <xf numFmtId="0" fontId="22" fillId="0" borderId="0" xfId="0" applyFont="1" applyAlignment="1">
      <alignment horizontal="left" indent="1"/>
    </xf>
    <xf numFmtId="0" fontId="25" fillId="0" borderId="0" xfId="0" applyFont="1" applyAlignment="1">
      <alignment horizontal="left" indent="1"/>
    </xf>
    <xf numFmtId="0" fontId="25" fillId="0" borderId="0" xfId="0" applyFont="1" applyAlignment="1">
      <alignment horizontal="left"/>
    </xf>
    <xf numFmtId="0" fontId="26" fillId="0" borderId="0" xfId="0" applyFont="1"/>
    <xf numFmtId="0" fontId="0" fillId="0" borderId="0" xfId="0" applyFont="1"/>
    <xf numFmtId="0" fontId="0" fillId="0" borderId="0" xfId="0" applyFont="1" applyAlignment="1">
      <alignment horizontal="left"/>
    </xf>
    <xf numFmtId="0" fontId="22" fillId="0" borderId="0" xfId="0" applyFont="1" applyAlignment="1">
      <alignment horizontal="left"/>
    </xf>
    <xf numFmtId="0" fontId="23" fillId="0" borderId="0" xfId="0" applyFont="1"/>
    <xf numFmtId="0" fontId="27" fillId="0" borderId="0" xfId="0" applyFont="1" applyAlignment="1">
      <alignment horizontal="left"/>
    </xf>
    <xf numFmtId="0" fontId="22" fillId="0" borderId="0" xfId="0" applyFont="1" applyAlignment="1">
      <alignment horizontal="left" indent="2"/>
    </xf>
    <xf numFmtId="0" fontId="28" fillId="0" borderId="0" xfId="0" applyFont="1" applyAlignment="1">
      <alignment horizontal="left" indent="2"/>
    </xf>
    <xf numFmtId="0" fontId="24" fillId="0" borderId="0" xfId="0" applyFont="1" applyAlignment="1">
      <alignment horizontal="left" indent="3"/>
    </xf>
    <xf numFmtId="0" fontId="25" fillId="0" borderId="0" xfId="0"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google.com/url?q=http://hbsp.harvard.edu&amp;usd=2&amp;usg=ALhdy29bS2ZYIH9n3pG_965uMtzUbCAX0Q"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6"/>
  <sheetViews>
    <sheetView topLeftCell="A10" workbookViewId="0">
      <selection activeCell="D1" sqref="D1"/>
    </sheetView>
  </sheetViews>
  <sheetFormatPr defaultRowHeight="15" x14ac:dyDescent="0.25"/>
  <cols>
    <col min="1" max="1" width="39.5703125" customWidth="1"/>
    <col min="4" max="4" width="15.7109375" customWidth="1"/>
    <col min="5" max="5" width="43.42578125" customWidth="1"/>
    <col min="7" max="7" width="29.85546875" customWidth="1"/>
    <col min="9" max="9" width="4.140625" customWidth="1"/>
    <col min="10" max="10" width="25.5703125" customWidth="1"/>
  </cols>
  <sheetData>
    <row r="1" spans="1:18" ht="15.75" thickBot="1" x14ac:dyDescent="0.3">
      <c r="A1" s="14" t="s">
        <v>52</v>
      </c>
      <c r="B1" s="15" t="s">
        <v>53</v>
      </c>
      <c r="C1" s="15" t="s">
        <v>54</v>
      </c>
      <c r="D1" s="15" t="s">
        <v>55</v>
      </c>
      <c r="E1" s="15" t="s">
        <v>56</v>
      </c>
      <c r="F1" s="16"/>
      <c r="G1" s="15" t="s">
        <v>57</v>
      </c>
      <c r="H1" s="15" t="s">
        <v>58</v>
      </c>
      <c r="I1" s="17"/>
      <c r="J1" s="17"/>
      <c r="K1" s="17"/>
      <c r="L1" s="17"/>
      <c r="M1" s="17"/>
      <c r="N1" s="17"/>
      <c r="O1" s="17"/>
      <c r="P1" s="17"/>
      <c r="Q1" s="17"/>
      <c r="R1" s="17"/>
    </row>
    <row r="2" spans="1:18" ht="15.75" thickBot="1" x14ac:dyDescent="0.3">
      <c r="A2" s="18"/>
      <c r="B2" s="19"/>
      <c r="C2" s="19"/>
      <c r="D2" s="19"/>
      <c r="E2" s="19"/>
      <c r="F2" s="19"/>
      <c r="G2" s="19"/>
      <c r="H2" s="19"/>
      <c r="I2" s="20"/>
      <c r="J2" s="20"/>
      <c r="K2" s="20"/>
      <c r="L2" s="20"/>
      <c r="M2" s="20"/>
      <c r="N2" s="20"/>
      <c r="O2" s="20"/>
      <c r="P2" s="20"/>
      <c r="Q2" s="20"/>
      <c r="R2" s="20"/>
    </row>
    <row r="3" spans="1:18" ht="15.75" thickBot="1" x14ac:dyDescent="0.3">
      <c r="A3" s="21"/>
      <c r="B3" s="20"/>
      <c r="C3" s="20"/>
      <c r="D3" s="20"/>
      <c r="E3" s="20"/>
      <c r="F3" s="20"/>
      <c r="G3" s="20"/>
      <c r="H3" s="22"/>
      <c r="I3" s="20"/>
      <c r="J3" s="20"/>
      <c r="K3" s="20"/>
      <c r="L3" s="20"/>
      <c r="M3" s="20"/>
      <c r="N3" s="20"/>
      <c r="O3" s="20"/>
      <c r="P3" s="20"/>
      <c r="Q3" s="20"/>
      <c r="R3" s="20"/>
    </row>
    <row r="4" spans="1:18" ht="65.25" thickBot="1" x14ac:dyDescent="0.3">
      <c r="A4" s="23">
        <v>1.2</v>
      </c>
      <c r="B4" s="24" t="s">
        <v>59</v>
      </c>
      <c r="C4" s="25" t="s">
        <v>40</v>
      </c>
      <c r="D4" s="25" t="s">
        <v>60</v>
      </c>
      <c r="E4" s="25" t="s">
        <v>61</v>
      </c>
      <c r="F4" s="20"/>
      <c r="G4" s="25" t="s">
        <v>62</v>
      </c>
      <c r="H4" s="26"/>
      <c r="I4" s="27"/>
      <c r="J4" s="28" t="s">
        <v>63</v>
      </c>
      <c r="K4" s="27"/>
      <c r="L4" s="27"/>
      <c r="M4" s="27"/>
      <c r="N4" s="27"/>
      <c r="O4" s="27"/>
      <c r="P4" s="27"/>
      <c r="Q4" s="27"/>
      <c r="R4" s="27"/>
    </row>
    <row r="5" spans="1:18" ht="78" thickBot="1" x14ac:dyDescent="0.3">
      <c r="A5" s="23">
        <v>8.4</v>
      </c>
      <c r="B5" s="24" t="s">
        <v>64</v>
      </c>
      <c r="C5" s="25" t="s">
        <v>42</v>
      </c>
      <c r="D5" s="25" t="s">
        <v>65</v>
      </c>
      <c r="E5" s="25" t="s">
        <v>66</v>
      </c>
      <c r="F5" s="20"/>
      <c r="G5" s="25" t="s">
        <v>67</v>
      </c>
      <c r="H5" s="26"/>
      <c r="I5" s="27"/>
      <c r="J5" s="25" t="s">
        <v>68</v>
      </c>
      <c r="K5" s="27"/>
      <c r="L5" s="27"/>
      <c r="M5" s="27"/>
      <c r="N5" s="27"/>
      <c r="O5" s="27"/>
      <c r="P5" s="27"/>
      <c r="Q5" s="27"/>
      <c r="R5" s="27"/>
    </row>
    <row r="6" spans="1:18" ht="58.5" customHeight="1" thickBot="1" x14ac:dyDescent="0.3">
      <c r="A6" s="23">
        <v>8.1</v>
      </c>
      <c r="B6" s="24" t="s">
        <v>69</v>
      </c>
      <c r="C6" s="25" t="s">
        <v>39</v>
      </c>
      <c r="D6" s="25" t="s">
        <v>70</v>
      </c>
      <c r="E6" s="25" t="s">
        <v>71</v>
      </c>
      <c r="F6" s="20"/>
      <c r="G6" s="25" t="s">
        <v>72</v>
      </c>
      <c r="H6" s="26"/>
      <c r="I6" s="27"/>
      <c r="J6" s="25" t="s">
        <v>73</v>
      </c>
      <c r="K6" s="27"/>
      <c r="L6" s="27"/>
      <c r="M6" s="27"/>
      <c r="N6" s="27"/>
      <c r="O6" s="27"/>
      <c r="P6" s="27"/>
      <c r="Q6" s="27"/>
      <c r="R6" s="27"/>
    </row>
    <row r="7" spans="1:18" ht="67.5" customHeight="1" thickBot="1" x14ac:dyDescent="0.3">
      <c r="A7" s="23">
        <v>1.1000000000000001</v>
      </c>
      <c r="B7" s="24" t="s">
        <v>74</v>
      </c>
      <c r="C7" s="25" t="s">
        <v>41</v>
      </c>
      <c r="D7" s="25" t="s">
        <v>75</v>
      </c>
      <c r="E7" s="25" t="s">
        <v>76</v>
      </c>
      <c r="F7" s="20"/>
      <c r="G7" s="25" t="s">
        <v>77</v>
      </c>
      <c r="H7" s="26"/>
      <c r="I7" s="27"/>
      <c r="J7" s="25" t="s">
        <v>78</v>
      </c>
      <c r="K7" s="27"/>
      <c r="L7" s="27"/>
      <c r="M7" s="27"/>
      <c r="N7" s="27"/>
      <c r="O7" s="27"/>
      <c r="P7" s="27"/>
      <c r="Q7" s="27"/>
      <c r="R7" s="27"/>
    </row>
    <row r="8" spans="1:18" ht="15.75" thickBot="1" x14ac:dyDescent="0.3">
      <c r="A8" s="21"/>
      <c r="B8" s="19"/>
      <c r="C8" s="19"/>
      <c r="D8" s="19"/>
      <c r="E8" s="19"/>
      <c r="F8" s="19"/>
      <c r="G8" s="19"/>
      <c r="H8" s="29"/>
      <c r="I8" s="20"/>
      <c r="J8" s="20"/>
      <c r="K8" s="20"/>
      <c r="L8" s="20"/>
      <c r="M8" s="20"/>
      <c r="N8" s="20"/>
      <c r="O8" s="20"/>
      <c r="P8" s="20"/>
      <c r="Q8" s="20"/>
      <c r="R8" s="20"/>
    </row>
    <row r="9" spans="1:18" ht="15.75" thickBot="1" x14ac:dyDescent="0.3">
      <c r="A9" s="18"/>
      <c r="B9" s="19"/>
      <c r="C9" s="19"/>
      <c r="D9" s="19"/>
      <c r="E9" s="19"/>
      <c r="F9" s="19"/>
      <c r="G9" s="19"/>
      <c r="H9" s="19"/>
      <c r="I9" s="20"/>
      <c r="J9" s="20"/>
      <c r="K9" s="20"/>
      <c r="L9" s="20"/>
      <c r="M9" s="20"/>
      <c r="N9" s="20"/>
      <c r="O9" s="20"/>
      <c r="P9" s="20"/>
      <c r="Q9" s="20"/>
      <c r="R9" s="20"/>
    </row>
    <row r="10" spans="1:18" ht="15.75" thickBot="1" x14ac:dyDescent="0.3">
      <c r="A10" s="30"/>
      <c r="B10" s="31"/>
      <c r="C10" s="25"/>
      <c r="D10" s="25"/>
      <c r="E10" s="25"/>
      <c r="F10" s="20"/>
      <c r="G10" s="25"/>
      <c r="H10" s="26"/>
      <c r="I10" s="27"/>
      <c r="J10" s="27"/>
      <c r="K10" s="27"/>
      <c r="L10" s="27"/>
      <c r="M10" s="27"/>
      <c r="N10" s="27"/>
      <c r="O10" s="27"/>
      <c r="P10" s="27"/>
      <c r="Q10" s="27"/>
      <c r="R10" s="27"/>
    </row>
    <row r="11" spans="1:18" ht="30.75" thickBot="1" x14ac:dyDescent="0.3">
      <c r="A11" s="23">
        <v>8</v>
      </c>
      <c r="B11" s="24" t="s">
        <v>79</v>
      </c>
      <c r="C11" s="25" t="s">
        <v>43</v>
      </c>
      <c r="D11" s="25" t="s">
        <v>80</v>
      </c>
      <c r="E11" s="32" t="s">
        <v>81</v>
      </c>
      <c r="G11" t="s">
        <v>82</v>
      </c>
      <c r="H11" s="26"/>
      <c r="I11" s="27"/>
      <c r="J11" s="27"/>
      <c r="K11" s="27"/>
      <c r="L11" s="27"/>
      <c r="M11" s="27"/>
      <c r="N11" s="27"/>
      <c r="O11" s="27"/>
      <c r="P11" s="27"/>
      <c r="Q11" s="27"/>
      <c r="R11" s="27"/>
    </row>
    <row r="12" spans="1:18" ht="30.75" thickBot="1" x14ac:dyDescent="0.3">
      <c r="A12" s="23">
        <v>3.7</v>
      </c>
      <c r="B12" s="24" t="s">
        <v>83</v>
      </c>
      <c r="C12" s="25" t="s">
        <v>43</v>
      </c>
      <c r="D12" s="25" t="s">
        <v>84</v>
      </c>
      <c r="E12" s="32" t="s">
        <v>85</v>
      </c>
      <c r="H12" s="33"/>
      <c r="I12" s="27"/>
      <c r="J12" s="27"/>
      <c r="K12" s="27"/>
      <c r="L12" s="27"/>
      <c r="M12" s="27"/>
      <c r="N12" s="27"/>
      <c r="O12" s="27"/>
      <c r="P12" s="27"/>
      <c r="Q12" s="27"/>
      <c r="R12" s="27"/>
    </row>
    <row r="13" spans="1:18" ht="52.5" thickBot="1" x14ac:dyDescent="0.3">
      <c r="A13" s="23">
        <v>1.8</v>
      </c>
      <c r="B13" s="24" t="s">
        <v>86</v>
      </c>
      <c r="C13" s="25" t="s">
        <v>46</v>
      </c>
      <c r="D13" s="25" t="s">
        <v>87</v>
      </c>
      <c r="E13" s="25" t="s">
        <v>88</v>
      </c>
      <c r="F13" s="20"/>
      <c r="G13" s="25" t="s">
        <v>89</v>
      </c>
      <c r="H13" s="33"/>
      <c r="I13" s="27"/>
      <c r="J13" s="27"/>
      <c r="K13" s="27"/>
      <c r="L13" s="27"/>
      <c r="M13" s="27"/>
      <c r="N13" s="27"/>
      <c r="O13" s="27"/>
      <c r="P13" s="27"/>
      <c r="Q13" s="27"/>
      <c r="R13" s="27"/>
    </row>
    <row r="14" spans="1:18" ht="65.25" thickBot="1" x14ac:dyDescent="0.3">
      <c r="A14" s="23">
        <v>3.7</v>
      </c>
      <c r="B14" s="24" t="s">
        <v>90</v>
      </c>
      <c r="C14" s="25" t="s">
        <v>39</v>
      </c>
      <c r="D14" s="25" t="s">
        <v>91</v>
      </c>
      <c r="E14" s="25" t="s">
        <v>92</v>
      </c>
      <c r="F14" s="20"/>
      <c r="G14" s="25" t="s">
        <v>93</v>
      </c>
      <c r="H14" s="33"/>
      <c r="I14" s="27"/>
      <c r="J14" s="27"/>
      <c r="K14" s="27"/>
      <c r="L14" s="27"/>
      <c r="M14" s="27"/>
      <c r="N14" s="27"/>
      <c r="O14" s="27"/>
      <c r="P14" s="27"/>
      <c r="Q14" s="27"/>
      <c r="R14" s="27"/>
    </row>
    <row r="15" spans="1:18" ht="90.75" thickBot="1" x14ac:dyDescent="0.3">
      <c r="A15" s="34">
        <v>1.6</v>
      </c>
      <c r="B15" s="35" t="s">
        <v>94</v>
      </c>
      <c r="C15" s="36" t="s">
        <v>44</v>
      </c>
      <c r="D15" s="36" t="s">
        <v>95</v>
      </c>
      <c r="E15" s="36" t="s">
        <v>96</v>
      </c>
      <c r="F15" s="20"/>
      <c r="G15" s="36" t="s">
        <v>97</v>
      </c>
      <c r="H15" s="37"/>
      <c r="I15" s="38"/>
      <c r="J15" s="38"/>
      <c r="K15" s="38"/>
      <c r="L15" s="38"/>
      <c r="M15" s="38"/>
      <c r="N15" s="38"/>
      <c r="O15" s="38"/>
      <c r="P15" s="38"/>
      <c r="Q15" s="38"/>
      <c r="R15" s="38"/>
    </row>
    <row r="16" spans="1:18" ht="78" thickBot="1" x14ac:dyDescent="0.3">
      <c r="A16" s="23">
        <v>5.2</v>
      </c>
      <c r="B16" s="24" t="s">
        <v>98</v>
      </c>
      <c r="C16" s="25" t="s">
        <v>44</v>
      </c>
      <c r="D16" s="25" t="s">
        <v>99</v>
      </c>
      <c r="E16" s="25" t="s">
        <v>100</v>
      </c>
      <c r="F16" s="20"/>
      <c r="G16" s="39" t="s">
        <v>101</v>
      </c>
      <c r="H16" s="33"/>
      <c r="I16" s="27"/>
      <c r="J16" s="27"/>
      <c r="K16" s="27"/>
      <c r="L16" s="27"/>
      <c r="M16" s="27"/>
      <c r="N16" s="27"/>
      <c r="O16" s="27"/>
      <c r="P16" s="27"/>
      <c r="Q16" s="27"/>
      <c r="R16" s="27"/>
    </row>
    <row r="17" spans="1:18" ht="78" thickBot="1" x14ac:dyDescent="0.3">
      <c r="A17" s="23">
        <v>3.3</v>
      </c>
      <c r="B17" s="24" t="s">
        <v>102</v>
      </c>
      <c r="C17" s="25" t="s">
        <v>45</v>
      </c>
      <c r="D17" s="25" t="s">
        <v>103</v>
      </c>
      <c r="E17" s="25" t="s">
        <v>104</v>
      </c>
      <c r="F17" s="20"/>
      <c r="G17" s="25" t="s">
        <v>105</v>
      </c>
      <c r="H17" s="26"/>
      <c r="I17" s="27"/>
      <c r="J17" s="27"/>
      <c r="K17" s="27"/>
      <c r="L17" s="27"/>
      <c r="M17" s="27"/>
      <c r="N17" s="27"/>
      <c r="O17" s="27"/>
      <c r="P17" s="27"/>
      <c r="Q17" s="27"/>
      <c r="R17" s="27"/>
    </row>
    <row r="18" spans="1:18" ht="15.75" thickBot="1" x14ac:dyDescent="0.3">
      <c r="A18" s="21"/>
      <c r="B18" s="19"/>
      <c r="C18" s="19"/>
      <c r="D18" s="19"/>
      <c r="E18" s="19"/>
      <c r="F18" s="19"/>
      <c r="G18" s="19"/>
      <c r="H18" s="29"/>
      <c r="I18" s="20"/>
      <c r="J18" s="20"/>
      <c r="K18" s="20"/>
      <c r="L18" s="20"/>
      <c r="M18" s="20"/>
      <c r="N18" s="20"/>
      <c r="O18" s="20"/>
      <c r="P18" s="20"/>
      <c r="Q18" s="20"/>
      <c r="R18" s="20"/>
    </row>
    <row r="19" spans="1:18" ht="15.75" thickBot="1" x14ac:dyDescent="0.3">
      <c r="A19" s="18"/>
      <c r="B19" s="19"/>
      <c r="C19" s="19"/>
      <c r="D19" s="19"/>
      <c r="E19" s="19"/>
      <c r="F19" s="19"/>
      <c r="G19" s="19"/>
      <c r="H19" s="19"/>
      <c r="I19" s="20"/>
      <c r="J19" s="20"/>
      <c r="K19" s="20"/>
      <c r="L19" s="20"/>
      <c r="M19" s="20"/>
      <c r="N19" s="20"/>
      <c r="O19" s="20"/>
      <c r="P19" s="20"/>
      <c r="Q19" s="20"/>
      <c r="R19" s="20"/>
    </row>
    <row r="20" spans="1:18" ht="15.75" thickBot="1" x14ac:dyDescent="0.3">
      <c r="A20" s="21"/>
      <c r="B20" s="27"/>
      <c r="C20" s="27"/>
      <c r="D20" s="27"/>
      <c r="E20" s="27"/>
      <c r="F20" s="20"/>
      <c r="G20" s="27"/>
      <c r="H20" s="26"/>
      <c r="I20" s="27"/>
      <c r="J20" s="27"/>
      <c r="K20" s="27"/>
      <c r="L20" s="27"/>
      <c r="M20" s="27"/>
      <c r="N20" s="27"/>
      <c r="O20" s="27"/>
      <c r="P20" s="27"/>
      <c r="Q20" s="27"/>
      <c r="R20" s="27"/>
    </row>
    <row r="21" spans="1:18" ht="27" thickBot="1" x14ac:dyDescent="0.3">
      <c r="A21" s="23">
        <v>4.3</v>
      </c>
      <c r="B21" s="24" t="s">
        <v>106</v>
      </c>
      <c r="C21" s="25" t="s">
        <v>47</v>
      </c>
      <c r="D21" s="25" t="s">
        <v>107</v>
      </c>
      <c r="E21" s="25" t="s">
        <v>108</v>
      </c>
      <c r="F21" s="20"/>
      <c r="G21" s="27" t="s">
        <v>109</v>
      </c>
      <c r="H21" s="26"/>
      <c r="I21" s="27"/>
      <c r="J21" s="27"/>
      <c r="K21" s="27"/>
      <c r="L21" s="27"/>
      <c r="M21" s="27"/>
      <c r="N21" s="27"/>
      <c r="O21" s="27"/>
      <c r="P21" s="27"/>
      <c r="Q21" s="27"/>
      <c r="R21" s="27"/>
    </row>
    <row r="22" spans="1:18" ht="52.5" thickBot="1" x14ac:dyDescent="0.3">
      <c r="A22" s="23">
        <v>1.7</v>
      </c>
      <c r="B22" s="24" t="s">
        <v>110</v>
      </c>
      <c r="C22" s="25" t="s">
        <v>48</v>
      </c>
      <c r="D22" s="25" t="s">
        <v>111</v>
      </c>
      <c r="E22" s="25" t="s">
        <v>112</v>
      </c>
      <c r="F22" s="20"/>
      <c r="G22" s="27" t="s">
        <v>113</v>
      </c>
      <c r="H22" s="26"/>
      <c r="I22" s="27"/>
      <c r="J22" s="27"/>
      <c r="K22" s="27"/>
      <c r="L22" s="27"/>
      <c r="M22" s="27"/>
      <c r="N22" s="27"/>
      <c r="O22" s="27"/>
      <c r="P22" s="27"/>
      <c r="Q22" s="27"/>
      <c r="R22" s="27"/>
    </row>
    <row r="23" spans="1:18" ht="39.75" thickBot="1" x14ac:dyDescent="0.3">
      <c r="A23" s="23">
        <v>4.0999999999999996</v>
      </c>
      <c r="B23" s="24" t="s">
        <v>114</v>
      </c>
      <c r="C23" s="25" t="s">
        <v>46</v>
      </c>
      <c r="D23" s="25" t="s">
        <v>115</v>
      </c>
      <c r="E23" s="25" t="s">
        <v>116</v>
      </c>
      <c r="F23" s="20"/>
      <c r="G23" s="25" t="s">
        <v>117</v>
      </c>
      <c r="H23" s="26"/>
      <c r="I23" s="27"/>
      <c r="J23" s="27"/>
      <c r="K23" s="27"/>
      <c r="L23" s="27"/>
      <c r="M23" s="27"/>
      <c r="N23" s="27"/>
      <c r="O23" s="27"/>
      <c r="P23" s="27"/>
      <c r="Q23" s="27"/>
      <c r="R23" s="27"/>
    </row>
    <row r="24" spans="1:18" ht="15.75" thickBot="1" x14ac:dyDescent="0.3">
      <c r="A24" s="21"/>
      <c r="B24" s="40"/>
      <c r="C24" s="40"/>
      <c r="D24" s="40"/>
      <c r="E24" s="40"/>
      <c r="F24" s="19"/>
      <c r="G24" s="40"/>
      <c r="H24" s="41"/>
      <c r="I24" s="27"/>
      <c r="J24" s="27"/>
      <c r="K24" s="27"/>
      <c r="L24" s="27"/>
      <c r="M24" s="27"/>
      <c r="N24" s="27"/>
      <c r="O24" s="27"/>
      <c r="P24" s="27"/>
      <c r="Q24" s="27"/>
      <c r="R24" s="27"/>
    </row>
    <row r="25" spans="1:18" ht="15.75" thickBot="1" x14ac:dyDescent="0.3">
      <c r="A25" s="18"/>
      <c r="B25" s="27"/>
      <c r="C25" s="27"/>
      <c r="D25" s="27"/>
      <c r="E25" s="27"/>
      <c r="F25" s="20"/>
      <c r="G25" s="27"/>
      <c r="H25" s="27"/>
      <c r="I25" s="27"/>
      <c r="J25" s="27"/>
      <c r="K25" s="27"/>
      <c r="L25" s="27"/>
      <c r="M25" s="27"/>
      <c r="N25" s="27"/>
      <c r="O25" s="27"/>
      <c r="P25" s="27"/>
      <c r="Q25" s="27"/>
      <c r="R25" s="27"/>
    </row>
    <row r="26" spans="1:18" ht="15.75" thickBot="1" x14ac:dyDescent="0.3">
      <c r="A26" s="18" t="s">
        <v>118</v>
      </c>
      <c r="B26" s="27"/>
      <c r="C26" s="27"/>
      <c r="D26" s="27"/>
      <c r="E26" s="27"/>
      <c r="F26" s="20"/>
      <c r="G26" s="27"/>
      <c r="H26" s="27"/>
      <c r="I26" s="27"/>
      <c r="J26" s="27"/>
      <c r="K26" s="27"/>
      <c r="L26" s="27"/>
      <c r="M26" s="27"/>
      <c r="N26" s="27"/>
      <c r="O26" s="27"/>
      <c r="P26" s="27"/>
      <c r="Q26" s="27"/>
      <c r="R26" s="27"/>
    </row>
    <row r="27" spans="1:18" ht="39.75" thickBot="1" x14ac:dyDescent="0.3">
      <c r="A27" s="18" t="s">
        <v>119</v>
      </c>
      <c r="E27" s="25" t="s">
        <v>120</v>
      </c>
      <c r="F27" s="20"/>
      <c r="G27" s="25" t="s">
        <v>121</v>
      </c>
      <c r="H27" s="27"/>
      <c r="I27" s="27"/>
      <c r="J27" s="27"/>
      <c r="K27" s="27"/>
      <c r="L27" s="27"/>
      <c r="M27" s="27"/>
      <c r="N27" s="27"/>
      <c r="O27" s="27"/>
      <c r="P27" s="27"/>
      <c r="Q27" s="27"/>
      <c r="R27" s="27"/>
    </row>
    <row r="28" spans="1:18" ht="52.5" thickBot="1" x14ac:dyDescent="0.3">
      <c r="A28" s="18" t="s">
        <v>122</v>
      </c>
      <c r="B28" s="27"/>
      <c r="C28" s="27"/>
      <c r="D28" s="27"/>
      <c r="E28" s="25" t="s">
        <v>88</v>
      </c>
      <c r="F28" s="20"/>
      <c r="G28" s="25" t="s">
        <v>89</v>
      </c>
      <c r="H28" s="27"/>
      <c r="I28" s="27"/>
      <c r="J28" s="27"/>
      <c r="K28" s="27"/>
      <c r="L28" s="27"/>
      <c r="M28" s="27"/>
      <c r="N28" s="27"/>
      <c r="O28" s="27"/>
      <c r="P28" s="27"/>
      <c r="Q28" s="27"/>
      <c r="R28" s="27"/>
    </row>
    <row r="29" spans="1:18" ht="15.75" thickBot="1" x14ac:dyDescent="0.3">
      <c r="A29" s="18"/>
      <c r="B29" s="27"/>
      <c r="C29" s="27"/>
      <c r="D29" s="27"/>
      <c r="E29" s="27"/>
      <c r="F29" s="20"/>
      <c r="G29" s="27"/>
      <c r="H29" s="27"/>
      <c r="I29" s="27"/>
      <c r="J29" s="27"/>
      <c r="K29" s="27"/>
      <c r="L29" s="27"/>
      <c r="M29" s="27"/>
      <c r="N29" s="27"/>
      <c r="O29" s="27"/>
      <c r="P29" s="27"/>
      <c r="Q29" s="27"/>
      <c r="R29" s="27"/>
    </row>
    <row r="30" spans="1:18" ht="30" thickBot="1" x14ac:dyDescent="0.3">
      <c r="A30" s="18" t="s">
        <v>123</v>
      </c>
      <c r="B30" s="27"/>
      <c r="C30" s="27"/>
      <c r="D30" s="27"/>
      <c r="E30" s="27"/>
      <c r="F30" s="20"/>
      <c r="G30" s="27"/>
      <c r="H30" s="27"/>
      <c r="I30" s="27"/>
      <c r="J30" s="27"/>
      <c r="K30" s="27"/>
      <c r="L30" s="27"/>
      <c r="M30" s="27"/>
      <c r="N30" s="27"/>
      <c r="O30" s="27"/>
      <c r="P30" s="27"/>
      <c r="Q30" s="27"/>
      <c r="R30" s="27"/>
    </row>
    <row r="31" spans="1:18" ht="15.75" thickBot="1" x14ac:dyDescent="0.3">
      <c r="A31" s="18"/>
      <c r="B31" s="27"/>
      <c r="C31" s="27"/>
      <c r="D31" s="27"/>
      <c r="E31" s="27"/>
      <c r="F31" s="20"/>
      <c r="G31" s="27"/>
      <c r="H31" s="27"/>
      <c r="I31" s="27"/>
      <c r="J31" s="27"/>
      <c r="K31" s="27"/>
      <c r="L31" s="27"/>
      <c r="M31" s="27"/>
      <c r="N31" s="27"/>
      <c r="O31" s="27"/>
      <c r="P31" s="27"/>
      <c r="Q31" s="27"/>
      <c r="R31" s="27"/>
    </row>
    <row r="32" spans="1:18" ht="15.75" thickBot="1" x14ac:dyDescent="0.3">
      <c r="A32" s="18" t="s">
        <v>124</v>
      </c>
      <c r="B32" s="27"/>
      <c r="C32" s="27"/>
      <c r="D32" s="27"/>
      <c r="E32" s="27"/>
      <c r="F32" s="20"/>
      <c r="G32" s="27"/>
      <c r="H32" s="27"/>
      <c r="I32" s="27"/>
      <c r="J32" s="27"/>
      <c r="K32" s="27"/>
      <c r="L32" s="27"/>
      <c r="M32" s="27"/>
      <c r="N32" s="27"/>
      <c r="O32" s="27"/>
      <c r="P32" s="27"/>
      <c r="Q32" s="27"/>
      <c r="R32" s="27"/>
    </row>
    <row r="33" spans="1:18" ht="15.75" thickBot="1" x14ac:dyDescent="0.3">
      <c r="A33" s="18"/>
      <c r="B33" s="27"/>
      <c r="C33" s="27"/>
      <c r="D33" s="27"/>
      <c r="E33" s="27"/>
      <c r="F33" s="20"/>
      <c r="G33" s="27"/>
      <c r="H33" s="27"/>
      <c r="I33" s="27"/>
      <c r="J33" s="27"/>
      <c r="K33" s="27"/>
      <c r="L33" s="27"/>
      <c r="M33" s="27"/>
      <c r="N33" s="27"/>
      <c r="O33" s="27"/>
      <c r="P33" s="27"/>
      <c r="Q33" s="27"/>
      <c r="R33" s="27"/>
    </row>
    <row r="34" spans="1:18" ht="15.75" thickBot="1" x14ac:dyDescent="0.3">
      <c r="A34" s="18" t="s">
        <v>125</v>
      </c>
      <c r="B34" s="27"/>
      <c r="C34" s="27"/>
      <c r="D34" s="27"/>
      <c r="E34" s="27"/>
      <c r="F34" s="20"/>
      <c r="G34" s="27"/>
      <c r="H34" s="27"/>
      <c r="I34" s="27"/>
      <c r="J34" s="27"/>
      <c r="K34" s="27"/>
      <c r="L34" s="27"/>
      <c r="M34" s="27"/>
      <c r="N34" s="27"/>
      <c r="O34" s="27"/>
      <c r="P34" s="27"/>
      <c r="Q34" s="27"/>
      <c r="R34" s="27"/>
    </row>
    <row r="35" spans="1:18" ht="15.75" thickBot="1" x14ac:dyDescent="0.3">
      <c r="A35" s="18"/>
      <c r="B35" s="27"/>
      <c r="C35" s="27"/>
      <c r="D35" s="27"/>
      <c r="E35" s="27"/>
      <c r="F35" s="20"/>
      <c r="G35" s="27"/>
      <c r="H35" s="27"/>
      <c r="I35" s="27"/>
      <c r="J35" s="27"/>
      <c r="K35" s="27"/>
      <c r="L35" s="27"/>
      <c r="M35" s="27"/>
      <c r="N35" s="27"/>
      <c r="O35" s="27"/>
      <c r="P35" s="27"/>
      <c r="Q35" s="27"/>
      <c r="R35" s="27"/>
    </row>
    <row r="36" spans="1:18" ht="58.5" thickBot="1" x14ac:dyDescent="0.3">
      <c r="A36" s="18" t="s">
        <v>126</v>
      </c>
      <c r="B36" s="27"/>
      <c r="C36" s="27"/>
      <c r="D36" s="27"/>
      <c r="E36" s="27"/>
      <c r="F36" s="20"/>
      <c r="G36" s="27"/>
      <c r="H36" s="27"/>
      <c r="I36" s="27"/>
      <c r="J36" s="27"/>
      <c r="K36" s="27"/>
      <c r="L36" s="27"/>
      <c r="M36" s="27"/>
      <c r="N36" s="27"/>
      <c r="O36" s="27"/>
      <c r="P36" s="27"/>
      <c r="Q36" s="27"/>
      <c r="R36" s="27"/>
    </row>
    <row r="37" spans="1:18" ht="15.75" thickBot="1" x14ac:dyDescent="0.3">
      <c r="A37" s="18"/>
      <c r="B37" s="27"/>
      <c r="C37" s="27"/>
      <c r="D37" s="27"/>
      <c r="E37" s="27"/>
      <c r="F37" s="20"/>
      <c r="G37" s="27"/>
      <c r="H37" s="27"/>
      <c r="I37" s="27"/>
      <c r="J37" s="27"/>
      <c r="K37" s="27"/>
      <c r="L37" s="27"/>
      <c r="M37" s="27"/>
      <c r="N37" s="27"/>
      <c r="O37" s="27"/>
      <c r="P37" s="27"/>
      <c r="Q37" s="27"/>
      <c r="R37" s="27"/>
    </row>
    <row r="38" spans="1:18" ht="15.75" thickBot="1" x14ac:dyDescent="0.3">
      <c r="A38" s="18" t="s">
        <v>127</v>
      </c>
      <c r="B38" s="27"/>
      <c r="C38" s="27"/>
      <c r="D38" s="27"/>
      <c r="E38" s="27"/>
      <c r="F38" s="20"/>
      <c r="G38" s="27"/>
      <c r="H38" s="27"/>
      <c r="I38" s="27"/>
      <c r="J38" s="27"/>
      <c r="K38" s="27"/>
      <c r="L38" s="27"/>
      <c r="M38" s="27"/>
      <c r="N38" s="27"/>
      <c r="O38" s="27"/>
      <c r="P38" s="27"/>
      <c r="Q38" s="27"/>
      <c r="R38" s="27"/>
    </row>
    <row r="39" spans="1:18" ht="15.75" thickBot="1" x14ac:dyDescent="0.3">
      <c r="A39" s="18"/>
      <c r="B39" s="27"/>
      <c r="C39" s="27"/>
      <c r="D39" s="27"/>
      <c r="E39" s="27"/>
      <c r="F39" s="20"/>
      <c r="G39" s="27"/>
      <c r="H39" s="27"/>
      <c r="I39" s="27"/>
      <c r="J39" s="27"/>
      <c r="K39" s="27"/>
      <c r="L39" s="27"/>
      <c r="M39" s="27"/>
      <c r="N39" s="27"/>
      <c r="O39" s="27"/>
      <c r="P39" s="27"/>
      <c r="Q39" s="27"/>
      <c r="R39" s="27"/>
    </row>
    <row r="40" spans="1:18" ht="15.75" thickBot="1" x14ac:dyDescent="0.3">
      <c r="A40" s="18"/>
      <c r="B40" s="27"/>
      <c r="C40" s="27"/>
      <c r="D40" s="27"/>
      <c r="E40" s="27"/>
      <c r="F40" s="20"/>
      <c r="G40" s="27"/>
      <c r="H40" s="27"/>
      <c r="I40" s="27"/>
      <c r="J40" s="27"/>
      <c r="K40" s="27"/>
      <c r="L40" s="27"/>
      <c r="M40" s="27"/>
      <c r="N40" s="27"/>
      <c r="O40" s="27"/>
      <c r="P40" s="27"/>
      <c r="Q40" s="27"/>
      <c r="R40" s="27"/>
    </row>
    <row r="41" spans="1:18" ht="15.75" thickBot="1" x14ac:dyDescent="0.3">
      <c r="A41" s="18"/>
      <c r="B41" s="27"/>
      <c r="C41" s="27"/>
      <c r="D41" s="27"/>
      <c r="E41" s="27"/>
      <c r="F41" s="20"/>
      <c r="G41" s="27"/>
      <c r="H41" s="27"/>
      <c r="I41" s="27"/>
      <c r="J41" s="27"/>
      <c r="K41" s="27"/>
      <c r="L41" s="27"/>
      <c r="M41" s="27"/>
      <c r="N41" s="27"/>
      <c r="O41" s="27"/>
      <c r="P41" s="27"/>
      <c r="Q41" s="27"/>
      <c r="R41" s="27"/>
    </row>
    <row r="42" spans="1:18" ht="15.75" thickBot="1" x14ac:dyDescent="0.3">
      <c r="A42" s="18"/>
      <c r="B42" s="27"/>
      <c r="C42" s="27"/>
      <c r="D42" s="27"/>
      <c r="E42" s="27"/>
      <c r="F42" s="20"/>
      <c r="G42" s="27"/>
      <c r="H42" s="27"/>
      <c r="I42" s="27"/>
      <c r="J42" s="27"/>
      <c r="K42" s="27"/>
      <c r="L42" s="27"/>
      <c r="M42" s="27"/>
      <c r="N42" s="27"/>
      <c r="O42" s="27"/>
      <c r="P42" s="27"/>
      <c r="Q42" s="27"/>
      <c r="R42" s="27"/>
    </row>
    <row r="43" spans="1:18" ht="15.75" thickBot="1" x14ac:dyDescent="0.3">
      <c r="A43" s="18"/>
      <c r="B43" s="27"/>
      <c r="C43" s="27"/>
      <c r="D43" s="27"/>
      <c r="E43" s="27"/>
      <c r="F43" s="20"/>
      <c r="G43" s="27"/>
      <c r="H43" s="27"/>
      <c r="I43" s="27"/>
      <c r="J43" s="27"/>
      <c r="K43" s="27"/>
      <c r="L43" s="27"/>
      <c r="M43" s="27"/>
      <c r="N43" s="27"/>
      <c r="O43" s="27"/>
      <c r="P43" s="27"/>
      <c r="Q43" s="27"/>
      <c r="R43" s="27"/>
    </row>
    <row r="44" spans="1:18" ht="15.75" thickBot="1" x14ac:dyDescent="0.3">
      <c r="A44" s="18"/>
      <c r="B44" s="27"/>
      <c r="C44" s="27"/>
      <c r="D44" s="27"/>
      <c r="E44" s="27"/>
      <c r="F44" s="20"/>
      <c r="G44" s="27"/>
      <c r="H44" s="27"/>
      <c r="I44" s="27"/>
      <c r="J44" s="27"/>
      <c r="K44" s="27"/>
      <c r="L44" s="27"/>
      <c r="M44" s="27"/>
      <c r="N44" s="27"/>
      <c r="O44" s="27"/>
      <c r="P44" s="27"/>
      <c r="Q44" s="27"/>
      <c r="R44" s="27"/>
    </row>
    <row r="45" spans="1:18" ht="15.75" thickBot="1" x14ac:dyDescent="0.3">
      <c r="A45" s="18"/>
      <c r="B45" s="27"/>
      <c r="C45" s="27"/>
      <c r="D45" s="27"/>
      <c r="E45" s="27"/>
      <c r="F45" s="20"/>
      <c r="G45" s="27"/>
      <c r="H45" s="27"/>
      <c r="I45" s="27"/>
      <c r="J45" s="27"/>
      <c r="K45" s="27"/>
      <c r="L45" s="27"/>
      <c r="M45" s="27"/>
      <c r="N45" s="27"/>
      <c r="O45" s="27"/>
      <c r="P45" s="27"/>
      <c r="Q45" s="27"/>
      <c r="R45" s="27"/>
    </row>
    <row r="46" spans="1:18" ht="15.75" thickBot="1" x14ac:dyDescent="0.3">
      <c r="A46" s="18"/>
      <c r="B46" s="27"/>
      <c r="C46" s="27"/>
      <c r="D46" s="27"/>
      <c r="E46" s="27"/>
      <c r="F46" s="20"/>
      <c r="G46" s="27"/>
      <c r="H46" s="27"/>
      <c r="I46" s="27"/>
      <c r="J46" s="27"/>
      <c r="K46" s="27"/>
      <c r="L46" s="27"/>
      <c r="M46" s="27"/>
      <c r="N46" s="27"/>
      <c r="O46" s="27"/>
      <c r="P46" s="27"/>
      <c r="Q46" s="27"/>
      <c r="R46" s="27"/>
    </row>
    <row r="47" spans="1:18" ht="15.75" thickBot="1" x14ac:dyDescent="0.3">
      <c r="A47" s="18"/>
      <c r="B47" s="27"/>
      <c r="C47" s="27"/>
      <c r="D47" s="27"/>
      <c r="E47" s="27"/>
      <c r="F47" s="20"/>
      <c r="G47" s="27"/>
      <c r="H47" s="27"/>
      <c r="I47" s="27"/>
      <c r="J47" s="27"/>
      <c r="K47" s="27"/>
      <c r="L47" s="27"/>
      <c r="M47" s="27"/>
      <c r="N47" s="27"/>
      <c r="O47" s="27"/>
      <c r="P47" s="27"/>
      <c r="Q47" s="27"/>
      <c r="R47" s="27"/>
    </row>
    <row r="48" spans="1:18" ht="15.75" thickBot="1" x14ac:dyDescent="0.3">
      <c r="A48" s="18"/>
      <c r="B48" s="27"/>
      <c r="C48" s="27"/>
      <c r="D48" s="27"/>
      <c r="E48" s="27"/>
      <c r="F48" s="20"/>
      <c r="G48" s="27"/>
      <c r="H48" s="27"/>
      <c r="I48" s="27"/>
      <c r="J48" s="27"/>
      <c r="K48" s="27"/>
      <c r="L48" s="27"/>
      <c r="M48" s="27"/>
      <c r="N48" s="27"/>
      <c r="O48" s="27"/>
      <c r="P48" s="27"/>
      <c r="Q48" s="27"/>
      <c r="R48" s="27"/>
    </row>
    <row r="49" spans="1:18" ht="15.75" thickBot="1" x14ac:dyDescent="0.3">
      <c r="A49" s="18"/>
      <c r="B49" s="27"/>
      <c r="C49" s="27"/>
      <c r="D49" s="27"/>
      <c r="E49" s="27"/>
      <c r="F49" s="20"/>
      <c r="G49" s="27"/>
      <c r="H49" s="27"/>
      <c r="I49" s="27"/>
      <c r="J49" s="27"/>
      <c r="K49" s="27"/>
      <c r="L49" s="27"/>
      <c r="M49" s="27"/>
      <c r="N49" s="27"/>
      <c r="O49" s="27"/>
      <c r="P49" s="27"/>
      <c r="Q49" s="27"/>
      <c r="R49" s="27"/>
    </row>
    <row r="50" spans="1:18" ht="15.75" thickBot="1" x14ac:dyDescent="0.3">
      <c r="A50" s="18"/>
      <c r="B50" s="27"/>
      <c r="C50" s="27"/>
      <c r="D50" s="27"/>
      <c r="E50" s="27"/>
      <c r="F50" s="20"/>
      <c r="G50" s="27"/>
      <c r="H50" s="27"/>
      <c r="I50" s="27"/>
      <c r="J50" s="27"/>
      <c r="K50" s="27"/>
      <c r="L50" s="27"/>
      <c r="M50" s="27"/>
      <c r="N50" s="27"/>
      <c r="O50" s="27"/>
      <c r="P50" s="27"/>
      <c r="Q50" s="27"/>
      <c r="R50" s="27"/>
    </row>
    <row r="51" spans="1:18" ht="15.75" thickBot="1" x14ac:dyDescent="0.3">
      <c r="A51" s="18"/>
      <c r="B51" s="27"/>
      <c r="C51" s="27"/>
      <c r="D51" s="27"/>
      <c r="E51" s="27"/>
      <c r="F51" s="20"/>
      <c r="G51" s="27"/>
      <c r="H51" s="27"/>
      <c r="I51" s="27"/>
      <c r="J51" s="27"/>
      <c r="K51" s="27"/>
      <c r="L51" s="27"/>
      <c r="M51" s="27"/>
      <c r="N51" s="27"/>
      <c r="O51" s="27"/>
      <c r="P51" s="27"/>
      <c r="Q51" s="27"/>
      <c r="R51" s="27"/>
    </row>
    <row r="52" spans="1:18" ht="15.75" thickBot="1" x14ac:dyDescent="0.3">
      <c r="A52" s="18"/>
      <c r="B52" s="27"/>
      <c r="C52" s="27"/>
      <c r="D52" s="27"/>
      <c r="E52" s="27"/>
      <c r="F52" s="20"/>
      <c r="G52" s="27"/>
      <c r="H52" s="27"/>
      <c r="I52" s="27"/>
      <c r="J52" s="27"/>
      <c r="K52" s="27"/>
      <c r="L52" s="27"/>
      <c r="M52" s="27"/>
      <c r="N52" s="27"/>
      <c r="O52" s="27"/>
      <c r="P52" s="27"/>
      <c r="Q52" s="27"/>
      <c r="R52" s="27"/>
    </row>
    <row r="53" spans="1:18" ht="15.75" thickBot="1" x14ac:dyDescent="0.3">
      <c r="A53" s="18"/>
      <c r="B53" s="27"/>
      <c r="C53" s="27"/>
      <c r="D53" s="27"/>
      <c r="E53" s="27"/>
      <c r="F53" s="20"/>
      <c r="G53" s="27"/>
      <c r="H53" s="27"/>
      <c r="I53" s="27"/>
      <c r="J53" s="27"/>
      <c r="K53" s="27"/>
      <c r="L53" s="27"/>
      <c r="M53" s="27"/>
      <c r="N53" s="27"/>
      <c r="O53" s="27"/>
      <c r="P53" s="27"/>
      <c r="Q53" s="27"/>
      <c r="R53" s="27"/>
    </row>
    <row r="54" spans="1:18" ht="15.75" thickBot="1" x14ac:dyDescent="0.3">
      <c r="A54" s="18"/>
      <c r="B54" s="27"/>
      <c r="C54" s="27"/>
      <c r="D54" s="27"/>
      <c r="E54" s="27"/>
      <c r="F54" s="20"/>
      <c r="G54" s="27"/>
      <c r="H54" s="27"/>
      <c r="I54" s="27"/>
      <c r="J54" s="27"/>
      <c r="K54" s="27"/>
      <c r="L54" s="27"/>
      <c r="M54" s="27"/>
      <c r="N54" s="27"/>
      <c r="O54" s="27"/>
      <c r="P54" s="27"/>
      <c r="Q54" s="27"/>
      <c r="R54" s="27"/>
    </row>
    <row r="55" spans="1:18" ht="15.75" thickBot="1" x14ac:dyDescent="0.3">
      <c r="A55" s="18"/>
      <c r="B55" s="27"/>
      <c r="C55" s="27"/>
      <c r="D55" s="27"/>
      <c r="E55" s="27"/>
      <c r="F55" s="20"/>
      <c r="G55" s="27"/>
      <c r="H55" s="27"/>
      <c r="I55" s="27"/>
      <c r="J55" s="27"/>
      <c r="K55" s="27"/>
      <c r="L55" s="27"/>
      <c r="M55" s="27"/>
      <c r="N55" s="27"/>
      <c r="O55" s="27"/>
      <c r="P55" s="27"/>
      <c r="Q55" s="27"/>
      <c r="R55" s="27"/>
    </row>
    <row r="56" spans="1:18" ht="15.75" thickBot="1" x14ac:dyDescent="0.3">
      <c r="A56" s="18"/>
      <c r="B56" s="27"/>
      <c r="C56" s="27"/>
      <c r="D56" s="27"/>
      <c r="E56" s="27"/>
      <c r="F56" s="20"/>
      <c r="G56" s="27"/>
      <c r="H56" s="27"/>
      <c r="I56" s="27"/>
      <c r="J56" s="27"/>
      <c r="K56" s="27"/>
      <c r="L56" s="27"/>
      <c r="M56" s="27"/>
      <c r="N56" s="27"/>
      <c r="O56" s="27"/>
      <c r="P56" s="27"/>
      <c r="Q56" s="27"/>
      <c r="R56" s="27"/>
    </row>
    <row r="57" spans="1:18" ht="15.75" thickBot="1" x14ac:dyDescent="0.3">
      <c r="A57" s="18"/>
      <c r="B57" s="27"/>
      <c r="C57" s="27"/>
      <c r="D57" s="27"/>
      <c r="E57" s="27"/>
      <c r="F57" s="20"/>
      <c r="G57" s="27"/>
      <c r="H57" s="27"/>
      <c r="I57" s="27"/>
      <c r="J57" s="27"/>
      <c r="K57" s="27"/>
      <c r="L57" s="27"/>
      <c r="M57" s="27"/>
      <c r="N57" s="27"/>
      <c r="O57" s="27"/>
      <c r="P57" s="27"/>
      <c r="Q57" s="27"/>
      <c r="R57" s="27"/>
    </row>
    <row r="58" spans="1:18" ht="15.75" thickBot="1" x14ac:dyDescent="0.3">
      <c r="A58" s="18"/>
      <c r="B58" s="27"/>
      <c r="C58" s="27"/>
      <c r="D58" s="27"/>
      <c r="E58" s="27"/>
      <c r="F58" s="20"/>
      <c r="G58" s="27"/>
      <c r="H58" s="27"/>
      <c r="I58" s="27"/>
      <c r="J58" s="27"/>
      <c r="K58" s="27"/>
      <c r="L58" s="27"/>
      <c r="M58" s="27"/>
      <c r="N58" s="27"/>
      <c r="O58" s="27"/>
      <c r="P58" s="27"/>
      <c r="Q58" s="27"/>
      <c r="R58" s="27"/>
    </row>
    <row r="59" spans="1:18" ht="15.75" thickBot="1" x14ac:dyDescent="0.3">
      <c r="A59" s="18"/>
      <c r="B59" s="27"/>
      <c r="C59" s="27"/>
      <c r="D59" s="27"/>
      <c r="E59" s="27"/>
      <c r="F59" s="20"/>
      <c r="G59" s="27"/>
      <c r="H59" s="27"/>
      <c r="I59" s="27"/>
      <c r="J59" s="27"/>
      <c r="K59" s="27"/>
      <c r="L59" s="27"/>
      <c r="M59" s="27"/>
      <c r="N59" s="27"/>
      <c r="O59" s="27"/>
      <c r="P59" s="27"/>
      <c r="Q59" s="27"/>
      <c r="R59" s="27"/>
    </row>
    <row r="60" spans="1:18" ht="15.75" thickBot="1" x14ac:dyDescent="0.3">
      <c r="A60" s="18"/>
      <c r="B60" s="27"/>
      <c r="C60" s="27"/>
      <c r="D60" s="27"/>
      <c r="E60" s="27"/>
      <c r="F60" s="20"/>
      <c r="G60" s="27"/>
      <c r="H60" s="27"/>
      <c r="I60" s="27"/>
      <c r="J60" s="27"/>
      <c r="K60" s="27"/>
      <c r="L60" s="27"/>
      <c r="M60" s="27"/>
      <c r="N60" s="27"/>
      <c r="O60" s="27"/>
      <c r="P60" s="27"/>
      <c r="Q60" s="27"/>
      <c r="R60" s="27"/>
    </row>
    <row r="61" spans="1:18" ht="15.75" thickBot="1" x14ac:dyDescent="0.3">
      <c r="A61" s="18"/>
      <c r="B61" s="27"/>
      <c r="C61" s="27"/>
      <c r="D61" s="27"/>
      <c r="E61" s="27"/>
      <c r="F61" s="20"/>
      <c r="G61" s="27"/>
      <c r="H61" s="27"/>
      <c r="I61" s="27"/>
      <c r="J61" s="27"/>
      <c r="K61" s="27"/>
      <c r="L61" s="27"/>
      <c r="M61" s="27"/>
      <c r="N61" s="27"/>
      <c r="O61" s="27"/>
      <c r="P61" s="27"/>
      <c r="Q61" s="27"/>
      <c r="R61" s="27"/>
    </row>
    <row r="62" spans="1:18" ht="15.75" thickBot="1" x14ac:dyDescent="0.3">
      <c r="A62" s="18"/>
      <c r="B62" s="27"/>
      <c r="C62" s="27"/>
      <c r="D62" s="27"/>
      <c r="E62" s="27"/>
      <c r="F62" s="20"/>
      <c r="G62" s="27"/>
      <c r="H62" s="27"/>
      <c r="I62" s="27"/>
      <c r="J62" s="27"/>
      <c r="K62" s="27"/>
      <c r="L62" s="27"/>
      <c r="M62" s="27"/>
      <c r="N62" s="27"/>
      <c r="O62" s="27"/>
      <c r="P62" s="27"/>
      <c r="Q62" s="27"/>
      <c r="R62" s="27"/>
    </row>
    <row r="63" spans="1:18" ht="15.75" thickBot="1" x14ac:dyDescent="0.3">
      <c r="A63" s="18"/>
      <c r="B63" s="27"/>
      <c r="C63" s="27"/>
      <c r="D63" s="27"/>
      <c r="E63" s="27"/>
      <c r="F63" s="20"/>
      <c r="G63" s="27"/>
      <c r="H63" s="27"/>
      <c r="I63" s="27"/>
      <c r="J63" s="27"/>
      <c r="K63" s="27"/>
      <c r="L63" s="27"/>
      <c r="M63" s="27"/>
      <c r="N63" s="27"/>
      <c r="O63" s="27"/>
      <c r="P63" s="27"/>
      <c r="Q63" s="27"/>
      <c r="R63" s="27"/>
    </row>
    <row r="64" spans="1:18" ht="15.75" thickBot="1" x14ac:dyDescent="0.3">
      <c r="A64" s="18"/>
      <c r="B64" s="27"/>
      <c r="C64" s="27"/>
      <c r="D64" s="27"/>
      <c r="E64" s="27"/>
      <c r="F64" s="20"/>
      <c r="G64" s="27"/>
      <c r="H64" s="27"/>
      <c r="I64" s="27"/>
      <c r="J64" s="27"/>
      <c r="K64" s="27"/>
      <c r="L64" s="27"/>
      <c r="M64" s="27"/>
      <c r="N64" s="27"/>
      <c r="O64" s="27"/>
      <c r="P64" s="27"/>
      <c r="Q64" s="27"/>
      <c r="R64" s="27"/>
    </row>
    <row r="65" spans="1:18" ht="15.75" thickBot="1" x14ac:dyDescent="0.3">
      <c r="A65" s="18"/>
      <c r="B65" s="27"/>
      <c r="C65" s="27"/>
      <c r="D65" s="27"/>
      <c r="E65" s="27"/>
      <c r="F65" s="20"/>
      <c r="G65" s="27"/>
      <c r="H65" s="27"/>
      <c r="I65" s="27"/>
      <c r="J65" s="27"/>
      <c r="K65" s="27"/>
      <c r="L65" s="27"/>
      <c r="M65" s="27"/>
      <c r="N65" s="27"/>
      <c r="O65" s="27"/>
      <c r="P65" s="27"/>
      <c r="Q65" s="27"/>
      <c r="R65" s="27"/>
    </row>
    <row r="66" spans="1:18" ht="15.75" thickBot="1" x14ac:dyDescent="0.3">
      <c r="A66" s="18"/>
      <c r="B66" s="27"/>
      <c r="C66" s="27"/>
      <c r="D66" s="27"/>
      <c r="E66" s="27"/>
      <c r="F66" s="20"/>
      <c r="G66" s="27"/>
      <c r="H66" s="27"/>
      <c r="I66" s="27"/>
      <c r="J66" s="27"/>
      <c r="K66" s="27"/>
      <c r="L66" s="27"/>
      <c r="M66" s="27"/>
      <c r="N66" s="27"/>
      <c r="O66" s="27"/>
      <c r="P66" s="27"/>
      <c r="Q66" s="27"/>
      <c r="R66" s="27"/>
    </row>
    <row r="67" spans="1:18" ht="15.75" thickBot="1" x14ac:dyDescent="0.3">
      <c r="A67" s="18"/>
      <c r="B67" s="27"/>
      <c r="C67" s="27"/>
      <c r="D67" s="27"/>
      <c r="E67" s="27"/>
      <c r="F67" s="20"/>
      <c r="G67" s="27"/>
      <c r="H67" s="27"/>
      <c r="I67" s="27"/>
      <c r="J67" s="27"/>
      <c r="K67" s="27"/>
      <c r="L67" s="27"/>
      <c r="M67" s="27"/>
      <c r="N67" s="27"/>
      <c r="O67" s="27"/>
      <c r="P67" s="27"/>
      <c r="Q67" s="27"/>
      <c r="R67" s="27"/>
    </row>
    <row r="68" spans="1:18" ht="15.75" thickBot="1" x14ac:dyDescent="0.3">
      <c r="A68" s="18"/>
      <c r="B68" s="27"/>
      <c r="C68" s="27"/>
      <c r="D68" s="27"/>
      <c r="E68" s="27"/>
      <c r="F68" s="20"/>
      <c r="G68" s="27"/>
      <c r="H68" s="27"/>
      <c r="I68" s="27"/>
      <c r="J68" s="27"/>
      <c r="K68" s="27"/>
      <c r="L68" s="27"/>
      <c r="M68" s="27"/>
      <c r="N68" s="27"/>
      <c r="O68" s="27"/>
      <c r="P68" s="27"/>
      <c r="Q68" s="27"/>
      <c r="R68" s="27"/>
    </row>
    <row r="69" spans="1:18" ht="15.75" thickBot="1" x14ac:dyDescent="0.3">
      <c r="A69" s="18"/>
      <c r="B69" s="27"/>
      <c r="C69" s="27"/>
      <c r="D69" s="27"/>
      <c r="E69" s="27"/>
      <c r="F69" s="20"/>
      <c r="G69" s="27"/>
      <c r="H69" s="27"/>
      <c r="I69" s="27"/>
      <c r="J69" s="27"/>
      <c r="K69" s="27"/>
      <c r="L69" s="27"/>
      <c r="M69" s="27"/>
      <c r="N69" s="27"/>
      <c r="O69" s="27"/>
      <c r="P69" s="27"/>
      <c r="Q69" s="27"/>
      <c r="R69" s="27"/>
    </row>
    <row r="70" spans="1:18" ht="15.75" thickBot="1" x14ac:dyDescent="0.3">
      <c r="A70" s="18"/>
      <c r="B70" s="27"/>
      <c r="C70" s="27"/>
      <c r="D70" s="27"/>
      <c r="E70" s="27"/>
      <c r="F70" s="20"/>
      <c r="G70" s="27"/>
      <c r="H70" s="27"/>
      <c r="I70" s="27"/>
      <c r="J70" s="27"/>
      <c r="K70" s="27"/>
      <c r="L70" s="27"/>
      <c r="M70" s="27"/>
      <c r="N70" s="27"/>
      <c r="O70" s="27"/>
      <c r="P70" s="27"/>
      <c r="Q70" s="27"/>
      <c r="R70" s="27"/>
    </row>
    <row r="71" spans="1:18" ht="15.75" thickBot="1" x14ac:dyDescent="0.3">
      <c r="A71" s="18"/>
      <c r="B71" s="27"/>
      <c r="C71" s="27"/>
      <c r="D71" s="27"/>
      <c r="E71" s="27"/>
      <c r="F71" s="20"/>
      <c r="G71" s="27"/>
      <c r="H71" s="27"/>
      <c r="I71" s="27"/>
      <c r="J71" s="27"/>
      <c r="K71" s="27"/>
      <c r="L71" s="27"/>
      <c r="M71" s="27"/>
      <c r="N71" s="27"/>
      <c r="O71" s="27"/>
      <c r="P71" s="27"/>
      <c r="Q71" s="27"/>
      <c r="R71" s="27"/>
    </row>
    <row r="72" spans="1:18" ht="15.75" thickBot="1" x14ac:dyDescent="0.3">
      <c r="A72" s="18"/>
      <c r="B72" s="27"/>
      <c r="C72" s="27"/>
      <c r="D72" s="27"/>
      <c r="E72" s="27"/>
      <c r="F72" s="20"/>
      <c r="G72" s="27"/>
      <c r="H72" s="27"/>
      <c r="I72" s="27"/>
      <c r="J72" s="27"/>
      <c r="K72" s="27"/>
      <c r="L72" s="27"/>
      <c r="M72" s="27"/>
      <c r="N72" s="27"/>
      <c r="O72" s="27"/>
      <c r="P72" s="27"/>
      <c r="Q72" s="27"/>
      <c r="R72" s="27"/>
    </row>
    <row r="73" spans="1:18" ht="15.75" thickBot="1" x14ac:dyDescent="0.3">
      <c r="A73" s="18"/>
      <c r="B73" s="27"/>
      <c r="C73" s="27"/>
      <c r="D73" s="27"/>
      <c r="E73" s="27"/>
      <c r="F73" s="20"/>
      <c r="G73" s="27"/>
      <c r="H73" s="27"/>
      <c r="I73" s="27"/>
      <c r="J73" s="27"/>
      <c r="K73" s="27"/>
      <c r="L73" s="27"/>
      <c r="M73" s="27"/>
      <c r="N73" s="27"/>
      <c r="O73" s="27"/>
      <c r="P73" s="27"/>
      <c r="Q73" s="27"/>
      <c r="R73" s="27"/>
    </row>
    <row r="74" spans="1:18" ht="15.75" thickBot="1" x14ac:dyDescent="0.3">
      <c r="A74" s="18"/>
      <c r="B74" s="27"/>
      <c r="C74" s="27"/>
      <c r="D74" s="27"/>
      <c r="E74" s="27"/>
      <c r="F74" s="20"/>
      <c r="G74" s="27"/>
      <c r="H74" s="27"/>
      <c r="I74" s="27"/>
      <c r="J74" s="27"/>
      <c r="K74" s="27"/>
      <c r="L74" s="27"/>
      <c r="M74" s="27"/>
      <c r="N74" s="27"/>
      <c r="O74" s="27"/>
      <c r="P74" s="27"/>
      <c r="Q74" s="27"/>
      <c r="R74" s="27"/>
    </row>
    <row r="75" spans="1:18" ht="15.75" thickBot="1" x14ac:dyDescent="0.3">
      <c r="A75" s="18"/>
      <c r="B75" s="27"/>
      <c r="C75" s="27"/>
      <c r="D75" s="27"/>
      <c r="E75" s="27"/>
      <c r="F75" s="20"/>
      <c r="G75" s="27"/>
      <c r="H75" s="27"/>
      <c r="I75" s="27"/>
      <c r="J75" s="27"/>
      <c r="K75" s="27"/>
      <c r="L75" s="27"/>
      <c r="M75" s="27"/>
      <c r="N75" s="27"/>
      <c r="O75" s="27"/>
      <c r="P75" s="27"/>
      <c r="Q75" s="27"/>
      <c r="R75" s="27"/>
    </row>
    <row r="76" spans="1:18" ht="15.75" thickBot="1" x14ac:dyDescent="0.3">
      <c r="A76" s="18"/>
      <c r="B76" s="27"/>
      <c r="C76" s="27"/>
      <c r="D76" s="27"/>
      <c r="E76" s="27"/>
      <c r="F76" s="20"/>
      <c r="G76" s="27"/>
      <c r="H76" s="27"/>
      <c r="I76" s="27"/>
      <c r="J76" s="27"/>
      <c r="K76" s="27"/>
      <c r="L76" s="27"/>
      <c r="M76" s="27"/>
      <c r="N76" s="27"/>
      <c r="O76" s="27"/>
      <c r="P76" s="27"/>
      <c r="Q76" s="27"/>
      <c r="R76" s="27"/>
    </row>
    <row r="77" spans="1:18" ht="15.75" thickBot="1" x14ac:dyDescent="0.3">
      <c r="A77" s="18"/>
      <c r="B77" s="27"/>
      <c r="C77" s="27"/>
      <c r="D77" s="27"/>
      <c r="E77" s="27"/>
      <c r="F77" s="20"/>
      <c r="G77" s="27"/>
      <c r="H77" s="27"/>
      <c r="I77" s="27"/>
      <c r="J77" s="27"/>
      <c r="K77" s="27"/>
      <c r="L77" s="27"/>
      <c r="M77" s="27"/>
      <c r="N77" s="27"/>
      <c r="O77" s="27"/>
      <c r="P77" s="27"/>
      <c r="Q77" s="27"/>
      <c r="R77" s="27"/>
    </row>
    <row r="78" spans="1:18" ht="15.75" thickBot="1" x14ac:dyDescent="0.3">
      <c r="A78" s="18"/>
      <c r="B78" s="27"/>
      <c r="C78" s="27"/>
      <c r="D78" s="27"/>
      <c r="E78" s="27"/>
      <c r="F78" s="20"/>
      <c r="G78" s="27"/>
      <c r="H78" s="27"/>
      <c r="I78" s="27"/>
      <c r="J78" s="27"/>
      <c r="K78" s="27"/>
      <c r="L78" s="27"/>
      <c r="M78" s="27"/>
      <c r="N78" s="27"/>
      <c r="O78" s="27"/>
      <c r="P78" s="27"/>
      <c r="Q78" s="27"/>
      <c r="R78" s="27"/>
    </row>
    <row r="79" spans="1:18" ht="15.75" thickBot="1" x14ac:dyDescent="0.3">
      <c r="A79" s="18"/>
      <c r="B79" s="27"/>
      <c r="C79" s="27"/>
      <c r="D79" s="27"/>
      <c r="E79" s="27"/>
      <c r="F79" s="20"/>
      <c r="G79" s="27"/>
      <c r="H79" s="27"/>
      <c r="I79" s="27"/>
      <c r="J79" s="27"/>
      <c r="K79" s="27"/>
      <c r="L79" s="27"/>
      <c r="M79" s="27"/>
      <c r="N79" s="27"/>
      <c r="O79" s="27"/>
      <c r="P79" s="27"/>
      <c r="Q79" s="27"/>
      <c r="R79" s="27"/>
    </row>
    <row r="80" spans="1:18" ht="15.75" thickBot="1" x14ac:dyDescent="0.3">
      <c r="A80" s="18"/>
      <c r="B80" s="27"/>
      <c r="C80" s="27"/>
      <c r="D80" s="27"/>
      <c r="E80" s="27"/>
      <c r="F80" s="20"/>
      <c r="G80" s="27"/>
      <c r="H80" s="27"/>
      <c r="I80" s="27"/>
      <c r="J80" s="27"/>
      <c r="K80" s="27"/>
      <c r="L80" s="27"/>
      <c r="M80" s="27"/>
      <c r="N80" s="27"/>
      <c r="O80" s="27"/>
      <c r="P80" s="27"/>
      <c r="Q80" s="27"/>
      <c r="R80" s="27"/>
    </row>
    <row r="81" spans="1:18" ht="15.75" thickBot="1" x14ac:dyDescent="0.3">
      <c r="A81" s="18"/>
      <c r="B81" s="27"/>
      <c r="C81" s="27"/>
      <c r="D81" s="27"/>
      <c r="E81" s="27"/>
      <c r="F81" s="20"/>
      <c r="G81" s="27"/>
      <c r="H81" s="27"/>
      <c r="I81" s="27"/>
      <c r="J81" s="27"/>
      <c r="K81" s="27"/>
      <c r="L81" s="27"/>
      <c r="M81" s="27"/>
      <c r="N81" s="27"/>
      <c r="O81" s="27"/>
      <c r="P81" s="27"/>
      <c r="Q81" s="27"/>
      <c r="R81" s="27"/>
    </row>
    <row r="82" spans="1:18" ht="15.75" thickBot="1" x14ac:dyDescent="0.3">
      <c r="A82" s="18"/>
      <c r="B82" s="27"/>
      <c r="C82" s="27"/>
      <c r="D82" s="27"/>
      <c r="E82" s="27"/>
      <c r="F82" s="20"/>
      <c r="G82" s="27"/>
      <c r="H82" s="27"/>
      <c r="I82" s="27"/>
      <c r="J82" s="27"/>
      <c r="K82" s="27"/>
      <c r="L82" s="27"/>
      <c r="M82" s="27"/>
      <c r="N82" s="27"/>
      <c r="O82" s="27"/>
      <c r="P82" s="27"/>
      <c r="Q82" s="27"/>
      <c r="R82" s="27"/>
    </row>
    <row r="83" spans="1:18" ht="15.75" thickBot="1" x14ac:dyDescent="0.3">
      <c r="A83" s="18"/>
      <c r="B83" s="27"/>
      <c r="C83" s="27"/>
      <c r="D83" s="27"/>
      <c r="E83" s="27"/>
      <c r="F83" s="20"/>
      <c r="G83" s="27"/>
      <c r="H83" s="27"/>
      <c r="I83" s="27"/>
      <c r="J83" s="27"/>
      <c r="K83" s="27"/>
      <c r="L83" s="27"/>
      <c r="M83" s="27"/>
      <c r="N83" s="27"/>
      <c r="O83" s="27"/>
      <c r="P83" s="27"/>
      <c r="Q83" s="27"/>
      <c r="R83" s="27"/>
    </row>
    <row r="84" spans="1:18" ht="15.75" thickBot="1" x14ac:dyDescent="0.3">
      <c r="A84" s="18"/>
      <c r="B84" s="27"/>
      <c r="C84" s="27"/>
      <c r="D84" s="27"/>
      <c r="E84" s="27"/>
      <c r="F84" s="20"/>
      <c r="G84" s="27"/>
      <c r="H84" s="27"/>
      <c r="I84" s="27"/>
      <c r="J84" s="27"/>
      <c r="K84" s="27"/>
      <c r="L84" s="27"/>
      <c r="M84" s="27"/>
      <c r="N84" s="27"/>
      <c r="O84" s="27"/>
      <c r="P84" s="27"/>
      <c r="Q84" s="27"/>
      <c r="R84" s="27"/>
    </row>
    <row r="85" spans="1:18" ht="15.75" thickBot="1" x14ac:dyDescent="0.3">
      <c r="A85" s="18"/>
      <c r="B85" s="27"/>
      <c r="C85" s="27"/>
      <c r="D85" s="27"/>
      <c r="E85" s="27"/>
      <c r="F85" s="20"/>
      <c r="G85" s="27"/>
      <c r="H85" s="27"/>
      <c r="I85" s="27"/>
      <c r="J85" s="27"/>
      <c r="K85" s="27"/>
      <c r="L85" s="27"/>
      <c r="M85" s="27"/>
      <c r="N85" s="27"/>
      <c r="O85" s="27"/>
      <c r="P85" s="27"/>
      <c r="Q85" s="27"/>
      <c r="R85" s="27"/>
    </row>
    <row r="86" spans="1:18" ht="15.75" thickBot="1" x14ac:dyDescent="0.3">
      <c r="A86" s="18"/>
      <c r="B86" s="27"/>
      <c r="C86" s="27"/>
      <c r="D86" s="27"/>
      <c r="E86" s="27"/>
      <c r="F86" s="20"/>
      <c r="G86" s="27"/>
      <c r="H86" s="27"/>
      <c r="I86" s="27"/>
      <c r="J86" s="27"/>
      <c r="K86" s="27"/>
      <c r="L86" s="27"/>
      <c r="M86" s="27"/>
      <c r="N86" s="27"/>
      <c r="O86" s="27"/>
      <c r="P86" s="27"/>
      <c r="Q86" s="27"/>
      <c r="R86" s="27"/>
    </row>
    <row r="87" spans="1:18" ht="15.75" thickBot="1" x14ac:dyDescent="0.3">
      <c r="A87" s="18"/>
      <c r="B87" s="27"/>
      <c r="C87" s="27"/>
      <c r="D87" s="27"/>
      <c r="E87" s="27"/>
      <c r="F87" s="20"/>
      <c r="G87" s="27"/>
      <c r="H87" s="27"/>
      <c r="I87" s="27"/>
      <c r="J87" s="27"/>
      <c r="K87" s="27"/>
      <c r="L87" s="27"/>
      <c r="M87" s="27"/>
      <c r="N87" s="27"/>
      <c r="O87" s="27"/>
      <c r="P87" s="27"/>
      <c r="Q87" s="27"/>
      <c r="R87" s="27"/>
    </row>
    <row r="88" spans="1:18" ht="15.75" thickBot="1" x14ac:dyDescent="0.3">
      <c r="A88" s="18"/>
      <c r="B88" s="27"/>
      <c r="C88" s="27"/>
      <c r="D88" s="27"/>
      <c r="E88" s="27"/>
      <c r="F88" s="20"/>
      <c r="G88" s="27"/>
      <c r="H88" s="27"/>
      <c r="I88" s="27"/>
      <c r="J88" s="27"/>
      <c r="K88" s="27"/>
      <c r="L88" s="27"/>
      <c r="M88" s="27"/>
      <c r="N88" s="27"/>
      <c r="O88" s="27"/>
      <c r="P88" s="27"/>
      <c r="Q88" s="27"/>
      <c r="R88" s="27"/>
    </row>
    <row r="89" spans="1:18" ht="15.75" thickBot="1" x14ac:dyDescent="0.3">
      <c r="A89" s="18"/>
      <c r="B89" s="27"/>
      <c r="C89" s="27"/>
      <c r="D89" s="27"/>
      <c r="E89" s="27"/>
      <c r="F89" s="20"/>
      <c r="G89" s="27"/>
      <c r="H89" s="27"/>
      <c r="I89" s="27"/>
      <c r="J89" s="27"/>
      <c r="K89" s="27"/>
      <c r="L89" s="27"/>
      <c r="M89" s="27"/>
      <c r="N89" s="27"/>
      <c r="O89" s="27"/>
      <c r="P89" s="27"/>
      <c r="Q89" s="27"/>
      <c r="R89" s="27"/>
    </row>
    <row r="90" spans="1:18" ht="15.75" thickBot="1" x14ac:dyDescent="0.3">
      <c r="A90" s="18"/>
      <c r="B90" s="27"/>
      <c r="C90" s="27"/>
      <c r="D90" s="27"/>
      <c r="E90" s="27"/>
      <c r="F90" s="20"/>
      <c r="G90" s="27"/>
      <c r="H90" s="27"/>
      <c r="I90" s="27"/>
      <c r="J90" s="27"/>
      <c r="K90" s="27"/>
      <c r="L90" s="27"/>
      <c r="M90" s="27"/>
      <c r="N90" s="27"/>
      <c r="O90" s="27"/>
      <c r="P90" s="27"/>
      <c r="Q90" s="27"/>
      <c r="R90" s="27"/>
    </row>
    <row r="91" spans="1:18" ht="15.75" thickBot="1" x14ac:dyDescent="0.3">
      <c r="A91" s="18"/>
      <c r="B91" s="27"/>
      <c r="C91" s="27"/>
      <c r="D91" s="27"/>
      <c r="E91" s="27"/>
      <c r="F91" s="20"/>
      <c r="G91" s="27"/>
      <c r="H91" s="27"/>
      <c r="I91" s="27"/>
      <c r="J91" s="27"/>
      <c r="K91" s="27"/>
      <c r="L91" s="27"/>
      <c r="M91" s="27"/>
      <c r="N91" s="27"/>
      <c r="O91" s="27"/>
      <c r="P91" s="27"/>
      <c r="Q91" s="27"/>
      <c r="R91" s="27"/>
    </row>
    <row r="92" spans="1:18" ht="15.75" thickBot="1" x14ac:dyDescent="0.3">
      <c r="A92" s="18"/>
      <c r="B92" s="27"/>
      <c r="C92" s="27"/>
      <c r="D92" s="27"/>
      <c r="E92" s="27"/>
      <c r="F92" s="20"/>
      <c r="G92" s="27"/>
      <c r="H92" s="27"/>
      <c r="I92" s="27"/>
      <c r="J92" s="27"/>
      <c r="K92" s="27"/>
      <c r="L92" s="27"/>
      <c r="M92" s="27"/>
      <c r="N92" s="27"/>
      <c r="O92" s="27"/>
      <c r="P92" s="27"/>
      <c r="Q92" s="27"/>
      <c r="R92" s="27"/>
    </row>
    <row r="93" spans="1:18" ht="15.75" thickBot="1" x14ac:dyDescent="0.3">
      <c r="A93" s="18"/>
      <c r="B93" s="27"/>
      <c r="C93" s="27"/>
      <c r="D93" s="27"/>
      <c r="E93" s="27"/>
      <c r="F93" s="20"/>
      <c r="G93" s="27"/>
      <c r="H93" s="27"/>
      <c r="I93" s="27"/>
      <c r="J93" s="27"/>
      <c r="K93" s="27"/>
      <c r="L93" s="27"/>
      <c r="M93" s="27"/>
      <c r="N93" s="27"/>
      <c r="O93" s="27"/>
      <c r="P93" s="27"/>
      <c r="Q93" s="27"/>
      <c r="R93" s="27"/>
    </row>
    <row r="94" spans="1:18" ht="15.75" thickBot="1" x14ac:dyDescent="0.3">
      <c r="A94" s="18"/>
      <c r="B94" s="27"/>
      <c r="C94" s="27"/>
      <c r="D94" s="27"/>
      <c r="E94" s="27"/>
      <c r="F94" s="20"/>
      <c r="G94" s="27"/>
      <c r="H94" s="27"/>
      <c r="I94" s="27"/>
      <c r="J94" s="27"/>
      <c r="K94" s="27"/>
      <c r="L94" s="27"/>
      <c r="M94" s="27"/>
      <c r="N94" s="27"/>
      <c r="O94" s="27"/>
      <c r="P94" s="27"/>
      <c r="Q94" s="27"/>
      <c r="R94" s="27"/>
    </row>
    <row r="95" spans="1:18" ht="15.75" thickBot="1" x14ac:dyDescent="0.3">
      <c r="A95" s="18"/>
      <c r="B95" s="27"/>
      <c r="C95" s="27"/>
      <c r="D95" s="27"/>
      <c r="E95" s="27"/>
      <c r="F95" s="20"/>
      <c r="G95" s="27"/>
      <c r="H95" s="27"/>
      <c r="I95" s="27"/>
      <c r="J95" s="27"/>
      <c r="K95" s="27"/>
      <c r="L95" s="27"/>
      <c r="M95" s="27"/>
      <c r="N95" s="27"/>
      <c r="O95" s="27"/>
      <c r="P95" s="27"/>
      <c r="Q95" s="27"/>
      <c r="R95" s="27"/>
    </row>
    <row r="96" spans="1:18" ht="15.75" thickBot="1" x14ac:dyDescent="0.3">
      <c r="A96" s="18"/>
      <c r="B96" s="27"/>
      <c r="C96" s="27"/>
      <c r="D96" s="27"/>
      <c r="E96" s="27"/>
      <c r="F96" s="20"/>
      <c r="G96" s="27"/>
      <c r="H96" s="27"/>
      <c r="I96" s="27"/>
      <c r="J96" s="27"/>
      <c r="K96" s="27"/>
      <c r="L96" s="27"/>
      <c r="M96" s="27"/>
      <c r="N96" s="27"/>
      <c r="O96" s="27"/>
      <c r="P96" s="27"/>
      <c r="Q96" s="27"/>
      <c r="R96" s="27"/>
    </row>
    <row r="97" spans="1:18" ht="15.75" thickBot="1" x14ac:dyDescent="0.3">
      <c r="A97" s="18"/>
      <c r="B97" s="27"/>
      <c r="C97" s="27"/>
      <c r="D97" s="27"/>
      <c r="E97" s="27"/>
      <c r="F97" s="20"/>
      <c r="G97" s="27"/>
      <c r="H97" s="27"/>
      <c r="I97" s="27"/>
      <c r="J97" s="27"/>
      <c r="K97" s="27"/>
      <c r="L97" s="27"/>
      <c r="M97" s="27"/>
      <c r="N97" s="27"/>
      <c r="O97" s="27"/>
      <c r="P97" s="27"/>
      <c r="Q97" s="27"/>
      <c r="R97" s="27"/>
    </row>
    <row r="98" spans="1:18" ht="15.75" thickBot="1" x14ac:dyDescent="0.3">
      <c r="A98" s="18"/>
      <c r="B98" s="27"/>
      <c r="C98" s="27"/>
      <c r="D98" s="27"/>
      <c r="E98" s="27"/>
      <c r="F98" s="20"/>
      <c r="G98" s="27"/>
      <c r="H98" s="27"/>
      <c r="I98" s="27"/>
      <c r="J98" s="27"/>
      <c r="K98" s="27"/>
      <c r="L98" s="27"/>
      <c r="M98" s="27"/>
      <c r="N98" s="27"/>
      <c r="O98" s="27"/>
      <c r="P98" s="27"/>
      <c r="Q98" s="27"/>
      <c r="R98" s="27"/>
    </row>
    <row r="99" spans="1:18" ht="15.75" thickBot="1" x14ac:dyDescent="0.3">
      <c r="A99" s="18"/>
      <c r="B99" s="27"/>
      <c r="C99" s="27"/>
      <c r="D99" s="27"/>
      <c r="E99" s="27"/>
      <c r="F99" s="20"/>
      <c r="G99" s="27"/>
      <c r="H99" s="27"/>
      <c r="I99" s="27"/>
      <c r="J99" s="27"/>
      <c r="K99" s="27"/>
      <c r="L99" s="27"/>
      <c r="M99" s="27"/>
      <c r="N99" s="27"/>
      <c r="O99" s="27"/>
      <c r="P99" s="27"/>
      <c r="Q99" s="27"/>
      <c r="R99" s="27"/>
    </row>
    <row r="100" spans="1:18" ht="15.75" thickBot="1" x14ac:dyDescent="0.3">
      <c r="A100" s="18"/>
      <c r="B100" s="27"/>
      <c r="C100" s="27"/>
      <c r="D100" s="27"/>
      <c r="E100" s="27"/>
      <c r="F100" s="20"/>
      <c r="G100" s="27"/>
      <c r="H100" s="27"/>
      <c r="I100" s="27"/>
      <c r="J100" s="27"/>
      <c r="K100" s="27"/>
      <c r="L100" s="27"/>
      <c r="M100" s="27"/>
      <c r="N100" s="27"/>
      <c r="O100" s="27"/>
      <c r="P100" s="27"/>
      <c r="Q100" s="27"/>
      <c r="R100" s="27"/>
    </row>
    <row r="101" spans="1:18" ht="15.75" thickBot="1" x14ac:dyDescent="0.3">
      <c r="A101" s="18"/>
      <c r="B101" s="27"/>
      <c r="C101" s="27"/>
      <c r="D101" s="27"/>
      <c r="E101" s="27"/>
      <c r="F101" s="20"/>
      <c r="G101" s="27"/>
      <c r="H101" s="27"/>
      <c r="I101" s="27"/>
      <c r="J101" s="27"/>
      <c r="K101" s="27"/>
      <c r="L101" s="27"/>
      <c r="M101" s="27"/>
      <c r="N101" s="27"/>
      <c r="O101" s="27"/>
      <c r="P101" s="27"/>
      <c r="Q101" s="27"/>
      <c r="R101" s="27"/>
    </row>
    <row r="102" spans="1:18" ht="15.75" thickBot="1" x14ac:dyDescent="0.3">
      <c r="A102" s="18"/>
      <c r="B102" s="27"/>
      <c r="C102" s="27"/>
      <c r="D102" s="27"/>
      <c r="E102" s="27"/>
      <c r="F102" s="20"/>
      <c r="G102" s="27"/>
      <c r="H102" s="27"/>
      <c r="I102" s="27"/>
      <c r="J102" s="27"/>
      <c r="K102" s="27"/>
      <c r="L102" s="27"/>
      <c r="M102" s="27"/>
      <c r="N102" s="27"/>
      <c r="O102" s="27"/>
      <c r="P102" s="27"/>
      <c r="Q102" s="27"/>
      <c r="R102" s="27"/>
    </row>
    <row r="103" spans="1:18" ht="15.75" thickBot="1" x14ac:dyDescent="0.3">
      <c r="A103" s="18"/>
      <c r="B103" s="27"/>
      <c r="C103" s="27"/>
      <c r="D103" s="27"/>
      <c r="E103" s="27"/>
      <c r="F103" s="20"/>
      <c r="G103" s="27"/>
      <c r="H103" s="27"/>
      <c r="I103" s="27"/>
      <c r="J103" s="27"/>
      <c r="K103" s="27"/>
      <c r="L103" s="27"/>
      <c r="M103" s="27"/>
      <c r="N103" s="27"/>
      <c r="O103" s="27"/>
      <c r="P103" s="27"/>
      <c r="Q103" s="27"/>
      <c r="R103" s="27"/>
    </row>
    <row r="104" spans="1:18" ht="15.75" thickBot="1" x14ac:dyDescent="0.3">
      <c r="A104" s="18"/>
      <c r="B104" s="27"/>
      <c r="C104" s="27"/>
      <c r="D104" s="27"/>
      <c r="E104" s="27"/>
      <c r="F104" s="20"/>
      <c r="G104" s="27"/>
      <c r="H104" s="27"/>
      <c r="I104" s="27"/>
      <c r="J104" s="27"/>
      <c r="K104" s="27"/>
      <c r="L104" s="27"/>
      <c r="M104" s="27"/>
      <c r="N104" s="27"/>
      <c r="O104" s="27"/>
      <c r="P104" s="27"/>
      <c r="Q104" s="27"/>
      <c r="R104" s="27"/>
    </row>
    <row r="105" spans="1:18" ht="15.75" thickBot="1" x14ac:dyDescent="0.3">
      <c r="A105" s="18"/>
      <c r="B105" s="27"/>
      <c r="C105" s="27"/>
      <c r="D105" s="27"/>
      <c r="E105" s="27"/>
      <c r="F105" s="20"/>
      <c r="G105" s="27"/>
      <c r="H105" s="27"/>
      <c r="I105" s="27"/>
      <c r="J105" s="27"/>
      <c r="K105" s="27"/>
      <c r="L105" s="27"/>
      <c r="M105" s="27"/>
      <c r="N105" s="27"/>
      <c r="O105" s="27"/>
      <c r="P105" s="27"/>
      <c r="Q105" s="27"/>
      <c r="R105" s="27"/>
    </row>
    <row r="106" spans="1:18" ht="15.75" thickBot="1" x14ac:dyDescent="0.3">
      <c r="A106" s="18"/>
      <c r="B106" s="27"/>
      <c r="C106" s="27"/>
      <c r="D106" s="27"/>
      <c r="E106" s="27"/>
      <c r="F106" s="20"/>
      <c r="G106" s="27"/>
      <c r="H106" s="27"/>
      <c r="I106" s="27"/>
      <c r="J106" s="27"/>
      <c r="K106" s="27"/>
      <c r="L106" s="27"/>
      <c r="M106" s="27"/>
      <c r="N106" s="27"/>
      <c r="O106" s="27"/>
      <c r="P106" s="27"/>
      <c r="Q106" s="27"/>
      <c r="R106" s="27"/>
    </row>
  </sheetData>
  <hyperlinks>
    <hyperlink ref="J4" r:id="rId1" display="http://www.google.com/url?q=http://hbsp.harvard.edu&amp;usd=2&amp;usg=ALhdy29bS2ZYIH9n3pG_965uMtzUbCAX0Q"/>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87"/>
  <sheetViews>
    <sheetView zoomScale="70" zoomScaleNormal="70" workbookViewId="0">
      <pane xSplit="1" ySplit="1" topLeftCell="J73" activePane="bottomRight" state="frozen"/>
      <selection pane="topRight" activeCell="B1" sqref="B1"/>
      <selection pane="bottomLeft" activeCell="A2" sqref="A2"/>
      <selection pane="bottomRight" activeCell="U93" sqref="U93"/>
    </sheetView>
  </sheetViews>
  <sheetFormatPr defaultRowHeight="15" x14ac:dyDescent="0.25"/>
  <cols>
    <col min="1" max="1" width="44.85546875" customWidth="1"/>
    <col min="2" max="2" width="14" customWidth="1"/>
    <col min="3" max="4" width="13.42578125" style="58" customWidth="1"/>
    <col min="5" max="9" width="11.140625" bestFit="1" customWidth="1"/>
    <col min="10" max="10" width="12.42578125" customWidth="1"/>
    <col min="11" max="15" width="11.140625" bestFit="1" customWidth="1"/>
    <col min="16" max="17" width="10.7109375" bestFit="1" customWidth="1"/>
    <col min="18" max="18" width="11.140625" bestFit="1" customWidth="1"/>
    <col min="19" max="20" width="10.7109375" bestFit="1" customWidth="1"/>
    <col min="21" max="21" width="11.140625" bestFit="1" customWidth="1"/>
    <col min="22" max="22" width="10.7109375" bestFit="1" customWidth="1"/>
  </cols>
  <sheetData>
    <row r="1" spans="1:23" x14ac:dyDescent="0.25">
      <c r="A1" s="1" t="s">
        <v>11</v>
      </c>
      <c r="B1" t="s">
        <v>196</v>
      </c>
      <c r="C1" s="55">
        <v>1</v>
      </c>
      <c r="D1" s="55">
        <f>C1+1</f>
        <v>2</v>
      </c>
      <c r="E1" s="55">
        <f t="shared" ref="E1:V1" si="0">D1+1</f>
        <v>3</v>
      </c>
      <c r="F1" s="55">
        <f t="shared" si="0"/>
        <v>4</v>
      </c>
      <c r="G1" s="55">
        <f t="shared" si="0"/>
        <v>5</v>
      </c>
      <c r="H1" s="55">
        <f t="shared" si="0"/>
        <v>6</v>
      </c>
      <c r="I1" s="55">
        <f t="shared" si="0"/>
        <v>7</v>
      </c>
      <c r="J1" s="55">
        <f t="shared" si="0"/>
        <v>8</v>
      </c>
      <c r="K1" s="55">
        <f t="shared" si="0"/>
        <v>9</v>
      </c>
      <c r="L1" s="55">
        <f t="shared" si="0"/>
        <v>10</v>
      </c>
      <c r="M1" s="55">
        <f t="shared" si="0"/>
        <v>11</v>
      </c>
      <c r="N1" s="55">
        <f t="shared" si="0"/>
        <v>12</v>
      </c>
      <c r="O1" s="55">
        <f t="shared" si="0"/>
        <v>13</v>
      </c>
      <c r="P1" s="55">
        <f t="shared" si="0"/>
        <v>14</v>
      </c>
      <c r="Q1" s="55">
        <f t="shared" si="0"/>
        <v>15</v>
      </c>
      <c r="R1" s="55">
        <f t="shared" si="0"/>
        <v>16</v>
      </c>
      <c r="S1" s="55">
        <f t="shared" si="0"/>
        <v>17</v>
      </c>
      <c r="T1" s="55">
        <f t="shared" si="0"/>
        <v>18</v>
      </c>
      <c r="U1" s="55">
        <f t="shared" si="0"/>
        <v>19</v>
      </c>
      <c r="V1" s="55">
        <f t="shared" si="0"/>
        <v>20</v>
      </c>
      <c r="W1" t="s">
        <v>187</v>
      </c>
    </row>
    <row r="2" spans="1:23" x14ac:dyDescent="0.25">
      <c r="W2" t="s">
        <v>187</v>
      </c>
    </row>
    <row r="3" spans="1:23" x14ac:dyDescent="0.25">
      <c r="A3" s="71" t="s">
        <v>12</v>
      </c>
      <c r="B3" t="s">
        <v>197</v>
      </c>
      <c r="W3" t="s">
        <v>187</v>
      </c>
    </row>
    <row r="4" spans="1:23" x14ac:dyDescent="0.25">
      <c r="A4" s="7" t="s">
        <v>13</v>
      </c>
      <c r="B4">
        <v>1</v>
      </c>
      <c r="W4" t="s">
        <v>187</v>
      </c>
    </row>
    <row r="5" spans="1:23" x14ac:dyDescent="0.25">
      <c r="A5" s="7" t="s">
        <v>14</v>
      </c>
      <c r="B5">
        <v>1</v>
      </c>
      <c r="C5" s="58">
        <f>ROUND(SUM(C87:C89)*IF(C124="low",$B183,IF(C124="high",$B185,0)),0)</f>
        <v>4063281</v>
      </c>
      <c r="D5" s="58">
        <f>SUM(D87:D89)*IF(D124="low",$B183,IF(D124="high",$B185,0))</f>
        <v>943386.4</v>
      </c>
      <c r="W5" t="s">
        <v>187</v>
      </c>
    </row>
    <row r="6" spans="1:23" x14ac:dyDescent="0.25">
      <c r="A6" s="7" t="s">
        <v>208</v>
      </c>
      <c r="B6">
        <v>1</v>
      </c>
      <c r="C6" s="58">
        <f>1200000+C19</f>
        <v>1261405</v>
      </c>
      <c r="W6" t="s">
        <v>187</v>
      </c>
    </row>
    <row r="7" spans="1:23" x14ac:dyDescent="0.25">
      <c r="A7" s="7" t="s">
        <v>219</v>
      </c>
      <c r="B7">
        <v>1</v>
      </c>
      <c r="D7" s="58">
        <f>6*400000</f>
        <v>2400000</v>
      </c>
      <c r="W7" t="s">
        <v>187</v>
      </c>
    </row>
    <row r="8" spans="1:23" s="51" customFormat="1" x14ac:dyDescent="0.25">
      <c r="A8" s="51" t="s">
        <v>242</v>
      </c>
      <c r="B8" t="s">
        <v>198</v>
      </c>
      <c r="C8" s="61">
        <f>SUM(C4:C7)</f>
        <v>5324686</v>
      </c>
      <c r="D8" s="61">
        <f>SUM(D4:D7)</f>
        <v>3343386.4</v>
      </c>
      <c r="E8" s="62">
        <v>3000000</v>
      </c>
      <c r="F8" s="62">
        <v>3000000</v>
      </c>
      <c r="G8" s="62">
        <v>3000000</v>
      </c>
      <c r="H8" s="62">
        <v>1800000</v>
      </c>
      <c r="I8" s="62">
        <v>2400000</v>
      </c>
      <c r="J8" s="62">
        <v>2400000</v>
      </c>
      <c r="K8" s="62">
        <v>600000</v>
      </c>
      <c r="L8" s="62">
        <v>1800000</v>
      </c>
      <c r="M8" s="62">
        <v>1800000</v>
      </c>
      <c r="N8" s="62">
        <v>600000</v>
      </c>
      <c r="O8" s="62">
        <v>1800000</v>
      </c>
      <c r="P8" s="62">
        <v>600000</v>
      </c>
      <c r="Q8" s="62">
        <v>1800000</v>
      </c>
      <c r="R8" s="62">
        <v>600000</v>
      </c>
      <c r="S8" s="62">
        <v>1800000</v>
      </c>
      <c r="T8" s="62">
        <v>1200000</v>
      </c>
      <c r="U8" s="62">
        <v>2400000</v>
      </c>
      <c r="V8" s="62">
        <v>600000</v>
      </c>
      <c r="W8" s="51" t="s">
        <v>187</v>
      </c>
    </row>
    <row r="9" spans="1:23" x14ac:dyDescent="0.25">
      <c r="A9" s="71"/>
      <c r="W9" t="s">
        <v>187</v>
      </c>
    </row>
    <row r="10" spans="1:23" x14ac:dyDescent="0.25">
      <c r="A10" s="71" t="s">
        <v>15</v>
      </c>
      <c r="B10" t="s">
        <v>197</v>
      </c>
      <c r="W10" t="s">
        <v>187</v>
      </c>
    </row>
    <row r="11" spans="1:23" s="51" customFormat="1" x14ac:dyDescent="0.25">
      <c r="A11" s="50" t="s">
        <v>16</v>
      </c>
      <c r="B11">
        <v>1</v>
      </c>
      <c r="C11" s="58"/>
      <c r="D11" s="58"/>
      <c r="E11" s="58">
        <v>1740000</v>
      </c>
      <c r="F11" s="58">
        <v>1200000</v>
      </c>
      <c r="G11" s="51">
        <f>G8*(1-IF(G132="high",$B158,IF(G132="low",$B159,$B157)))</f>
        <v>1950000</v>
      </c>
      <c r="H11" s="58">
        <v>1440000</v>
      </c>
      <c r="I11" s="51">
        <f>I8*(1-IF(I132="high",$B158,IF(I132="low",$B159,$B157)))</f>
        <v>1872000</v>
      </c>
      <c r="J11" s="51">
        <f>J8*(1-IF(J132="high",$B158,IF(J132="low",$B159,$B157)))</f>
        <v>1560000</v>
      </c>
      <c r="K11" s="58">
        <v>492000</v>
      </c>
      <c r="L11" s="51">
        <f>L8*(1-IF(L132="high",$B158,IF(L132="low",$B159,$B157)))</f>
        <v>1404000</v>
      </c>
      <c r="M11" s="51">
        <f>M8*(1-IF(M132="high",$B158,IF(M132="low",$B159,$B157)))</f>
        <v>1170000</v>
      </c>
      <c r="N11" s="51">
        <f>N8*(1-IF(N132="high",$B158,IF(N132="low",$B159,$B157)))</f>
        <v>468000</v>
      </c>
      <c r="O11" s="51">
        <f>O8*(1-IF(O132="high",$B158,IF(O132="low",$B159,$B157)))</f>
        <v>1170000</v>
      </c>
      <c r="P11" s="58">
        <v>510000</v>
      </c>
      <c r="Q11" s="58">
        <v>1200000</v>
      </c>
      <c r="R11" s="58">
        <v>420000</v>
      </c>
      <c r="S11" s="58">
        <v>1440000</v>
      </c>
      <c r="T11" s="58">
        <v>97500</v>
      </c>
      <c r="U11" s="58">
        <v>2040000</v>
      </c>
      <c r="V11" s="58">
        <v>402000</v>
      </c>
      <c r="W11" s="51" t="s">
        <v>187</v>
      </c>
    </row>
    <row r="12" spans="1:23" s="51" customFormat="1" x14ac:dyDescent="0.25">
      <c r="A12" s="50" t="s">
        <v>223</v>
      </c>
      <c r="B12">
        <v>1</v>
      </c>
      <c r="C12" s="58">
        <f>SUM(C97:C98)*IF(C124="low",0.04,0.07)</f>
        <v>1440000</v>
      </c>
      <c r="D12" s="58">
        <f>SUM(D97:D98)*IF(D124="low",0.04,0.07)</f>
        <v>210000.00000000003</v>
      </c>
      <c r="E12" s="58"/>
      <c r="F12" s="58"/>
      <c r="T12" s="58"/>
    </row>
    <row r="13" spans="1:23" x14ac:dyDescent="0.25">
      <c r="A13" s="5" t="s">
        <v>239</v>
      </c>
      <c r="B13">
        <v>1</v>
      </c>
      <c r="C13" s="58">
        <v>0</v>
      </c>
      <c r="D13" s="58">
        <v>0</v>
      </c>
      <c r="E13">
        <f>E83*IF(E146="slow",$B175,IF(E146="fast",$B177,$B176))</f>
        <v>150000</v>
      </c>
      <c r="F13">
        <f>F83*IF(F146="slow",$B175,IF(F146="fast",$B177,$B176))</f>
        <v>3070250</v>
      </c>
      <c r="G13">
        <f>G83*IF(G146="slow",$B175,IF(G146="fast",$B177,$B176))</f>
        <v>375000</v>
      </c>
      <c r="H13">
        <f>H83*IF(H146="slow",$B175,IF(H146="fast",$B177,$B176))</f>
        <v>225000</v>
      </c>
      <c r="I13">
        <f>I83*IF(I146="slow",$B175,IF(I146="fast",$B177,$B176))</f>
        <v>15000</v>
      </c>
      <c r="J13">
        <f>J83*IF(J146="slow",$B175,IF(J146="fast",$B177,$B176))</f>
        <v>240000</v>
      </c>
      <c r="K13">
        <f>K83*IF(K146="slow",$B175,IF(K146="fast",$B177,$B176))</f>
        <v>30000</v>
      </c>
      <c r="L13">
        <f>L83*IF(L146="slow",$B175,IF(L146="fast",$B177,$B176))</f>
        <v>90000</v>
      </c>
      <c r="M13">
        <f>M83*IF(M146="slow",$B175,IF(M146="fast",$B177,$B176))</f>
        <v>0</v>
      </c>
      <c r="N13">
        <f>N83*IF(N146="slow",$B175,IF(N146="fast",$B177,$B176))</f>
        <v>0</v>
      </c>
      <c r="O13">
        <f>O83*IF(O146="slow",$B175,IF(O146="fast",$B177,$B176))</f>
        <v>0</v>
      </c>
      <c r="P13">
        <f>P83*IF(P146="slow",$B175,IF(P146="fast",$B177,$B176))</f>
        <v>30000</v>
      </c>
      <c r="Q13">
        <f>Q83*IF(Q146="slow",$B175,IF(Q146="fast",$B177,$B176))</f>
        <v>0</v>
      </c>
      <c r="R13">
        <f>R83*IF(R146="slow",$B175,IF(R146="fast",$B177,$B176))</f>
        <v>0</v>
      </c>
      <c r="S13">
        <f>S83*IF(S146="slow",$B175,IF(S146="fast",$B177,$B176))</f>
        <v>0</v>
      </c>
      <c r="T13">
        <f>T83*IF(T146="slow",$B175,IF(T146="fast",$B177,$B176))</f>
        <v>30702.5</v>
      </c>
      <c r="U13">
        <f>U83*IF(U146="slow",$B175,IF(U146="fast",$B177,$B176))</f>
        <v>0</v>
      </c>
      <c r="V13">
        <f>V83*IF(V146="slow",$B175,IF(V146="fast",$B177,$B176))</f>
        <v>30</v>
      </c>
      <c r="W13" t="s">
        <v>187</v>
      </c>
    </row>
    <row r="14" spans="1:23" x14ac:dyDescent="0.25">
      <c r="A14" s="8" t="s">
        <v>17</v>
      </c>
      <c r="B14">
        <v>1</v>
      </c>
      <c r="C14" s="58">
        <v>300000</v>
      </c>
      <c r="D14" s="58">
        <v>60000</v>
      </c>
      <c r="W14" t="s">
        <v>187</v>
      </c>
    </row>
    <row r="15" spans="1:23" s="55" customFormat="1" x14ac:dyDescent="0.25">
      <c r="A15" s="54" t="s">
        <v>194</v>
      </c>
      <c r="B15">
        <v>1</v>
      </c>
      <c r="C15" s="58">
        <v>6000</v>
      </c>
      <c r="D15" s="58">
        <v>12000</v>
      </c>
      <c r="E15" s="55">
        <f>IF(E147="",0,IF(E147="high",2,IF(E147="low",1,1))*E8*0.02)</f>
        <v>0</v>
      </c>
      <c r="F15" s="55">
        <f>IF(F147="",0,IF(F147="high",2,IF(F147="low",1,1))*F8*0.02)</f>
        <v>0</v>
      </c>
      <c r="G15" s="55">
        <f>IF(G147="",0,IF(G147="high",2,IF(G147="low",1,1))*G8*0.02)</f>
        <v>0</v>
      </c>
      <c r="H15" s="55">
        <f>IF(H147="",0,IF(H147="high",2,IF(H147="low",1,1))*H8*0.02)</f>
        <v>0</v>
      </c>
      <c r="I15" s="55">
        <f>IF(I147="",0,IF(I147="high",2,IF(I147="low",1,1))*I8*0.02)</f>
        <v>0</v>
      </c>
      <c r="J15" s="55">
        <f>IF(J147="",0,IF(J147="high",2,IF(J147="low",1,1))*J8*0.02)</f>
        <v>0</v>
      </c>
      <c r="K15" s="55">
        <f>IF(K147="",0,IF(K147="high",2,IF(K147="low",1,1))*K8*0.02)</f>
        <v>0</v>
      </c>
      <c r="L15" s="55">
        <f>IF(L147="",0,IF(L147="high",2,IF(L147="low",1,1))*L8*0.02)</f>
        <v>0</v>
      </c>
      <c r="M15" s="55">
        <f>IF(M147="",0,IF(M147="high",2,IF(M147="low",1,1))*M8*0.02)</f>
        <v>36000</v>
      </c>
      <c r="N15" s="55">
        <f>IF(N147="",0,IF(N147="high",2,IF(N147="low",1,1))*N8*0.02)</f>
        <v>12000</v>
      </c>
      <c r="O15" s="55">
        <f>IF(O147="",0,IF(O147="high",2,IF(O147="low",1,1))*O8*0.02)</f>
        <v>36000</v>
      </c>
      <c r="P15" s="58">
        <v>0</v>
      </c>
      <c r="Q15" s="55">
        <f>IF(Q147="",0,IF(Q147="high",2,IF(Q147="low",1,1))*Q8*0.02)</f>
        <v>36000</v>
      </c>
      <c r="R15" s="55">
        <f>IF(R147="",0,IF(R147="high",2,IF(R147="low",1,1))*R8*0.02)</f>
        <v>12000</v>
      </c>
      <c r="S15" s="55">
        <f>IF(S147="",0,IF(S147="high",2,IF(S147="low",1,1))*S8*0.02)</f>
        <v>36000</v>
      </c>
      <c r="T15" s="58">
        <v>60000</v>
      </c>
      <c r="U15" s="55">
        <f>IF(U147="",0,IF(U147="high",2,IF(U147="low",1,1))*U8*0.02)</f>
        <v>48000</v>
      </c>
      <c r="V15" s="55">
        <f>IF(V147="",0,IF(V147="high",2,IF(V147="low",1,1))*V8*0.02)</f>
        <v>0</v>
      </c>
      <c r="W15" s="55" t="s">
        <v>187</v>
      </c>
    </row>
    <row r="16" spans="1:23" s="51" customFormat="1" x14ac:dyDescent="0.25">
      <c r="A16" s="50" t="s">
        <v>243</v>
      </c>
      <c r="B16">
        <v>1</v>
      </c>
      <c r="C16" s="51" t="str">
        <f>IF(OR(C144="high",C144=1),$B169*C8,IF(C128="","",$B170*C8))</f>
        <v/>
      </c>
      <c r="D16" s="51" t="str">
        <f>IF(OR(D144="high",D144=1),$B169*D8,IF(D128="","",$B170*D8))</f>
        <v/>
      </c>
      <c r="E16" s="51" t="str">
        <f>IF(OR(E144="high",E144=1),$B169*E8,IF(E128="","",$B170*E8))</f>
        <v/>
      </c>
      <c r="F16" s="51">
        <f>IF(OR(F144="high",F144=1),$B169*F8,IF(F128="","",$B170*F8))</f>
        <v>15000</v>
      </c>
      <c r="G16" s="51" t="str">
        <f>IF(OR(G144="high",G144=1),$B169*G8,IF(G128="","",$B170*G8))</f>
        <v/>
      </c>
      <c r="H16" s="51" t="str">
        <f>IF(OR(H144="high",H144=1),$B169*H8,IF(H128="","",$B170*H8))</f>
        <v/>
      </c>
      <c r="I16" s="51">
        <f>IF(OR(I144="high",I144=1),$B169*I8,IF(I128="","",$B170*I8))</f>
        <v>12000</v>
      </c>
      <c r="J16" s="51">
        <f>IF(OR(J144="high",J144=1),$B169*J8,IF(J128="","",$B170*J8))</f>
        <v>120000</v>
      </c>
      <c r="K16" s="51" t="str">
        <f>IF(OR(K144="high",K144=1),$B169*K8,IF(K128="","",$B170*K8))</f>
        <v/>
      </c>
      <c r="L16" s="51">
        <f>IF(OR(L144="high",L144=1),$B169*L8,IF(L128="","",$B170*L8))</f>
        <v>9000</v>
      </c>
      <c r="M16" s="51" t="str">
        <f>IF(OR(M144="high",M144=1),$B169*M8,IF(M128="","",$B170*M8))</f>
        <v/>
      </c>
      <c r="N16" s="51">
        <f>IF(OR(N144="high",N144=1),$B169*N8,IF(N128="","",$B170*N8))</f>
        <v>3000</v>
      </c>
      <c r="O16" s="51" t="str">
        <f>IF(OR(O144="high",O144=1),$B169*O8,IF(O128="","",$B170*O8))</f>
        <v/>
      </c>
      <c r="P16" s="51" t="str">
        <f>IF(OR(P144="high",P144=1),$B169*P8,IF(P128="","",$B170*P8))</f>
        <v/>
      </c>
      <c r="Q16" s="51" t="str">
        <f>IF(OR(Q144="high",Q144=1),$B169*Q8,IF(Q128="","",$B170*Q8))</f>
        <v/>
      </c>
      <c r="R16" s="51" t="str">
        <f>IF(OR(R144="high",R144=1),$B169*R8,IF(R128="","",$B170*R8))</f>
        <v/>
      </c>
      <c r="S16" s="51">
        <f>IF(OR(S144="high",S144=1),$B169*S8,IF(S128="","",$B170*S8))</f>
        <v>9000</v>
      </c>
      <c r="T16" s="51" t="str">
        <f>IF(OR(T144="high",T144=1),$B169*T8,IF(T128="","",$B170*T8))</f>
        <v/>
      </c>
      <c r="U16" s="58">
        <v>60000</v>
      </c>
      <c r="V16" s="51" t="str">
        <f>IF(OR(V144="high",V144=1),$B169*V8,IF(V128="","",$B170*V8))</f>
        <v/>
      </c>
      <c r="W16" s="51" t="s">
        <v>187</v>
      </c>
    </row>
    <row r="17" spans="1:24" s="55" customFormat="1" x14ac:dyDescent="0.25">
      <c r="A17" s="54" t="s">
        <v>240</v>
      </c>
      <c r="B17">
        <v>1</v>
      </c>
      <c r="C17" s="58">
        <f>IF(C143="",0,C8*0.08)</f>
        <v>0</v>
      </c>
      <c r="D17" s="58">
        <f>IF(D143="",0,D8*0.08)</f>
        <v>0</v>
      </c>
      <c r="E17" s="55">
        <f>IF(E143="",0,E8*0.08)</f>
        <v>0</v>
      </c>
      <c r="F17" s="55">
        <f>IF(F143="",0,F8*0.08)</f>
        <v>0</v>
      </c>
      <c r="G17" s="55">
        <f>IF(G143="",0,G8*0.08)</f>
        <v>0</v>
      </c>
      <c r="H17" s="55">
        <f>IF(H143="",0,H8*0.08)</f>
        <v>0</v>
      </c>
      <c r="I17" s="55">
        <f>IF(I143="",0,I8*0.08)</f>
        <v>192000</v>
      </c>
      <c r="J17" s="55">
        <f>IF(J143="",0,J8*0.08)</f>
        <v>0</v>
      </c>
      <c r="K17" s="55">
        <f>IF(K143="",0,K8*0.08)</f>
        <v>0</v>
      </c>
      <c r="L17" s="55">
        <f>IF(L143="",0,L8*0.08)</f>
        <v>0</v>
      </c>
      <c r="M17" s="55">
        <f>IF(M143="",0,M8*0.08)</f>
        <v>0</v>
      </c>
      <c r="N17" s="55">
        <f>IF(N143="",0,N8*0.08)</f>
        <v>48000</v>
      </c>
      <c r="O17" s="55">
        <f>IF(O143="",0,O8*0.08)</f>
        <v>144000</v>
      </c>
      <c r="P17" s="55">
        <f>IF(P143="",0,P8*0.08)</f>
        <v>0</v>
      </c>
      <c r="Q17" s="55">
        <f>IF(Q143="",0,Q8*0.08)</f>
        <v>144000</v>
      </c>
      <c r="R17" s="55">
        <f>IF(R143="",0,R8*0.08)</f>
        <v>0</v>
      </c>
      <c r="S17" s="55">
        <f>IF(S143="",0,S8*0.08)</f>
        <v>0</v>
      </c>
      <c r="T17" s="55">
        <f>IF(T143="",0,T8*0.08)</f>
        <v>0</v>
      </c>
      <c r="U17" s="55">
        <f>IF(U143="",0,U8*0.08)</f>
        <v>0</v>
      </c>
      <c r="V17" s="55">
        <f>IF(V143="",0,V8*0.08)</f>
        <v>0</v>
      </c>
      <c r="W17" s="55" t="s">
        <v>187</v>
      </c>
    </row>
    <row r="18" spans="1:24" s="55" customFormat="1" x14ac:dyDescent="0.25">
      <c r="A18" s="54" t="s">
        <v>241</v>
      </c>
      <c r="B18">
        <v>1</v>
      </c>
      <c r="C18" s="51">
        <f>ROUND(C8*IF(C145="",$B179,IF(C145="high",$B180,IF(C145="low",$B181))),0)</f>
        <v>159741</v>
      </c>
      <c r="D18" s="51">
        <f>ROUND(D8*IF(D145="",$B179,IF(D145="high",$B180+0.1,IF(D145="low",$B181))),0)/2</f>
        <v>585092.5</v>
      </c>
      <c r="E18" s="51">
        <f>ROUND(E8*IF(E145="",$B179,IF(E145="high",$B180,IF(E145="low",$B181))),0)</f>
        <v>90000</v>
      </c>
      <c r="F18" s="51">
        <f>ROUND(F8*IF(F145="",$B179,IF(F145="high",$B180,IF(F145="low",$B181))),0)</f>
        <v>750000</v>
      </c>
      <c r="G18" s="51">
        <f>ROUND(G8*IF(G145="",$B179,IF(G145="high",$B180,IF(G145="low",$B181))),0)</f>
        <v>300000</v>
      </c>
      <c r="H18" s="51">
        <f>ROUND(H8*IF(H145="",$B179,IF(H145="high",$B180,IF(H145="low",$B181))),0)</f>
        <v>54000</v>
      </c>
      <c r="I18" s="51">
        <f>ROUND(I8*IF(I145="",$B179,IF(I145="high",$B180,IF(I145="low",$B181))),0)</f>
        <v>240000</v>
      </c>
      <c r="J18" s="51">
        <f>ROUND(J8*IF(J145="",$B179,IF(J145="high",$B180,IF(J145="low",$B181))),0)</f>
        <v>240000</v>
      </c>
      <c r="K18" s="51">
        <f>ROUND(K8*IF(K145="",$B179,IF(K145="high",$B180,IF(K145="low",$B181))),0)</f>
        <v>60000</v>
      </c>
      <c r="L18" s="51">
        <f>ROUND(L8*IF(L145="",$B179,IF(L145="high",$B180,IF(L145="low",$B181))),0)</f>
        <v>180000</v>
      </c>
      <c r="M18" s="51">
        <f>ROUND(M8*IF(M145="",$B179,IF(M145="high",$B180,IF(M145="low",$B181))),0)</f>
        <v>180000</v>
      </c>
      <c r="N18" s="51">
        <f>ROUND(N8*IF(N145="",$B179,IF(N145="high",$B180,IF(N145="low",$B181))),0)</f>
        <v>60000</v>
      </c>
      <c r="O18" s="51">
        <f>ROUND(O8*IF(O145="",$B179,IF(O145="high",$B180,IF(O145="low",$B181))),0)</f>
        <v>180000</v>
      </c>
      <c r="P18" s="51">
        <f>ROUND(P8*IF(P145="",$B179,IF(P145="high",$B180,IF(P145="low",$B181))),0)</f>
        <v>18000</v>
      </c>
      <c r="Q18" s="51">
        <f>ROUND(Q8*IF(Q145="",$B179,IF(Q145="high",$B180,IF(Q145="low",$B181))),0)</f>
        <v>180000</v>
      </c>
      <c r="R18" s="51">
        <f>ROUND(R8*IF(R145="",$B179,IF(R145="high",$B180,IF(R145="low",$B181))),0)</f>
        <v>60000</v>
      </c>
      <c r="S18" s="51">
        <f>ROUND(S8*IF(S145="",$B179,IF(S145="high",$B180,IF(S145="low",$B181))),0)</f>
        <v>180000</v>
      </c>
      <c r="T18" s="58">
        <f>61405*1.5</f>
        <v>92107.5</v>
      </c>
      <c r="U18" s="58">
        <v>210000</v>
      </c>
      <c r="V18" s="58">
        <v>162000</v>
      </c>
      <c r="W18" s="55" t="s">
        <v>187</v>
      </c>
    </row>
    <row r="19" spans="1:24" s="55" customFormat="1" x14ac:dyDescent="0.25">
      <c r="A19" s="54" t="s">
        <v>268</v>
      </c>
      <c r="B19"/>
      <c r="C19" s="55">
        <f>T20</f>
        <v>61405</v>
      </c>
      <c r="D19" s="51"/>
      <c r="E19" s="51"/>
      <c r="F19" s="51"/>
      <c r="G19" s="51"/>
      <c r="H19" s="51"/>
      <c r="I19" s="58"/>
      <c r="J19" s="51"/>
      <c r="K19" s="51"/>
      <c r="L19" s="51"/>
      <c r="M19" s="51"/>
      <c r="N19" s="51"/>
      <c r="O19" s="51"/>
      <c r="P19" s="51"/>
      <c r="Q19" s="51"/>
      <c r="R19" s="51"/>
      <c r="S19" s="51"/>
      <c r="T19" s="58"/>
      <c r="U19" s="58"/>
      <c r="V19" s="58"/>
    </row>
    <row r="20" spans="1:24" s="55" customFormat="1" x14ac:dyDescent="0.25">
      <c r="A20" s="54" t="s">
        <v>267</v>
      </c>
      <c r="B20">
        <v>1</v>
      </c>
      <c r="C20" s="58"/>
      <c r="D20" s="58"/>
      <c r="E20" s="55">
        <f>IF(E149="",0,$B187)*E8</f>
        <v>0</v>
      </c>
      <c r="F20" s="55">
        <f>IF(F149="",0,$B187)*F8</f>
        <v>0</v>
      </c>
      <c r="G20" s="55">
        <f>IF(G149="",0,$B187)*G8</f>
        <v>0</v>
      </c>
      <c r="H20" s="55">
        <f>IF(H149="",0,$B187)*H8</f>
        <v>0</v>
      </c>
      <c r="I20" s="55">
        <f>IF(I149="",0,$B187)*I8</f>
        <v>0</v>
      </c>
      <c r="J20" s="55">
        <f>IF(J149="",0,$B187)*J8</f>
        <v>0</v>
      </c>
      <c r="K20" s="55">
        <f>IF(K149="",0,$B187)*K8</f>
        <v>0</v>
      </c>
      <c r="L20" s="55">
        <f>IF(L149="",0,$B187)*L8</f>
        <v>0</v>
      </c>
      <c r="M20" s="55">
        <f>IF(M149="",0,$B187)*M8</f>
        <v>0</v>
      </c>
      <c r="N20" s="55">
        <f>IF(N149="",0,$B187)*N8</f>
        <v>0</v>
      </c>
      <c r="O20" s="55">
        <f>IF(O149="",0,$B187)*O8</f>
        <v>0</v>
      </c>
      <c r="P20" s="55">
        <f>IF(P149="",0,$B187)*P8</f>
        <v>0</v>
      </c>
      <c r="Q20" s="55">
        <f>IF(Q149="",0,$B187)*Q8</f>
        <v>0</v>
      </c>
      <c r="R20" s="55">
        <f>IF(R149="",0,$B187)*R8</f>
        <v>0</v>
      </c>
      <c r="S20" s="55">
        <f>IF(S149="",0,$B187)*S8</f>
        <v>0</v>
      </c>
      <c r="T20" s="58">
        <f>magic/10</f>
        <v>61405</v>
      </c>
      <c r="U20" s="55">
        <f>IF(U149="",0,$B187)*U8</f>
        <v>0</v>
      </c>
      <c r="V20" s="55">
        <f>IF(V149="",0,$B187)*V8</f>
        <v>0</v>
      </c>
      <c r="W20" s="55" t="s">
        <v>187</v>
      </c>
    </row>
    <row r="21" spans="1:24" s="55" customFormat="1" x14ac:dyDescent="0.25">
      <c r="A21" s="56" t="s">
        <v>244</v>
      </c>
      <c r="B21" s="55" t="s">
        <v>198</v>
      </c>
      <c r="C21" s="55">
        <f>SUM(C11:C20)</f>
        <v>1967146</v>
      </c>
      <c r="D21" s="55">
        <f t="shared" ref="D21:U21" si="1">SUM(D11:D20)</f>
        <v>867092.5</v>
      </c>
      <c r="E21" s="55">
        <f>SUM(E11:E20)</f>
        <v>1980000</v>
      </c>
      <c r="F21" s="55">
        <f t="shared" si="1"/>
        <v>5035250</v>
      </c>
      <c r="G21" s="55">
        <f t="shared" si="1"/>
        <v>2625000</v>
      </c>
      <c r="H21" s="55">
        <f t="shared" si="1"/>
        <v>1719000</v>
      </c>
      <c r="I21" s="55">
        <f t="shared" si="1"/>
        <v>2331000</v>
      </c>
      <c r="J21" s="55">
        <f t="shared" si="1"/>
        <v>2160000</v>
      </c>
      <c r="K21" s="55">
        <f t="shared" si="1"/>
        <v>582000</v>
      </c>
      <c r="L21" s="55">
        <f t="shared" si="1"/>
        <v>1683000</v>
      </c>
      <c r="M21" s="55">
        <f t="shared" si="1"/>
        <v>1386000</v>
      </c>
      <c r="N21" s="55">
        <f t="shared" si="1"/>
        <v>591000</v>
      </c>
      <c r="O21" s="55">
        <f t="shared" si="1"/>
        <v>1530000</v>
      </c>
      <c r="P21" s="55">
        <f t="shared" si="1"/>
        <v>558000</v>
      </c>
      <c r="Q21" s="55">
        <f t="shared" si="1"/>
        <v>1560000</v>
      </c>
      <c r="R21" s="55">
        <f t="shared" si="1"/>
        <v>492000</v>
      </c>
      <c r="S21" s="55">
        <f t="shared" si="1"/>
        <v>1665000</v>
      </c>
      <c r="T21" s="55">
        <f t="shared" si="1"/>
        <v>341715</v>
      </c>
      <c r="U21" s="55">
        <f t="shared" si="1"/>
        <v>2358000</v>
      </c>
      <c r="V21" s="55">
        <f>SUM(V11:V20)</f>
        <v>564030</v>
      </c>
      <c r="W21" s="55" t="s">
        <v>187</v>
      </c>
    </row>
    <row r="22" spans="1:24" x14ac:dyDescent="0.25">
      <c r="A22" s="72"/>
      <c r="W22" t="s">
        <v>187</v>
      </c>
    </row>
    <row r="23" spans="1:24" x14ac:dyDescent="0.25">
      <c r="A23" s="10" t="s">
        <v>19</v>
      </c>
      <c r="B23">
        <v>0</v>
      </c>
      <c r="C23" s="62">
        <f>C8-C21</f>
        <v>3357540</v>
      </c>
      <c r="D23" s="51">
        <f t="shared" ref="D23:V23" si="2">D8-D21</f>
        <v>2476293.9</v>
      </c>
      <c r="E23">
        <f t="shared" si="2"/>
        <v>1020000</v>
      </c>
      <c r="F23">
        <f t="shared" si="2"/>
        <v>-2035250</v>
      </c>
      <c r="G23">
        <f t="shared" si="2"/>
        <v>375000</v>
      </c>
      <c r="H23">
        <f t="shared" si="2"/>
        <v>81000</v>
      </c>
      <c r="I23">
        <f t="shared" si="2"/>
        <v>69000</v>
      </c>
      <c r="J23">
        <f t="shared" si="2"/>
        <v>240000</v>
      </c>
      <c r="K23">
        <f t="shared" si="2"/>
        <v>18000</v>
      </c>
      <c r="L23">
        <f t="shared" si="2"/>
        <v>117000</v>
      </c>
      <c r="M23">
        <f t="shared" si="2"/>
        <v>414000</v>
      </c>
      <c r="N23">
        <f t="shared" si="2"/>
        <v>9000</v>
      </c>
      <c r="O23">
        <f t="shared" si="2"/>
        <v>270000</v>
      </c>
      <c r="P23">
        <f t="shared" si="2"/>
        <v>42000</v>
      </c>
      <c r="Q23">
        <f>Q8-Q21</f>
        <v>240000</v>
      </c>
      <c r="R23">
        <f t="shared" si="2"/>
        <v>108000</v>
      </c>
      <c r="S23">
        <f t="shared" si="2"/>
        <v>135000</v>
      </c>
      <c r="T23">
        <f t="shared" si="2"/>
        <v>858285</v>
      </c>
      <c r="U23">
        <f t="shared" si="2"/>
        <v>42000</v>
      </c>
      <c r="V23">
        <f t="shared" si="2"/>
        <v>35970</v>
      </c>
      <c r="W23" t="s">
        <v>187</v>
      </c>
    </row>
    <row r="24" spans="1:24" s="51" customFormat="1" x14ac:dyDescent="0.25">
      <c r="A24" s="50" t="s">
        <v>206</v>
      </c>
      <c r="B24">
        <v>1</v>
      </c>
      <c r="E24" s="51">
        <f>-E99*IF(E124="low",$B$183,IF(E124="high",$B$185,IF(E124="verylow",$B$184,0)))</f>
        <v>-786630</v>
      </c>
      <c r="F24" s="51">
        <f>-F99*IF(F124="low",$B$183,IF(F124="high",$B$185,IF(F124="verylow",$B$184,0)))</f>
        <v>-3033126</v>
      </c>
      <c r="G24" s="51">
        <f>-G99*IF(G124="low",$B$183,IF(G124="high",$B$185,IF(G124="verylow",$B$184,0)))</f>
        <v>-40116</v>
      </c>
      <c r="H24" s="51">
        <f>-H99*IF(H124="low",$B$183,IF(H124="high",$B$185,IF(H124="verylow",$B$184,0)))</f>
        <v>-29862</v>
      </c>
      <c r="I24" s="51">
        <f>-I99*IF(I124="low",$B$183,IF(I124="high",$B$185,IF(I124="verylow",$B$184,0)))</f>
        <v>-12529</v>
      </c>
      <c r="J24" s="51">
        <f>-J99*IF(J124="low",$B$183,IF(J124="high",$B$185,IF(J124="verylow",$B$184,0)))</f>
        <v>-15402</v>
      </c>
      <c r="K24" s="51">
        <f>-K99*IF(K124="low",$B$183,IF(K124="high",$B$185,IF(K124="verylow",$B$184,0)))</f>
        <v>-10945</v>
      </c>
      <c r="L24" s="51">
        <f>-L99*IF(L124="low",$B$183,IF(L124="high",$B$185,IF(L124="verylow",$B$184,0)))</f>
        <v>-16242</v>
      </c>
      <c r="M24" s="51">
        <f>-M99*IF(M124="low",$B$183,IF(M124="high",$B$185,IF(M124="verylow",$B$184,0)))</f>
        <v>-93036</v>
      </c>
      <c r="N24" s="51">
        <f>-N99*IF(N124="low",$B$183,IF(N124="high",$B$185,IF(N124="verylow",$B$184,0)))</f>
        <v>-5786</v>
      </c>
      <c r="O24" s="51">
        <f>-O99*IF(O124="low",$B$183,IF(O124="high",$B$185,IF(O124="verylow",$B$184,0)))</f>
        <v>-6248</v>
      </c>
      <c r="P24" s="51">
        <f>-P99*IF(P124="low",$B$183,IF(P124="high",$B$185,IF(P124="verylow",$B$184,0)))</f>
        <v>-10802</v>
      </c>
      <c r="Q24" s="51">
        <f>-Q99*IF(Q124="low",$B$183,IF(Q124="high",$B$185,IF(Q124="verylow",$B$184,0)))</f>
        <v>-95711</v>
      </c>
      <c r="R24" s="51">
        <f>-R99*IF(R124="low",$B$183,IF(R124="high",$B$185,IF(R124="verylow",$B$184,0)))</f>
        <v>-57068</v>
      </c>
      <c r="S24" s="51">
        <f>-S99*IF(S124="low",$B$183,IF(S124="high",$B$185,IF(S124="verylow",$B$184,0)))</f>
        <v>-9141</v>
      </c>
      <c r="T24" s="51">
        <f>-T99*IF(T124="low",$B$183,IF(T124="high",$B$185,IF(T124="verylow",$B$184,0)))</f>
        <v>-5916</v>
      </c>
      <c r="U24" s="51">
        <f>-U99*IF(U124="low",$B$183,IF(U124="high",$B$185,IF(U124="verylow",$B$184,0)))</f>
        <v>-6108</v>
      </c>
      <c r="V24" s="51">
        <f>-V99*IF(V124="low",$B$183,IF(V124="high",$B$185,IF(V124="verylow",$B$184,0)))</f>
        <v>-59701.4</v>
      </c>
      <c r="W24" s="51" t="s">
        <v>187</v>
      </c>
    </row>
    <row r="25" spans="1:24" s="51" customFormat="1" x14ac:dyDescent="0.25">
      <c r="A25" s="50" t="s">
        <v>274</v>
      </c>
      <c r="B25">
        <v>1</v>
      </c>
      <c r="C25" s="58">
        <f>IF(C140="",0,500)-IF(C139="",0,500)</f>
        <v>0</v>
      </c>
      <c r="D25" s="58">
        <f t="shared" ref="D25:V25" si="3">IF(D140="",0,500)-IF(D139="",0,500)</f>
        <v>0</v>
      </c>
      <c r="E25" s="58">
        <f t="shared" si="3"/>
        <v>0</v>
      </c>
      <c r="F25" s="58">
        <f t="shared" si="3"/>
        <v>0</v>
      </c>
      <c r="G25" s="58">
        <f t="shared" si="3"/>
        <v>0</v>
      </c>
      <c r="H25" s="58">
        <f t="shared" si="3"/>
        <v>0</v>
      </c>
      <c r="I25" s="58">
        <f t="shared" si="3"/>
        <v>0</v>
      </c>
      <c r="J25" s="58">
        <f t="shared" si="3"/>
        <v>0</v>
      </c>
      <c r="K25" s="58">
        <f t="shared" si="3"/>
        <v>0</v>
      </c>
      <c r="L25" s="58">
        <f t="shared" si="3"/>
        <v>0</v>
      </c>
      <c r="M25" s="58">
        <f t="shared" si="3"/>
        <v>-500</v>
      </c>
      <c r="N25" s="58">
        <f t="shared" si="3"/>
        <v>500</v>
      </c>
      <c r="O25" s="58">
        <f t="shared" si="3"/>
        <v>0</v>
      </c>
      <c r="P25" s="58">
        <f t="shared" si="3"/>
        <v>0</v>
      </c>
      <c r="Q25" s="58">
        <f t="shared" si="3"/>
        <v>500</v>
      </c>
      <c r="R25" s="58">
        <f t="shared" si="3"/>
        <v>-500</v>
      </c>
      <c r="S25" s="58">
        <f t="shared" si="3"/>
        <v>0</v>
      </c>
      <c r="T25" s="58">
        <f t="shared" si="3"/>
        <v>0</v>
      </c>
      <c r="U25" s="58">
        <f t="shared" si="3"/>
        <v>0</v>
      </c>
      <c r="V25" s="58">
        <f t="shared" si="3"/>
        <v>0</v>
      </c>
      <c r="W25" s="51" t="s">
        <v>187</v>
      </c>
    </row>
    <row r="26" spans="1:24" x14ac:dyDescent="0.25">
      <c r="A26" s="5"/>
      <c r="W26" t="s">
        <v>187</v>
      </c>
    </row>
    <row r="27" spans="1:24" x14ac:dyDescent="0.25">
      <c r="A27" s="7" t="s">
        <v>20</v>
      </c>
      <c r="W27" t="s">
        <v>187</v>
      </c>
    </row>
    <row r="28" spans="1:24" x14ac:dyDescent="0.25">
      <c r="A28" s="9" t="s">
        <v>21</v>
      </c>
      <c r="B28" t="s">
        <v>198</v>
      </c>
      <c r="C28" s="62">
        <f>ROUND(C23+SUM(C24:C25),0)</f>
        <v>3357540</v>
      </c>
      <c r="D28" s="51">
        <f t="shared" ref="D28:U28" si="4">ROUND(D23+SUM(D24:D25),0)</f>
        <v>2476294</v>
      </c>
      <c r="E28" s="51">
        <f t="shared" si="4"/>
        <v>233370</v>
      </c>
      <c r="F28" s="51">
        <f t="shared" si="4"/>
        <v>-5068376</v>
      </c>
      <c r="G28" s="51">
        <f t="shared" si="4"/>
        <v>334884</v>
      </c>
      <c r="H28" s="51">
        <f t="shared" si="4"/>
        <v>51138</v>
      </c>
      <c r="I28" s="51">
        <f t="shared" si="4"/>
        <v>56471</v>
      </c>
      <c r="J28" s="51">
        <f t="shared" si="4"/>
        <v>224598</v>
      </c>
      <c r="K28" s="51">
        <f t="shared" si="4"/>
        <v>7055</v>
      </c>
      <c r="L28" s="51">
        <f t="shared" si="4"/>
        <v>100758</v>
      </c>
      <c r="M28" s="51">
        <f t="shared" si="4"/>
        <v>320464</v>
      </c>
      <c r="N28" s="51">
        <f t="shared" si="4"/>
        <v>3714</v>
      </c>
      <c r="O28" s="51">
        <f t="shared" si="4"/>
        <v>263752</v>
      </c>
      <c r="P28" s="51">
        <f t="shared" si="4"/>
        <v>31198</v>
      </c>
      <c r="Q28" s="51">
        <f t="shared" si="4"/>
        <v>144789</v>
      </c>
      <c r="R28" s="51">
        <f t="shared" si="4"/>
        <v>50432</v>
      </c>
      <c r="S28" s="51">
        <f t="shared" si="4"/>
        <v>125859</v>
      </c>
      <c r="T28" s="51">
        <f t="shared" si="4"/>
        <v>852369</v>
      </c>
      <c r="U28" s="51">
        <f t="shared" si="4"/>
        <v>35892</v>
      </c>
      <c r="V28" s="51">
        <f>ROUND(V23+SUM(V24:V25),0)</f>
        <v>-23731</v>
      </c>
      <c r="W28" t="s">
        <v>187</v>
      </c>
      <c r="X28" s="51"/>
    </row>
    <row r="29" spans="1:24" s="58" customFormat="1" x14ac:dyDescent="0.25">
      <c r="A29" s="64" t="s">
        <v>271</v>
      </c>
      <c r="B29" s="58">
        <v>1</v>
      </c>
      <c r="W29" s="58" t="s">
        <v>187</v>
      </c>
    </row>
    <row r="30" spans="1:24" s="58" customFormat="1" x14ac:dyDescent="0.25">
      <c r="A30" s="64" t="s">
        <v>261</v>
      </c>
      <c r="B30" s="58">
        <v>1</v>
      </c>
      <c r="C30" s="51">
        <f>TRUNC(C28/30000)*10000+C118</f>
        <v>1110020</v>
      </c>
      <c r="D30" s="51">
        <f>TRUNC(D28/30000)*10000+D118</f>
        <v>820001</v>
      </c>
      <c r="E30" s="51">
        <f>TRUNC(E28/30000)*10000+E118</f>
        <v>70024</v>
      </c>
      <c r="F30" s="51">
        <f>TRUNC(F28/30000)*10000+F118</f>
        <v>-1679995</v>
      </c>
      <c r="G30" s="51">
        <f>TRUNC(G28/30000)*10000+G118</f>
        <v>110019</v>
      </c>
      <c r="H30" s="51">
        <f>TRUNC(H28/30000)*10000+H118</f>
        <v>10006</v>
      </c>
      <c r="I30" s="51">
        <f>TRUNC(I28/30000)*10000+I118</f>
        <v>10015</v>
      </c>
      <c r="J30" s="51">
        <f>TRUNC(J28/30000)*10000+J118</f>
        <v>70018</v>
      </c>
      <c r="K30" s="51">
        <f>TRUNC(K28/30000)*10000+K118</f>
        <v>13</v>
      </c>
      <c r="L30" s="51">
        <f>TRUNC(L28/30000)*10000+L118</f>
        <v>30001</v>
      </c>
      <c r="M30" s="51">
        <f>TRUNC(M28/30000)*10000+M118</f>
        <v>100018</v>
      </c>
      <c r="N30" s="51">
        <f>TRUNC(N28/30000)*10000+N118</f>
        <v>5</v>
      </c>
      <c r="O30" s="51">
        <f>TRUNC(O28/30000)*10000+O118</f>
        <v>80004</v>
      </c>
      <c r="P30" s="51">
        <f>TRUNC(P28/30000)*10000+P118</f>
        <v>10008</v>
      </c>
      <c r="Q30" s="51">
        <f>TRUNC(Q28/30000)*10000+Q118</f>
        <v>40005</v>
      </c>
      <c r="R30" s="51">
        <f>TRUNC(R28/30000)*10000+R118</f>
        <v>10018</v>
      </c>
      <c r="S30" s="51">
        <f>TRUNC(S28/30000)*10000+S118</f>
        <v>40018</v>
      </c>
      <c r="T30" s="51">
        <f>TRUNC(T28/30000)*10000+T118</f>
        <v>280009</v>
      </c>
      <c r="U30" s="51">
        <f>TRUNC(U28/30000)*10000+U118</f>
        <v>10014</v>
      </c>
      <c r="V30" s="51">
        <f>TRUNC(V28/3000)*1000+V118</f>
        <v>-6993</v>
      </c>
      <c r="W30" s="58" t="s">
        <v>187</v>
      </c>
    </row>
    <row r="31" spans="1:24" x14ac:dyDescent="0.25">
      <c r="A31" s="7"/>
      <c r="W31" t="s">
        <v>187</v>
      </c>
    </row>
    <row r="32" spans="1:24" x14ac:dyDescent="0.25">
      <c r="A32" s="52" t="s">
        <v>245</v>
      </c>
      <c r="B32" s="51" t="s">
        <v>198</v>
      </c>
      <c r="C32" s="51">
        <f>C28-C30</f>
        <v>2247520</v>
      </c>
      <c r="D32" s="51">
        <f t="shared" ref="D32:V32" si="5">D28-D30</f>
        <v>1656293</v>
      </c>
      <c r="E32" s="51">
        <f t="shared" si="5"/>
        <v>163346</v>
      </c>
      <c r="F32" s="51">
        <f t="shared" si="5"/>
        <v>-3388381</v>
      </c>
      <c r="G32" s="51">
        <f t="shared" si="5"/>
        <v>224865</v>
      </c>
      <c r="H32" s="51">
        <f t="shared" si="5"/>
        <v>41132</v>
      </c>
      <c r="I32" s="51">
        <f t="shared" si="5"/>
        <v>46456</v>
      </c>
      <c r="J32" s="51">
        <f t="shared" si="5"/>
        <v>154580</v>
      </c>
      <c r="K32" s="51">
        <f t="shared" si="5"/>
        <v>7042</v>
      </c>
      <c r="L32" s="51">
        <f t="shared" si="5"/>
        <v>70757</v>
      </c>
      <c r="M32" s="51">
        <f t="shared" si="5"/>
        <v>220446</v>
      </c>
      <c r="N32" s="51">
        <f t="shared" si="5"/>
        <v>3709</v>
      </c>
      <c r="O32" s="51">
        <f t="shared" si="5"/>
        <v>183748</v>
      </c>
      <c r="P32" s="51">
        <f t="shared" si="5"/>
        <v>21190</v>
      </c>
      <c r="Q32" s="51">
        <f t="shared" si="5"/>
        <v>104784</v>
      </c>
      <c r="R32" s="51">
        <f t="shared" si="5"/>
        <v>40414</v>
      </c>
      <c r="S32" s="51">
        <f t="shared" si="5"/>
        <v>85841</v>
      </c>
      <c r="T32" s="51">
        <f t="shared" si="5"/>
        <v>572360</v>
      </c>
      <c r="U32" s="51">
        <f t="shared" si="5"/>
        <v>25878</v>
      </c>
      <c r="V32" s="51">
        <f t="shared" si="5"/>
        <v>-16738</v>
      </c>
      <c r="W32" t="s">
        <v>187</v>
      </c>
    </row>
    <row r="33" spans="1:24" x14ac:dyDescent="0.25">
      <c r="A33" s="3"/>
      <c r="W33" t="s">
        <v>187</v>
      </c>
    </row>
    <row r="34" spans="1:24" x14ac:dyDescent="0.25">
      <c r="W34" t="s">
        <v>187</v>
      </c>
    </row>
    <row r="35" spans="1:24" x14ac:dyDescent="0.25">
      <c r="A35" s="6"/>
      <c r="C35" s="59"/>
      <c r="D35" s="59"/>
      <c r="E35" s="6"/>
      <c r="F35" s="6"/>
      <c r="G35" s="6"/>
      <c r="H35" s="6"/>
      <c r="I35" s="6"/>
      <c r="J35" s="6"/>
      <c r="K35" s="6"/>
      <c r="L35" s="6"/>
      <c r="M35" s="6"/>
      <c r="N35" s="6"/>
      <c r="O35" s="6"/>
      <c r="P35" s="6"/>
      <c r="Q35" s="6"/>
      <c r="R35" s="6"/>
      <c r="S35" s="6"/>
      <c r="T35" s="6"/>
      <c r="U35" s="6"/>
      <c r="V35" s="6"/>
      <c r="W35" t="s">
        <v>187</v>
      </c>
    </row>
    <row r="36" spans="1:24" x14ac:dyDescent="0.25">
      <c r="W36" t="s">
        <v>187</v>
      </c>
    </row>
    <row r="37" spans="1:24" x14ac:dyDescent="0.25">
      <c r="A37" s="1" t="s">
        <v>23</v>
      </c>
      <c r="B37" t="s">
        <v>196</v>
      </c>
      <c r="W37" t="s">
        <v>187</v>
      </c>
    </row>
    <row r="38" spans="1:24" x14ac:dyDescent="0.25">
      <c r="A38" s="1"/>
      <c r="W38" t="s">
        <v>187</v>
      </c>
    </row>
    <row r="39" spans="1:24" s="51" customFormat="1" x14ac:dyDescent="0.25">
      <c r="A39" s="66" t="s">
        <v>246</v>
      </c>
      <c r="B39" s="51">
        <v>0</v>
      </c>
      <c r="C39" s="51">
        <f>ROUND(C68-SUM(C53,C57,C66),0)</f>
        <v>-1019420</v>
      </c>
      <c r="D39" s="51">
        <f t="shared" ref="D39:V39" si="6">ROUND(D68-SUM(D53,D57,D66),0)</f>
        <v>185857</v>
      </c>
      <c r="E39" s="51">
        <f t="shared" si="6"/>
        <v>900704</v>
      </c>
      <c r="F39" s="51">
        <f t="shared" si="6"/>
        <v>1546231</v>
      </c>
      <c r="G39" s="51">
        <f t="shared" si="6"/>
        <v>1214185</v>
      </c>
      <c r="H39" s="51">
        <f t="shared" si="6"/>
        <v>347918</v>
      </c>
      <c r="I39" s="51">
        <f t="shared" si="6"/>
        <v>702594</v>
      </c>
      <c r="J39" s="51">
        <f t="shared" si="6"/>
        <v>219470</v>
      </c>
      <c r="K39" s="51">
        <f t="shared" si="6"/>
        <v>606808</v>
      </c>
      <c r="L39" s="51">
        <f t="shared" si="6"/>
        <v>453293</v>
      </c>
      <c r="M39" s="51">
        <f t="shared" si="6"/>
        <v>-506396</v>
      </c>
      <c r="N39" s="51">
        <f t="shared" si="6"/>
        <v>611268</v>
      </c>
      <c r="O39" s="51">
        <f t="shared" si="6"/>
        <v>430302</v>
      </c>
      <c r="P39" s="51">
        <f t="shared" si="6"/>
        <v>562860</v>
      </c>
      <c r="Q39" s="51">
        <f t="shared" si="6"/>
        <v>509266</v>
      </c>
      <c r="R39" s="51">
        <f t="shared" si="6"/>
        <v>-326364</v>
      </c>
      <c r="S39" s="51">
        <f t="shared" si="6"/>
        <v>528209</v>
      </c>
      <c r="T39" s="51">
        <f t="shared" si="6"/>
        <v>10988</v>
      </c>
      <c r="U39" s="51">
        <f t="shared" si="6"/>
        <v>574767</v>
      </c>
      <c r="V39" s="51">
        <f t="shared" si="6"/>
        <v>630758</v>
      </c>
      <c r="W39" s="51" t="s">
        <v>187</v>
      </c>
    </row>
    <row r="40" spans="1:24" x14ac:dyDescent="0.25">
      <c r="W40" t="s">
        <v>187</v>
      </c>
    </row>
    <row r="41" spans="1:24" x14ac:dyDescent="0.25">
      <c r="A41" s="1" t="s">
        <v>24</v>
      </c>
      <c r="B41" t="s">
        <v>199</v>
      </c>
      <c r="W41" t="s">
        <v>187</v>
      </c>
    </row>
    <row r="42" spans="1:24" x14ac:dyDescent="0.25">
      <c r="A42" s="74" t="s">
        <v>22</v>
      </c>
      <c r="B42">
        <v>1</v>
      </c>
      <c r="C42" s="51">
        <f>ROUND(C32,0)</f>
        <v>2247520</v>
      </c>
      <c r="D42" s="51">
        <f t="shared" ref="D42:V42" si="7">ROUND(D32,0)</f>
        <v>1656293</v>
      </c>
      <c r="E42" s="51">
        <f t="shared" si="7"/>
        <v>163346</v>
      </c>
      <c r="F42" s="51">
        <f t="shared" si="7"/>
        <v>-3388381</v>
      </c>
      <c r="G42" s="51">
        <f t="shared" si="7"/>
        <v>224865</v>
      </c>
      <c r="H42" s="51">
        <f t="shared" si="7"/>
        <v>41132</v>
      </c>
      <c r="I42" s="51">
        <f t="shared" si="7"/>
        <v>46456</v>
      </c>
      <c r="J42" s="51">
        <f t="shared" si="7"/>
        <v>154580</v>
      </c>
      <c r="K42" s="51">
        <f t="shared" si="7"/>
        <v>7042</v>
      </c>
      <c r="L42" s="51">
        <f t="shared" si="7"/>
        <v>70757</v>
      </c>
      <c r="M42" s="51">
        <f t="shared" si="7"/>
        <v>220446</v>
      </c>
      <c r="N42" s="51">
        <f t="shared" si="7"/>
        <v>3709</v>
      </c>
      <c r="O42" s="51">
        <f t="shared" si="7"/>
        <v>183748</v>
      </c>
      <c r="P42" s="51">
        <f t="shared" si="7"/>
        <v>21190</v>
      </c>
      <c r="Q42" s="51">
        <f t="shared" si="7"/>
        <v>104784</v>
      </c>
      <c r="R42" s="51">
        <f t="shared" si="7"/>
        <v>40414</v>
      </c>
      <c r="S42" s="51">
        <f t="shared" si="7"/>
        <v>85841</v>
      </c>
      <c r="T42" s="51">
        <f t="shared" si="7"/>
        <v>572360</v>
      </c>
      <c r="U42" s="51">
        <f t="shared" si="7"/>
        <v>25878</v>
      </c>
      <c r="V42" s="51">
        <f t="shared" si="7"/>
        <v>-16738</v>
      </c>
      <c r="W42" t="s">
        <v>187</v>
      </c>
      <c r="X42" t="s">
        <v>193</v>
      </c>
    </row>
    <row r="43" spans="1:24" x14ac:dyDescent="0.25">
      <c r="A43" s="65" t="s">
        <v>239</v>
      </c>
      <c r="B43">
        <v>1</v>
      </c>
      <c r="C43" s="58">
        <f>C13:V13</f>
        <v>0</v>
      </c>
      <c r="D43" s="58">
        <f t="shared" ref="D43:V43" si="8">D13:W13</f>
        <v>0</v>
      </c>
      <c r="E43">
        <f t="shared" si="8"/>
        <v>150000</v>
      </c>
      <c r="F43">
        <f t="shared" si="8"/>
        <v>3070250</v>
      </c>
      <c r="G43">
        <f t="shared" si="8"/>
        <v>375000</v>
      </c>
      <c r="H43">
        <f t="shared" si="8"/>
        <v>225000</v>
      </c>
      <c r="I43">
        <f t="shared" si="8"/>
        <v>15000</v>
      </c>
      <c r="J43">
        <f t="shared" si="8"/>
        <v>240000</v>
      </c>
      <c r="K43" s="58">
        <v>200</v>
      </c>
      <c r="L43">
        <f t="shared" si="8"/>
        <v>90000</v>
      </c>
      <c r="M43">
        <f t="shared" si="8"/>
        <v>0</v>
      </c>
      <c r="N43">
        <f t="shared" si="8"/>
        <v>0</v>
      </c>
      <c r="O43">
        <f t="shared" si="8"/>
        <v>0</v>
      </c>
      <c r="P43">
        <f t="shared" si="8"/>
        <v>30000</v>
      </c>
      <c r="Q43">
        <f t="shared" si="8"/>
        <v>0</v>
      </c>
      <c r="R43">
        <f t="shared" si="8"/>
        <v>0</v>
      </c>
      <c r="S43">
        <f t="shared" si="8"/>
        <v>0</v>
      </c>
      <c r="T43">
        <f t="shared" si="8"/>
        <v>30702.5</v>
      </c>
      <c r="U43">
        <f t="shared" si="8"/>
        <v>0</v>
      </c>
      <c r="V43">
        <f t="shared" si="8"/>
        <v>30</v>
      </c>
      <c r="W43" t="s">
        <v>187</v>
      </c>
    </row>
    <row r="44" spans="1:24" x14ac:dyDescent="0.25">
      <c r="A44" s="65" t="s">
        <v>25</v>
      </c>
      <c r="B44">
        <v>1</v>
      </c>
      <c r="W44" t="s">
        <v>187</v>
      </c>
    </row>
    <row r="45" spans="1:24" x14ac:dyDescent="0.25">
      <c r="A45" s="65" t="s">
        <v>26</v>
      </c>
      <c r="B45">
        <v>1</v>
      </c>
      <c r="W45" t="s">
        <v>187</v>
      </c>
    </row>
    <row r="46" spans="1:24" x14ac:dyDescent="0.25">
      <c r="A46" s="2"/>
      <c r="W46" t="s">
        <v>187</v>
      </c>
    </row>
    <row r="47" spans="1:24" s="51" customFormat="1" x14ac:dyDescent="0.25">
      <c r="A47" s="67" t="s">
        <v>27</v>
      </c>
      <c r="B47">
        <v>1</v>
      </c>
      <c r="C47" s="58"/>
      <c r="D47" s="58"/>
      <c r="E47" s="51">
        <f>ROUND(IF(E135="growing",E90*0.1,IF(E135="shrinking",0-E90*0.1,0)),0)</f>
        <v>0</v>
      </c>
      <c r="F47" s="51">
        <f>ROUND(IF(F135="growing",F90*0.1,IF(F135="shrinking",0-F90*0.1,0)),0)</f>
        <v>0</v>
      </c>
      <c r="G47" s="58">
        <v>0</v>
      </c>
      <c r="H47" s="58">
        <f>ROUND(IF(H135="growing",H90*0.1,IF(H135="shrinking",0-H90*0.1,0)),0)</f>
        <v>0</v>
      </c>
      <c r="I47" s="58">
        <v>0</v>
      </c>
      <c r="J47" s="51">
        <f>ROUND(IF(J135="growing",J90*0.1,IF(J135="shrinking",0-J90*0.1,0)),0)</f>
        <v>0</v>
      </c>
      <c r="K47" s="51">
        <f>ROUND(IF(K135="growing",K90*0.1,IF(K135="shrinking",0-K90*0.1,0)),0)</f>
        <v>0</v>
      </c>
      <c r="L47" s="51">
        <f>ROUND(IF(L135="growing",L90*0.1,IF(L135="shrinking",0-L90*0.1,0)),0)</f>
        <v>0</v>
      </c>
      <c r="M47" s="51">
        <f>ROUND(IF(M135="growing",M90*0.1,IF(M135="shrinking",0-M90*0.1,0)),0)</f>
        <v>0</v>
      </c>
      <c r="N47" s="51">
        <f>ROUND(IF(N135="growing",N90*0.1,IF(N135="shrinking",0-N90*0.1,0)),0)</f>
        <v>0</v>
      </c>
      <c r="O47" s="51">
        <f>ROUND(IF(O135="growing",O90*0.1,IF(O135="shrinking",0-O90*0.1,0)),0)</f>
        <v>0</v>
      </c>
      <c r="P47" s="51">
        <f>ROUND(IF(P135="growing",P90*0.1,IF(P135="shrinking",0-P90*0.1,0)),0)</f>
        <v>0</v>
      </c>
      <c r="Q47" s="51">
        <f>ROUND(IF(Q135="growing",Q90*0.1,IF(Q135="shrinking",0-Q90*0.1,0)),0)</f>
        <v>0</v>
      </c>
      <c r="R47" s="51">
        <f>ROUND(IF(R135="growing",R90*0.1,IF(R135="shrinking",0-R90*0.1,0)),0)</f>
        <v>0</v>
      </c>
      <c r="S47" s="51">
        <f>ROUND(IF(S135="growing",S90*0.1,IF(S135="shrinking",0-S90*0.1,0)),0)</f>
        <v>0</v>
      </c>
      <c r="T47" s="51">
        <f>ROUND(IF(T135="growing",T90*0.1,IF(T135="shrinking",0-T90*0.1,0)),0)</f>
        <v>0</v>
      </c>
      <c r="U47" s="51">
        <f>ROUND(IF(U135="growing",U90*0.1,IF(U135="shrinking",0-U90*0.1,0)),0)</f>
        <v>0</v>
      </c>
      <c r="V47" s="51">
        <f>ROUND(IF(V135="growing",V90*0.1,IF(V135="shrinking",0-V90*0.1,0)),0)</f>
        <v>0</v>
      </c>
      <c r="W47" s="51" t="s">
        <v>187</v>
      </c>
    </row>
    <row r="48" spans="1:24" x14ac:dyDescent="0.25">
      <c r="A48" s="65" t="s">
        <v>222</v>
      </c>
      <c r="B48">
        <v>1</v>
      </c>
      <c r="W48" t="s">
        <v>187</v>
      </c>
    </row>
    <row r="49" spans="1:23" x14ac:dyDescent="0.25">
      <c r="A49" s="65" t="s">
        <v>28</v>
      </c>
      <c r="B49">
        <v>1</v>
      </c>
      <c r="W49" t="s">
        <v>187</v>
      </c>
    </row>
    <row r="50" spans="1:23" x14ac:dyDescent="0.25">
      <c r="A50" s="65" t="s">
        <v>29</v>
      </c>
      <c r="B50">
        <v>1</v>
      </c>
      <c r="W50" t="s">
        <v>187</v>
      </c>
    </row>
    <row r="51" spans="1:23" x14ac:dyDescent="0.25">
      <c r="A51" s="65" t="s">
        <v>30</v>
      </c>
      <c r="B51">
        <v>1</v>
      </c>
      <c r="W51" t="s">
        <v>187</v>
      </c>
    </row>
    <row r="52" spans="1:23" x14ac:dyDescent="0.25">
      <c r="A52" s="65" t="s">
        <v>31</v>
      </c>
      <c r="B52">
        <v>1</v>
      </c>
      <c r="W52" t="s">
        <v>187</v>
      </c>
    </row>
    <row r="53" spans="1:23" s="53" customFormat="1" x14ac:dyDescent="0.25">
      <c r="A53" s="75" t="s">
        <v>32</v>
      </c>
      <c r="B53" t="s">
        <v>198</v>
      </c>
      <c r="C53" s="58">
        <f>SUM(C42:C52)</f>
        <v>2247520</v>
      </c>
      <c r="D53" s="58">
        <f t="shared" ref="D53:V53" si="9">SUM(D42:D52)</f>
        <v>1656293</v>
      </c>
      <c r="E53" s="51">
        <f t="shared" si="9"/>
        <v>313346</v>
      </c>
      <c r="F53" s="51">
        <f t="shared" si="9"/>
        <v>-318131</v>
      </c>
      <c r="G53" s="51">
        <f t="shared" si="9"/>
        <v>599865</v>
      </c>
      <c r="H53" s="51">
        <f t="shared" si="9"/>
        <v>266132</v>
      </c>
      <c r="I53" s="51">
        <f t="shared" si="9"/>
        <v>61456</v>
      </c>
      <c r="J53" s="51">
        <f t="shared" si="9"/>
        <v>394580</v>
      </c>
      <c r="K53" s="51">
        <f t="shared" si="9"/>
        <v>7242</v>
      </c>
      <c r="L53" s="51">
        <f t="shared" si="9"/>
        <v>160757</v>
      </c>
      <c r="M53" s="51">
        <f t="shared" si="9"/>
        <v>220446</v>
      </c>
      <c r="N53" s="51">
        <f t="shared" si="9"/>
        <v>3709</v>
      </c>
      <c r="O53" s="51">
        <f t="shared" si="9"/>
        <v>183748</v>
      </c>
      <c r="P53" s="51">
        <f t="shared" si="9"/>
        <v>51190</v>
      </c>
      <c r="Q53" s="51">
        <f t="shared" si="9"/>
        <v>104784</v>
      </c>
      <c r="R53" s="51">
        <f t="shared" si="9"/>
        <v>40414</v>
      </c>
      <c r="S53" s="51">
        <f t="shared" si="9"/>
        <v>85841</v>
      </c>
      <c r="T53" s="51">
        <f t="shared" si="9"/>
        <v>603062.5</v>
      </c>
      <c r="U53" s="51">
        <f t="shared" si="9"/>
        <v>25878</v>
      </c>
      <c r="V53" s="51">
        <f t="shared" si="9"/>
        <v>-16708</v>
      </c>
      <c r="W53" s="53" t="s">
        <v>187</v>
      </c>
    </row>
    <row r="54" spans="1:23" x14ac:dyDescent="0.25">
      <c r="A54" s="4"/>
      <c r="W54" t="s">
        <v>187</v>
      </c>
    </row>
    <row r="55" spans="1:23" x14ac:dyDescent="0.25">
      <c r="A55" s="1" t="s">
        <v>33</v>
      </c>
      <c r="B55" t="s">
        <v>199</v>
      </c>
      <c r="W55" t="s">
        <v>187</v>
      </c>
    </row>
    <row r="56" spans="1:23" x14ac:dyDescent="0.25">
      <c r="A56" s="65" t="s">
        <v>34</v>
      </c>
      <c r="B56">
        <v>1</v>
      </c>
      <c r="W56" t="s">
        <v>187</v>
      </c>
    </row>
    <row r="57" spans="1:23" x14ac:dyDescent="0.25">
      <c r="A57" s="70" t="s">
        <v>238</v>
      </c>
      <c r="B57" t="s">
        <v>198</v>
      </c>
      <c r="C57" s="51">
        <f>SUM(C56)</f>
        <v>0</v>
      </c>
      <c r="D57" s="51">
        <f t="shared" ref="D57:V57" si="10">SUM(D56)</f>
        <v>0</v>
      </c>
      <c r="E57" s="51">
        <f t="shared" si="10"/>
        <v>0</v>
      </c>
      <c r="F57" s="51">
        <f t="shared" si="10"/>
        <v>0</v>
      </c>
      <c r="G57" s="51">
        <f t="shared" si="10"/>
        <v>0</v>
      </c>
      <c r="H57" s="51">
        <f t="shared" si="10"/>
        <v>0</v>
      </c>
      <c r="I57" s="58">
        <v>-150000</v>
      </c>
      <c r="J57" s="51">
        <f t="shared" si="10"/>
        <v>0</v>
      </c>
      <c r="K57" s="51">
        <f t="shared" si="10"/>
        <v>0</v>
      </c>
      <c r="L57" s="51">
        <f t="shared" si="10"/>
        <v>0</v>
      </c>
      <c r="M57" s="51">
        <f t="shared" si="10"/>
        <v>0</v>
      </c>
      <c r="N57" s="51">
        <f t="shared" si="10"/>
        <v>0</v>
      </c>
      <c r="O57" s="51">
        <f t="shared" si="10"/>
        <v>0</v>
      </c>
      <c r="P57" s="51">
        <f t="shared" si="10"/>
        <v>0</v>
      </c>
      <c r="Q57" s="51">
        <f t="shared" si="10"/>
        <v>0</v>
      </c>
      <c r="R57" s="51">
        <f t="shared" si="10"/>
        <v>0</v>
      </c>
      <c r="S57" s="51">
        <f t="shared" si="10"/>
        <v>0</v>
      </c>
      <c r="T57" s="51">
        <f t="shared" si="10"/>
        <v>0</v>
      </c>
      <c r="U57" s="51">
        <f t="shared" si="10"/>
        <v>0</v>
      </c>
      <c r="V57" s="51">
        <f t="shared" si="10"/>
        <v>0</v>
      </c>
      <c r="W57" s="51" t="s">
        <v>187</v>
      </c>
    </row>
    <row r="58" spans="1:23" x14ac:dyDescent="0.25">
      <c r="W58" t="s">
        <v>187</v>
      </c>
    </row>
    <row r="59" spans="1:23" x14ac:dyDescent="0.25">
      <c r="A59" s="1" t="s">
        <v>35</v>
      </c>
      <c r="W59" t="s">
        <v>187</v>
      </c>
    </row>
    <row r="60" spans="1:23" x14ac:dyDescent="0.25">
      <c r="A60" s="65" t="s">
        <v>221</v>
      </c>
      <c r="B60">
        <v>1</v>
      </c>
      <c r="D60" s="58">
        <f>D65</f>
        <v>-614050</v>
      </c>
      <c r="W60" t="s">
        <v>187</v>
      </c>
    </row>
    <row r="61" spans="1:23" x14ac:dyDescent="0.25">
      <c r="A61" s="65" t="s">
        <v>36</v>
      </c>
      <c r="B61">
        <v>1</v>
      </c>
      <c r="W61" t="s">
        <v>187</v>
      </c>
    </row>
    <row r="62" spans="1:23" x14ac:dyDescent="0.25">
      <c r="A62" s="65" t="s">
        <v>37</v>
      </c>
      <c r="B62">
        <v>1</v>
      </c>
      <c r="W62" t="s">
        <v>187</v>
      </c>
    </row>
    <row r="63" spans="1:23" x14ac:dyDescent="0.25">
      <c r="A63" s="65" t="s">
        <v>230</v>
      </c>
      <c r="B63">
        <v>1</v>
      </c>
      <c r="E63">
        <v>-600000</v>
      </c>
      <c r="F63">
        <v>-614050</v>
      </c>
      <c r="G63">
        <v>-1200000</v>
      </c>
      <c r="M63">
        <v>900000</v>
      </c>
      <c r="R63">
        <v>900000</v>
      </c>
      <c r="U63" s="58">
        <v>61405</v>
      </c>
    </row>
    <row r="64" spans="1:23" s="55" customFormat="1" x14ac:dyDescent="0.25">
      <c r="A64" s="68" t="s">
        <v>38</v>
      </c>
      <c r="B64">
        <v>1</v>
      </c>
      <c r="C64" s="58">
        <f>IF(C137="",0,-C53/4)</f>
        <v>0</v>
      </c>
      <c r="D64" s="58">
        <f>IF(D137="",0,-D53/4)</f>
        <v>0</v>
      </c>
      <c r="E64" s="55">
        <f>IF(E137="",0,-E53/4)</f>
        <v>0</v>
      </c>
      <c r="F64" s="55">
        <f>IF(F137="",0,-F53/4)</f>
        <v>0</v>
      </c>
      <c r="G64" s="55">
        <f>IF(G137="",0,-G53/4)</f>
        <v>0</v>
      </c>
      <c r="H64" s="55">
        <f>IF(H137="",0,-H53/4)</f>
        <v>0</v>
      </c>
      <c r="I64" s="55">
        <f>IF(I137="",0,-I53/4)</f>
        <v>0</v>
      </c>
      <c r="J64" s="55">
        <f>IF(J137="",0,-J53/4)</f>
        <v>0</v>
      </c>
      <c r="K64" s="55">
        <f>IF(K137="",0,-K53/4)</f>
        <v>0</v>
      </c>
      <c r="L64" s="55">
        <f>IF(L137="",0,-L53/4)</f>
        <v>0</v>
      </c>
      <c r="M64" s="55">
        <f>IF(M137="",0,-M53/4)</f>
        <v>0</v>
      </c>
      <c r="N64" s="55">
        <f>IF(N137="",0,-N53/4)</f>
        <v>-927.25</v>
      </c>
      <c r="O64" s="55">
        <f>IF(O137="",0,-O53/4)</f>
        <v>0</v>
      </c>
      <c r="P64" s="55">
        <f>IF(P137="",0,-P53/4)</f>
        <v>0</v>
      </c>
      <c r="Q64" s="55">
        <f>IF(Q137="",0,-Q53/4)</f>
        <v>0</v>
      </c>
      <c r="R64" s="55">
        <f>IF(R137="",0,-R53/4)</f>
        <v>0</v>
      </c>
      <c r="S64" s="55">
        <f>IF(S137="",0,-S53/4)</f>
        <v>0</v>
      </c>
      <c r="T64" s="55">
        <f>IF(T137="",0,-T53/4)</f>
        <v>0</v>
      </c>
      <c r="U64" s="58">
        <v>-48000</v>
      </c>
      <c r="V64" s="55">
        <f>IF(V137="",0,-V53/4)</f>
        <v>0</v>
      </c>
      <c r="W64" s="55" t="s">
        <v>187</v>
      </c>
    </row>
    <row r="65" spans="1:23" x14ac:dyDescent="0.25">
      <c r="A65" s="65" t="s">
        <v>216</v>
      </c>
      <c r="B65">
        <v>1</v>
      </c>
      <c r="C65" s="58">
        <f>-$B153</f>
        <v>-614050</v>
      </c>
      <c r="D65" s="58">
        <f>-$B153</f>
        <v>-614050</v>
      </c>
      <c r="W65" t="s">
        <v>187</v>
      </c>
    </row>
    <row r="66" spans="1:23" s="55" customFormat="1" x14ac:dyDescent="0.25">
      <c r="A66" s="69" t="s">
        <v>237</v>
      </c>
      <c r="B66" t="s">
        <v>198</v>
      </c>
      <c r="C66" s="58">
        <f>SUM(C60:C65)</f>
        <v>-614050</v>
      </c>
      <c r="D66" s="58">
        <f t="shared" ref="D66:V66" si="11">SUM(D60:D65)</f>
        <v>-1228100</v>
      </c>
      <c r="E66" s="55">
        <f t="shared" si="11"/>
        <v>-600000</v>
      </c>
      <c r="F66" s="55">
        <f t="shared" si="11"/>
        <v>-614050</v>
      </c>
      <c r="G66" s="55">
        <f t="shared" si="11"/>
        <v>-1200000</v>
      </c>
      <c r="H66" s="55">
        <f t="shared" si="11"/>
        <v>0</v>
      </c>
      <c r="I66" s="55">
        <f t="shared" si="11"/>
        <v>0</v>
      </c>
      <c r="J66" s="55">
        <f t="shared" si="11"/>
        <v>0</v>
      </c>
      <c r="K66" s="55">
        <f t="shared" si="11"/>
        <v>0</v>
      </c>
      <c r="L66" s="55">
        <f t="shared" si="11"/>
        <v>0</v>
      </c>
      <c r="M66" s="55">
        <f>SUM(M60:M65)</f>
        <v>900000</v>
      </c>
      <c r="N66" s="55">
        <f t="shared" si="11"/>
        <v>-927.25</v>
      </c>
      <c r="O66" s="55">
        <f t="shared" si="11"/>
        <v>0</v>
      </c>
      <c r="P66" s="55">
        <f t="shared" si="11"/>
        <v>0</v>
      </c>
      <c r="Q66" s="55">
        <f t="shared" si="11"/>
        <v>0</v>
      </c>
      <c r="R66" s="55">
        <f t="shared" si="11"/>
        <v>900000</v>
      </c>
      <c r="S66" s="55">
        <f t="shared" si="11"/>
        <v>0</v>
      </c>
      <c r="T66" s="55">
        <f t="shared" si="11"/>
        <v>0</v>
      </c>
      <c r="U66" s="55">
        <f t="shared" si="11"/>
        <v>13405</v>
      </c>
      <c r="V66" s="55">
        <f t="shared" si="11"/>
        <v>0</v>
      </c>
      <c r="W66" s="55" t="s">
        <v>187</v>
      </c>
    </row>
    <row r="67" spans="1:23" x14ac:dyDescent="0.25">
      <c r="W67" t="s">
        <v>187</v>
      </c>
    </row>
    <row r="68" spans="1:23" s="51" customFormat="1" x14ac:dyDescent="0.25">
      <c r="A68" s="73" t="s">
        <v>247</v>
      </c>
      <c r="B68">
        <v>0</v>
      </c>
      <c r="C68" s="51">
        <f t="shared" ref="C68:V68" si="12">$B$151</f>
        <v>614050</v>
      </c>
      <c r="D68" s="51">
        <f t="shared" si="12"/>
        <v>614050</v>
      </c>
      <c r="E68" s="51">
        <f t="shared" si="12"/>
        <v>614050</v>
      </c>
      <c r="F68" s="51">
        <f t="shared" si="12"/>
        <v>614050</v>
      </c>
      <c r="G68" s="51">
        <f t="shared" si="12"/>
        <v>614050</v>
      </c>
      <c r="H68" s="51">
        <f t="shared" si="12"/>
        <v>614050</v>
      </c>
      <c r="I68" s="51">
        <f t="shared" si="12"/>
        <v>614050</v>
      </c>
      <c r="J68" s="51">
        <f t="shared" si="12"/>
        <v>614050</v>
      </c>
      <c r="K68" s="51">
        <f t="shared" si="12"/>
        <v>614050</v>
      </c>
      <c r="L68" s="51">
        <f t="shared" si="12"/>
        <v>614050</v>
      </c>
      <c r="M68" s="51">
        <f t="shared" si="12"/>
        <v>614050</v>
      </c>
      <c r="N68" s="51">
        <f t="shared" si="12"/>
        <v>614050</v>
      </c>
      <c r="O68" s="51">
        <f t="shared" si="12"/>
        <v>614050</v>
      </c>
      <c r="P68" s="51">
        <f t="shared" si="12"/>
        <v>614050</v>
      </c>
      <c r="Q68" s="51">
        <f t="shared" si="12"/>
        <v>614050</v>
      </c>
      <c r="R68" s="51">
        <f t="shared" si="12"/>
        <v>614050</v>
      </c>
      <c r="S68" s="51">
        <f t="shared" si="12"/>
        <v>614050</v>
      </c>
      <c r="T68" s="51">
        <f t="shared" si="12"/>
        <v>614050</v>
      </c>
      <c r="U68" s="51">
        <f t="shared" si="12"/>
        <v>614050</v>
      </c>
      <c r="V68" s="51">
        <f t="shared" si="12"/>
        <v>614050</v>
      </c>
      <c r="W68" s="51" t="s">
        <v>187</v>
      </c>
    </row>
    <row r="69" spans="1:23" x14ac:dyDescent="0.25">
      <c r="W69" t="s">
        <v>187</v>
      </c>
    </row>
    <row r="70" spans="1:23" x14ac:dyDescent="0.25">
      <c r="A70" s="6"/>
      <c r="C70" s="59"/>
      <c r="D70" s="59"/>
      <c r="E70" s="6"/>
      <c r="F70" s="6"/>
      <c r="G70" s="6"/>
      <c r="H70" s="6"/>
      <c r="I70" s="6"/>
      <c r="J70" s="6"/>
      <c r="K70" s="6"/>
      <c r="L70" s="6"/>
      <c r="M70" s="6"/>
      <c r="N70" s="6"/>
      <c r="O70" s="6"/>
      <c r="P70" s="6"/>
      <c r="Q70" s="6"/>
      <c r="R70" s="6"/>
      <c r="S70" s="6"/>
      <c r="T70" s="6"/>
      <c r="U70" s="6"/>
      <c r="V70" s="6"/>
      <c r="W70" t="s">
        <v>187</v>
      </c>
    </row>
    <row r="71" spans="1:23" x14ac:dyDescent="0.25">
      <c r="A71" t="s">
        <v>200</v>
      </c>
      <c r="B71" t="s">
        <v>196</v>
      </c>
      <c r="W71" t="s">
        <v>187</v>
      </c>
    </row>
    <row r="72" spans="1:23" x14ac:dyDescent="0.25">
      <c r="A72" s="1" t="s">
        <v>0</v>
      </c>
      <c r="B72" t="s">
        <v>197</v>
      </c>
      <c r="W72" t="s">
        <v>187</v>
      </c>
    </row>
    <row r="73" spans="1:23" x14ac:dyDescent="0.25">
      <c r="A73" s="1" t="s">
        <v>248</v>
      </c>
      <c r="B73" t="s">
        <v>199</v>
      </c>
      <c r="W73" t="s">
        <v>187</v>
      </c>
    </row>
    <row r="74" spans="1:23" s="51" customFormat="1" x14ac:dyDescent="0.25">
      <c r="A74" s="76" t="s">
        <v>1</v>
      </c>
      <c r="B74">
        <v>1</v>
      </c>
      <c r="C74" s="58">
        <f>C68</f>
        <v>614050</v>
      </c>
      <c r="D74" s="58">
        <f t="shared" ref="D74:V74" si="13">D68</f>
        <v>614050</v>
      </c>
      <c r="E74" s="51">
        <f t="shared" si="13"/>
        <v>614050</v>
      </c>
      <c r="F74" s="51">
        <f t="shared" si="13"/>
        <v>614050</v>
      </c>
      <c r="G74" s="51">
        <f t="shared" si="13"/>
        <v>614050</v>
      </c>
      <c r="H74" s="51">
        <f t="shared" si="13"/>
        <v>614050</v>
      </c>
      <c r="I74" s="51">
        <f t="shared" si="13"/>
        <v>614050</v>
      </c>
      <c r="J74" s="51">
        <f t="shared" si="13"/>
        <v>614050</v>
      </c>
      <c r="K74" s="51">
        <f t="shared" si="13"/>
        <v>614050</v>
      </c>
      <c r="L74" s="51">
        <f t="shared" si="13"/>
        <v>614050</v>
      </c>
      <c r="M74" s="51">
        <f t="shared" si="13"/>
        <v>614050</v>
      </c>
      <c r="N74" s="51">
        <f t="shared" si="13"/>
        <v>614050</v>
      </c>
      <c r="O74" s="51">
        <f t="shared" si="13"/>
        <v>614050</v>
      </c>
      <c r="P74" s="51">
        <f t="shared" si="13"/>
        <v>614050</v>
      </c>
      <c r="Q74" s="51">
        <f t="shared" si="13"/>
        <v>614050</v>
      </c>
      <c r="R74" s="51">
        <f t="shared" si="13"/>
        <v>614050</v>
      </c>
      <c r="S74" s="51">
        <f t="shared" si="13"/>
        <v>614050</v>
      </c>
      <c r="T74" s="51">
        <f t="shared" si="13"/>
        <v>614050</v>
      </c>
      <c r="U74" s="51">
        <f t="shared" si="13"/>
        <v>614050</v>
      </c>
      <c r="V74" s="51">
        <f t="shared" si="13"/>
        <v>614050</v>
      </c>
      <c r="W74" s="51" t="s">
        <v>187</v>
      </c>
    </row>
    <row r="75" spans="1:23" s="51" customFormat="1" x14ac:dyDescent="0.25">
      <c r="A75" s="76" t="s">
        <v>215</v>
      </c>
      <c r="B75">
        <v>1</v>
      </c>
      <c r="C75" s="58">
        <v>0</v>
      </c>
      <c r="D75" s="58">
        <v>0</v>
      </c>
    </row>
    <row r="76" spans="1:23" s="51" customFormat="1" x14ac:dyDescent="0.25">
      <c r="A76" s="76" t="s">
        <v>249</v>
      </c>
      <c r="B76">
        <v>1</v>
      </c>
      <c r="C76" s="58">
        <v>0</v>
      </c>
      <c r="D76" s="58">
        <v>0</v>
      </c>
      <c r="E76" s="51">
        <f>TRUNC(IF(E129="dye",$B$164,IF(E129="gears",$B$165,IF(E129="high",$B$162,IF(E129="low",$B$163,IF(E129=0,0,$B$161)))))*E$8/360/100)*100</f>
        <v>625000</v>
      </c>
      <c r="F76" s="51">
        <f>TRUNC(IF(F129="dye",$B$164,IF(F129="gears",$B$165,IF(F129="high",$B$162,IF(F129="low",$B$163,IF(F129=0,0,$B$161)))))*F$8/360/100)*100</f>
        <v>250000</v>
      </c>
      <c r="G76" s="51">
        <f>TRUNC(IF(G129="dye",$B$164,IF(G129="gears",$B$165,IF(G129="high",$B$162,IF(G129="low",$B$163,IF(G129=0,0,$B$161)))))*G$8/360/100)*100</f>
        <v>83300</v>
      </c>
      <c r="H76" s="51">
        <f>TRUNC(IF(H129="dye",$B$164,IF(H129="gears",$B$165,IF(H129="high",$B$162,IF(H129="low",$B$163,IF(H129=0,0,$B$161)))))*H$8/360/100)*100</f>
        <v>375000</v>
      </c>
      <c r="I76" s="51">
        <f>TRUNC(IF(I129="dye",$B$164,IF(I129="gears",$B$165,IF(I129="high",$B$162,IF(I129="low",$B$163,IF(I129=0,0,$B$161)))))*I$8/360/100)*100</f>
        <v>200000</v>
      </c>
      <c r="J76" s="51">
        <f>TRUNC(IF(J129="dye",$B$164,IF(J129="gears",$B$165,IF(J129="high",$B$162,IF(J129="low",$B$163,IF(J129=0,0,$B$161)))))*J$8/360/100)*100</f>
        <v>66600</v>
      </c>
      <c r="K76" s="51">
        <f>TRUNC(IF(K129="dye",$B$164,IF(K129="gears",$B$165,IF(K129="high",$B$162,IF(K129="low",$B$163,IF(K129=0,0,$B$161)))))*K$8/360/100)*100</f>
        <v>16600</v>
      </c>
      <c r="L76" s="51">
        <f>TRUNC(IF(L129="dye",$B$164,IF(L129="gears",$B$165,IF(L129="high",$B$162,IF(L129="low",$B$163,IF(L129=0,0,$B$161)))))*L$8/360/100)*100</f>
        <v>375000</v>
      </c>
      <c r="M76" s="51">
        <f>TRUNC(IF(M129="dye",$B$164,IF(M129="gears",$B$165,IF(M129="high",$B$162,IF(M129="low",$B$163,IF(M129=0,0,$B$161)))))*M$8/360/100)*100</f>
        <v>0</v>
      </c>
      <c r="N76" s="51">
        <f>TRUNC(IF(N129="dye",$B$164,IF(N129="gears",$B$165,IF(N129="high",$B$162,IF(N129="low",$B$163,IF(N129=0,0,$B$161)))))*N$8/360/100)*100</f>
        <v>0</v>
      </c>
      <c r="O76" s="51">
        <f>TRUNC(IF(O129="dye",$B$164,IF(O129="gears",$B$165,IF(O129="high",$B$162,IF(O129="low",$B$163,IF(O129=0,0,$B$161)))))*O$8/360/100)*100</f>
        <v>0</v>
      </c>
      <c r="P76" s="51">
        <f>TRUNC(IF(P129="dye",$B$164,IF(P129="gears",$B$165,IF(P129="high",$B$162,IF(P129="low",$B$163,IF(P129=0,0,$B$161)))))*P$8/360/100)*100</f>
        <v>0</v>
      </c>
      <c r="Q76" s="51">
        <f>TRUNC(IF(Q129="dye",$B$164,IF(Q129="gears",$B$165,IF(Q129="high",$B$162,IF(Q129="low",$B$163,IF(Q129=0,0,$B$161)))))*Q$8/360/100)*100</f>
        <v>375000</v>
      </c>
      <c r="R76" s="51">
        <f>TRUNC(IF(R129="dye",$B$164,IF(R129="gears",$B$165,IF(R129="high",$B$162,IF(R129="low",$B$163,IF(R129=0,0,$B$161)))))*R$8/360/100)*100</f>
        <v>0</v>
      </c>
      <c r="S76" s="51">
        <f>TRUNC(IF(S129="dye",$B$164,IF(S129="gears",$B$165,IF(S129="high",$B$162,IF(S129="low",$B$163,IF(S129=0,0,$B$161)))))*S$8/360/100)*100</f>
        <v>0</v>
      </c>
      <c r="T76" s="51">
        <f>TRUNC(IF(T129="dye",$B$164,IF(T129="gears",$B$165,IF(T129="high",$B$162,IF(T129="low",$B$163,IF(T129=0,0,$B$161)))))*T$8/360/100)*100</f>
        <v>0</v>
      </c>
      <c r="U76" s="51">
        <f>TRUNC(IF(U129="dye",$B$164,IF(U129="gears",$B$165,IF(U129="high",$B$162,IF(U129="low",$B$163,IF(U129=0,0,$B$161)))))*U$8/360/100)*100</f>
        <v>0</v>
      </c>
      <c r="V76" s="51">
        <f>TRUNC(IF(V129="dye",$B$164,IF(V129="gears",$B$165,IF(V129="high",$B$162,IF(V129="low",$B$163,IF(V129=0,0,$B$161)))))*V$8/360/100)*100</f>
        <v>0</v>
      </c>
      <c r="W76" s="51" t="s">
        <v>187</v>
      </c>
    </row>
    <row r="77" spans="1:23" x14ac:dyDescent="0.25">
      <c r="A77" s="77" t="s">
        <v>203</v>
      </c>
      <c r="B77">
        <v>1</v>
      </c>
      <c r="C77" s="58">
        <f>IF(C131="high",$B162,IF(C131="low",$B163,IF(OR(C126=1,C127&gt;0),$B161,0)))*C11/360</f>
        <v>0</v>
      </c>
      <c r="D77" s="58">
        <f>IF(D131="high",$B162,IF(D131="low",$B163,IF(OR(D126=1,D127&gt;0),$B161,0)))*D11/360</f>
        <v>0</v>
      </c>
      <c r="E77">
        <f>ROUND(IF(E131="high",$B162,IF(E131="low",$B163,IF(E126=1,$B161,0)))*E11/365,0)</f>
        <v>0</v>
      </c>
      <c r="F77">
        <f>ROUND(IF(F131="high",$B162,IF(F131="low",$B163,IF(F126=1,$B161,0)))*F11/365,0)</f>
        <v>0</v>
      </c>
      <c r="G77">
        <f>ROUND(IF(G131="high",$B162,IF(G131="low",$B163,IF(G126=1,$B161,0)))*G11/365,0)</f>
        <v>0</v>
      </c>
      <c r="H77">
        <f>ROUND(IF(H131="high",$B162,IF(H131="low",$B163,IF(H126=1,$B161,0)))*H11/365,0)</f>
        <v>0</v>
      </c>
      <c r="I77">
        <f>ROUND(IF(I131="high",$B162,IF(I131="low",$B163,IF(I126=1,$B161,0)))*I11/365,0)</f>
        <v>0</v>
      </c>
      <c r="J77">
        <f>ROUND(IF(J131="high",$B162,IF(J131="low",$B163,IF(J126=1,$B161,0)))*J11/365,0)</f>
        <v>0</v>
      </c>
      <c r="L77">
        <f>ROUND(IF(L131="high",$B162,IF(L131="low",$B163,IF(L126=1,$B161,0)))*L11/365,0)</f>
        <v>288493</v>
      </c>
      <c r="M77">
        <f>ROUND(IF(M131="high",$B162,IF(M131="low",$B163,IF(M126=1,$B161,0)))*M11/365,0)</f>
        <v>96164</v>
      </c>
      <c r="N77">
        <f>ROUND(IF(N131="high",$B162,IF(N131="low",$B163,IF(N126=1,$B161,0)))*N11/365,0)</f>
        <v>38466</v>
      </c>
      <c r="O77">
        <f>ROUND(IF(O131="high",$B162,IF(O131="low",$B163,IF(O126=1,$B161,0)))*O11/365,0)</f>
        <v>96164</v>
      </c>
      <c r="P77">
        <f>ROUND(IF(P131="high",$B162,IF(P131="low",$B163,IF(P126=1,$B161,0)))*P11/365,0)</f>
        <v>13973</v>
      </c>
      <c r="Q77">
        <f>ROUND(IF(Q131="high",$B162,IF(Q131="low",$B163,IF(Q126=1,$B161,0)))*Q11/365,0)</f>
        <v>98630</v>
      </c>
      <c r="R77">
        <f>ROUND(IF(R131="high",$B162,IF(R131="low",$B163,IF(R126=1,$B161,0)))*R11/365,0)</f>
        <v>34521</v>
      </c>
      <c r="S77">
        <f>ROUND(IF(S131="high",$B162,IF(S131="low",$B163,IF(S126=1,$B161,0)))*S11/365,0)</f>
        <v>118356</v>
      </c>
      <c r="T77" s="58">
        <f>ROUND(8*T11/365,0)</f>
        <v>2137</v>
      </c>
      <c r="U77" s="58">
        <f>ROUND(8*U11/365,0)</f>
        <v>44712</v>
      </c>
      <c r="V77" s="58">
        <f>ROUND(2*V11/365,0)</f>
        <v>2203</v>
      </c>
      <c r="W77" t="s">
        <v>187</v>
      </c>
    </row>
    <row r="78" spans="1:23" x14ac:dyDescent="0.25">
      <c r="A78" s="78" t="s">
        <v>250</v>
      </c>
      <c r="B78">
        <v>1</v>
      </c>
      <c r="C78">
        <f>ROUND(IF(C127&gt;0,IF(C131="high",$B162,IF(C131="low",$B163,$B161))*C11/365,0)/3,0)</f>
        <v>0</v>
      </c>
      <c r="D78">
        <f>ROUND(IF(D127&gt;0,IF(D131="high",$B162,IF(D131="low",$B163,$B161))*D11/365,0)/3,0)</f>
        <v>0</v>
      </c>
      <c r="E78">
        <f>ROUND(IF(E127&gt;0,IF(E131="high",$B162,IF(E131="low",$B163,$B161))*E11/365,0)/3,0)</f>
        <v>47671</v>
      </c>
      <c r="F78">
        <f>ROUND(IF(F127&gt;0,IF(F131="high",$B162,IF(F131="low",$B163,$B161))*F11/365,0)/3,0)</f>
        <v>0</v>
      </c>
      <c r="G78">
        <f>ROUND(IF(G127&gt;0,IF(G131="high",$B162,IF(G131="low",$B163,$B161))*G11/365,0)/3,0)</f>
        <v>53425</v>
      </c>
      <c r="H78">
        <f>ROUND(IF(H127&gt;0,IF(H131="high",$B162,IF(H131="low",$B163,$B161))*H11/365,0)/3,0)</f>
        <v>39452</v>
      </c>
      <c r="I78">
        <f>ROUND(IF(I127&gt;0,IF(I131="high",$B162,IF(I131="low",$B163,$B161))*I11/365,0)/3,0)</f>
        <v>51288</v>
      </c>
      <c r="J78">
        <f>ROUND(IF(J127&gt;0,IF(J131="high",$B162,IF(J131="low",$B163,$B161))*J11/365,0)/3,0)</f>
        <v>42740</v>
      </c>
      <c r="K78">
        <f>ROUND(IF(K127&gt;0,IF(K131="high",$B162,IF(K131="low",$B163,$B161))*K11/365,0)/3,0)</f>
        <v>4493</v>
      </c>
      <c r="L78">
        <f>ROUND(IF(L127&gt;0,IF(L131="high",$B162,IF(L131="low",$B163,$B161))*L11/365,0)/3,0)</f>
        <v>0</v>
      </c>
      <c r="M78">
        <f>ROUND(IF(M127&gt;0,IF(M131="high",$B162,IF(M131="low",$B163,$B161))*M11/365,0)/3,0)</f>
        <v>0</v>
      </c>
      <c r="N78">
        <f>ROUND(IF(N127&gt;0,IF(N131="high",$B162,IF(N131="low",$B163,$B161))*N11/365,0)/3,0)</f>
        <v>0</v>
      </c>
      <c r="O78">
        <f>ROUND(IF(O127&gt;0,IF(O131="high",$B162,IF(O131="low",$B163,$B161))*O11/365,0)/3,0)</f>
        <v>0</v>
      </c>
      <c r="P78">
        <f>ROUND(IF(P127&gt;0,IF(P131="high",$B162,IF(P131="low",$B163,$B161))*P11/365,0)/3,0)</f>
        <v>0</v>
      </c>
      <c r="Q78">
        <f>ROUND(IF(Q127&gt;0,IF(Q131="high",$B162,IF(Q131="low",$B163,$B161))*Q11/365,0)/3,0)</f>
        <v>0</v>
      </c>
      <c r="R78">
        <f>ROUND(IF(R127&gt;0,IF(R131="high",$B162,IF(R131="low",$B163,$B161))*R11/365,0)/3,0)</f>
        <v>0</v>
      </c>
      <c r="S78">
        <f>ROUND(IF(S127&gt;0,IF(S131="high",$B162,IF(S131="low",$B163,$B161))*S11/365,0)/3,0)</f>
        <v>0</v>
      </c>
      <c r="T78">
        <f>ROUND(IF(T127&gt;0,IF(T131="high",$B162,IF(T131="low",$B163,$B161))*T11/365,0)/3,0)</f>
        <v>0</v>
      </c>
      <c r="U78">
        <f>ROUND(IF(U127&gt;0,IF(U131="high",$B162,IF(U131="low",$B163,$B161))*U11/365,0)/3,0)</f>
        <v>0</v>
      </c>
      <c r="V78">
        <f>ROUND(IF(V127&gt;0,IF(V131="high",$B162,IF(V131="low",$B163,$B161))*V11/365,0)/3,0)</f>
        <v>0</v>
      </c>
      <c r="W78" t="s">
        <v>187</v>
      </c>
    </row>
    <row r="79" spans="1:23" x14ac:dyDescent="0.25">
      <c r="A79" s="78" t="s">
        <v>251</v>
      </c>
      <c r="B79">
        <v>1</v>
      </c>
      <c r="C79" s="58">
        <f>IF(C127=0,0,C77*(3-C127)/3)</f>
        <v>0</v>
      </c>
      <c r="D79" s="58">
        <f>IF(D127=0,0,D77*(3-D127)/3)</f>
        <v>0</v>
      </c>
      <c r="E79">
        <f>ROUND(IF(E127&gt;0,IF(E131="high",$B162,IF(E131="low",$B163,$B161))*E11/365,0)/3*2,0)</f>
        <v>95342</v>
      </c>
      <c r="F79">
        <f>ROUND(IF(F127&gt;0,IF(F131="high",$B162,IF(F131="low",$B163,$B161))*F11/365,0)/3*2,0)</f>
        <v>0</v>
      </c>
      <c r="G79">
        <f>ROUND(IF(G127&gt;0,IF(G131="high",$B162,IF(G131="low",$B163,$B161))*G11/365,0)/3*2,0)</f>
        <v>106849</v>
      </c>
      <c r="H79">
        <f>ROUND(IF(H127&gt;0,IF(H131="high",$B162,IF(H131="low",$B163,$B161))*H11/365,0)/3*2,0)</f>
        <v>78904</v>
      </c>
      <c r="I79">
        <f>ROUND(IF(I127&gt;0,IF(I131="high",$B162,IF(I131="low",$B163,$B161))*I11/365,0)/3*2,0)</f>
        <v>102575</v>
      </c>
      <c r="J79">
        <f>ROUND(IF(J127&gt;0,IF(J131="high",$B162,IF(J131="low",$B163,$B161))*J11/365,0)/3*2,0)</f>
        <v>85479</v>
      </c>
      <c r="K79">
        <f>ROUND(IF(K127&gt;0,IF(K131="high",$B162,IF(K131="low",$B163,$B161))*K11/365,0)/3*2,0)</f>
        <v>8986</v>
      </c>
      <c r="L79">
        <f>ROUND(IF(L127&gt;0,IF(L131="high",$B162,IF(L131="low",$B163,$B161))*L11/365,0)/3*2,0)</f>
        <v>0</v>
      </c>
      <c r="M79">
        <f>ROUND(IF(M127&gt;0,IF(M131="high",$B162,IF(M131="low",$B163,$B161))*M11/365,0)/3*2,0)</f>
        <v>0</v>
      </c>
      <c r="N79">
        <f>ROUND(IF(N127&gt;0,IF(N131="high",$B162,IF(N131="low",$B163,$B161))*N11/365,0)/3*2,0)</f>
        <v>0</v>
      </c>
      <c r="O79">
        <f>ROUND(IF(O127&gt;0,IF(O131="high",$B162,IF(O131="low",$B163,$B161))*O11/365,0)/3*2,0)</f>
        <v>0</v>
      </c>
      <c r="P79">
        <f>ROUND(IF(P127&gt;0,IF(P131="high",$B162,IF(P131="low",$B163,$B161))*P11/365,0)/3*2,0)</f>
        <v>0</v>
      </c>
      <c r="Q79">
        <f>ROUND(IF(Q127&gt;0,IF(Q131="high",$B162,IF(Q131="low",$B163,$B161))*Q11/365,0)/3*2,0)</f>
        <v>0</v>
      </c>
      <c r="R79">
        <f>ROUND(IF(R127&gt;0,IF(R131="high",$B162,IF(R131="low",$B163,$B161))*R11/365,0)/3*2,0)</f>
        <v>0</v>
      </c>
      <c r="S79">
        <f>ROUND(IF(S127&gt;0,IF(S131="high",$B162,IF(S131="low",$B163,$B161))*S11/365,0)/3*2,0)</f>
        <v>0</v>
      </c>
      <c r="T79">
        <f>ROUND(IF(T127&gt;0,IF(T131="high",$B162,IF(T131="low",$B163,$B161))*T11/365,0)/3*2,0)</f>
        <v>0</v>
      </c>
      <c r="U79">
        <f>ROUND(IF(U127&gt;0,IF(U131="high",$B162,IF(U131="low",$B163,$B161))*U11/365,0)/3*2,0)</f>
        <v>0</v>
      </c>
      <c r="V79">
        <f>ROUND(IF(V127&gt;0,IF(V131="high",$B162,IF(V131="low",$B163,$B161))*V11/365,0)/3*2,0)</f>
        <v>0</v>
      </c>
      <c r="W79" t="s">
        <v>187</v>
      </c>
    </row>
    <row r="80" spans="1:23" x14ac:dyDescent="0.25">
      <c r="A80" s="77" t="s">
        <v>2</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t="s">
        <v>187</v>
      </c>
    </row>
    <row r="81" spans="1:23" s="55" customFormat="1" x14ac:dyDescent="0.25">
      <c r="A81" s="79" t="s">
        <v>252</v>
      </c>
      <c r="B81" t="s">
        <v>198</v>
      </c>
      <c r="C81" s="58">
        <v>0</v>
      </c>
      <c r="D81" s="58">
        <v>0</v>
      </c>
      <c r="E81" s="55">
        <f>MAX(SUM(E78:E79),E77)+SUM(E74:E76)+IF(E114=0,E116,0)</f>
        <v>1382064</v>
      </c>
      <c r="F81" s="55">
        <f>MAX(SUM(F78:F79),F77)+SUM(F74:F76)+IF(F114=0,F116,0)</f>
        <v>864050</v>
      </c>
      <c r="G81" s="55">
        <f>MAX(SUM(G78:G79),G77)+SUM(G74:G76)+IF(G114=0,G116,0)</f>
        <v>857627</v>
      </c>
      <c r="H81" s="55">
        <f>MAX(SUM(H78:H79),H77)+SUM(H74:H76)+IF(H114=0,H116,0)</f>
        <v>1107406</v>
      </c>
      <c r="I81" s="55">
        <f>MAX(SUM(I78:I79),I77)+SUM(I74:I76)+IF(I114=0,I116,0)</f>
        <v>967921</v>
      </c>
      <c r="J81" s="55">
        <f>MAX(SUM(J78:J79),J77)+SUM(J74:J76)+IF(J114=0,J116,0)</f>
        <v>808869</v>
      </c>
      <c r="K81" s="55">
        <f>MAX(SUM(K78:K79),K77)+SUM(K74:K76)+IF(K114=0,K116,0)</f>
        <v>644129</v>
      </c>
      <c r="L81" s="55">
        <f>MAX(SUM(L78:L79),L77)+SUM(L74:L76)+IF(L114=0,L116,0)</f>
        <v>1277543</v>
      </c>
      <c r="M81" s="55">
        <f>MAX(SUM(M78:M79),M77)+SUM(M74:M76)+IF(M114=0,M116,0)</f>
        <v>710214</v>
      </c>
      <c r="N81" s="55">
        <f>MAX(SUM(N78:N79),N77)+SUM(N74:N76)+IF(N114=0,N116,0)</f>
        <v>652516</v>
      </c>
      <c r="O81" s="55">
        <f>MAX(SUM(O78:O79),O77)+SUM(O74:O76)+IF(O114=0,O116,0)</f>
        <v>710214</v>
      </c>
      <c r="P81" s="55">
        <f>MAX(SUM(P78:P79),P77)+SUM(P74:P76)+IF(P114=0,P116,0)</f>
        <v>628023</v>
      </c>
      <c r="Q81" s="55">
        <f>MAX(SUM(Q78:Q79),Q77)+SUM(Q74:Q76)+IF(Q114=0,Q116,0)</f>
        <v>1087680</v>
      </c>
      <c r="R81" s="55">
        <f>MAX(SUM(R78:R79),R77)+SUM(R74:R76)+IF(R114=0,R116,0)</f>
        <v>648571</v>
      </c>
      <c r="S81" s="55">
        <f>MAX(SUM(S78:S79),S77)+SUM(S74:S76)+IF(S114=0,S116,0)</f>
        <v>732406</v>
      </c>
      <c r="T81" s="55">
        <f>MAX(SUM(T78:T79),T77)+SUM(T74:T76)+IF(T114=0,T116,0)</f>
        <v>616187</v>
      </c>
      <c r="U81" s="55">
        <f>MAX(SUM(U78:U79),U77)+SUM(U74:U76)+IF(U114=0,U116,0)</f>
        <v>658762</v>
      </c>
      <c r="V81" s="55">
        <f>MAX(SUM(V78:V79),V77)+SUM(V74:V76)+IF(V114=0,V116,0)</f>
        <v>616253</v>
      </c>
      <c r="W81" s="55" t="s">
        <v>187</v>
      </c>
    </row>
    <row r="82" spans="1:23" x14ac:dyDescent="0.25">
      <c r="A82" s="1"/>
      <c r="W82" t="s">
        <v>187</v>
      </c>
    </row>
    <row r="83" spans="1:23" s="51" customFormat="1" x14ac:dyDescent="0.25">
      <c r="A83" s="67" t="s">
        <v>214</v>
      </c>
      <c r="B83">
        <v>1</v>
      </c>
      <c r="C83" s="51">
        <f>ROUND(IF(C147=1,0,IF(C142="high",$B173,IF(C142="low",$B172,TRUNC(AVERAGE($B172,$B173)))))*C8,0)</f>
        <v>532469</v>
      </c>
      <c r="D83" s="51">
        <f>ROUND(IF(D147=1,0,IF(D142="high",$B173,IF(D142="low",$B172,TRUNC(AVERAGE($B172,$B173)))))*D8,0)</f>
        <v>334339</v>
      </c>
      <c r="E83" s="58">
        <f>(2.5+IF(E147=1,0,IF(E142="high",$B173,IF(E142="low",$B172,TRUNC(AVERAGE($B172,$B173))))))*E8</f>
        <v>15000000</v>
      </c>
      <c r="F83" s="58">
        <v>61405000</v>
      </c>
      <c r="G83" s="51">
        <f>IF(G147=1,0,IF(G142="high",$B173,IF(G142="low",$B172,TRUNC(AVERAGE($B172,$B173)))))*G8</f>
        <v>7500000</v>
      </c>
      <c r="H83" s="51">
        <f>IF(H147=1,0,IF(H142="high",$B173,IF(H142="low",$B172,TRUNC(AVERAGE($B172,$B173)))))*H8</f>
        <v>4500000</v>
      </c>
      <c r="I83" s="58">
        <v>150000</v>
      </c>
      <c r="J83" s="51">
        <f>IF(J147=1,0,IF(J142="high",$B173,IF(J142="low",$B172,TRUNC(AVERAGE($B172,$B173)))))*J8</f>
        <v>2400000</v>
      </c>
      <c r="K83" s="51">
        <f>IF(K147=1,0,IF(K142="high",$B173,IF(K142="low",$B172,TRUNC(AVERAGE($B172,$B173)))))*K8</f>
        <v>600000</v>
      </c>
      <c r="L83" s="51">
        <f>IF(L147=1,0,IF(L142="high",$B173,IF(L142="low",$B172,TRUNC(AVERAGE($B172,$B173)))))*L8</f>
        <v>1800000</v>
      </c>
      <c r="M83" s="51">
        <f>IF(M147=1,0,IF(M142="high",$B173,IF(M142="low",$B172,TRUNC(AVERAGE($B172,$B173)))))*M8</f>
        <v>0</v>
      </c>
      <c r="N83" s="51">
        <f>IF(N147=1,0,IF(N142="high",$B173,IF(N142="low",$B172,TRUNC(AVERAGE($B172,$B173)))))*N8</f>
        <v>0</v>
      </c>
      <c r="O83" s="51">
        <f>IF(O147=1,0,IF(O142="high",$B173,IF(O142="low",$B172,TRUNC(AVERAGE($B172,$B173)))))*O8</f>
        <v>0</v>
      </c>
      <c r="P83" s="51">
        <f>IF(P147=1,0,IF(P142="high",$B173,IF(P142="low",$B172,TRUNC(AVERAGE($B172,$B173)))))*P8</f>
        <v>600000</v>
      </c>
      <c r="Q83" s="51">
        <f>IF(Q147=1,0,IF(Q142="high",$B173,IF(Q142="low",$B172,TRUNC(AVERAGE($B172,$B173)))))*Q8</f>
        <v>0</v>
      </c>
      <c r="R83" s="51">
        <f>IF(R147=1,0,IF(R142="high",$B173,IF(R142="low",$B172,TRUNC(AVERAGE($B172,$B173)))))*R8</f>
        <v>0</v>
      </c>
      <c r="S83" s="51">
        <f>IF(S147=1,0,IF(S142="high",$B173,IF(S142="low",$B172,TRUNC(AVERAGE($B172,$B173)))))*S8</f>
        <v>0</v>
      </c>
      <c r="T83" s="58">
        <v>614050</v>
      </c>
      <c r="U83" s="51">
        <f>IF(U147=1,0,IF(U142="high",$B173,IF(U142="low",$B172,TRUNC(AVERAGE($B172,$B173)))))*U8</f>
        <v>0</v>
      </c>
      <c r="V83" s="63">
        <v>600</v>
      </c>
      <c r="W83" s="51" t="s">
        <v>187</v>
      </c>
    </row>
    <row r="84" spans="1:23" s="51" customFormat="1" x14ac:dyDescent="0.25">
      <c r="A84" s="67" t="s">
        <v>273</v>
      </c>
      <c r="B84">
        <v>1</v>
      </c>
      <c r="C84" s="51">
        <f>IF(C136="",0,614050)+IF(C128="",0,614050/2)</f>
        <v>0</v>
      </c>
      <c r="D84" s="51">
        <f>IF(D136="",0,614050)+IF(D128="",0,614050/2)</f>
        <v>0</v>
      </c>
      <c r="E84" s="58">
        <v>6140</v>
      </c>
      <c r="F84" s="51">
        <f t="shared" ref="F84:M84" si="14">IF(F136="",0,614050)+IF(F128="",0,614050/2)</f>
        <v>307025</v>
      </c>
      <c r="G84" s="51">
        <f t="shared" si="14"/>
        <v>0</v>
      </c>
      <c r="H84" s="51">
        <f t="shared" si="14"/>
        <v>0</v>
      </c>
      <c r="I84" s="51">
        <f t="shared" si="14"/>
        <v>307025</v>
      </c>
      <c r="J84" s="51">
        <f t="shared" si="14"/>
        <v>0</v>
      </c>
      <c r="K84" s="51">
        <f t="shared" si="14"/>
        <v>0</v>
      </c>
      <c r="L84" s="51">
        <f t="shared" si="14"/>
        <v>307025</v>
      </c>
      <c r="M84" s="51">
        <f t="shared" si="14"/>
        <v>614050</v>
      </c>
      <c r="N84" s="58">
        <v>6140</v>
      </c>
      <c r="O84" s="51">
        <f t="shared" ref="O84:S84" si="15">IF(O136="",0,614050)+IF(O128="",0,614050/2)</f>
        <v>0</v>
      </c>
      <c r="P84" s="51">
        <f t="shared" si="15"/>
        <v>0</v>
      </c>
      <c r="Q84" s="51">
        <f t="shared" si="15"/>
        <v>0</v>
      </c>
      <c r="R84" s="51">
        <f t="shared" si="15"/>
        <v>0</v>
      </c>
      <c r="S84" s="51">
        <f t="shared" si="15"/>
        <v>307025</v>
      </c>
      <c r="T84" s="58">
        <f>IF(T136="",0,13000)+IF(T128="",0,13000)+3000</f>
        <v>3000</v>
      </c>
      <c r="U84" s="51">
        <f t="shared" ref="U84:V84" si="16">IF(U136="",0,614050)+IF(U128="",0,614050/2)</f>
        <v>614050</v>
      </c>
      <c r="V84" s="51">
        <f t="shared" si="16"/>
        <v>0</v>
      </c>
      <c r="W84" s="51" t="s">
        <v>187</v>
      </c>
    </row>
    <row r="85" spans="1:23" s="51" customFormat="1" x14ac:dyDescent="0.25">
      <c r="A85" s="67" t="s">
        <v>4</v>
      </c>
      <c r="B85">
        <v>1</v>
      </c>
      <c r="C85" s="58" t="str">
        <f t="shared" ref="C85:V85" si="17">IF(C138="","",$B167)</f>
        <v/>
      </c>
      <c r="D85" s="58" t="str">
        <f t="shared" si="17"/>
        <v/>
      </c>
      <c r="E85" s="51" t="str">
        <f t="shared" si="17"/>
        <v/>
      </c>
      <c r="F85" s="51">
        <f t="shared" si="17"/>
        <v>614050</v>
      </c>
      <c r="G85" s="51" t="str">
        <f t="shared" si="17"/>
        <v/>
      </c>
      <c r="H85" s="51">
        <f t="shared" si="17"/>
        <v>614050</v>
      </c>
      <c r="I85" s="51" t="str">
        <f t="shared" si="17"/>
        <v/>
      </c>
      <c r="J85" s="51" t="str">
        <f t="shared" si="17"/>
        <v/>
      </c>
      <c r="K85" s="51" t="str">
        <f t="shared" si="17"/>
        <v/>
      </c>
      <c r="L85" s="51" t="str">
        <f t="shared" si="17"/>
        <v/>
      </c>
      <c r="M85" s="51">
        <f t="shared" si="17"/>
        <v>614050</v>
      </c>
      <c r="N85" s="51" t="str">
        <f t="shared" si="17"/>
        <v/>
      </c>
      <c r="O85" s="51" t="str">
        <f t="shared" si="17"/>
        <v/>
      </c>
      <c r="P85" s="51" t="str">
        <f t="shared" si="17"/>
        <v/>
      </c>
      <c r="Q85" s="51" t="str">
        <f t="shared" si="17"/>
        <v/>
      </c>
      <c r="R85" s="51" t="str">
        <f t="shared" si="17"/>
        <v/>
      </c>
      <c r="S85" s="51" t="str">
        <f t="shared" si="17"/>
        <v/>
      </c>
      <c r="T85" s="51" t="str">
        <f t="shared" si="17"/>
        <v/>
      </c>
      <c r="U85" s="51" t="str">
        <f t="shared" si="17"/>
        <v/>
      </c>
      <c r="V85" s="51" t="str">
        <f t="shared" si="17"/>
        <v/>
      </c>
      <c r="W85" s="51" t="s">
        <v>187</v>
      </c>
    </row>
    <row r="86" spans="1:23" s="51" customFormat="1" x14ac:dyDescent="0.25">
      <c r="A86" s="67" t="s">
        <v>5</v>
      </c>
      <c r="B86">
        <v>1</v>
      </c>
      <c r="C86"/>
      <c r="D86"/>
      <c r="E86"/>
      <c r="F86"/>
      <c r="G86"/>
      <c r="H86"/>
      <c r="I86"/>
      <c r="J86"/>
      <c r="K86"/>
      <c r="L86"/>
      <c r="M86"/>
      <c r="N86"/>
      <c r="O86"/>
      <c r="P86"/>
      <c r="Q86"/>
      <c r="R86"/>
      <c r="S86"/>
      <c r="T86"/>
      <c r="U86"/>
      <c r="V86"/>
      <c r="W86" s="51" t="s">
        <v>187</v>
      </c>
    </row>
    <row r="87" spans="1:23" x14ac:dyDescent="0.25">
      <c r="A87" s="65" t="s">
        <v>6</v>
      </c>
      <c r="B87">
        <v>1</v>
      </c>
      <c r="D87" s="58">
        <v>6140500</v>
      </c>
      <c r="W87" t="s">
        <v>187</v>
      </c>
    </row>
    <row r="88" spans="1:23" x14ac:dyDescent="0.25">
      <c r="A88" s="65" t="s">
        <v>218</v>
      </c>
      <c r="B88">
        <v>1</v>
      </c>
      <c r="C88" s="58">
        <f>SUMIF($E124:$V124,"="&amp;"low",$E99:$V99)</f>
        <v>67107300</v>
      </c>
      <c r="D88" s="58">
        <f>SUMIF($E124:$V124,"="&amp;"high",$E99:$V99)</f>
        <v>2435740</v>
      </c>
      <c r="W88" t="s">
        <v>187</v>
      </c>
    </row>
    <row r="89" spans="1:23" x14ac:dyDescent="0.25">
      <c r="A89" s="65" t="s">
        <v>253</v>
      </c>
      <c r="B89">
        <v>1</v>
      </c>
      <c r="C89" s="58">
        <f>B151</f>
        <v>614050</v>
      </c>
      <c r="W89" t="s">
        <v>187</v>
      </c>
    </row>
    <row r="90" spans="1:23" s="51" customFormat="1" x14ac:dyDescent="0.25">
      <c r="A90" s="66" t="s">
        <v>254</v>
      </c>
      <c r="B90" t="s">
        <v>198</v>
      </c>
      <c r="C90" s="51">
        <f>SUM(C74:C89)+IF(AND(C114&lt;0.5,C114&gt;0),C116,0)</f>
        <v>68867869</v>
      </c>
      <c r="D90" s="51">
        <f>SUM(D74:D89)+IF(AND(D114&lt;0.5,D114&gt;0),D116,0)</f>
        <v>9524629</v>
      </c>
      <c r="E90" s="51">
        <f>SUM(E81:E89)+IF(AND(E114&lt;0.5,E114&gt;0),E116,0)</f>
        <v>16388204</v>
      </c>
      <c r="F90" s="51">
        <f>SUM(F81:F89)+IF(AND(F114&lt;0.5,F114&gt;0),F116,0)</f>
        <v>63190125</v>
      </c>
      <c r="G90" s="51">
        <f>SUM(G81:G89)+IF(AND(G114&lt;0.5,G114&gt;0),G116,0)</f>
        <v>8357627</v>
      </c>
      <c r="H90" s="51">
        <f>SUM(H81:H89)+IF(AND(H114&lt;0.5,H114&gt;0),H116,0)</f>
        <v>6221456</v>
      </c>
      <c r="I90" s="51">
        <f>SUM(I81:I89)+IF(AND(I114&lt;0.5,I114&gt;0),I116,0)</f>
        <v>1424946</v>
      </c>
      <c r="J90" s="51">
        <f>SUM(J81:J89)+IF(AND(J114&lt;0.5,J114&gt;0),J116,0)</f>
        <v>3208869</v>
      </c>
      <c r="K90" s="51">
        <f>SUM(K81:K89)+IF(AND(K114&lt;0.5,K114&gt;0),K116,0)</f>
        <v>1244148</v>
      </c>
      <c r="L90" s="51">
        <f>SUM(L81:L89)+IF(AND(L114&lt;0.5,L114&gt;0),L116,0)</f>
        <v>3384568</v>
      </c>
      <c r="M90" s="51">
        <f>SUM(M81:M89)+IF(AND(M114&lt;0.5,M114&gt;0),M116,0)</f>
        <v>1938322</v>
      </c>
      <c r="N90" s="51">
        <f>SUM(N81:N89)+IF(AND(N114&lt;0.5,N114&gt;0),N116,0)</f>
        <v>658657</v>
      </c>
      <c r="O90" s="51">
        <f>SUM(O81:O89)+IF(AND(O114&lt;0.5,O114&gt;0),O116,0)</f>
        <v>710232</v>
      </c>
      <c r="P90" s="51">
        <f>SUM(P81:P89)+IF(AND(P114&lt;0.5,P114&gt;0),P116,0)</f>
        <v>1228023</v>
      </c>
      <c r="Q90" s="51">
        <f>SUM(Q81:Q89)+IF(AND(Q114&lt;0.5,Q114&gt;0),Q116,0)</f>
        <v>1087680</v>
      </c>
      <c r="R90" s="51">
        <f>SUM(R81:R89)+IF(AND(R114&lt;0.5,R114&gt;0),R116,0)</f>
        <v>648571</v>
      </c>
      <c r="S90" s="51">
        <f>SUM(S81:S89)+IF(AND(S114&lt;0.5,S114&gt;0),S116,0)</f>
        <v>1039431</v>
      </c>
      <c r="T90" s="51">
        <f>SUM(T81:T89)+IF(AND(T114&lt;0.5,T114&gt;0),T116,0)</f>
        <v>1233242</v>
      </c>
      <c r="U90" s="51">
        <f>SUM(U81:U89)+IF(AND(U114&lt;0.5,U114&gt;0),U116,0)</f>
        <v>1272816</v>
      </c>
      <c r="V90" s="51">
        <f>SUM(V81:V89)+IF(AND(V114&lt;0.5,V114&gt;0),V116,0)</f>
        <v>616853</v>
      </c>
      <c r="W90" s="51" t="s">
        <v>187</v>
      </c>
    </row>
    <row r="91" spans="1:23" x14ac:dyDescent="0.25">
      <c r="W91" t="s">
        <v>187</v>
      </c>
    </row>
    <row r="92" spans="1:23" x14ac:dyDescent="0.25">
      <c r="A92" s="1" t="s">
        <v>7</v>
      </c>
      <c r="B92" t="s">
        <v>197</v>
      </c>
      <c r="W92" t="s">
        <v>187</v>
      </c>
    </row>
    <row r="93" spans="1:23" x14ac:dyDescent="0.25">
      <c r="A93" s="65" t="s">
        <v>255</v>
      </c>
      <c r="B93">
        <v>1</v>
      </c>
      <c r="C93" s="58">
        <v>0</v>
      </c>
      <c r="D93" s="58">
        <v>0</v>
      </c>
      <c r="E93" s="51">
        <f>TRUNC(IF(OR(E130="dye",E130="low"),$B$164,IF(OR(E130="high",E130="gears"),$B$165,$B$161))*E$21/365/100)*100</f>
        <v>406800</v>
      </c>
      <c r="F93" s="51">
        <f>TRUNC(IF(OR(F130="dye",F130="low"),$B$164,IF(OR(F130="high",F130="gears"),$B$165,$B$161))*F$21/365/100)*100</f>
        <v>1034600</v>
      </c>
      <c r="G93" s="51">
        <f>TRUNC(IF(OR(G130="dye",G130="low"),$B$164,IF(OR(G130="high",G130="gears"),$B$165,$B$161))*G$21/365/100)*100</f>
        <v>71900</v>
      </c>
      <c r="H93" s="51">
        <f>TRUNC(IF(OR(H130="dye",H130="low"),$B$164,IF(OR(H130="high",H130="gears"),$B$165,$B$161))*H$21/365/100)*100</f>
        <v>353200</v>
      </c>
      <c r="I93" s="51">
        <f>TRUNC(IF(OR(I130="dye",I130="low"),$B$164,IF(OR(I130="high",I130="gears"),$B$165,$B$161))*I$21/365/100)*100</f>
        <v>478900</v>
      </c>
      <c r="J93" s="51">
        <f>TRUNC(IF(OR(J130="dye",J130="low"),$B$164,IF(OR(J130="high",J130="gears"),$B$165,$B$161))*J$21/365/100)*100</f>
        <v>59100</v>
      </c>
      <c r="K93" s="51">
        <f>TRUNC(IF(OR(K130="dye",K130="low"),$B$164,IF(OR(K130="high",K130="gears"),$B$165,$B$161))*K$21/365/100)*100</f>
        <v>15900</v>
      </c>
      <c r="L93" s="51">
        <f>TRUNC(IF(OR(L130="dye",L130="low"),$B$164,IF(OR(L130="high",L130="gears"),$B$165,$B$161))*L$21/365/100)*100</f>
        <v>138300</v>
      </c>
      <c r="M93" s="51">
        <f>TRUNC(IF(OR(M130="dye",M130="low"),$B$164,IF(OR(M130="high",M130="gears"),$B$165,$B$161))*M$21/365/100)*100</f>
        <v>113900</v>
      </c>
      <c r="N93" s="51">
        <f>TRUNC(IF(OR(N130="dye",N130="low"),$B$164,IF(OR(N130="high",N130="gears"),$B$165,$B$161))*N$21/365/100)*100</f>
        <v>48500</v>
      </c>
      <c r="O93" s="51">
        <f>TRUNC(IF(OR(O130="dye",O130="low"),$B$164,IF(OR(O130="high",O130="gears"),$B$165,$B$161))*O$21/365/100)*100</f>
        <v>41900</v>
      </c>
      <c r="P93" s="51">
        <f>TRUNC(IF(OR(P130="dye",P130="low"),$B$164,IF(OR(P130="high",P130="gears"),$B$165,$B$161))*P$21/365/100)*100</f>
        <v>114600</v>
      </c>
      <c r="Q93" s="51">
        <f>TRUNC(IF(OR(Q130="dye",Q130="low"),$B$164,IF(OR(Q130="high",Q130="gears"),$B$165,$B$161))*Q$21/365/100)*100</f>
        <v>128200</v>
      </c>
      <c r="R93" s="51">
        <f>TRUNC(IF(OR(R130="dye",R130="low"),$B$164,IF(OR(R130="high",R130="gears"),$B$165,$B$161))*R$21/365/100)*100</f>
        <v>40400</v>
      </c>
      <c r="S93" s="51">
        <f>TRUNC(IF(OR(S130="dye",S130="low"),$B$164,IF(OR(S130="high",S130="gears"),$B$165,$B$161))*S$21/365/100)*100</f>
        <v>342100</v>
      </c>
      <c r="T93" s="51">
        <f>TRUNC(IF(OR(T130="dye",T130="low"),$B$164,IF(OR(T130="high",T130="gears"),$B$165,$B$161))*T$21/365/100)*100</f>
        <v>28000</v>
      </c>
      <c r="U93" s="51">
        <f>TRUNC(IF(OR(U130="dye",U130="low"),$B$164,IF(OR(U130="high",U130="gears"),$B$165,$B$161))*U$21/365/100)*100</f>
        <v>193800</v>
      </c>
      <c r="V93" s="51">
        <f>TRUNC(IF(OR(V130="dye",V130="low"),$B$164,IF(OR(V130="high",V130="gears"),$B$165,$B$161))*V$21/365/100)*100</f>
        <v>46300</v>
      </c>
      <c r="W93" t="s">
        <v>187</v>
      </c>
    </row>
    <row r="94" spans="1:23" s="51" customFormat="1" x14ac:dyDescent="0.25">
      <c r="A94" s="67" t="s">
        <v>266</v>
      </c>
      <c r="B94">
        <v>1</v>
      </c>
      <c r="C94" s="58">
        <f>$C$99/20</f>
        <v>0</v>
      </c>
      <c r="D94" s="58">
        <f>$D$99/20</f>
        <v>0</v>
      </c>
      <c r="E94" s="51">
        <f>$E$99/20</f>
        <v>655525</v>
      </c>
      <c r="F94" s="51">
        <f>$F$99/20</f>
        <v>2527605</v>
      </c>
      <c r="G94" s="51">
        <f>$G$99/20</f>
        <v>33430</v>
      </c>
      <c r="H94" s="51">
        <f>$H$99/20</f>
        <v>24885</v>
      </c>
      <c r="I94" s="51">
        <v>0</v>
      </c>
      <c r="J94" s="51">
        <f>$J$99/20</f>
        <v>12835</v>
      </c>
      <c r="K94" s="51">
        <f>$K$99/20</f>
        <v>4975</v>
      </c>
      <c r="L94" s="51">
        <f>$L$99/20</f>
        <v>13535</v>
      </c>
      <c r="M94" s="51">
        <f>$M$99/20</f>
        <v>77530</v>
      </c>
      <c r="N94" s="51">
        <f>$N$99/20</f>
        <v>2630</v>
      </c>
      <c r="O94" s="51">
        <f>$O$99/20</f>
        <v>2840</v>
      </c>
      <c r="P94" s="51">
        <f>$P$99/20</f>
        <v>4910</v>
      </c>
      <c r="Q94" s="51">
        <f>$Q$99/20</f>
        <v>43505</v>
      </c>
      <c r="R94" s="58">
        <v>0</v>
      </c>
      <c r="S94" s="51">
        <f>$S$99/20</f>
        <v>4155</v>
      </c>
      <c r="T94" s="51">
        <f>$T$99/20</f>
        <v>4930</v>
      </c>
      <c r="U94" s="51">
        <f>$U$99/20</f>
        <v>5090</v>
      </c>
      <c r="V94" s="58">
        <v>0</v>
      </c>
      <c r="W94" s="51" t="s">
        <v>187</v>
      </c>
    </row>
    <row r="95" spans="1:23" s="51" customFormat="1" x14ac:dyDescent="0.25">
      <c r="A95" s="73" t="s">
        <v>9</v>
      </c>
      <c r="B95" t="s">
        <v>198</v>
      </c>
      <c r="C95" s="58">
        <f>SUM($C$93:$C$94)</f>
        <v>0</v>
      </c>
      <c r="D95" s="58">
        <f>SUM($D$93:$D$94)</f>
        <v>0</v>
      </c>
      <c r="E95" s="51">
        <f>SUM($E$93:$E$94)</f>
        <v>1062325</v>
      </c>
      <c r="F95" s="51">
        <f>SUM($F$93:$F$94)</f>
        <v>3562205</v>
      </c>
      <c r="G95" s="51">
        <f>SUM($G$93:$G$94)</f>
        <v>105330</v>
      </c>
      <c r="H95" s="51">
        <f>SUM($H$93:$H$94)</f>
        <v>378085</v>
      </c>
      <c r="I95" s="51">
        <f>SUM($I$93:$I$94)</f>
        <v>478900</v>
      </c>
      <c r="J95" s="51">
        <f>SUM($J$93:$J$94)</f>
        <v>71935</v>
      </c>
      <c r="K95" s="51">
        <f>SUM($K$93:$K$94)</f>
        <v>20875</v>
      </c>
      <c r="L95" s="51">
        <f>SUM($L$93:$L$94)</f>
        <v>151835</v>
      </c>
      <c r="M95" s="51">
        <f>SUM($M$93:$M$94)</f>
        <v>191430</v>
      </c>
      <c r="N95" s="51">
        <f>SUM($N$93:$N$94)</f>
        <v>51130</v>
      </c>
      <c r="O95" s="51">
        <f>SUM($O$93:$O$94)</f>
        <v>44740</v>
      </c>
      <c r="P95" s="51">
        <f>SUM($P$93:$P$94)</f>
        <v>119510</v>
      </c>
      <c r="Q95" s="51">
        <f>SUM($Q$93:$Q$94)</f>
        <v>171705</v>
      </c>
      <c r="R95" s="51">
        <f>SUM($R$93:$R$94)</f>
        <v>40400</v>
      </c>
      <c r="S95" s="51">
        <f>SUM($S$93:$S$94)</f>
        <v>346255</v>
      </c>
      <c r="T95" s="51">
        <f>SUM($T$93:$T$94)</f>
        <v>32930</v>
      </c>
      <c r="U95" s="51">
        <f>SUM($U$93:$U$94)</f>
        <v>198890</v>
      </c>
      <c r="V95" s="51">
        <f>SUM($V$93:$V$94)</f>
        <v>46300</v>
      </c>
      <c r="W95" s="51" t="s">
        <v>187</v>
      </c>
    </row>
    <row r="96" spans="1:23" s="51" customFormat="1" x14ac:dyDescent="0.25">
      <c r="A96" s="73"/>
      <c r="B96"/>
      <c r="C96" s="58"/>
      <c r="D96" s="58"/>
    </row>
    <row r="97" spans="1:23" x14ac:dyDescent="0.25">
      <c r="A97" s="65" t="s">
        <v>8</v>
      </c>
      <c r="B97">
        <v>1</v>
      </c>
      <c r="W97" t="s">
        <v>187</v>
      </c>
    </row>
    <row r="98" spans="1:23" x14ac:dyDescent="0.25">
      <c r="A98" s="65" t="s">
        <v>217</v>
      </c>
      <c r="B98">
        <v>1</v>
      </c>
      <c r="C98" s="58">
        <v>36000000</v>
      </c>
      <c r="D98" s="58">
        <v>3000000</v>
      </c>
      <c r="W98" t="s">
        <v>187</v>
      </c>
    </row>
    <row r="99" spans="1:23" s="51" customFormat="1" x14ac:dyDescent="0.25">
      <c r="A99" s="67" t="s">
        <v>10</v>
      </c>
      <c r="B99">
        <v>1</v>
      </c>
      <c r="C99" s="58">
        <f>TRUNC(IF(C148="",IF(OR(C124="",C122=1,C123=1),0,C90*0.08),C90*0.8)/100)*100</f>
        <v>0</v>
      </c>
      <c r="D99" s="58">
        <f>TRUNC(IF(D148="",IF(OR(D124="",D122=1,D123=1),0,D90*0.08),D90*0.8)/100)*100</f>
        <v>0</v>
      </c>
      <c r="E99" s="51">
        <f>TRUNC(IF(E148="",IF(OR(E124="",E122=1,E123=1),0,E90*0.08),E90*0.8)/100)*100</f>
        <v>13110500</v>
      </c>
      <c r="F99" s="51">
        <f>TRUNC(IF(F148="",IF(OR(F124="",F122=1,F123=1),0,F90*0.08),F90*0.8)/100)*100</f>
        <v>50552100</v>
      </c>
      <c r="G99" s="51">
        <f>TRUNC(IF(G148="",IF(OR(G124="",G122=1,G123=1),0,G90*0.08),G90*0.8)/100)*100</f>
        <v>668600</v>
      </c>
      <c r="H99" s="51">
        <f>TRUNC(IF(H148="",IF(OR(H124="",H122=1,H123=1),0,H90*0.08),H90*0.8)/100)*100</f>
        <v>497700</v>
      </c>
      <c r="I99" s="51">
        <f>TRUNC(IF(I148="",IF(OR(I124="",I122=1,I123=1),0,I90*0.08),I90*0.8)/100)*100</f>
        <v>113900</v>
      </c>
      <c r="J99" s="51">
        <f>TRUNC(IF(J148="",IF(OR(J124="",J122=1,J123=1),0,J90*0.08),J90*0.8)/100)*100</f>
        <v>256700</v>
      </c>
      <c r="K99" s="51">
        <f>TRUNC(IF(K148="",IF(OR(K124="",K122=1,K123=1),0,K90*0.08),K90*0.8)/100)*100</f>
        <v>99500</v>
      </c>
      <c r="L99" s="51">
        <f>TRUNC(IF(L148="",IF(OR(L124="",L122=1,L123=1),0,L90*0.08),L90*0.8)/100)*100</f>
        <v>270700</v>
      </c>
      <c r="M99" s="51">
        <f>TRUNC(IF(M148="",IF(OR(M124="",M122=1,M123=1),0,M90*0.08),M90*0.8)/100)*100</f>
        <v>1550600</v>
      </c>
      <c r="N99" s="51">
        <f>TRUNC(IF(N148="",IF(OR(N124="",N122=1,N123=1),0,N90*0.08),N90*0.8)/100)*100</f>
        <v>52600</v>
      </c>
      <c r="O99" s="51">
        <f>TRUNC(IF(O148="",IF(OR(O124="",O122=1,O123=1),0,O90*0.08),O90*0.8)/100)*100</f>
        <v>56800</v>
      </c>
      <c r="P99" s="51">
        <f>TRUNC(IF(P148="",IF(OR(P124="",P122=1,P123=1),0,P90*0.08),P90*0.8)/100)*100</f>
        <v>98200</v>
      </c>
      <c r="Q99" s="51">
        <f>TRUNC(IF(Q148="",IF(OR(Q124="",Q122=1,Q123=1),0,Q90*0.08),Q90*0.8)/100)*100</f>
        <v>870100</v>
      </c>
      <c r="R99" s="51">
        <f>TRUNC(IF(R148="",IF(OR(R124="",R122=1,R123=1),0,R90*0.08),R90*0.8)/100)*100</f>
        <v>518800</v>
      </c>
      <c r="S99" s="51">
        <f>TRUNC(IF(S148="",IF(OR(S124="",S122=1,S123=1),0,S90*0.08),S90*0.8)/100)*100</f>
        <v>83100</v>
      </c>
      <c r="T99" s="51">
        <f>TRUNC(IF(T148="",IF(OR(T124="",T122=1,T123=1),0,T90*0.08),T90*0.8)/100)*100</f>
        <v>98600</v>
      </c>
      <c r="U99" s="51">
        <f>TRUNC(IF(U148="",IF(OR(U124="",U122=1,U123=1),0,U90*0.08),U90*0.8)/100)*100</f>
        <v>101800</v>
      </c>
      <c r="V99" s="58">
        <f>TRUNC(IF(V148="",IF(OR(V124="",V122=1,V123=1),0,V90*0.08),V90*0.8)/100)*110</f>
        <v>542740</v>
      </c>
      <c r="W99" s="51" t="s">
        <v>187</v>
      </c>
    </row>
    <row r="100" spans="1:23" s="51" customFormat="1" x14ac:dyDescent="0.25">
      <c r="A100" s="73" t="s">
        <v>256</v>
      </c>
      <c r="B100" t="s">
        <v>198</v>
      </c>
      <c r="C100" s="58">
        <f t="shared" ref="C100:V100" si="18">SUM(C95:C99)</f>
        <v>36000000</v>
      </c>
      <c r="D100" s="58">
        <f t="shared" si="18"/>
        <v>3000000</v>
      </c>
      <c r="E100" s="51">
        <f t="shared" si="18"/>
        <v>14172825</v>
      </c>
      <c r="F100" s="51">
        <f t="shared" si="18"/>
        <v>54114305</v>
      </c>
      <c r="G100" s="51">
        <f t="shared" si="18"/>
        <v>773930</v>
      </c>
      <c r="H100" s="51">
        <f t="shared" si="18"/>
        <v>875785</v>
      </c>
      <c r="I100" s="51">
        <f t="shared" si="18"/>
        <v>592800</v>
      </c>
      <c r="J100" s="51">
        <f t="shared" si="18"/>
        <v>328635</v>
      </c>
      <c r="K100" s="51">
        <f t="shared" si="18"/>
        <v>120375</v>
      </c>
      <c r="L100" s="51">
        <f t="shared" si="18"/>
        <v>422535</v>
      </c>
      <c r="M100" s="51">
        <f t="shared" si="18"/>
        <v>1742030</v>
      </c>
      <c r="N100" s="51">
        <f t="shared" si="18"/>
        <v>103730</v>
      </c>
      <c r="O100" s="51">
        <f t="shared" si="18"/>
        <v>101540</v>
      </c>
      <c r="P100" s="51">
        <f t="shared" si="18"/>
        <v>217710</v>
      </c>
      <c r="Q100" s="51">
        <f t="shared" si="18"/>
        <v>1041805</v>
      </c>
      <c r="R100" s="51">
        <f t="shared" si="18"/>
        <v>559200</v>
      </c>
      <c r="S100" s="51">
        <f t="shared" si="18"/>
        <v>429355</v>
      </c>
      <c r="T100" s="51">
        <f t="shared" si="18"/>
        <v>131530</v>
      </c>
      <c r="U100" s="51">
        <f t="shared" si="18"/>
        <v>300690</v>
      </c>
      <c r="V100" s="51">
        <f t="shared" si="18"/>
        <v>589040</v>
      </c>
      <c r="W100" s="51" t="s">
        <v>187</v>
      </c>
    </row>
    <row r="101" spans="1:23" x14ac:dyDescent="0.25">
      <c r="W101" t="s">
        <v>187</v>
      </c>
    </row>
    <row r="102" spans="1:23" x14ac:dyDescent="0.25">
      <c r="A102" s="1" t="s">
        <v>262</v>
      </c>
      <c r="B102" t="s">
        <v>197</v>
      </c>
      <c r="C102" s="51">
        <f>C90-C100+IF(C114&gt;0.5,C116,0)</f>
        <v>32867888</v>
      </c>
      <c r="D102" s="51">
        <f>D90-D100+IF(D114&gt;0.5,D116,0)</f>
        <v>6524634</v>
      </c>
      <c r="E102" s="51">
        <f>E90-E100+IF(E114&gt;0.5,E116,0)</f>
        <v>2215379</v>
      </c>
      <c r="F102" s="51">
        <f>F90-F100+IF(F114&gt;0.5,F116,0)</f>
        <v>9075838</v>
      </c>
      <c r="G102" s="51">
        <f>G90-G100+IF(G114&gt;0.5,G116,0)</f>
        <v>7583697</v>
      </c>
      <c r="H102" s="51">
        <f>H90-H100+IF(H114&gt;0.5,H116,0)</f>
        <v>5345679</v>
      </c>
      <c r="I102" s="51">
        <f>I90-I100+IF(I114&gt;0.5,I116,0)</f>
        <v>832146</v>
      </c>
      <c r="J102" s="51">
        <f>J90-J100+IF(J114&gt;0.5,J116,0)</f>
        <v>2880236</v>
      </c>
      <c r="K102" s="51">
        <f>K90-K100+IF(K114&gt;0.5,K116,0)</f>
        <v>1123773</v>
      </c>
      <c r="L102" s="51">
        <f>L90-L100+IF(L114&gt;0.5,L116,0)</f>
        <v>2962049</v>
      </c>
      <c r="M102" s="51">
        <f>M90-M100+IF(M114&gt;0.5,M116,0)</f>
        <v>196292</v>
      </c>
      <c r="N102" s="51">
        <f>N90-N100+IF(N114&gt;0.5,N116,0)</f>
        <v>554927</v>
      </c>
      <c r="O102" s="51">
        <f>O90-O100+IF(O114&gt;0.5,O116,0)</f>
        <v>608692</v>
      </c>
      <c r="P102" s="51">
        <f>P90-P100+IF(P114&gt;0.5,P116,0)</f>
        <v>1010335</v>
      </c>
      <c r="Q102" s="51">
        <f>Q90-Q100+IF(Q114&gt;0.5,Q116,0)</f>
        <v>45876</v>
      </c>
      <c r="R102" s="51">
        <f>R90-R100+IF(R114&gt;0.5,R116,0)</f>
        <v>89389</v>
      </c>
      <c r="S102" s="51">
        <f>S90-S100+IF(S114&gt;0.5,S116,0)</f>
        <v>610080</v>
      </c>
      <c r="T102" s="51">
        <f>T90-T100+IF(T114&gt;0.5,T116,0)</f>
        <v>1101712</v>
      </c>
      <c r="U102" s="51">
        <f>U90-U100+IF(U114&gt;0.5,U116,0)</f>
        <v>972126</v>
      </c>
      <c r="V102" s="51">
        <f>V90-V100+IF(V114&gt;0.5,V116,0)</f>
        <v>27834</v>
      </c>
      <c r="W102" t="s">
        <v>187</v>
      </c>
    </row>
    <row r="103" spans="1:23" s="51" customFormat="1" x14ac:dyDescent="0.25">
      <c r="A103" s="50" t="s">
        <v>257</v>
      </c>
      <c r="B103">
        <v>0</v>
      </c>
      <c r="C103"/>
      <c r="D103"/>
      <c r="E103"/>
      <c r="F103"/>
      <c r="G103"/>
      <c r="H103"/>
      <c r="I103"/>
      <c r="J103"/>
      <c r="K103"/>
      <c r="L103"/>
      <c r="M103"/>
      <c r="N103"/>
      <c r="O103"/>
      <c r="P103"/>
      <c r="Q103"/>
      <c r="R103"/>
      <c r="S103"/>
      <c r="T103"/>
      <c r="U103"/>
      <c r="V103"/>
      <c r="W103" s="51" t="s">
        <v>187</v>
      </c>
    </row>
    <row r="104" spans="1:23" s="51" customFormat="1" x14ac:dyDescent="0.25">
      <c r="A104" s="51" t="s">
        <v>201</v>
      </c>
      <c r="B104"/>
      <c r="C104" s="58">
        <v>0</v>
      </c>
      <c r="D104" s="58">
        <v>0</v>
      </c>
      <c r="E104" s="58">
        <v>0</v>
      </c>
      <c r="F104" s="58">
        <v>0</v>
      </c>
      <c r="G104" s="58">
        <v>0</v>
      </c>
      <c r="H104" s="58">
        <v>0</v>
      </c>
      <c r="I104" s="58">
        <v>0</v>
      </c>
      <c r="J104" s="58">
        <v>0</v>
      </c>
      <c r="K104" s="58">
        <v>0</v>
      </c>
      <c r="L104" s="58">
        <v>0</v>
      </c>
      <c r="M104" s="58">
        <v>0</v>
      </c>
      <c r="N104" s="58">
        <v>0</v>
      </c>
      <c r="O104" s="58">
        <v>0</v>
      </c>
      <c r="P104" s="58">
        <v>0</v>
      </c>
      <c r="Q104" s="58">
        <v>0</v>
      </c>
      <c r="R104" s="58">
        <v>0</v>
      </c>
      <c r="S104" s="58">
        <v>0</v>
      </c>
      <c r="T104" s="58">
        <v>0</v>
      </c>
      <c r="U104" s="58">
        <v>0</v>
      </c>
      <c r="V104" s="58">
        <v>0</v>
      </c>
      <c r="W104" s="51" t="s">
        <v>187</v>
      </c>
    </row>
    <row r="105" spans="1:23" x14ac:dyDescent="0.25">
      <c r="A105" s="11"/>
      <c r="W105" t="s">
        <v>187</v>
      </c>
    </row>
    <row r="106" spans="1:23" x14ac:dyDescent="0.25">
      <c r="A106" s="13"/>
      <c r="W106" t="s">
        <v>187</v>
      </c>
    </row>
    <row r="107" spans="1:23" x14ac:dyDescent="0.25">
      <c r="A107" s="13"/>
      <c r="W107" t="s">
        <v>187</v>
      </c>
    </row>
    <row r="108" spans="1:23" x14ac:dyDescent="0.25">
      <c r="A108" s="13" t="s">
        <v>228</v>
      </c>
      <c r="B108" t="s">
        <v>229</v>
      </c>
      <c r="E108">
        <f>E83/E13</f>
        <v>100</v>
      </c>
      <c r="F108">
        <f>F83/F13</f>
        <v>20</v>
      </c>
      <c r="G108">
        <f>G83/G13</f>
        <v>20</v>
      </c>
      <c r="H108">
        <f>H83/H13</f>
        <v>20</v>
      </c>
      <c r="I108">
        <f>I83/I13</f>
        <v>10</v>
      </c>
      <c r="J108">
        <f>J83/J13</f>
        <v>10</v>
      </c>
      <c r="K108">
        <f>K83/K13</f>
        <v>20</v>
      </c>
      <c r="L108">
        <v>15</v>
      </c>
      <c r="P108">
        <f>P83/P13</f>
        <v>20</v>
      </c>
      <c r="T108">
        <f>T83/T13</f>
        <v>20</v>
      </c>
      <c r="V108">
        <f>V83/V13</f>
        <v>20</v>
      </c>
      <c r="W108" t="s">
        <v>187</v>
      </c>
    </row>
    <row r="109" spans="1:23" x14ac:dyDescent="0.25">
      <c r="A109" s="12"/>
      <c r="W109" t="s">
        <v>187</v>
      </c>
    </row>
    <row r="110" spans="1:23" x14ac:dyDescent="0.25">
      <c r="A110" s="13" t="s">
        <v>258</v>
      </c>
      <c r="B110" t="s">
        <v>263</v>
      </c>
      <c r="C110" s="60"/>
      <c r="D110" s="60"/>
      <c r="E110" s="57">
        <f>E76/(E8/365)</f>
        <v>76.041666666666671</v>
      </c>
      <c r="F110" s="57">
        <f>F76/(F8/365)</f>
        <v>30.416666666666668</v>
      </c>
      <c r="G110" s="57">
        <f>G76/(G8/365)</f>
        <v>10.134833333333335</v>
      </c>
      <c r="H110" s="57">
        <f>H76/(H8/365)</f>
        <v>76.041666666666671</v>
      </c>
      <c r="I110" s="57">
        <f>I76/(I8/365)</f>
        <v>30.416666666666668</v>
      </c>
      <c r="J110" s="57">
        <f>J76/(J8/365)</f>
        <v>10.12875</v>
      </c>
      <c r="K110" s="57">
        <f>K76/(K8/365)</f>
        <v>10.098333333333334</v>
      </c>
      <c r="L110" s="57">
        <f>L76/(L8/365)</f>
        <v>76.041666666666671</v>
      </c>
      <c r="M110" s="57">
        <f>M76/(M8/365)</f>
        <v>0</v>
      </c>
      <c r="N110" s="57">
        <f>N76/(N8/365)</f>
        <v>0</v>
      </c>
      <c r="O110" s="57">
        <f>O76/(O8/365)</f>
        <v>0</v>
      </c>
      <c r="P110" s="57">
        <f>P76/(P8/365)</f>
        <v>0</v>
      </c>
      <c r="Q110" s="57">
        <f>Q76/(Q8/365)</f>
        <v>76.041666666666671</v>
      </c>
      <c r="R110" s="57">
        <f>R76/(R8/365)</f>
        <v>0</v>
      </c>
      <c r="S110" s="57">
        <f>S76/(S8/365)</f>
        <v>0</v>
      </c>
      <c r="T110" s="57">
        <f>T76/(T8/365)</f>
        <v>0</v>
      </c>
      <c r="U110" s="57">
        <f>U76/(U8/365)</f>
        <v>0</v>
      </c>
      <c r="V110" s="57">
        <f>V76/(V8/365)</f>
        <v>0</v>
      </c>
      <c r="W110" t="s">
        <v>187</v>
      </c>
    </row>
    <row r="111" spans="1:23" x14ac:dyDescent="0.25">
      <c r="A111" s="13" t="s">
        <v>259</v>
      </c>
      <c r="B111" t="s">
        <v>264</v>
      </c>
      <c r="C111" s="60"/>
      <c r="D111" s="60"/>
      <c r="E111" s="57">
        <f>E93/(E21/365)</f>
        <v>74.990909090909085</v>
      </c>
      <c r="F111" s="57">
        <f>F93/(F21/365)</f>
        <v>74.997070651904068</v>
      </c>
      <c r="G111" s="57">
        <f>G93/(G21/365)</f>
        <v>9.9975238095238108</v>
      </c>
      <c r="H111" s="57">
        <f>H93/(H21/365)</f>
        <v>74.995927865037814</v>
      </c>
      <c r="I111" s="57">
        <f>I93/(I21/365)</f>
        <v>74.988631488631484</v>
      </c>
      <c r="J111" s="57">
        <f>J93/(J21/365)</f>
        <v>9.9868055555555557</v>
      </c>
      <c r="K111" s="57">
        <f>K93/(K21/365)</f>
        <v>9.9716494845360835</v>
      </c>
      <c r="L111" s="57">
        <f>L93/(L21/365)</f>
        <v>29.993761140819966</v>
      </c>
      <c r="M111" s="57">
        <f>M93/(M21/365)</f>
        <v>29.995310245310247</v>
      </c>
      <c r="N111" s="57">
        <f>N93/(N21/365)</f>
        <v>29.953468697123522</v>
      </c>
      <c r="O111" s="57">
        <f>O93/(O21/365)</f>
        <v>9.995751633986929</v>
      </c>
      <c r="P111" s="57">
        <f>P93/(P21/365)</f>
        <v>74.962365591397855</v>
      </c>
      <c r="Q111" s="57">
        <f>Q93/(Q21/365)</f>
        <v>29.995512820512818</v>
      </c>
      <c r="R111" s="57">
        <f>R93/(R21/365)</f>
        <v>29.971544715447155</v>
      </c>
      <c r="S111" s="57">
        <f>S93/(S21/365)</f>
        <v>74.994894894894898</v>
      </c>
      <c r="T111" s="57">
        <f>T93/(T21/365)</f>
        <v>29.907964239205185</v>
      </c>
      <c r="U111" s="57">
        <f>U93/(U21/365)</f>
        <v>29.998727735368959</v>
      </c>
      <c r="V111" s="57">
        <f>V93/(V21/365)</f>
        <v>29.962058755739946</v>
      </c>
      <c r="W111" t="s">
        <v>187</v>
      </c>
    </row>
    <row r="112" spans="1:23" x14ac:dyDescent="0.25">
      <c r="A112" s="13" t="s">
        <v>260</v>
      </c>
      <c r="B112" t="s">
        <v>265</v>
      </c>
      <c r="E112">
        <f>MAX(SUM(E78:E79),E77)/(E11/365)</f>
        <v>29.999853448275861</v>
      </c>
      <c r="F112">
        <f>MAX(SUM(F78:F79),F77)/(F11/365)</f>
        <v>0</v>
      </c>
      <c r="G112">
        <f>MAX(SUM(G78:G79),G77)/(G11/365)</f>
        <v>30.000005128205132</v>
      </c>
      <c r="H112">
        <f>MAX(SUM(H78:H79),H77)/(H11/365)</f>
        <v>29.999958333333332</v>
      </c>
      <c r="I112">
        <f>MAX(SUM(I78:I79),I77)/(I11/365)</f>
        <v>29.999997329059831</v>
      </c>
      <c r="J112">
        <f>MAX(SUM(J78:J79),J77)/(J11/365)</f>
        <v>29.999958333333332</v>
      </c>
      <c r="K112">
        <f>MAX(SUM(K78:K79),K77)/(K11/365)</f>
        <v>9.9996646341463418</v>
      </c>
      <c r="L112">
        <f>MAX(SUM(L78:L79),L77)/(L11/365)</f>
        <v>74.999960826210824</v>
      </c>
      <c r="M112">
        <f>MAX(SUM(M78:M79),M77)/(M11/365)</f>
        <v>29.999880341880342</v>
      </c>
      <c r="N112">
        <f>MAX(SUM(N78:N79),N77)/(N11/365)</f>
        <v>30.000192307692309</v>
      </c>
      <c r="O112">
        <f>MAX(SUM(O78:O79),O77)/(O11/365)</f>
        <v>29.999880341880342</v>
      </c>
      <c r="P112">
        <f>MAX(SUM(P78:P79),P77)/(P11/365)</f>
        <v>10.000284313725489</v>
      </c>
      <c r="Q112">
        <f>MAX(SUM(Q78:Q79),Q77)/(Q11/365)</f>
        <v>29.999958333333336</v>
      </c>
      <c r="R112">
        <f>MAX(SUM(R78:R79),R77)/(R11/365)</f>
        <v>30.000392857142856</v>
      </c>
      <c r="S112">
        <f>MAX(SUM(S78:S79),S77)/(S11/365)</f>
        <v>29.999958333333332</v>
      </c>
      <c r="T112">
        <f>MAX(SUM(T78:T79),T77)/(T11/365)</f>
        <v>8.000051282051281</v>
      </c>
      <c r="U112">
        <f>MAX(SUM(U78:U79),U77)/(U11/365)</f>
        <v>7.9999411764705881</v>
      </c>
      <c r="V112">
        <f>MAX(SUM(V78:V79),V77)/(V11/365)</f>
        <v>2.0002363184079601</v>
      </c>
      <c r="W112" t="s">
        <v>187</v>
      </c>
    </row>
    <row r="113" spans="1:23" x14ac:dyDescent="0.25">
      <c r="A113" s="13"/>
    </row>
    <row r="114" spans="1:23" x14ac:dyDescent="0.25">
      <c r="A114" s="13" t="s">
        <v>220</v>
      </c>
      <c r="C114">
        <v>0.94510566176748412</v>
      </c>
      <c r="D114">
        <v>0.96381419546897185</v>
      </c>
      <c r="E114">
        <v>0</v>
      </c>
      <c r="F114">
        <v>0.79712378818298735</v>
      </c>
      <c r="G114">
        <v>0</v>
      </c>
      <c r="H114">
        <v>0.80430298946211298</v>
      </c>
      <c r="I114">
        <v>0</v>
      </c>
      <c r="J114">
        <v>0.70285874979925689</v>
      </c>
      <c r="K114">
        <v>0.26419087825413889</v>
      </c>
      <c r="L114">
        <v>0.52648698794424931</v>
      </c>
      <c r="M114">
        <v>0.11858957185452823</v>
      </c>
      <c r="N114">
        <v>0.18687316094744233</v>
      </c>
      <c r="O114">
        <v>0.17155103703452679</v>
      </c>
      <c r="P114">
        <v>0.72348157863711915</v>
      </c>
      <c r="Q114">
        <v>0.84466005541907796</v>
      </c>
      <c r="R114">
        <v>0.79419743086428984</v>
      </c>
      <c r="S114">
        <v>0.7046511440355796</v>
      </c>
      <c r="T114">
        <v>0.2100643262216888</v>
      </c>
      <c r="U114">
        <v>0.44810979455957667</v>
      </c>
      <c r="V114">
        <v>0.71850557068079102</v>
      </c>
    </row>
    <row r="115" spans="1:23" x14ac:dyDescent="0.25">
      <c r="A115" t="s">
        <v>128</v>
      </c>
      <c r="C115" s="58" t="s">
        <v>41</v>
      </c>
      <c r="D115" s="58" t="s">
        <v>47</v>
      </c>
      <c r="E115" t="s">
        <v>43</v>
      </c>
      <c r="F115" t="s">
        <v>44</v>
      </c>
      <c r="G115" t="s">
        <v>136</v>
      </c>
      <c r="H115" t="s">
        <v>39</v>
      </c>
      <c r="I115" t="s">
        <v>39</v>
      </c>
      <c r="J115" t="s">
        <v>40</v>
      </c>
      <c r="K115" t="s">
        <v>41</v>
      </c>
      <c r="L115" t="s">
        <v>42</v>
      </c>
      <c r="M115" t="s">
        <v>39</v>
      </c>
      <c r="N115" t="s">
        <v>43</v>
      </c>
      <c r="O115" t="s">
        <v>44</v>
      </c>
      <c r="P115" t="s">
        <v>45</v>
      </c>
      <c r="Q115" t="s">
        <v>43</v>
      </c>
      <c r="R115" t="s">
        <v>44</v>
      </c>
      <c r="S115" t="s">
        <v>46</v>
      </c>
      <c r="T115" t="s">
        <v>47</v>
      </c>
      <c r="U115" t="s">
        <v>46</v>
      </c>
      <c r="V115" t="s">
        <v>48</v>
      </c>
      <c r="W115" t="s">
        <v>187</v>
      </c>
    </row>
    <row r="116" spans="1:23" x14ac:dyDescent="0.25">
      <c r="C116" s="58">
        <f t="shared" ref="C116:V116" si="19">CODE(C115)-64</f>
        <v>19</v>
      </c>
      <c r="D116" s="58">
        <f t="shared" si="19"/>
        <v>5</v>
      </c>
      <c r="E116">
        <f t="shared" si="19"/>
        <v>1</v>
      </c>
      <c r="F116">
        <f t="shared" si="19"/>
        <v>18</v>
      </c>
      <c r="G116">
        <f t="shared" si="19"/>
        <v>3</v>
      </c>
      <c r="H116">
        <f t="shared" si="19"/>
        <v>8</v>
      </c>
      <c r="I116">
        <f t="shared" si="19"/>
        <v>8</v>
      </c>
      <c r="J116">
        <f t="shared" si="19"/>
        <v>2</v>
      </c>
      <c r="K116">
        <f t="shared" si="19"/>
        <v>19</v>
      </c>
      <c r="L116">
        <f t="shared" si="19"/>
        <v>16</v>
      </c>
      <c r="M116">
        <f t="shared" si="19"/>
        <v>8</v>
      </c>
      <c r="N116">
        <f t="shared" si="19"/>
        <v>1</v>
      </c>
      <c r="O116">
        <f t="shared" si="19"/>
        <v>18</v>
      </c>
      <c r="P116">
        <f t="shared" si="19"/>
        <v>22</v>
      </c>
      <c r="Q116">
        <f t="shared" si="19"/>
        <v>1</v>
      </c>
      <c r="R116">
        <f t="shared" si="19"/>
        <v>18</v>
      </c>
      <c r="S116">
        <f t="shared" si="19"/>
        <v>4</v>
      </c>
      <c r="T116">
        <f t="shared" si="19"/>
        <v>5</v>
      </c>
      <c r="U116">
        <f t="shared" si="19"/>
        <v>4</v>
      </c>
      <c r="V116">
        <f t="shared" si="19"/>
        <v>21</v>
      </c>
      <c r="W116" t="s">
        <v>187</v>
      </c>
    </row>
    <row r="117" spans="1:23" x14ac:dyDescent="0.25">
      <c r="A117" t="s">
        <v>178</v>
      </c>
      <c r="C117" s="58" t="s">
        <v>179</v>
      </c>
      <c r="D117" s="58" t="s">
        <v>43</v>
      </c>
      <c r="E117" t="s">
        <v>180</v>
      </c>
      <c r="F117" t="s">
        <v>47</v>
      </c>
      <c r="G117" t="s">
        <v>41</v>
      </c>
      <c r="H117" t="s">
        <v>181</v>
      </c>
      <c r="I117" t="s">
        <v>182</v>
      </c>
      <c r="J117" t="s">
        <v>44</v>
      </c>
      <c r="K117" t="s">
        <v>183</v>
      </c>
      <c r="L117" t="s">
        <v>43</v>
      </c>
      <c r="M117" t="s">
        <v>44</v>
      </c>
      <c r="N117" t="s">
        <v>47</v>
      </c>
      <c r="O117" t="s">
        <v>46</v>
      </c>
      <c r="P117" t="s">
        <v>39</v>
      </c>
      <c r="Q117" t="s">
        <v>47</v>
      </c>
      <c r="R117" t="s">
        <v>44</v>
      </c>
      <c r="S117" t="s">
        <v>44</v>
      </c>
      <c r="T117" t="s">
        <v>184</v>
      </c>
      <c r="U117" t="s">
        <v>185</v>
      </c>
      <c r="V117" t="s">
        <v>186</v>
      </c>
      <c r="W117" t="s">
        <v>187</v>
      </c>
    </row>
    <row r="118" spans="1:23" x14ac:dyDescent="0.25">
      <c r="C118" s="58">
        <f t="shared" ref="C118:V118" si="20">CODE(C117)-64</f>
        <v>20</v>
      </c>
      <c r="D118" s="58">
        <f t="shared" si="20"/>
        <v>1</v>
      </c>
      <c r="E118">
        <f t="shared" si="20"/>
        <v>24</v>
      </c>
      <c r="F118">
        <f t="shared" si="20"/>
        <v>5</v>
      </c>
      <c r="G118">
        <f t="shared" si="20"/>
        <v>19</v>
      </c>
      <c r="H118">
        <f t="shared" si="20"/>
        <v>6</v>
      </c>
      <c r="I118">
        <f t="shared" si="20"/>
        <v>15</v>
      </c>
      <c r="J118">
        <f t="shared" si="20"/>
        <v>18</v>
      </c>
      <c r="K118">
        <f t="shared" si="20"/>
        <v>13</v>
      </c>
      <c r="L118">
        <f t="shared" si="20"/>
        <v>1</v>
      </c>
      <c r="M118">
        <f t="shared" si="20"/>
        <v>18</v>
      </c>
      <c r="N118">
        <f t="shared" si="20"/>
        <v>5</v>
      </c>
      <c r="O118">
        <f t="shared" si="20"/>
        <v>4</v>
      </c>
      <c r="P118">
        <f t="shared" si="20"/>
        <v>8</v>
      </c>
      <c r="Q118">
        <f t="shared" si="20"/>
        <v>5</v>
      </c>
      <c r="R118">
        <f t="shared" si="20"/>
        <v>18</v>
      </c>
      <c r="S118">
        <f t="shared" si="20"/>
        <v>18</v>
      </c>
      <c r="T118">
        <f t="shared" si="20"/>
        <v>9</v>
      </c>
      <c r="U118">
        <f t="shared" si="20"/>
        <v>14</v>
      </c>
      <c r="V118">
        <f t="shared" si="20"/>
        <v>7</v>
      </c>
      <c r="W118" t="s">
        <v>187</v>
      </c>
    </row>
    <row r="119" spans="1:23" s="1" customFormat="1" x14ac:dyDescent="0.25">
      <c r="A119" s="1" t="s">
        <v>129</v>
      </c>
      <c r="C119" s="63">
        <v>1</v>
      </c>
      <c r="D119" s="63">
        <v>2</v>
      </c>
      <c r="E119" s="1">
        <v>3</v>
      </c>
      <c r="F119" s="1">
        <v>4</v>
      </c>
      <c r="G119" s="1">
        <v>5</v>
      </c>
      <c r="H119" s="1">
        <v>6</v>
      </c>
      <c r="I119" s="1">
        <v>7</v>
      </c>
      <c r="J119" s="1">
        <v>8</v>
      </c>
      <c r="K119" s="1">
        <v>9</v>
      </c>
      <c r="L119" s="1">
        <v>10</v>
      </c>
      <c r="M119" s="1">
        <v>11</v>
      </c>
      <c r="N119" s="1">
        <v>12</v>
      </c>
      <c r="O119" s="1">
        <v>13</v>
      </c>
      <c r="P119" s="1">
        <v>14</v>
      </c>
      <c r="Q119" s="1">
        <f>P119+1</f>
        <v>15</v>
      </c>
      <c r="R119" s="1">
        <f t="shared" ref="R119:V119" si="21">Q119+1</f>
        <v>16</v>
      </c>
      <c r="S119" s="1">
        <f t="shared" si="21"/>
        <v>17</v>
      </c>
      <c r="T119" s="1">
        <f t="shared" si="21"/>
        <v>18</v>
      </c>
      <c r="U119" s="1">
        <f t="shared" si="21"/>
        <v>19</v>
      </c>
      <c r="V119" s="1">
        <f t="shared" si="21"/>
        <v>20</v>
      </c>
      <c r="W119" s="1" t="s">
        <v>187</v>
      </c>
    </row>
    <row r="120" spans="1:23" s="1" customFormat="1" x14ac:dyDescent="0.25">
      <c r="C120" s="63"/>
      <c r="D120" s="63"/>
    </row>
    <row r="121" spans="1:23" x14ac:dyDescent="0.25">
      <c r="W121" t="s">
        <v>187</v>
      </c>
    </row>
    <row r="122" spans="1:23" x14ac:dyDescent="0.25">
      <c r="A122" t="s">
        <v>134</v>
      </c>
      <c r="C122" s="58">
        <v>1</v>
      </c>
      <c r="W122" t="s">
        <v>187</v>
      </c>
    </row>
    <row r="123" spans="1:23" x14ac:dyDescent="0.25">
      <c r="A123" t="s">
        <v>135</v>
      </c>
      <c r="D123" s="58">
        <v>1</v>
      </c>
      <c r="W123" t="s">
        <v>187</v>
      </c>
    </row>
    <row r="124" spans="1:23" x14ac:dyDescent="0.25">
      <c r="A124" t="s">
        <v>156</v>
      </c>
      <c r="C124" s="58" t="s">
        <v>155</v>
      </c>
      <c r="D124" s="58" t="s">
        <v>154</v>
      </c>
      <c r="E124" t="s">
        <v>155</v>
      </c>
      <c r="F124" t="s">
        <v>155</v>
      </c>
      <c r="G124" t="s">
        <v>155</v>
      </c>
      <c r="H124" t="s">
        <v>155</v>
      </c>
      <c r="I124" t="s">
        <v>154</v>
      </c>
      <c r="J124" t="s">
        <v>155</v>
      </c>
      <c r="K124" t="s">
        <v>154</v>
      </c>
      <c r="L124" t="s">
        <v>155</v>
      </c>
      <c r="M124" t="s">
        <v>155</v>
      </c>
      <c r="N124" t="s">
        <v>154</v>
      </c>
      <c r="O124" t="s">
        <v>154</v>
      </c>
      <c r="P124" t="s">
        <v>154</v>
      </c>
      <c r="Q124" t="s">
        <v>154</v>
      </c>
      <c r="R124" t="s">
        <v>154</v>
      </c>
      <c r="S124" t="s">
        <v>154</v>
      </c>
      <c r="T124" t="s">
        <v>155</v>
      </c>
      <c r="U124" t="s">
        <v>155</v>
      </c>
      <c r="V124" t="s">
        <v>154</v>
      </c>
      <c r="W124" t="s">
        <v>187</v>
      </c>
    </row>
    <row r="125" spans="1:23" x14ac:dyDescent="0.25">
      <c r="A125" t="s">
        <v>130</v>
      </c>
      <c r="C125" s="58">
        <v>10</v>
      </c>
      <c r="D125" s="58">
        <v>10</v>
      </c>
      <c r="E125">
        <v>5</v>
      </c>
      <c r="F125">
        <v>5</v>
      </c>
      <c r="G125">
        <v>5</v>
      </c>
      <c r="H125">
        <v>3</v>
      </c>
      <c r="I125">
        <v>4</v>
      </c>
      <c r="J125">
        <v>4</v>
      </c>
      <c r="K125">
        <v>1</v>
      </c>
      <c r="L125">
        <v>3</v>
      </c>
      <c r="M125">
        <v>3</v>
      </c>
      <c r="N125">
        <v>1</v>
      </c>
      <c r="O125">
        <v>3</v>
      </c>
      <c r="P125">
        <v>1</v>
      </c>
      <c r="Q125">
        <v>3</v>
      </c>
      <c r="R125">
        <v>1</v>
      </c>
      <c r="S125">
        <v>3</v>
      </c>
      <c r="T125">
        <v>2</v>
      </c>
      <c r="U125">
        <v>4</v>
      </c>
      <c r="V125">
        <v>1</v>
      </c>
      <c r="W125" t="s">
        <v>187</v>
      </c>
    </row>
    <row r="126" spans="1:23" x14ac:dyDescent="0.25">
      <c r="A126" t="s">
        <v>202</v>
      </c>
      <c r="M126">
        <v>1</v>
      </c>
      <c r="N126">
        <v>1</v>
      </c>
      <c r="O126">
        <v>1</v>
      </c>
      <c r="P126">
        <v>1</v>
      </c>
      <c r="Q126">
        <v>1</v>
      </c>
      <c r="R126">
        <v>1</v>
      </c>
      <c r="S126">
        <v>1</v>
      </c>
      <c r="T126">
        <v>1</v>
      </c>
      <c r="U126">
        <v>1</v>
      </c>
      <c r="V126">
        <v>1</v>
      </c>
    </row>
    <row r="127" spans="1:23" x14ac:dyDescent="0.25">
      <c r="A127" t="s">
        <v>132</v>
      </c>
      <c r="E127">
        <v>2</v>
      </c>
      <c r="G127">
        <v>2</v>
      </c>
      <c r="H127">
        <v>2</v>
      </c>
      <c r="I127">
        <v>2</v>
      </c>
      <c r="J127">
        <v>2</v>
      </c>
      <c r="K127">
        <v>2</v>
      </c>
      <c r="W127" t="s">
        <v>187</v>
      </c>
    </row>
    <row r="128" spans="1:23" x14ac:dyDescent="0.25">
      <c r="A128" t="s">
        <v>49</v>
      </c>
      <c r="F128" t="s">
        <v>154</v>
      </c>
      <c r="I128" t="s">
        <v>154</v>
      </c>
      <c r="J128" t="s">
        <v>275</v>
      </c>
      <c r="K128" t="s">
        <v>275</v>
      </c>
      <c r="L128" t="s">
        <v>154</v>
      </c>
      <c r="M128" t="s">
        <v>275</v>
      </c>
      <c r="N128">
        <v>1</v>
      </c>
      <c r="O128" t="s">
        <v>275</v>
      </c>
      <c r="S128">
        <v>1</v>
      </c>
      <c r="W128" t="s">
        <v>187</v>
      </c>
    </row>
    <row r="129" spans="1:23" x14ac:dyDescent="0.25">
      <c r="A129" t="s">
        <v>167</v>
      </c>
      <c r="E129" t="s">
        <v>171</v>
      </c>
      <c r="F129" t="s">
        <v>174</v>
      </c>
      <c r="G129" t="s">
        <v>170</v>
      </c>
      <c r="H129" t="s">
        <v>171</v>
      </c>
      <c r="I129" t="s">
        <v>174</v>
      </c>
      <c r="J129" t="s">
        <v>170</v>
      </c>
      <c r="K129" t="s">
        <v>170</v>
      </c>
      <c r="L129" t="s">
        <v>171</v>
      </c>
      <c r="M129">
        <v>0</v>
      </c>
      <c r="N129">
        <v>0</v>
      </c>
      <c r="O129">
        <v>0</v>
      </c>
      <c r="P129">
        <v>0</v>
      </c>
      <c r="Q129" t="s">
        <v>171</v>
      </c>
      <c r="R129">
        <v>0</v>
      </c>
      <c r="S129">
        <v>0</v>
      </c>
      <c r="T129">
        <v>0</v>
      </c>
      <c r="U129">
        <v>0</v>
      </c>
      <c r="V129">
        <v>0</v>
      </c>
      <c r="W129" t="s">
        <v>187</v>
      </c>
    </row>
    <row r="130" spans="1:23" x14ac:dyDescent="0.25">
      <c r="A130" t="s">
        <v>168</v>
      </c>
      <c r="E130" t="s">
        <v>154</v>
      </c>
      <c r="F130" t="s">
        <v>154</v>
      </c>
      <c r="G130" t="s">
        <v>155</v>
      </c>
      <c r="H130" t="s">
        <v>171</v>
      </c>
      <c r="I130" t="s">
        <v>171</v>
      </c>
      <c r="J130" t="s">
        <v>170</v>
      </c>
      <c r="K130" t="s">
        <v>170</v>
      </c>
      <c r="L130" t="s">
        <v>275</v>
      </c>
      <c r="N130" t="s">
        <v>275</v>
      </c>
      <c r="O130" t="s">
        <v>170</v>
      </c>
      <c r="P130" t="s">
        <v>154</v>
      </c>
      <c r="S130" t="s">
        <v>154</v>
      </c>
      <c r="W130" t="s">
        <v>187</v>
      </c>
    </row>
    <row r="131" spans="1:23" x14ac:dyDescent="0.25">
      <c r="A131" t="s">
        <v>169</v>
      </c>
      <c r="K131" t="s">
        <v>155</v>
      </c>
      <c r="L131" t="s">
        <v>154</v>
      </c>
      <c r="P131" t="s">
        <v>155</v>
      </c>
      <c r="T131" t="s">
        <v>155</v>
      </c>
      <c r="W131" t="s">
        <v>187</v>
      </c>
    </row>
    <row r="132" spans="1:23" x14ac:dyDescent="0.25">
      <c r="A132" t="s">
        <v>152</v>
      </c>
      <c r="E132" t="s">
        <v>154</v>
      </c>
      <c r="F132" t="s">
        <v>154</v>
      </c>
      <c r="G132" t="s">
        <v>154</v>
      </c>
      <c r="H132" t="s">
        <v>155</v>
      </c>
      <c r="J132" t="s">
        <v>154</v>
      </c>
      <c r="M132" t="s">
        <v>154</v>
      </c>
      <c r="O132" t="s">
        <v>154</v>
      </c>
      <c r="P132" t="s">
        <v>155</v>
      </c>
      <c r="Q132" t="s">
        <v>154</v>
      </c>
      <c r="R132" t="s">
        <v>154</v>
      </c>
      <c r="S132" t="s">
        <v>155</v>
      </c>
      <c r="T132" t="s">
        <v>154</v>
      </c>
      <c r="U132" t="s">
        <v>155</v>
      </c>
      <c r="V132" t="s">
        <v>154</v>
      </c>
      <c r="W132" t="s">
        <v>187</v>
      </c>
    </row>
    <row r="133" spans="1:23" x14ac:dyDescent="0.25">
      <c r="A133" t="s">
        <v>160</v>
      </c>
      <c r="F133" t="s">
        <v>155</v>
      </c>
      <c r="G133" t="s">
        <v>154</v>
      </c>
      <c r="H133" t="s">
        <v>155</v>
      </c>
      <c r="J133" t="s">
        <v>154</v>
      </c>
      <c r="O133" t="s">
        <v>154</v>
      </c>
      <c r="P133" t="s">
        <v>154</v>
      </c>
      <c r="T133" t="s">
        <v>154</v>
      </c>
      <c r="W133" t="s">
        <v>187</v>
      </c>
    </row>
    <row r="134" spans="1:23" x14ac:dyDescent="0.25">
      <c r="A134" t="s">
        <v>153</v>
      </c>
      <c r="F134" t="s">
        <v>155</v>
      </c>
      <c r="G134" t="s">
        <v>154</v>
      </c>
      <c r="H134" t="s">
        <v>155</v>
      </c>
      <c r="J134" t="s">
        <v>155</v>
      </c>
      <c r="O134" t="s">
        <v>154</v>
      </c>
      <c r="P134" t="s">
        <v>154</v>
      </c>
      <c r="T134" t="s">
        <v>154</v>
      </c>
      <c r="W134" t="s">
        <v>187</v>
      </c>
    </row>
    <row r="135" spans="1:23" x14ac:dyDescent="0.25">
      <c r="A135" t="s">
        <v>165</v>
      </c>
      <c r="G135" t="s">
        <v>166</v>
      </c>
      <c r="I135" t="s">
        <v>166</v>
      </c>
      <c r="J135" t="s">
        <v>275</v>
      </c>
      <c r="K135" t="s">
        <v>275</v>
      </c>
      <c r="L135" t="s">
        <v>275</v>
      </c>
      <c r="M135" t="s">
        <v>275</v>
      </c>
      <c r="N135" t="s">
        <v>275</v>
      </c>
      <c r="O135" t="s">
        <v>275</v>
      </c>
      <c r="P135" t="s">
        <v>275</v>
      </c>
      <c r="W135" t="s">
        <v>187</v>
      </c>
    </row>
    <row r="136" spans="1:23" x14ac:dyDescent="0.25">
      <c r="A136" t="s">
        <v>3</v>
      </c>
      <c r="E136">
        <v>1</v>
      </c>
      <c r="I136" t="s">
        <v>275</v>
      </c>
      <c r="J136" t="s">
        <v>275</v>
      </c>
      <c r="K136" t="s">
        <v>275</v>
      </c>
      <c r="L136" t="s">
        <v>275</v>
      </c>
      <c r="M136">
        <v>1</v>
      </c>
      <c r="N136" t="s">
        <v>275</v>
      </c>
      <c r="O136" t="s">
        <v>275</v>
      </c>
      <c r="P136" t="s">
        <v>275</v>
      </c>
      <c r="U136">
        <v>1</v>
      </c>
      <c r="W136" t="s">
        <v>187</v>
      </c>
    </row>
    <row r="137" spans="1:23" x14ac:dyDescent="0.25">
      <c r="A137" t="s">
        <v>50</v>
      </c>
      <c r="I137" t="s">
        <v>275</v>
      </c>
      <c r="J137" t="s">
        <v>275</v>
      </c>
      <c r="K137" t="s">
        <v>275</v>
      </c>
      <c r="L137" t="s">
        <v>275</v>
      </c>
      <c r="M137" t="s">
        <v>275</v>
      </c>
      <c r="N137">
        <v>1</v>
      </c>
      <c r="O137" t="s">
        <v>275</v>
      </c>
      <c r="P137" t="s">
        <v>275</v>
      </c>
      <c r="U137">
        <v>1</v>
      </c>
      <c r="W137" t="s">
        <v>187</v>
      </c>
    </row>
    <row r="138" spans="1:23" x14ac:dyDescent="0.25">
      <c r="A138" t="s">
        <v>4</v>
      </c>
      <c r="F138">
        <v>1</v>
      </c>
      <c r="H138">
        <v>1</v>
      </c>
      <c r="I138" t="s">
        <v>275</v>
      </c>
      <c r="J138" t="s">
        <v>275</v>
      </c>
      <c r="K138" t="s">
        <v>275</v>
      </c>
      <c r="L138" t="s">
        <v>275</v>
      </c>
      <c r="M138">
        <v>1</v>
      </c>
      <c r="N138" t="s">
        <v>275</v>
      </c>
      <c r="O138" t="s">
        <v>275</v>
      </c>
      <c r="P138" t="s">
        <v>275</v>
      </c>
      <c r="W138" t="s">
        <v>187</v>
      </c>
    </row>
    <row r="139" spans="1:23" x14ac:dyDescent="0.25">
      <c r="A139" t="s">
        <v>211</v>
      </c>
      <c r="I139" t="s">
        <v>275</v>
      </c>
      <c r="J139" t="s">
        <v>275</v>
      </c>
      <c r="K139" t="s">
        <v>275</v>
      </c>
      <c r="L139" t="s">
        <v>275</v>
      </c>
      <c r="M139">
        <v>1</v>
      </c>
      <c r="N139" t="s">
        <v>275</v>
      </c>
      <c r="O139" t="s">
        <v>275</v>
      </c>
      <c r="P139" t="s">
        <v>275</v>
      </c>
      <c r="R139">
        <v>1</v>
      </c>
      <c r="W139" t="s">
        <v>187</v>
      </c>
    </row>
    <row r="140" spans="1:23" x14ac:dyDescent="0.25">
      <c r="A140" t="s">
        <v>212</v>
      </c>
      <c r="I140" t="s">
        <v>275</v>
      </c>
      <c r="J140" t="s">
        <v>275</v>
      </c>
      <c r="K140" t="s">
        <v>275</v>
      </c>
      <c r="L140" t="s">
        <v>275</v>
      </c>
      <c r="M140" t="s">
        <v>275</v>
      </c>
      <c r="N140">
        <v>1</v>
      </c>
      <c r="O140" t="s">
        <v>275</v>
      </c>
      <c r="P140" t="s">
        <v>275</v>
      </c>
      <c r="Q140">
        <v>1</v>
      </c>
      <c r="W140" t="s">
        <v>187</v>
      </c>
    </row>
    <row r="141" spans="1:23" x14ac:dyDescent="0.25">
      <c r="A141" t="s">
        <v>51</v>
      </c>
      <c r="I141" t="s">
        <v>275</v>
      </c>
      <c r="J141" t="s">
        <v>275</v>
      </c>
      <c r="K141" t="s">
        <v>275</v>
      </c>
      <c r="L141" t="s">
        <v>275</v>
      </c>
      <c r="M141" t="s">
        <v>275</v>
      </c>
      <c r="N141" t="s">
        <v>275</v>
      </c>
      <c r="O141" t="s">
        <v>275</v>
      </c>
      <c r="P141" t="s">
        <v>275</v>
      </c>
      <c r="W141" t="s">
        <v>187</v>
      </c>
    </row>
    <row r="142" spans="1:23" x14ac:dyDescent="0.25">
      <c r="A142" t="s">
        <v>188</v>
      </c>
      <c r="C142" s="58" t="s">
        <v>155</v>
      </c>
      <c r="D142" s="58" t="s">
        <v>155</v>
      </c>
      <c r="E142" t="s">
        <v>154</v>
      </c>
      <c r="F142" t="s">
        <v>154</v>
      </c>
      <c r="G142" t="s">
        <v>154</v>
      </c>
      <c r="H142" t="s">
        <v>154</v>
      </c>
      <c r="I142" t="s">
        <v>154</v>
      </c>
      <c r="J142" t="s">
        <v>275</v>
      </c>
      <c r="K142" t="s">
        <v>275</v>
      </c>
      <c r="L142" t="s">
        <v>275</v>
      </c>
      <c r="M142" t="s">
        <v>275</v>
      </c>
      <c r="N142" t="s">
        <v>275</v>
      </c>
      <c r="O142" t="s">
        <v>275</v>
      </c>
      <c r="P142" t="s">
        <v>275</v>
      </c>
      <c r="W142" t="s">
        <v>187</v>
      </c>
    </row>
    <row r="143" spans="1:23" x14ac:dyDescent="0.25">
      <c r="A143" t="s">
        <v>172</v>
      </c>
      <c r="I143" t="s">
        <v>154</v>
      </c>
      <c r="J143" t="s">
        <v>275</v>
      </c>
      <c r="K143" t="s">
        <v>275</v>
      </c>
      <c r="L143" t="s">
        <v>275</v>
      </c>
      <c r="M143" t="s">
        <v>275</v>
      </c>
      <c r="N143">
        <v>1</v>
      </c>
      <c r="O143">
        <v>1</v>
      </c>
      <c r="P143" t="s">
        <v>275</v>
      </c>
      <c r="Q143">
        <v>1</v>
      </c>
      <c r="W143" t="s">
        <v>187</v>
      </c>
    </row>
    <row r="144" spans="1:23" x14ac:dyDescent="0.25">
      <c r="A144" t="s">
        <v>173</v>
      </c>
      <c r="J144" t="s">
        <v>154</v>
      </c>
      <c r="U144">
        <v>1</v>
      </c>
      <c r="W144" t="s">
        <v>187</v>
      </c>
    </row>
    <row r="145" spans="1:23" x14ac:dyDescent="0.25">
      <c r="A145" t="s">
        <v>161</v>
      </c>
      <c r="C145" s="58" t="s">
        <v>155</v>
      </c>
      <c r="D145" s="58" t="s">
        <v>154</v>
      </c>
      <c r="E145" t="s">
        <v>155</v>
      </c>
      <c r="F145" t="s">
        <v>154</v>
      </c>
      <c r="H145" t="s">
        <v>155</v>
      </c>
      <c r="P145" t="s">
        <v>155</v>
      </c>
      <c r="V145" t="s">
        <v>154</v>
      </c>
      <c r="W145" t="s">
        <v>187</v>
      </c>
    </row>
    <row r="146" spans="1:23" x14ac:dyDescent="0.25">
      <c r="A146" t="s">
        <v>144</v>
      </c>
      <c r="C146" s="58" t="s">
        <v>155</v>
      </c>
      <c r="D146" s="58" t="s">
        <v>155</v>
      </c>
      <c r="E146" t="s">
        <v>157</v>
      </c>
      <c r="I146" t="s">
        <v>227</v>
      </c>
      <c r="J146" t="s">
        <v>227</v>
      </c>
      <c r="W146" t="s">
        <v>187</v>
      </c>
    </row>
    <row r="147" spans="1:23" x14ac:dyDescent="0.25">
      <c r="A147" t="s">
        <v>131</v>
      </c>
      <c r="C147" s="58" t="s">
        <v>155</v>
      </c>
      <c r="D147" s="58" t="s">
        <v>154</v>
      </c>
      <c r="M147">
        <v>1</v>
      </c>
      <c r="N147">
        <v>1</v>
      </c>
      <c r="O147">
        <v>1</v>
      </c>
      <c r="P147">
        <v>0</v>
      </c>
      <c r="Q147">
        <v>1</v>
      </c>
      <c r="R147">
        <v>1</v>
      </c>
      <c r="S147">
        <v>1</v>
      </c>
      <c r="U147">
        <v>1</v>
      </c>
      <c r="W147" t="s">
        <v>187</v>
      </c>
    </row>
    <row r="148" spans="1:23" x14ac:dyDescent="0.25">
      <c r="A148" t="s">
        <v>133</v>
      </c>
      <c r="E148">
        <v>1</v>
      </c>
      <c r="F148">
        <v>1</v>
      </c>
      <c r="M148">
        <v>1</v>
      </c>
      <c r="Q148">
        <v>1</v>
      </c>
      <c r="R148">
        <v>1</v>
      </c>
      <c r="V148">
        <v>1</v>
      </c>
      <c r="W148" t="s">
        <v>187</v>
      </c>
    </row>
    <row r="149" spans="1:23" x14ac:dyDescent="0.25">
      <c r="A149" t="s">
        <v>18</v>
      </c>
    </row>
    <row r="150" spans="1:23" ht="15.75" thickBot="1" x14ac:dyDescent="0.3">
      <c r="W150" t="s">
        <v>187</v>
      </c>
    </row>
    <row r="151" spans="1:23" x14ac:dyDescent="0.25">
      <c r="A151" s="42" t="s">
        <v>149</v>
      </c>
      <c r="B151" s="43">
        <v>614050</v>
      </c>
      <c r="W151" t="s">
        <v>187</v>
      </c>
    </row>
    <row r="152" spans="1:23" x14ac:dyDescent="0.25">
      <c r="A152" s="44"/>
      <c r="B152" s="45"/>
      <c r="W152" t="s">
        <v>187</v>
      </c>
    </row>
    <row r="153" spans="1:23" x14ac:dyDescent="0.25">
      <c r="A153" s="44" t="s">
        <v>148</v>
      </c>
      <c r="B153" s="45">
        <f>B151</f>
        <v>614050</v>
      </c>
      <c r="W153" t="s">
        <v>187</v>
      </c>
    </row>
    <row r="154" spans="1:23" x14ac:dyDescent="0.25">
      <c r="A154" s="44" t="s">
        <v>147</v>
      </c>
      <c r="B154" s="45">
        <f>1000*TRUNC(B155/3000)</f>
        <v>2046000</v>
      </c>
      <c r="W154" t="s">
        <v>187</v>
      </c>
    </row>
    <row r="155" spans="1:23" x14ac:dyDescent="0.25">
      <c r="A155" s="44" t="s">
        <v>146</v>
      </c>
      <c r="B155" s="45">
        <f>10000*TRUNC(B153/1000)</f>
        <v>6140000</v>
      </c>
      <c r="W155" t="s">
        <v>187</v>
      </c>
    </row>
    <row r="156" spans="1:23" x14ac:dyDescent="0.25">
      <c r="A156" s="44"/>
      <c r="B156" s="45"/>
      <c r="W156" t="s">
        <v>187</v>
      </c>
    </row>
    <row r="157" spans="1:23" x14ac:dyDescent="0.25">
      <c r="A157" s="44" t="s">
        <v>138</v>
      </c>
      <c r="B157" s="45">
        <v>0.22</v>
      </c>
      <c r="W157" t="s">
        <v>187</v>
      </c>
    </row>
    <row r="158" spans="1:23" x14ac:dyDescent="0.25">
      <c r="A158" s="44" t="s">
        <v>137</v>
      </c>
      <c r="B158" s="45">
        <v>0.35</v>
      </c>
      <c r="W158" t="s">
        <v>187</v>
      </c>
    </row>
    <row r="159" spans="1:23" x14ac:dyDescent="0.25">
      <c r="A159" s="44" t="s">
        <v>139</v>
      </c>
      <c r="B159" s="45">
        <v>0.125</v>
      </c>
      <c r="W159" t="s">
        <v>187</v>
      </c>
    </row>
    <row r="160" spans="1:23" x14ac:dyDescent="0.25">
      <c r="A160" s="44"/>
      <c r="B160" s="45"/>
      <c r="W160" t="s">
        <v>187</v>
      </c>
    </row>
    <row r="161" spans="1:23" x14ac:dyDescent="0.25">
      <c r="A161" s="44" t="s">
        <v>140</v>
      </c>
      <c r="B161" s="45">
        <v>30</v>
      </c>
      <c r="W161" t="s">
        <v>187</v>
      </c>
    </row>
    <row r="162" spans="1:23" x14ac:dyDescent="0.25">
      <c r="A162" s="44" t="s">
        <v>141</v>
      </c>
      <c r="B162" s="45">
        <v>75</v>
      </c>
      <c r="W162" t="s">
        <v>187</v>
      </c>
    </row>
    <row r="163" spans="1:23" x14ac:dyDescent="0.25">
      <c r="A163" s="44" t="s">
        <v>142</v>
      </c>
      <c r="B163" s="45">
        <v>10</v>
      </c>
      <c r="W163" t="s">
        <v>187</v>
      </c>
    </row>
    <row r="164" spans="1:23" x14ac:dyDescent="0.25">
      <c r="A164" s="44" t="s">
        <v>189</v>
      </c>
      <c r="B164" s="45">
        <v>10</v>
      </c>
    </row>
    <row r="165" spans="1:23" x14ac:dyDescent="0.25">
      <c r="A165" s="44" t="s">
        <v>190</v>
      </c>
      <c r="B165" s="45">
        <v>75</v>
      </c>
    </row>
    <row r="166" spans="1:23" x14ac:dyDescent="0.25">
      <c r="A166" s="44"/>
      <c r="B166" s="45"/>
      <c r="W166" t="s">
        <v>187</v>
      </c>
    </row>
    <row r="167" spans="1:23" x14ac:dyDescent="0.25">
      <c r="A167" s="44" t="s">
        <v>143</v>
      </c>
      <c r="B167" s="45">
        <f>B151</f>
        <v>614050</v>
      </c>
      <c r="W167" t="s">
        <v>187</v>
      </c>
    </row>
    <row r="168" spans="1:23" x14ac:dyDescent="0.25">
      <c r="A168" s="44"/>
      <c r="B168" s="45"/>
    </row>
    <row r="169" spans="1:23" x14ac:dyDescent="0.25">
      <c r="A169" s="44" t="s">
        <v>191</v>
      </c>
      <c r="B169" s="49">
        <v>0.05</v>
      </c>
    </row>
    <row r="170" spans="1:23" x14ac:dyDescent="0.25">
      <c r="A170" s="44" t="s">
        <v>192</v>
      </c>
      <c r="B170" s="48">
        <v>5.0000000000000001E-3</v>
      </c>
    </row>
    <row r="171" spans="1:23" x14ac:dyDescent="0.25">
      <c r="A171" s="44"/>
      <c r="B171" s="45"/>
      <c r="W171" t="s">
        <v>187</v>
      </c>
    </row>
    <row r="172" spans="1:23" x14ac:dyDescent="0.25">
      <c r="A172" s="44" t="s">
        <v>150</v>
      </c>
      <c r="B172" s="45">
        <v>0.1</v>
      </c>
      <c r="W172" t="s">
        <v>187</v>
      </c>
    </row>
    <row r="173" spans="1:23" x14ac:dyDescent="0.25">
      <c r="A173" s="44" t="s">
        <v>151</v>
      </c>
      <c r="B173" s="45">
        <v>2.5</v>
      </c>
      <c r="W173" t="s">
        <v>187</v>
      </c>
    </row>
    <row r="174" spans="1:23" x14ac:dyDescent="0.25">
      <c r="A174" s="44"/>
      <c r="B174" s="45"/>
      <c r="W174" t="s">
        <v>187</v>
      </c>
    </row>
    <row r="175" spans="1:23" x14ac:dyDescent="0.25">
      <c r="A175" s="44" t="s">
        <v>158</v>
      </c>
      <c r="B175" s="45">
        <v>0.01</v>
      </c>
    </row>
    <row r="176" spans="1:23" x14ac:dyDescent="0.25">
      <c r="A176" s="44" t="s">
        <v>145</v>
      </c>
      <c r="B176" s="45">
        <v>0.05</v>
      </c>
    </row>
    <row r="177" spans="1:2" ht="15.75" thickBot="1" x14ac:dyDescent="0.3">
      <c r="A177" s="46" t="s">
        <v>159</v>
      </c>
      <c r="B177" s="47">
        <v>0.1</v>
      </c>
    </row>
    <row r="179" spans="1:2" x14ac:dyDescent="0.25">
      <c r="A179" t="s">
        <v>162</v>
      </c>
      <c r="B179">
        <v>0.1</v>
      </c>
    </row>
    <row r="180" spans="1:2" x14ac:dyDescent="0.25">
      <c r="A180" t="s">
        <v>163</v>
      </c>
      <c r="B180">
        <v>0.25</v>
      </c>
    </row>
    <row r="181" spans="1:2" x14ac:dyDescent="0.25">
      <c r="A181" t="s">
        <v>164</v>
      </c>
      <c r="B181">
        <v>0.03</v>
      </c>
    </row>
    <row r="183" spans="1:2" x14ac:dyDescent="0.25">
      <c r="A183" t="s">
        <v>175</v>
      </c>
      <c r="B183">
        <v>0.06</v>
      </c>
    </row>
    <row r="184" spans="1:2" x14ac:dyDescent="0.25">
      <c r="A184" t="s">
        <v>176</v>
      </c>
      <c r="B184">
        <v>0.02</v>
      </c>
    </row>
    <row r="185" spans="1:2" x14ac:dyDescent="0.25">
      <c r="A185" t="s">
        <v>177</v>
      </c>
      <c r="B185">
        <v>0.11</v>
      </c>
    </row>
    <row r="187" spans="1:2" x14ac:dyDescent="0.25">
      <c r="A187" t="s">
        <v>195</v>
      </c>
      <c r="B187">
        <v>0.03</v>
      </c>
    </row>
  </sheetData>
  <pageMargins left="0.7" right="0.7" top="0.75" bottom="0.75" header="0.3" footer="0.3"/>
  <pageSetup orientation="portrait" horizontalDpi="4294967293"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19"/>
  <sheetViews>
    <sheetView tabSelected="1" zoomScale="70" zoomScaleNormal="70" workbookViewId="0">
      <pane xSplit="1" topLeftCell="B1" activePane="topRight" state="frozen"/>
      <selection pane="topRight" activeCell="N13" sqref="N13"/>
    </sheetView>
  </sheetViews>
  <sheetFormatPr defaultRowHeight="15" x14ac:dyDescent="0.25"/>
  <cols>
    <col min="1" max="1" width="40.5703125" customWidth="1"/>
    <col min="4" max="4" width="38.28515625" customWidth="1"/>
    <col min="6" max="6" width="13.140625" customWidth="1"/>
    <col min="8" max="8" width="9.28515625" customWidth="1"/>
    <col min="10" max="10" width="16" customWidth="1"/>
    <col min="12" max="12" width="16.140625" customWidth="1"/>
    <col min="14" max="14" width="25.28515625" customWidth="1"/>
    <col min="16" max="16" width="15.42578125" customWidth="1"/>
    <col min="18" max="18" width="18.28515625" customWidth="1"/>
    <col min="20" max="20" width="19" customWidth="1"/>
    <col min="26" max="26" width="27" customWidth="1"/>
    <col min="32" max="32" width="17.140625" customWidth="1"/>
    <col min="40" max="40" width="18.42578125" customWidth="1"/>
  </cols>
  <sheetData>
    <row r="1" spans="1:42" x14ac:dyDescent="0.25">
      <c r="A1" t="str">
        <f>Master!A1</f>
        <v>Statement of Operations</v>
      </c>
      <c r="B1" t="str">
        <f>Master!B1</f>
        <v>0m</v>
      </c>
      <c r="C1">
        <f>Master!C1</f>
        <v>1</v>
      </c>
      <c r="E1">
        <f>Master!D1</f>
        <v>2</v>
      </c>
      <c r="G1">
        <f>Master!E1</f>
        <v>3</v>
      </c>
      <c r="I1">
        <f>Master!F1</f>
        <v>4</v>
      </c>
      <c r="K1">
        <f>Master!G1</f>
        <v>5</v>
      </c>
      <c r="M1">
        <f>Master!H1</f>
        <v>6</v>
      </c>
      <c r="O1">
        <f>Master!I1</f>
        <v>7</v>
      </c>
      <c r="Q1">
        <f>Master!J1</f>
        <v>8</v>
      </c>
      <c r="S1">
        <f>Master!K1</f>
        <v>9</v>
      </c>
      <c r="U1">
        <f>Master!L1</f>
        <v>10</v>
      </c>
      <c r="W1">
        <f>Master!M1</f>
        <v>11</v>
      </c>
      <c r="Y1">
        <f>Master!N1</f>
        <v>12</v>
      </c>
      <c r="AA1">
        <f>Master!O1</f>
        <v>13</v>
      </c>
      <c r="AC1">
        <f>Master!P1</f>
        <v>14</v>
      </c>
      <c r="AE1">
        <f>Master!Q1</f>
        <v>15</v>
      </c>
      <c r="AG1">
        <f>Master!R1</f>
        <v>16</v>
      </c>
      <c r="AI1">
        <f>Master!S1</f>
        <v>17</v>
      </c>
      <c r="AK1">
        <f>Master!T1</f>
        <v>18</v>
      </c>
      <c r="AM1">
        <f>Master!U1</f>
        <v>19</v>
      </c>
      <c r="AO1">
        <f>Master!V1</f>
        <v>20</v>
      </c>
    </row>
    <row r="2" spans="1:42" x14ac:dyDescent="0.25">
      <c r="A2">
        <f>Master!A2</f>
        <v>0</v>
      </c>
      <c r="B2">
        <f>Master!B2</f>
        <v>0</v>
      </c>
      <c r="C2">
        <f>Master!C2</f>
        <v>0</v>
      </c>
      <c r="E2">
        <f>Master!D2</f>
        <v>0</v>
      </c>
      <c r="G2">
        <f>Master!E2</f>
        <v>0</v>
      </c>
      <c r="I2">
        <f>Master!F2</f>
        <v>0</v>
      </c>
      <c r="K2">
        <f>Master!G2</f>
        <v>0</v>
      </c>
      <c r="M2">
        <f>Master!H2</f>
        <v>0</v>
      </c>
      <c r="O2">
        <f>Master!I2</f>
        <v>0</v>
      </c>
      <c r="Q2">
        <f>Master!J2</f>
        <v>0</v>
      </c>
      <c r="S2">
        <f>Master!K2</f>
        <v>0</v>
      </c>
      <c r="U2">
        <f>Master!L2</f>
        <v>0</v>
      </c>
      <c r="W2">
        <f>Master!M2</f>
        <v>0</v>
      </c>
      <c r="Y2">
        <f>Master!N2</f>
        <v>0</v>
      </c>
      <c r="AA2">
        <f>Master!O2</f>
        <v>0</v>
      </c>
      <c r="AC2">
        <f>Master!P2</f>
        <v>0</v>
      </c>
      <c r="AE2">
        <f>Master!Q2</f>
        <v>0</v>
      </c>
      <c r="AG2">
        <f>Master!R2</f>
        <v>0</v>
      </c>
      <c r="AI2">
        <f>Master!S2</f>
        <v>0</v>
      </c>
      <c r="AK2">
        <f>Master!T2</f>
        <v>0</v>
      </c>
      <c r="AM2">
        <f>Master!U2</f>
        <v>0</v>
      </c>
      <c r="AO2">
        <f>Master!V2</f>
        <v>0</v>
      </c>
    </row>
    <row r="3" spans="1:42" x14ac:dyDescent="0.25">
      <c r="A3" t="str">
        <f>Master!A3</f>
        <v>Revenue</v>
      </c>
      <c r="B3" t="str">
        <f>Master!B3</f>
        <v>0u</v>
      </c>
      <c r="C3">
        <f>Master!C3</f>
        <v>0</v>
      </c>
      <c r="E3">
        <f>Master!D3</f>
        <v>0</v>
      </c>
      <c r="G3">
        <f>Master!E3</f>
        <v>0</v>
      </c>
      <c r="I3">
        <f>Master!F3</f>
        <v>0</v>
      </c>
      <c r="K3">
        <f>Master!G3</f>
        <v>0</v>
      </c>
      <c r="M3">
        <f>Master!H3</f>
        <v>0</v>
      </c>
      <c r="O3">
        <f>Master!I3</f>
        <v>0</v>
      </c>
      <c r="Q3">
        <f>Master!J3</f>
        <v>0</v>
      </c>
      <c r="S3">
        <f>Master!K3</f>
        <v>0</v>
      </c>
      <c r="U3">
        <f>Master!L3</f>
        <v>0</v>
      </c>
      <c r="W3">
        <f>Master!M3</f>
        <v>0</v>
      </c>
      <c r="Y3">
        <f>Master!N3</f>
        <v>0</v>
      </c>
      <c r="AA3">
        <f>Master!O3</f>
        <v>0</v>
      </c>
      <c r="AC3">
        <f>Master!P3</f>
        <v>0</v>
      </c>
      <c r="AE3">
        <f>Master!Q3</f>
        <v>0</v>
      </c>
      <c r="AG3">
        <f>Master!R3</f>
        <v>0</v>
      </c>
      <c r="AI3">
        <f>Master!S3</f>
        <v>0</v>
      </c>
      <c r="AK3">
        <f>Master!T3</f>
        <v>0</v>
      </c>
      <c r="AM3">
        <f>Master!U3</f>
        <v>0</v>
      </c>
      <c r="AO3">
        <f>Master!V3</f>
        <v>0</v>
      </c>
    </row>
    <row r="4" spans="1:42" x14ac:dyDescent="0.25">
      <c r="A4" t="str">
        <f>Master!A4</f>
        <v>Revenue from operating activities</v>
      </c>
      <c r="B4">
        <f>Master!B4</f>
        <v>1</v>
      </c>
      <c r="C4">
        <f>Master!C4</f>
        <v>0</v>
      </c>
      <c r="E4">
        <f>Master!D4</f>
        <v>0</v>
      </c>
      <c r="G4">
        <f>Master!E4</f>
        <v>0</v>
      </c>
      <c r="I4">
        <f>Master!F4</f>
        <v>0</v>
      </c>
      <c r="K4">
        <f>Master!G4</f>
        <v>0</v>
      </c>
      <c r="M4">
        <f>Master!H4</f>
        <v>0</v>
      </c>
      <c r="O4">
        <f>Master!I4</f>
        <v>0</v>
      </c>
      <c r="Q4">
        <f>Master!J4</f>
        <v>0</v>
      </c>
      <c r="S4">
        <f>Master!K4</f>
        <v>0</v>
      </c>
      <c r="U4">
        <f>Master!L4</f>
        <v>0</v>
      </c>
      <c r="W4">
        <f>Master!M4</f>
        <v>0</v>
      </c>
      <c r="Y4">
        <f>Master!N4</f>
        <v>0</v>
      </c>
      <c r="AA4">
        <f>Master!O4</f>
        <v>0</v>
      </c>
      <c r="AC4">
        <f>Master!P4</f>
        <v>0</v>
      </c>
      <c r="AE4">
        <f>Master!Q4</f>
        <v>0</v>
      </c>
      <c r="AG4">
        <f>Master!R4</f>
        <v>0</v>
      </c>
      <c r="AI4">
        <f>Master!S4</f>
        <v>0</v>
      </c>
      <c r="AK4">
        <f>Master!T4</f>
        <v>0</v>
      </c>
      <c r="AM4">
        <f>Master!U4</f>
        <v>0</v>
      </c>
      <c r="AO4">
        <f>Master!V4</f>
        <v>0</v>
      </c>
    </row>
    <row r="5" spans="1:42" x14ac:dyDescent="0.25">
      <c r="A5" t="str">
        <f>Master!A5</f>
        <v>Revenue from interest</v>
      </c>
      <c r="B5">
        <f>Master!B5</f>
        <v>1</v>
      </c>
      <c r="C5">
        <f>Master!C5</f>
        <v>4063281</v>
      </c>
      <c r="D5" t="str">
        <f>"Lower interest rate: "&amp;LEFT(TEXT(C5/SUM(C87:C89),"0%"),LEN(TEXT(C5/SUM(C87:C89),"0%"))-1)&amp;"\%"</f>
        <v>Lower interest rate: 6\%</v>
      </c>
      <c r="E5">
        <f>Master!D5</f>
        <v>943386.4</v>
      </c>
      <c r="F5" t="str">
        <f>"Higher interest rate: "&amp;LEFT(TEXT(E5/SUM(E87:E89),"0%"),LEN(TEXT(E5/SUM(E87:E89),"0%"))-1)&amp;"\%"</f>
        <v>Higher interest rate: 11\%</v>
      </c>
      <c r="G5">
        <f>Master!E5</f>
        <v>0</v>
      </c>
      <c r="I5">
        <f>Master!F5</f>
        <v>0</v>
      </c>
      <c r="K5">
        <f>Master!G5</f>
        <v>0</v>
      </c>
      <c r="M5">
        <f>Master!H5</f>
        <v>0</v>
      </c>
      <c r="O5">
        <f>Master!I5</f>
        <v>0</v>
      </c>
      <c r="Q5">
        <f>Master!J5</f>
        <v>0</v>
      </c>
      <c r="S5">
        <f>Master!K5</f>
        <v>0</v>
      </c>
      <c r="U5">
        <f>Master!L5</f>
        <v>0</v>
      </c>
      <c r="W5">
        <f>Master!M5</f>
        <v>0</v>
      </c>
      <c r="Y5">
        <f>Master!N5</f>
        <v>0</v>
      </c>
      <c r="AA5">
        <f>Master!O5</f>
        <v>0</v>
      </c>
      <c r="AC5">
        <f>Master!P5</f>
        <v>0</v>
      </c>
      <c r="AE5">
        <f>Master!Q5</f>
        <v>0</v>
      </c>
      <c r="AG5">
        <f>Master!R5</f>
        <v>0</v>
      </c>
      <c r="AI5">
        <f>Master!S5</f>
        <v>0</v>
      </c>
      <c r="AK5">
        <f>Master!T5</f>
        <v>0</v>
      </c>
      <c r="AM5">
        <f>Master!U5</f>
        <v>0</v>
      </c>
      <c r="AO5">
        <f>Master!V5</f>
        <v>0</v>
      </c>
    </row>
    <row r="6" spans="1:42" x14ac:dyDescent="0.25">
      <c r="A6" t="str">
        <f>Master!A6</f>
        <v>\mybox{Revenue from fees}</v>
      </c>
      <c r="B6">
        <f>Master!B6</f>
        <v>1</v>
      </c>
      <c r="C6">
        <f>Master!C6</f>
        <v>1261405</v>
      </c>
      <c r="D6" t="s">
        <v>209</v>
      </c>
      <c r="E6">
        <f>Master!D6</f>
        <v>0</v>
      </c>
      <c r="G6">
        <f>Master!E6</f>
        <v>0</v>
      </c>
      <c r="I6">
        <f>Master!F6</f>
        <v>0</v>
      </c>
      <c r="K6">
        <f>Master!G6</f>
        <v>0</v>
      </c>
      <c r="M6">
        <f>Master!H6</f>
        <v>0</v>
      </c>
      <c r="O6">
        <f>Master!I6</f>
        <v>0</v>
      </c>
      <c r="Q6">
        <f>Master!J6</f>
        <v>0</v>
      </c>
      <c r="S6">
        <f>Master!K6</f>
        <v>0</v>
      </c>
      <c r="U6">
        <f>Master!L6</f>
        <v>0</v>
      </c>
      <c r="W6">
        <f>Master!M6</f>
        <v>0</v>
      </c>
      <c r="Y6">
        <f>Master!N6</f>
        <v>0</v>
      </c>
      <c r="AA6">
        <f>Master!O6</f>
        <v>0</v>
      </c>
      <c r="AC6">
        <f>Master!P6</f>
        <v>0</v>
      </c>
      <c r="AE6">
        <f>Master!Q6</f>
        <v>0</v>
      </c>
      <c r="AG6">
        <f>Master!R6</f>
        <v>0</v>
      </c>
      <c r="AI6">
        <f>Master!S6</f>
        <v>0</v>
      </c>
      <c r="AK6">
        <f>Master!T6</f>
        <v>0</v>
      </c>
      <c r="AM6">
        <f>Master!U6</f>
        <v>0</v>
      </c>
      <c r="AO6">
        <f>Master!V6</f>
        <v>0</v>
      </c>
    </row>
    <row r="7" spans="1:42" x14ac:dyDescent="0.25">
      <c r="A7" t="str">
        <f>Master!A7</f>
        <v>Other revenue</v>
      </c>
      <c r="B7">
        <f>Master!B7</f>
        <v>1</v>
      </c>
      <c r="C7">
        <f>Master!C7</f>
        <v>0</v>
      </c>
      <c r="E7">
        <f>Master!D7</f>
        <v>2400000</v>
      </c>
      <c r="G7">
        <f>Master!E7</f>
        <v>0</v>
      </c>
      <c r="I7">
        <f>Master!F7</f>
        <v>0</v>
      </c>
      <c r="K7">
        <f>Master!G7</f>
        <v>0</v>
      </c>
      <c r="M7">
        <f>Master!H7</f>
        <v>0</v>
      </c>
      <c r="O7">
        <f>Master!I7</f>
        <v>0</v>
      </c>
      <c r="Q7">
        <f>Master!J7</f>
        <v>0</v>
      </c>
      <c r="S7">
        <f>Master!K7</f>
        <v>0</v>
      </c>
      <c r="U7">
        <f>Master!L7</f>
        <v>0</v>
      </c>
      <c r="W7">
        <f>Master!M7</f>
        <v>0</v>
      </c>
      <c r="Y7">
        <f>Master!N7</f>
        <v>0</v>
      </c>
      <c r="AA7">
        <f>Master!O7</f>
        <v>0</v>
      </c>
      <c r="AC7">
        <f>Master!P7</f>
        <v>0</v>
      </c>
      <c r="AE7">
        <f>Master!Q7</f>
        <v>0</v>
      </c>
      <c r="AG7">
        <f>Master!R7</f>
        <v>0</v>
      </c>
      <c r="AI7">
        <f>Master!S7</f>
        <v>0</v>
      </c>
      <c r="AK7">
        <f>Master!T7</f>
        <v>0</v>
      </c>
      <c r="AM7">
        <f>Master!U7</f>
        <v>0</v>
      </c>
      <c r="AO7">
        <f>Master!V7</f>
        <v>0</v>
      </c>
    </row>
    <row r="8" spans="1:42" x14ac:dyDescent="0.25">
      <c r="A8" t="str">
        <f>Master!A8</f>
        <v>Total revenue</v>
      </c>
      <c r="B8" t="str">
        <f>Master!B8</f>
        <v>0s</v>
      </c>
      <c r="C8">
        <f>Master!C8</f>
        <v>5324686</v>
      </c>
      <c r="E8">
        <f>Master!D8</f>
        <v>3343386.4</v>
      </c>
      <c r="G8">
        <f>Master!E8</f>
        <v>3000000</v>
      </c>
      <c r="I8">
        <f>Master!F8</f>
        <v>3000000</v>
      </c>
      <c r="K8">
        <f>Master!G8</f>
        <v>3000000</v>
      </c>
      <c r="M8">
        <f>Master!H8</f>
        <v>1800000</v>
      </c>
      <c r="O8">
        <f>Master!I8</f>
        <v>2400000</v>
      </c>
      <c r="Q8">
        <f>Master!J8</f>
        <v>2400000</v>
      </c>
      <c r="S8">
        <f>Master!K8</f>
        <v>600000</v>
      </c>
      <c r="U8">
        <f>Master!L8</f>
        <v>1800000</v>
      </c>
      <c r="W8">
        <f>Master!M8</f>
        <v>1800000</v>
      </c>
      <c r="Y8">
        <f>Master!N8</f>
        <v>600000</v>
      </c>
      <c r="AA8">
        <f>Master!O8</f>
        <v>1800000</v>
      </c>
      <c r="AC8">
        <f>Master!P8</f>
        <v>600000</v>
      </c>
      <c r="AD8" t="s">
        <v>205</v>
      </c>
      <c r="AE8">
        <f>Master!Q8</f>
        <v>1800000</v>
      </c>
      <c r="AG8">
        <f>Master!R8</f>
        <v>600000</v>
      </c>
      <c r="AI8">
        <f>Master!S8</f>
        <v>1800000</v>
      </c>
      <c r="AK8">
        <f>Master!T8</f>
        <v>1200000</v>
      </c>
      <c r="AL8" t="s">
        <v>205</v>
      </c>
      <c r="AM8">
        <f>Master!U8</f>
        <v>2400000</v>
      </c>
      <c r="AO8">
        <f>Master!V8</f>
        <v>600000</v>
      </c>
      <c r="AP8" t="s">
        <v>205</v>
      </c>
    </row>
    <row r="9" spans="1:42" x14ac:dyDescent="0.25">
      <c r="A9">
        <f>Master!A9</f>
        <v>0</v>
      </c>
      <c r="B9">
        <f>Master!B9</f>
        <v>0</v>
      </c>
      <c r="C9">
        <f>Master!C9</f>
        <v>0</v>
      </c>
      <c r="E9">
        <f>Master!D9</f>
        <v>0</v>
      </c>
      <c r="G9">
        <f>Master!E9</f>
        <v>0</v>
      </c>
      <c r="I9">
        <f>Master!F9</f>
        <v>0</v>
      </c>
      <c r="K9">
        <f>Master!G9</f>
        <v>0</v>
      </c>
      <c r="M9">
        <f>Master!H9</f>
        <v>0</v>
      </c>
      <c r="O9">
        <f>Master!I9</f>
        <v>0</v>
      </c>
      <c r="Q9">
        <f>Master!J9</f>
        <v>0</v>
      </c>
      <c r="S9">
        <f>Master!K9</f>
        <v>0</v>
      </c>
      <c r="U9">
        <f>Master!L9</f>
        <v>0</v>
      </c>
      <c r="W9">
        <f>Master!M9</f>
        <v>0</v>
      </c>
      <c r="Y9">
        <f>Master!N9</f>
        <v>0</v>
      </c>
      <c r="AA9">
        <f>Master!O9</f>
        <v>0</v>
      </c>
      <c r="AC9">
        <f>Master!P9</f>
        <v>0</v>
      </c>
      <c r="AE9">
        <f>Master!Q9</f>
        <v>0</v>
      </c>
      <c r="AG9">
        <f>Master!R9</f>
        <v>0</v>
      </c>
      <c r="AI9">
        <f>Master!S9</f>
        <v>0</v>
      </c>
      <c r="AK9">
        <f>Master!T9</f>
        <v>0</v>
      </c>
      <c r="AM9">
        <f>Master!U9</f>
        <v>0</v>
      </c>
      <c r="AO9">
        <f>Master!V9</f>
        <v>0</v>
      </c>
    </row>
    <row r="10" spans="1:42" x14ac:dyDescent="0.25">
      <c r="A10" t="str">
        <f>Master!A10</f>
        <v>Costs and expenses</v>
      </c>
      <c r="B10" t="str">
        <f>Master!B10</f>
        <v>0u</v>
      </c>
      <c r="C10">
        <f>Master!C10</f>
        <v>0</v>
      </c>
      <c r="E10">
        <f>Master!D10</f>
        <v>0</v>
      </c>
      <c r="G10">
        <f>Master!E10</f>
        <v>0</v>
      </c>
      <c r="I10">
        <f>Master!F10</f>
        <v>0</v>
      </c>
      <c r="K10">
        <f>Master!G10</f>
        <v>0</v>
      </c>
      <c r="M10">
        <f>Master!H10</f>
        <v>0</v>
      </c>
      <c r="O10">
        <f>Master!I10</f>
        <v>0</v>
      </c>
      <c r="Q10">
        <f>Master!J10</f>
        <v>0</v>
      </c>
      <c r="S10">
        <f>Master!K10</f>
        <v>0</v>
      </c>
      <c r="U10">
        <f>Master!L10</f>
        <v>0</v>
      </c>
      <c r="W10">
        <f>Master!M10</f>
        <v>0</v>
      </c>
      <c r="Y10">
        <f>Master!N10</f>
        <v>0</v>
      </c>
      <c r="AA10">
        <f>Master!O10</f>
        <v>0</v>
      </c>
      <c r="AC10">
        <f>Master!P10</f>
        <v>0</v>
      </c>
      <c r="AE10">
        <f>Master!Q10</f>
        <v>0</v>
      </c>
      <c r="AG10">
        <f>Master!R10</f>
        <v>0</v>
      </c>
      <c r="AI10">
        <f>Master!S10</f>
        <v>0</v>
      </c>
      <c r="AK10">
        <f>Master!T10</f>
        <v>0</v>
      </c>
      <c r="AM10">
        <f>Master!U10</f>
        <v>0</v>
      </c>
      <c r="AO10">
        <f>Master!V10</f>
        <v>0</v>
      </c>
    </row>
    <row r="11" spans="1:42" x14ac:dyDescent="0.25">
      <c r="A11" t="str">
        <f>Master!A11</f>
        <v>Cost of goods sold</v>
      </c>
      <c r="B11">
        <f>Master!B11</f>
        <v>1</v>
      </c>
      <c r="C11">
        <f>Master!C11</f>
        <v>0</v>
      </c>
      <c r="E11">
        <f>Master!D11</f>
        <v>0</v>
      </c>
      <c r="G11">
        <f>Master!E11</f>
        <v>1740000</v>
      </c>
      <c r="H11" t="str">
        <f>"gross margin: "&amp;LEFT(TEXT((G8-G11)/G8,"0%"),SEARCH("%",TEXT((G8-G11)/G8,"0%"))-1)&amp;"\%: high"</f>
        <v>gross margin: 42\%: high</v>
      </c>
      <c r="I11">
        <f>Master!F11</f>
        <v>1200000</v>
      </c>
      <c r="J11" t="str">
        <f>"gross margin: "&amp;LEFT(TEXT((I8-I11)/I8,"0%"),SEARCH("%",TEXT((I8-I11)/I8,"0%"))-1)&amp;"\%: high"</f>
        <v>gross margin: 60\%: high</v>
      </c>
      <c r="K11">
        <f>Master!G11</f>
        <v>1950000</v>
      </c>
      <c r="L11" t="str">
        <f>"gross margin: "&amp;LEFT(TEXT((K8-K11)/K8,"0%"),SEARCH("%",TEXT((K8-K11)/K8,"0%"))-1)&amp;"\%: high"</f>
        <v>gross margin: 35\%: high</v>
      </c>
      <c r="M11">
        <f>Master!H11</f>
        <v>1440000</v>
      </c>
      <c r="N11" t="str">
        <f>"gross margin: "&amp;LEFT(TEXT((M8-M11)/M8,"0%"),SEARCH("%",TEXT((M8-M11)/M8,"0%"))-1)&amp;"\%"</f>
        <v>gross margin: 20\%</v>
      </c>
      <c r="O11">
        <f>Master!I11</f>
        <v>1872000</v>
      </c>
      <c r="P11" t="str">
        <f>"gross margin: "&amp;LEFT(TEXT((O8-O11)/O8,"0%"),SEARCH("%",TEXT((O8-O11)/O8,"0%"))-1)&amp;"\%"</f>
        <v>gross margin: 22\%</v>
      </c>
      <c r="Q11">
        <f>Master!J11</f>
        <v>1560000</v>
      </c>
      <c r="R11" t="str">
        <f>"gross margin: "&amp;LEFT(TEXT((Q8-Q11)/Q8,"0%"),SEARCH("%",TEXT((Q8-Q11)/Q8,"0%"))-1)&amp;"\%"</f>
        <v>gross margin: 35\%</v>
      </c>
      <c r="S11">
        <f>Master!K11</f>
        <v>492000</v>
      </c>
      <c r="T11" t="str">
        <f>"gross margin: "&amp;LEFT(TEXT((S8-S11)/S8,"0%"),SEARCH("%",TEXT((S8-S11)/S8,"0%"))-1)&amp;"\%"</f>
        <v>gross margin: 18\%</v>
      </c>
      <c r="U11">
        <f>Master!L11</f>
        <v>1404000</v>
      </c>
      <c r="V11" t="str">
        <f>"gross margin: "&amp;LEFT(TEXT((U8-U11)/U8,"0%"),SEARCH("%",TEXT((U8-U11)/U8,"0%"))-1)&amp;"\%"</f>
        <v>gross margin: 22\%</v>
      </c>
      <c r="W11">
        <f>Master!M11</f>
        <v>1170000</v>
      </c>
      <c r="X11" t="str">
        <f>"gross margin: "&amp;LEFT(TEXT((W8-W11)/W8,"0%"),SEARCH("%",TEXT((W8-W11)/W8,"0%"))-1)&amp;"\%"</f>
        <v>gross margin: 35\%</v>
      </c>
      <c r="Y11">
        <f>Master!N11</f>
        <v>468000</v>
      </c>
      <c r="Z11" t="str">
        <f>"gross margin: "&amp;LEFT(TEXT((Y8-Y11)/Y8,"0%"),SEARCH("%",TEXT((Y8-Y11)/Y8,"0%"))-1)&amp;"\%"</f>
        <v>gross margin: 22\%</v>
      </c>
      <c r="AA11">
        <f>Master!O11</f>
        <v>1170000</v>
      </c>
      <c r="AB11" t="str">
        <f>"gross margin: "&amp;LEFT(TEXT((AA8-AA11)/AA8,"0%"),SEARCH("%",TEXT((AA8-AA11)/AA8,"0%"))-1)&amp;"\%"</f>
        <v>gross margin: 35\%</v>
      </c>
      <c r="AC11">
        <f>Master!P11</f>
        <v>510000</v>
      </c>
      <c r="AD11" t="str">
        <f>"gross margin: "&amp;LEFT(TEXT((AC8-AC11)/AC8,"0%"),SEARCH("%",TEXT((AC8-AC11)/AC8,"0%"))-1)&amp;"\%"</f>
        <v>gross margin: 15\%</v>
      </c>
      <c r="AE11">
        <f>Master!Q11</f>
        <v>1200000</v>
      </c>
      <c r="AF11" t="str">
        <f>"gross margin: "&amp;LEFT(TEXT((AE8-AE11)/AE8,"0%"),SEARCH("%",TEXT((AE8-AE11)/AE8,"0%"))-1)&amp;"\%: low-priced raw tea"</f>
        <v>gross margin: 33\%: low-priced raw tea</v>
      </c>
      <c r="AG11">
        <f>Master!R11</f>
        <v>420000</v>
      </c>
      <c r="AH11" t="str">
        <f>"gross margin: "&amp;LEFT(TEXT((AG8-AG11)/AG8,"0%"),SEARCH("%",TEXT((AG8-AG11)/AG8,"0%"))-1)&amp;"\%: low-priced raw tea"</f>
        <v>gross margin: 30\%: low-priced raw tea</v>
      </c>
      <c r="AI11">
        <f>Master!S11</f>
        <v>1440000</v>
      </c>
      <c r="AJ11" t="str">
        <f>"gross margin: "&amp;LEFT(TEXT((AI8-AI11)/AI8,"0%"),SEARCH("%",TEXT((AI8-AI11)/AI8,"0%"))-1)&amp;"\%"</f>
        <v>gross margin: 20\%</v>
      </c>
      <c r="AK11">
        <f>Master!T11</f>
        <v>97500</v>
      </c>
      <c r="AL11" t="s">
        <v>207</v>
      </c>
      <c r="AM11">
        <f>Master!U11</f>
        <v>2040000</v>
      </c>
      <c r="AN11" t="str">
        <f>"gross margin: "&amp;LEFT(TEXT((AM8-AM11)/AM8,"0%"),SEARCH("%",TEXT((AM8-AM11)/AM8,"0%"))-1)&amp;"\%"</f>
        <v>gross margin: 15\%</v>
      </c>
      <c r="AO11">
        <f>Master!V11</f>
        <v>402000</v>
      </c>
      <c r="AP11" t="str">
        <f>"gross margin: "&amp;LEFT(TEXT((AO8-AO11)/AO8,"0%"),SEARCH("%",TEXT((AO8-AO11)/AO8,"0%"))-1)&amp;"\%"</f>
        <v>gross margin: 33\%</v>
      </c>
    </row>
    <row r="12" spans="1:42" x14ac:dyDescent="0.25">
      <c r="A12" t="str">
        <f>Master!A12</f>
        <v>Interest paid</v>
      </c>
      <c r="B12">
        <f>Master!B12</f>
        <v>1</v>
      </c>
      <c r="C12">
        <f>Master!C12</f>
        <v>1440000</v>
      </c>
      <c r="E12">
        <f>Master!D12</f>
        <v>210000.00000000003</v>
      </c>
      <c r="G12">
        <f>Master!E12</f>
        <v>0</v>
      </c>
      <c r="I12">
        <f>Master!F12</f>
        <v>0</v>
      </c>
      <c r="K12">
        <f>Master!G12</f>
        <v>0</v>
      </c>
      <c r="M12">
        <f>Master!H12</f>
        <v>0</v>
      </c>
      <c r="O12">
        <f>Master!I12</f>
        <v>0</v>
      </c>
      <c r="Q12">
        <f>Master!J12</f>
        <v>0</v>
      </c>
      <c r="S12">
        <f>Master!K12</f>
        <v>0</v>
      </c>
      <c r="U12">
        <f>Master!L12</f>
        <v>0</v>
      </c>
      <c r="W12">
        <f>Master!M12</f>
        <v>0</v>
      </c>
      <c r="Y12">
        <f>Master!N12</f>
        <v>0</v>
      </c>
      <c r="AA12">
        <f>Master!O12</f>
        <v>0</v>
      </c>
      <c r="AC12">
        <f>Master!P12</f>
        <v>0</v>
      </c>
      <c r="AE12">
        <f>Master!Q12</f>
        <v>0</v>
      </c>
      <c r="AG12">
        <f>Master!R12</f>
        <v>0</v>
      </c>
      <c r="AI12">
        <f>Master!S12</f>
        <v>0</v>
      </c>
      <c r="AK12">
        <f>Master!T12</f>
        <v>0</v>
      </c>
      <c r="AM12">
        <f>Master!U12</f>
        <v>0</v>
      </c>
      <c r="AO12">
        <f>Master!V12</f>
        <v>0</v>
      </c>
    </row>
    <row r="13" spans="1:42" x14ac:dyDescent="0.25">
      <c r="A13" t="str">
        <f>Master!A13</f>
        <v>Depreciation \&amp; amortization</v>
      </c>
      <c r="B13">
        <f>Master!B13</f>
        <v>1</v>
      </c>
      <c r="C13">
        <f>Master!C13</f>
        <v>0</v>
      </c>
      <c r="E13">
        <f>Master!D13</f>
        <v>0</v>
      </c>
      <c r="G13">
        <f>Master!E13</f>
        <v>150000</v>
      </c>
      <c r="H13" t="s">
        <v>224</v>
      </c>
      <c r="I13">
        <f>Master!F13</f>
        <v>3070250</v>
      </c>
      <c r="J13" t="s">
        <v>225</v>
      </c>
      <c r="K13">
        <f>Master!G13</f>
        <v>375000</v>
      </c>
      <c r="M13">
        <f>Master!H13</f>
        <v>225000</v>
      </c>
      <c r="N13" t="str">
        <f>"depr. is high: "&amp;ROUND(M13*100/M21,0)&amp;"\% of operating exp."</f>
        <v>depr. is high: 13\% of operating exp.</v>
      </c>
      <c r="O13">
        <f>Master!I13</f>
        <v>15000</v>
      </c>
      <c r="Q13">
        <f>Master!J13</f>
        <v>240000</v>
      </c>
      <c r="S13">
        <f>Master!K13</f>
        <v>30000</v>
      </c>
      <c r="U13">
        <f>Master!L13</f>
        <v>90000</v>
      </c>
      <c r="W13">
        <f>Master!M13</f>
        <v>0</v>
      </c>
      <c r="Y13">
        <f>Master!N13</f>
        <v>0</v>
      </c>
      <c r="AA13">
        <f>Master!O13</f>
        <v>0</v>
      </c>
      <c r="AC13">
        <f>Master!P13</f>
        <v>30000</v>
      </c>
      <c r="AE13">
        <f>Master!Q13</f>
        <v>0</v>
      </c>
      <c r="AG13">
        <f>Master!R13</f>
        <v>0</v>
      </c>
      <c r="AI13">
        <f>Master!S13</f>
        <v>0</v>
      </c>
      <c r="AK13">
        <f>Master!T13</f>
        <v>30702.5</v>
      </c>
      <c r="AM13">
        <f>Master!U13</f>
        <v>0</v>
      </c>
      <c r="AO13">
        <f>Master!V13</f>
        <v>30</v>
      </c>
    </row>
    <row r="14" spans="1:42" x14ac:dyDescent="0.25">
      <c r="A14" t="str">
        <f>Master!A14</f>
        <v>Provision for loan loss</v>
      </c>
      <c r="B14">
        <f>Master!B14</f>
        <v>1</v>
      </c>
      <c r="C14">
        <f>Master!C14</f>
        <v>300000</v>
      </c>
      <c r="E14">
        <f>Master!D14</f>
        <v>60000</v>
      </c>
      <c r="G14">
        <f>Master!E14</f>
        <v>0</v>
      </c>
      <c r="I14">
        <f>Master!F14</f>
        <v>0</v>
      </c>
      <c r="K14">
        <f>Master!G14</f>
        <v>0</v>
      </c>
      <c r="M14">
        <f>Master!H14</f>
        <v>0</v>
      </c>
      <c r="O14">
        <f>Master!I14</f>
        <v>0</v>
      </c>
      <c r="Q14">
        <f>Master!J14</f>
        <v>0</v>
      </c>
      <c r="S14">
        <f>Master!K14</f>
        <v>0</v>
      </c>
      <c r="U14">
        <f>Master!L14</f>
        <v>0</v>
      </c>
      <c r="W14">
        <f>Master!M14</f>
        <v>0</v>
      </c>
      <c r="Y14">
        <f>Master!N14</f>
        <v>0</v>
      </c>
      <c r="AA14">
        <f>Master!O14</f>
        <v>0</v>
      </c>
      <c r="AC14">
        <f>Master!P14</f>
        <v>0</v>
      </c>
      <c r="AE14">
        <f>Master!Q14</f>
        <v>0</v>
      </c>
      <c r="AG14">
        <f>Master!R14</f>
        <v>0</v>
      </c>
      <c r="AI14">
        <f>Master!S14</f>
        <v>0</v>
      </c>
      <c r="AK14">
        <f>Master!T14</f>
        <v>0</v>
      </c>
      <c r="AM14">
        <f>Master!U14</f>
        <v>0</v>
      </c>
      <c r="AO14">
        <f>Master!V14</f>
        <v>0</v>
      </c>
    </row>
    <row r="15" spans="1:42" x14ac:dyDescent="0.25">
      <c r="A15" t="str">
        <f>Master!A15</f>
        <v>Occupancy costs</v>
      </c>
      <c r="B15">
        <f>Master!B15</f>
        <v>1</v>
      </c>
      <c r="C15">
        <f>Master!C15</f>
        <v>6000</v>
      </c>
      <c r="E15">
        <f>Master!D15</f>
        <v>12000</v>
      </c>
      <c r="G15">
        <f>Master!E15</f>
        <v>0</v>
      </c>
      <c r="I15">
        <f>Master!F15</f>
        <v>0</v>
      </c>
      <c r="K15">
        <f>Master!G15</f>
        <v>0</v>
      </c>
      <c r="M15">
        <f>Master!H15</f>
        <v>0</v>
      </c>
      <c r="O15">
        <f>Master!I15</f>
        <v>0</v>
      </c>
      <c r="Q15">
        <f>Master!J15</f>
        <v>0</v>
      </c>
      <c r="S15">
        <f>Master!K15</f>
        <v>0</v>
      </c>
      <c r="U15">
        <f>Master!L15</f>
        <v>0</v>
      </c>
      <c r="W15">
        <f>Master!M15</f>
        <v>36000</v>
      </c>
      <c r="Y15">
        <f>Master!N15</f>
        <v>12000</v>
      </c>
      <c r="AA15">
        <f>Master!O15</f>
        <v>36000</v>
      </c>
      <c r="AC15">
        <f>Master!P15</f>
        <v>0</v>
      </c>
      <c r="AE15">
        <f>Master!Q15</f>
        <v>36000</v>
      </c>
      <c r="AG15">
        <f>Master!R15</f>
        <v>12000</v>
      </c>
      <c r="AI15">
        <f>Master!S15</f>
        <v>36000</v>
      </c>
      <c r="AK15">
        <f>Master!T15</f>
        <v>60000</v>
      </c>
      <c r="AM15">
        <f>Master!U15</f>
        <v>48000</v>
      </c>
      <c r="AO15">
        <f>Master!V15</f>
        <v>0</v>
      </c>
    </row>
    <row r="16" spans="1:42" x14ac:dyDescent="0.25">
      <c r="A16" t="str">
        <f>Master!A16</f>
        <v>Advertising and marketing costs</v>
      </c>
      <c r="B16">
        <f>Master!B16</f>
        <v>1</v>
      </c>
      <c r="C16" t="str">
        <f>Master!C16</f>
        <v/>
      </c>
      <c r="E16" t="str">
        <f>Master!D16</f>
        <v/>
      </c>
      <c r="G16" t="str">
        <f>Master!E16</f>
        <v/>
      </c>
      <c r="I16">
        <f>Master!F16</f>
        <v>15000</v>
      </c>
      <c r="K16" t="str">
        <f>Master!G16</f>
        <v/>
      </c>
      <c r="M16" t="str">
        <f>Master!H16</f>
        <v/>
      </c>
      <c r="O16">
        <f>Master!I16</f>
        <v>12000</v>
      </c>
      <c r="Q16">
        <f>Master!J16</f>
        <v>120000</v>
      </c>
      <c r="S16" t="str">
        <f>Master!K16</f>
        <v/>
      </c>
      <c r="U16">
        <f>Master!L16</f>
        <v>9000</v>
      </c>
      <c r="W16" t="str">
        <f>Master!M16</f>
        <v/>
      </c>
      <c r="Y16">
        <f>Master!N16</f>
        <v>3000</v>
      </c>
      <c r="AA16" t="str">
        <f>Master!O16</f>
        <v/>
      </c>
      <c r="AC16" t="str">
        <f>Master!P16</f>
        <v/>
      </c>
      <c r="AE16" t="str">
        <f>Master!Q16</f>
        <v/>
      </c>
      <c r="AG16" t="str">
        <f>Master!R16</f>
        <v/>
      </c>
      <c r="AI16">
        <f>Master!S16</f>
        <v>9000</v>
      </c>
      <c r="AK16" t="str">
        <f>Master!T16</f>
        <v/>
      </c>
      <c r="AM16">
        <f>Master!U16</f>
        <v>60000</v>
      </c>
      <c r="AO16" t="str">
        <f>Master!V16</f>
        <v/>
      </c>
    </row>
    <row r="17" spans="1:42" x14ac:dyDescent="0.25">
      <c r="A17" t="str">
        <f>Master!A17</f>
        <v>Research \&amp; development</v>
      </c>
      <c r="B17">
        <f>Master!B17</f>
        <v>1</v>
      </c>
      <c r="C17">
        <f>Master!C17</f>
        <v>0</v>
      </c>
      <c r="E17">
        <f>Master!D17</f>
        <v>0</v>
      </c>
      <c r="G17">
        <f>Master!E17</f>
        <v>0</v>
      </c>
      <c r="I17">
        <f>Master!F17</f>
        <v>0</v>
      </c>
      <c r="K17">
        <f>Master!G17</f>
        <v>0</v>
      </c>
      <c r="M17">
        <f>Master!H17</f>
        <v>0</v>
      </c>
      <c r="O17">
        <f>Master!I17</f>
        <v>192000</v>
      </c>
      <c r="Q17">
        <f>Master!J17</f>
        <v>0</v>
      </c>
      <c r="S17">
        <f>Master!K17</f>
        <v>0</v>
      </c>
      <c r="U17">
        <f>Master!L17</f>
        <v>0</v>
      </c>
      <c r="W17">
        <f>Master!M17</f>
        <v>0</v>
      </c>
      <c r="Y17">
        <f>Master!N17</f>
        <v>48000</v>
      </c>
      <c r="Z17" t="s">
        <v>213</v>
      </c>
      <c r="AA17">
        <f>Master!O17</f>
        <v>144000</v>
      </c>
      <c r="AB17" t="s">
        <v>232</v>
      </c>
      <c r="AC17">
        <f>Master!P17</f>
        <v>0</v>
      </c>
      <c r="AE17">
        <f>Master!Q17</f>
        <v>144000</v>
      </c>
      <c r="AF17" t="s">
        <v>233</v>
      </c>
      <c r="AG17">
        <f>Master!R17</f>
        <v>0</v>
      </c>
      <c r="AI17">
        <f>Master!S17</f>
        <v>0</v>
      </c>
      <c r="AK17">
        <f>Master!T17</f>
        <v>0</v>
      </c>
      <c r="AM17">
        <f>Master!U17</f>
        <v>0</v>
      </c>
      <c r="AO17">
        <f>Master!V17</f>
        <v>0</v>
      </c>
    </row>
    <row r="18" spans="1:42" x14ac:dyDescent="0.25">
      <c r="A18" t="str">
        <f>Master!A18</f>
        <v>Salary and benefits</v>
      </c>
      <c r="B18">
        <f>Master!B18</f>
        <v>1</v>
      </c>
      <c r="C18">
        <f>Master!C18</f>
        <v>159741</v>
      </c>
      <c r="D18" t="str">
        <f>LEFT(TEXT(C18/C8,"#%"),LEN(TEXT(C18/C8,"#%"))-1)&amp;"\% of revenue"</f>
        <v>3\% of revenue</v>
      </c>
      <c r="E18">
        <f>Master!D18</f>
        <v>585092.5</v>
      </c>
      <c r="F18" t="str">
        <f>LEFT(TEXT(E18/E8,"#%"),LEN(TEXT(E18/E8,"#%"))-1)&amp;"\% of revenue: higher than other bank"</f>
        <v>17\% of revenue: higher than other bank</v>
      </c>
      <c r="G18">
        <f>Master!E18</f>
        <v>90000</v>
      </c>
      <c r="H18" t="str">
        <f>LEFT(TEXT(G18/G8,"#%"),LEN(TEXT(G18/G8,"#%"))-1)&amp;"\% of revenue: mostly automated"</f>
        <v>3\% of revenue: mostly automated</v>
      </c>
      <c r="I18">
        <f>Master!F18</f>
        <v>750000</v>
      </c>
      <c r="J18" t="str">
        <f>LEFT(TEXT(I18/I8,"#%"),LEN(TEXT(I18/I8,"#%"))-1)&amp;"\% of revenue"</f>
        <v>25\% of revenue</v>
      </c>
      <c r="K18">
        <f>Master!G18</f>
        <v>300000</v>
      </c>
      <c r="L18" t="str">
        <f>LEFT(TEXT(K18/K8,"#%"),LEN(TEXT(K18/K8,"#%"))-1)&amp;"\% of revenue"</f>
        <v>10\% of revenue</v>
      </c>
      <c r="M18">
        <f>Master!H18</f>
        <v>54000</v>
      </c>
      <c r="N18" t="str">
        <f>LEFT(TEXT(M18/M8,"#%"),LEN(TEXT(M18/M8,"#%"))-1)&amp;"\% of revenue"</f>
        <v>3\% of revenue</v>
      </c>
      <c r="O18">
        <f>Master!I18</f>
        <v>240000</v>
      </c>
      <c r="P18" t="str">
        <f>LEFT(TEXT(O18/O8,"#%"),LEN(TEXT(O18/O8,"#%"))-1)&amp;"\% of revenue"</f>
        <v>10\% of revenue</v>
      </c>
      <c r="Q18">
        <f>Master!J18</f>
        <v>240000</v>
      </c>
      <c r="R18" t="str">
        <f>LEFT(TEXT(Q18/Q8,"#%"),LEN(TEXT(Q18/Q8,"#%"))-1)&amp;"\% of revenue"</f>
        <v>10\% of revenue</v>
      </c>
      <c r="S18">
        <f>Master!K18</f>
        <v>60000</v>
      </c>
      <c r="T18" t="str">
        <f>LEFT(TEXT(S18/S8,"#%"),LEN(TEXT(S18/S8,"#%"))-1)&amp;"\% of revenue"</f>
        <v>10\% of revenue</v>
      </c>
      <c r="U18">
        <f>Master!L18</f>
        <v>180000</v>
      </c>
      <c r="V18" t="str">
        <f>LEFT(TEXT(U18/U8,"#%"),LEN(TEXT(U18/U8,"#%"))-1)&amp;"\% of revenue"</f>
        <v>10\% of revenue</v>
      </c>
      <c r="W18">
        <f>Master!M18</f>
        <v>180000</v>
      </c>
      <c r="X18" t="str">
        <f>LEFT(TEXT(W18/W8,"#%"),LEN(TEXT(W18/W8,"#%"))-1)&amp;"\% of revenue"</f>
        <v>10\% of revenue</v>
      </c>
      <c r="Y18">
        <f>Master!N18</f>
        <v>60000</v>
      </c>
      <c r="Z18" t="str">
        <f>LEFT(TEXT(Y18/Y8,"#%"),LEN(TEXT(Y18/Y8,"#%"))-1)&amp;"\% of revenue"</f>
        <v>10\% of revenue</v>
      </c>
      <c r="AA18">
        <f>Master!O18</f>
        <v>180000</v>
      </c>
      <c r="AB18" t="str">
        <f>LEFT(TEXT(AA18/AA8,"#%"),LEN(TEXT(AA18/AA8,"#%"))-1)&amp;"\% of revenue"</f>
        <v>10\% of revenue</v>
      </c>
      <c r="AC18">
        <f>Master!P18</f>
        <v>18000</v>
      </c>
      <c r="AD18" t="str">
        <f>LEFT(TEXT(AC18/AC8,"#%"),LEN(TEXT(AC18/AC8,"#%"))-1)&amp;"\% of revenue"</f>
        <v>3\% of revenue</v>
      </c>
      <c r="AE18">
        <f>Master!Q18</f>
        <v>180000</v>
      </c>
      <c r="AF18" t="str">
        <f>LEFT(TEXT(AE18/AE8,"#%"),LEN(TEXT(AE18/AE8,"#%"))-1)&amp;"\% of revenue"</f>
        <v>10\% of revenue</v>
      </c>
      <c r="AG18">
        <f>Master!R18</f>
        <v>60000</v>
      </c>
      <c r="AH18" t="str">
        <f>LEFT(TEXT(AG18/AG8,"#%"),LEN(TEXT(AG18/AG8,"#%"))-1)&amp;"\% of revenue"</f>
        <v>10\% of revenue</v>
      </c>
      <c r="AI18">
        <f>Master!S18</f>
        <v>180000</v>
      </c>
      <c r="AJ18" t="str">
        <f>LEFT(TEXT(AI18/AI8,"#%"),LEN(TEXT(AI18/AI8,"#%"))-1)&amp;"\% of revenue"</f>
        <v>10\% of revenue</v>
      </c>
      <c r="AK18">
        <f>Master!T18</f>
        <v>92107.5</v>
      </c>
      <c r="AL18" t="str">
        <f>LEFT(TEXT(AK18/AK8,"#%"),LEN(TEXT(AK18/AK8,"#%"))-1)&amp;"\% of revenue"</f>
        <v>8\% of revenue</v>
      </c>
      <c r="AM18">
        <f>Master!U18</f>
        <v>210000</v>
      </c>
      <c r="AN18" t="str">
        <f>LEFT(TEXT(AM18/AM8,"#%"),LEN(TEXT(AM18/AM8,"#%"))-1)&amp;"\% of revenue"</f>
        <v>9\% of revenue</v>
      </c>
      <c r="AO18">
        <f>Master!V18</f>
        <v>162000</v>
      </c>
      <c r="AP18" t="str">
        <f>LEFT(TEXT(AO18/AO8,"#%"),LEN(TEXT(AO18/AO8,"#%"))-1)&amp;"\% of revenue"</f>
        <v>27\% of revenue</v>
      </c>
    </row>
    <row r="19" spans="1:42" x14ac:dyDescent="0.25">
      <c r="A19" t="str">
        <f>Master!A19</f>
        <v>Special payment to small business owner</v>
      </c>
      <c r="B19">
        <v>1</v>
      </c>
      <c r="C19">
        <f>Master!C19</f>
        <v>61405</v>
      </c>
      <c r="D19" t="s">
        <v>269</v>
      </c>
      <c r="E19">
        <f>Master!D19</f>
        <v>0</v>
      </c>
      <c r="G19">
        <f>Master!E19</f>
        <v>0</v>
      </c>
      <c r="I19">
        <f>Master!F19</f>
        <v>0</v>
      </c>
      <c r="K19">
        <f>Master!G19</f>
        <v>0</v>
      </c>
      <c r="M19">
        <f>Master!H19</f>
        <v>0</v>
      </c>
      <c r="O19">
        <f>Master!I19</f>
        <v>0</v>
      </c>
      <c r="Q19">
        <f>Master!J19</f>
        <v>0</v>
      </c>
      <c r="S19">
        <f>Master!K19</f>
        <v>0</v>
      </c>
      <c r="U19">
        <f>Master!L19</f>
        <v>0</v>
      </c>
      <c r="W19">
        <f>Master!M19</f>
        <v>0</v>
      </c>
      <c r="Y19">
        <f>Master!N19</f>
        <v>0</v>
      </c>
      <c r="AA19">
        <f>Master!O19</f>
        <v>0</v>
      </c>
      <c r="AC19">
        <f>Master!P19</f>
        <v>0</v>
      </c>
      <c r="AE19">
        <f>Master!Q19</f>
        <v>0</v>
      </c>
      <c r="AG19">
        <f>Master!R19</f>
        <v>0</v>
      </c>
      <c r="AI19">
        <f>Master!S19</f>
        <v>0</v>
      </c>
      <c r="AK19">
        <f>Master!T19</f>
        <v>0</v>
      </c>
      <c r="AM19">
        <f>Master!U19</f>
        <v>0</v>
      </c>
      <c r="AO19">
        <f>Master!V19</f>
        <v>0</v>
      </c>
    </row>
    <row r="20" spans="1:42" x14ac:dyDescent="0.25">
      <c r="A20" t="str">
        <f>Master!A20</f>
        <v>Banking fees</v>
      </c>
      <c r="B20">
        <f>Master!B20</f>
        <v>1</v>
      </c>
      <c r="C20">
        <f>Master!C20</f>
        <v>0</v>
      </c>
      <c r="E20">
        <f>Master!D20</f>
        <v>0</v>
      </c>
      <c r="G20">
        <f>Master!E20</f>
        <v>0</v>
      </c>
      <c r="I20">
        <f>Master!F20</f>
        <v>0</v>
      </c>
      <c r="K20">
        <f>Master!G20</f>
        <v>0</v>
      </c>
      <c r="M20">
        <f>Master!H20</f>
        <v>0</v>
      </c>
      <c r="O20">
        <f>Master!I20</f>
        <v>0</v>
      </c>
      <c r="Q20">
        <f>Master!J20</f>
        <v>0</v>
      </c>
      <c r="S20">
        <f>Master!K20</f>
        <v>0</v>
      </c>
      <c r="U20">
        <f>Master!L20</f>
        <v>0</v>
      </c>
      <c r="W20">
        <f>Master!M20</f>
        <v>0</v>
      </c>
      <c r="Y20">
        <f>Master!N20</f>
        <v>0</v>
      </c>
      <c r="AA20">
        <f>Master!O20</f>
        <v>0</v>
      </c>
      <c r="AC20">
        <f>Master!P20</f>
        <v>0</v>
      </c>
      <c r="AE20">
        <f>Master!Q20</f>
        <v>0</v>
      </c>
      <c r="AG20">
        <f>Master!R20</f>
        <v>0</v>
      </c>
      <c r="AI20">
        <f>Master!S20</f>
        <v>0</v>
      </c>
      <c r="AK20">
        <f>Master!T20</f>
        <v>61405</v>
      </c>
      <c r="AL20" t="s">
        <v>270</v>
      </c>
      <c r="AM20">
        <f>Master!U20</f>
        <v>0</v>
      </c>
      <c r="AO20">
        <f>Master!V20</f>
        <v>0</v>
      </c>
    </row>
    <row r="21" spans="1:42" x14ac:dyDescent="0.25">
      <c r="A21" t="str">
        <f>Master!A21</f>
        <v>Total operating expenses</v>
      </c>
      <c r="B21" t="str">
        <f>Master!B21</f>
        <v>0s</v>
      </c>
      <c r="C21">
        <f>Master!C21</f>
        <v>1967146</v>
      </c>
      <c r="E21">
        <f>Master!D21</f>
        <v>867092.5</v>
      </c>
      <c r="G21">
        <f>Master!E21</f>
        <v>1980000</v>
      </c>
      <c r="I21">
        <f>Master!F21</f>
        <v>5035250</v>
      </c>
      <c r="K21">
        <f>Master!G21</f>
        <v>2625000</v>
      </c>
      <c r="M21">
        <f>Master!H21</f>
        <v>1719000</v>
      </c>
      <c r="O21">
        <f>Master!I21</f>
        <v>2331000</v>
      </c>
      <c r="Q21">
        <f>Master!J21</f>
        <v>2160000</v>
      </c>
      <c r="S21">
        <f>Master!K21</f>
        <v>582000</v>
      </c>
      <c r="U21">
        <f>Master!L21</f>
        <v>1683000</v>
      </c>
      <c r="W21">
        <f>Master!M21</f>
        <v>1386000</v>
      </c>
      <c r="Y21">
        <f>Master!N21</f>
        <v>591000</v>
      </c>
      <c r="AA21">
        <f>Master!O21</f>
        <v>1530000</v>
      </c>
      <c r="AC21">
        <f>Master!P21</f>
        <v>558000</v>
      </c>
      <c r="AE21">
        <f>Master!Q21</f>
        <v>1560000</v>
      </c>
      <c r="AG21">
        <f>Master!R21</f>
        <v>492000</v>
      </c>
      <c r="AI21">
        <f>Master!S21</f>
        <v>1665000</v>
      </c>
      <c r="AK21">
        <f>Master!T21</f>
        <v>341715</v>
      </c>
      <c r="AM21">
        <f>Master!U21</f>
        <v>2358000</v>
      </c>
      <c r="AO21">
        <f>Master!V21</f>
        <v>564030</v>
      </c>
    </row>
    <row r="22" spans="1:42" x14ac:dyDescent="0.25">
      <c r="A22">
        <f>Master!A22</f>
        <v>0</v>
      </c>
      <c r="B22">
        <f>Master!B22</f>
        <v>0</v>
      </c>
      <c r="C22">
        <f>Master!C22</f>
        <v>0</v>
      </c>
      <c r="E22">
        <f>Master!D22</f>
        <v>0</v>
      </c>
      <c r="G22">
        <f>Master!E22</f>
        <v>0</v>
      </c>
      <c r="I22">
        <f>Master!F22</f>
        <v>0</v>
      </c>
      <c r="K22">
        <f>Master!G22</f>
        <v>0</v>
      </c>
      <c r="M22">
        <f>Master!H22</f>
        <v>0</v>
      </c>
      <c r="O22">
        <f>Master!I22</f>
        <v>0</v>
      </c>
      <c r="Q22">
        <f>Master!J22</f>
        <v>0</v>
      </c>
      <c r="S22">
        <f>Master!K22</f>
        <v>0</v>
      </c>
      <c r="U22">
        <f>Master!L22</f>
        <v>0</v>
      </c>
      <c r="W22">
        <f>Master!M22</f>
        <v>0</v>
      </c>
      <c r="Y22">
        <f>Master!N22</f>
        <v>0</v>
      </c>
      <c r="AA22">
        <f>Master!O22</f>
        <v>0</v>
      </c>
      <c r="AC22">
        <f>Master!P22</f>
        <v>0</v>
      </c>
      <c r="AE22">
        <f>Master!Q22</f>
        <v>0</v>
      </c>
      <c r="AG22">
        <f>Master!R22</f>
        <v>0</v>
      </c>
      <c r="AI22">
        <f>Master!S22</f>
        <v>0</v>
      </c>
      <c r="AK22">
        <f>Master!T22</f>
        <v>0</v>
      </c>
      <c r="AM22">
        <f>Master!U22</f>
        <v>0</v>
      </c>
      <c r="AO22">
        <f>Master!V22</f>
        <v>0</v>
      </c>
    </row>
    <row r="23" spans="1:42" x14ac:dyDescent="0.25">
      <c r="A23" t="str">
        <f>Master!A23</f>
        <v>Income (loss) from operations</v>
      </c>
      <c r="B23">
        <f>Master!B23</f>
        <v>0</v>
      </c>
      <c r="C23">
        <f>Master!C23</f>
        <v>3357540</v>
      </c>
      <c r="E23">
        <f>Master!D23</f>
        <v>2476293.9</v>
      </c>
      <c r="G23">
        <f>Master!E23</f>
        <v>1020000</v>
      </c>
      <c r="I23">
        <f>Master!F23</f>
        <v>-2035250</v>
      </c>
      <c r="K23">
        <f>Master!G23</f>
        <v>375000</v>
      </c>
      <c r="M23">
        <f>Master!H23</f>
        <v>81000</v>
      </c>
      <c r="O23">
        <f>Master!I23</f>
        <v>69000</v>
      </c>
      <c r="Q23">
        <f>Master!J23</f>
        <v>240000</v>
      </c>
      <c r="S23">
        <f>Master!K23</f>
        <v>18000</v>
      </c>
      <c r="U23">
        <f>Master!L23</f>
        <v>117000</v>
      </c>
      <c r="W23">
        <f>Master!M23</f>
        <v>414000</v>
      </c>
      <c r="Y23">
        <f>Master!N23</f>
        <v>9000</v>
      </c>
      <c r="AA23">
        <f>Master!O23</f>
        <v>270000</v>
      </c>
      <c r="AC23">
        <f>Master!P23</f>
        <v>42000</v>
      </c>
      <c r="AE23">
        <f>Master!Q23</f>
        <v>240000</v>
      </c>
      <c r="AG23">
        <f>Master!R23</f>
        <v>108000</v>
      </c>
      <c r="AI23">
        <f>Master!S23</f>
        <v>135000</v>
      </c>
      <c r="AK23">
        <f>Master!T23</f>
        <v>858285</v>
      </c>
      <c r="AM23">
        <f>Master!U23</f>
        <v>42000</v>
      </c>
      <c r="AO23">
        <f>Master!V23</f>
        <v>35970</v>
      </c>
    </row>
    <row r="24" spans="1:42" x14ac:dyDescent="0.25">
      <c r="A24" t="str">
        <f>Master!A24</f>
        <v>Interest expense</v>
      </c>
      <c r="B24">
        <f>Master!B24</f>
        <v>1</v>
      </c>
      <c r="C24">
        <f>Master!C24</f>
        <v>0</v>
      </c>
      <c r="E24">
        <f>Master!D24</f>
        <v>0</v>
      </c>
      <c r="G24">
        <f>Master!E24</f>
        <v>-786630</v>
      </c>
      <c r="H24" t="str">
        <f>"interest rate: "&amp;LEFT(TEXT((0-G24)/G99,"0%"),SEARCH("%",TEXT((0-G24)/G99,"0%"))-1)&amp;"\%"</f>
        <v>interest rate: 6\%</v>
      </c>
      <c r="I24">
        <f>Master!F24</f>
        <v>-3033126</v>
      </c>
      <c r="J24" t="str">
        <f>"interest rate: "&amp;LEFT(TEXT((0-I24)/I99,"0%"),SEARCH("%",TEXT((0-I24)/I99,"0%"))-1)&amp;"\%"</f>
        <v>interest rate: 6\%</v>
      </c>
      <c r="K24">
        <f>Master!G24</f>
        <v>-40116</v>
      </c>
      <c r="L24" t="str">
        <f>"interest rate: "&amp;LEFT(TEXT((0-K24)/K99,"0%"),SEARCH("%",TEXT((0-K24)/K99,"0%"))-1)&amp;"\%"</f>
        <v>interest rate: 6\%</v>
      </c>
      <c r="M24">
        <f>Master!H24</f>
        <v>-29862</v>
      </c>
      <c r="N24" t="str">
        <f>"interest rate: "&amp;LEFT(TEXT((0-M24)/M99,"0%"),SEARCH("%",TEXT((0-M24)/M99,"0%"))-1)&amp;"\%"</f>
        <v>interest rate: 6\%</v>
      </c>
      <c r="O24">
        <f>Master!I24</f>
        <v>-12529</v>
      </c>
      <c r="P24" t="str">
        <f>"interest rate: "&amp;LEFT(TEXT((0-O24)/O99,"0%"),SEARCH("%",TEXT((0-O24)/O99,"0%"))-1)&amp;"\%"</f>
        <v>interest rate: 11\%</v>
      </c>
      <c r="Q24">
        <f>Master!J24</f>
        <v>-15402</v>
      </c>
      <c r="R24" t="str">
        <f>"interest rate: "&amp;LEFT(TEXT((0-Q24)/Q99,"0%"),SEARCH("%",TEXT((0-Q24)/Q99,"0%"))-1)&amp;"\%"</f>
        <v>interest rate: 6\%</v>
      </c>
      <c r="S24">
        <f>Master!K24</f>
        <v>-10945</v>
      </c>
      <c r="T24" t="str">
        <f>"interest rate: "&amp;LEFT(TEXT((0-S24)/S99,"0%"),SEARCH("%",TEXT((0-S24)/S99,"0%"))-1)&amp;"\%"</f>
        <v>interest rate: 11\%</v>
      </c>
      <c r="U24">
        <f>Master!L24</f>
        <v>-16242</v>
      </c>
      <c r="V24" t="str">
        <f>"interest rate: "&amp;LEFT(TEXT((0-U24)/U99,"0%"),SEARCH("%",TEXT((0-U24)/U99,"0%"))-1)&amp;"\%"</f>
        <v>interest rate: 6\%</v>
      </c>
      <c r="W24">
        <f>Master!M24</f>
        <v>-93036</v>
      </c>
      <c r="X24" t="str">
        <f>"interest rate: "&amp;LEFT(TEXT((0-W24)/W99,"0%"),SEARCH("%",TEXT((0-W24)/W99,"0%"))-1)&amp;"\%"</f>
        <v>interest rate: 6\%</v>
      </c>
      <c r="Y24">
        <f>Master!N24</f>
        <v>-5786</v>
      </c>
      <c r="Z24" t="str">
        <f>"interest rate: "&amp;LEFT(TEXT((0-Y24)/Y99,"0%"),SEARCH("%",TEXT((0-Y24)/Y99,"0%"))-1)&amp;"\%"</f>
        <v>interest rate: 11\%</v>
      </c>
      <c r="AA24">
        <f>Master!O24</f>
        <v>-6248</v>
      </c>
      <c r="AB24" t="str">
        <f>"interest rate: "&amp;LEFT(TEXT((0-AA24)/AA99,"0%"),SEARCH("%",TEXT((0-AA24)/AA99,"0%"))-1)&amp;"\%"</f>
        <v>interest rate: 11\%</v>
      </c>
      <c r="AC24">
        <f>Master!P24</f>
        <v>-10802</v>
      </c>
      <c r="AD24" t="str">
        <f>"interest rate: "&amp;LEFT(TEXT((0-AC24)/AC99,"0%"),SEARCH("%",TEXT((0-AC24)/AC99,"0%"))-1)&amp;"\%"</f>
        <v>interest rate: 11\%</v>
      </c>
      <c r="AE24">
        <f>Master!Q24</f>
        <v>-95711</v>
      </c>
      <c r="AF24" t="str">
        <f>"interest rate: "&amp;LEFT(TEXT((0-AE24)/AE99,"0%"),SEARCH("%",TEXT((0-AE24)/AE99,"0%"))-1)&amp;"\%"</f>
        <v>interest rate: 11\%</v>
      </c>
      <c r="AG24">
        <f>Master!R24</f>
        <v>-57068</v>
      </c>
      <c r="AH24" t="str">
        <f>"interest rate: "&amp;LEFT(TEXT((0-AG24)/AG99,"0%"),SEARCH("%",TEXT((0-AG24)/AG99,"0%"))-1)&amp;"\%"</f>
        <v>interest rate: 11\%</v>
      </c>
      <c r="AI24">
        <f>Master!S24</f>
        <v>-9141</v>
      </c>
      <c r="AJ24" t="str">
        <f>"interest rate: "&amp;LEFT(TEXT((0-AI24)/AI99,"0%"),SEARCH("%",TEXT((0-AI24)/AI99,"0%"))-1)&amp;"\%"</f>
        <v>interest rate: 11\%</v>
      </c>
      <c r="AK24">
        <f>Master!T24</f>
        <v>-5916</v>
      </c>
      <c r="AL24" t="str">
        <f>"interest rate: "&amp;LEFT(TEXT((0-AK24)/AK99,"0%"),SEARCH("%",TEXT((0-AK24)/AK99,"0%"))-1)&amp;"\%"</f>
        <v>interest rate: 6\%</v>
      </c>
      <c r="AM24">
        <f>Master!U24</f>
        <v>-6108</v>
      </c>
      <c r="AN24" t="str">
        <f>"interest rate: "&amp;LEFT(TEXT((0-AM24)/AM99,"0%"),SEARCH("%",TEXT((0-AM24)/AM99,"0%"))-1)&amp;"\%"</f>
        <v>interest rate: 6\%</v>
      </c>
      <c r="AO24">
        <f>Master!V24</f>
        <v>-59701.4</v>
      </c>
      <c r="AP24" t="str">
        <f>"interest rate: "&amp;LEFT(TEXT((0-AO24)/AO99,"0%"),SEARCH("%",TEXT((0-AO24)/AO99,"0%"))-1)&amp;"\%"</f>
        <v>interest rate: 11\%</v>
      </c>
    </row>
    <row r="25" spans="1:42" x14ac:dyDescent="0.25">
      <c r="A25" t="str">
        <f>Master!A25</f>
        <v>One-time settlement in legal dispute</v>
      </c>
      <c r="B25">
        <f>Master!B25</f>
        <v>1</v>
      </c>
      <c r="C25">
        <f>Master!C25</f>
        <v>0</v>
      </c>
      <c r="E25">
        <f>Master!D25</f>
        <v>0</v>
      </c>
      <c r="G25">
        <f>Master!E25</f>
        <v>0</v>
      </c>
      <c r="I25">
        <f>Master!F25</f>
        <v>0</v>
      </c>
      <c r="K25">
        <f>Master!G25</f>
        <v>0</v>
      </c>
      <c r="M25">
        <f>Master!H25</f>
        <v>0</v>
      </c>
      <c r="O25">
        <f>Master!I25</f>
        <v>0</v>
      </c>
      <c r="Q25">
        <f>Master!J25</f>
        <v>0</v>
      </c>
      <c r="S25">
        <f>Master!K25</f>
        <v>0</v>
      </c>
      <c r="U25">
        <f>Master!L25</f>
        <v>0</v>
      </c>
      <c r="W25">
        <f>Master!M25</f>
        <v>-500</v>
      </c>
      <c r="Y25">
        <f>Master!N25</f>
        <v>500</v>
      </c>
      <c r="AA25">
        <f>Master!O25</f>
        <v>0</v>
      </c>
      <c r="AC25">
        <f>Master!P25</f>
        <v>0</v>
      </c>
      <c r="AE25">
        <f>Master!Q25</f>
        <v>500</v>
      </c>
      <c r="AG25">
        <f>Master!R25</f>
        <v>-500</v>
      </c>
      <c r="AI25">
        <f>Master!S25</f>
        <v>0</v>
      </c>
      <c r="AK25">
        <f>Master!T25</f>
        <v>0</v>
      </c>
      <c r="AM25">
        <f>Master!U25</f>
        <v>0</v>
      </c>
      <c r="AO25">
        <f>Master!V25</f>
        <v>0</v>
      </c>
    </row>
    <row r="26" spans="1:42" x14ac:dyDescent="0.25">
      <c r="A26">
        <f>Master!A26</f>
        <v>0</v>
      </c>
      <c r="B26">
        <f>Master!B26</f>
        <v>0</v>
      </c>
      <c r="C26">
        <f>Master!C26</f>
        <v>0</v>
      </c>
      <c r="E26">
        <f>Master!D26</f>
        <v>0</v>
      </c>
      <c r="G26">
        <f>Master!E26</f>
        <v>0</v>
      </c>
      <c r="I26">
        <f>Master!F26</f>
        <v>0</v>
      </c>
      <c r="K26">
        <f>Master!G26</f>
        <v>0</v>
      </c>
      <c r="M26">
        <f>Master!H26</f>
        <v>0</v>
      </c>
      <c r="O26">
        <f>Master!I26</f>
        <v>0</v>
      </c>
      <c r="Q26">
        <f>Master!J26</f>
        <v>0</v>
      </c>
      <c r="S26">
        <f>Master!K26</f>
        <v>0</v>
      </c>
      <c r="U26">
        <f>Master!L26</f>
        <v>0</v>
      </c>
      <c r="W26">
        <f>Master!M26</f>
        <v>0</v>
      </c>
      <c r="Y26">
        <f>Master!N26</f>
        <v>0</v>
      </c>
      <c r="AA26">
        <f>Master!O26</f>
        <v>0</v>
      </c>
      <c r="AC26">
        <f>Master!P26</f>
        <v>0</v>
      </c>
      <c r="AE26">
        <f>Master!Q26</f>
        <v>0</v>
      </c>
      <c r="AG26">
        <f>Master!R26</f>
        <v>0</v>
      </c>
      <c r="AI26">
        <f>Master!S26</f>
        <v>0</v>
      </c>
      <c r="AK26">
        <f>Master!T26</f>
        <v>0</v>
      </c>
      <c r="AM26">
        <f>Master!U26</f>
        <v>0</v>
      </c>
      <c r="AO26">
        <f>Master!V26</f>
        <v>0</v>
      </c>
    </row>
    <row r="27" spans="1:42" x14ac:dyDescent="0.25">
      <c r="A27" t="str">
        <f>Master!A27</f>
        <v>Other income (expense)</v>
      </c>
      <c r="B27">
        <f>Master!B27</f>
        <v>0</v>
      </c>
      <c r="C27">
        <f>Master!C27</f>
        <v>0</v>
      </c>
      <c r="E27">
        <f>Master!D27</f>
        <v>0</v>
      </c>
      <c r="G27">
        <f>Master!E27</f>
        <v>0</v>
      </c>
      <c r="I27">
        <f>Master!F27</f>
        <v>0</v>
      </c>
      <c r="K27">
        <f>Master!G27</f>
        <v>0</v>
      </c>
      <c r="M27">
        <f>Master!H27</f>
        <v>0</v>
      </c>
      <c r="O27">
        <f>Master!I27</f>
        <v>0</v>
      </c>
      <c r="Q27">
        <f>Master!J27</f>
        <v>0</v>
      </c>
      <c r="S27">
        <f>Master!K27</f>
        <v>0</v>
      </c>
      <c r="U27">
        <f>Master!L27</f>
        <v>0</v>
      </c>
      <c r="W27">
        <f>Master!M27</f>
        <v>0</v>
      </c>
      <c r="Y27">
        <f>Master!N27</f>
        <v>0</v>
      </c>
      <c r="AA27">
        <f>Master!O27</f>
        <v>0</v>
      </c>
      <c r="AC27">
        <f>Master!P27</f>
        <v>0</v>
      </c>
      <c r="AE27">
        <f>Master!Q27</f>
        <v>0</v>
      </c>
      <c r="AG27">
        <f>Master!R27</f>
        <v>0</v>
      </c>
      <c r="AI27">
        <f>Master!S27</f>
        <v>0</v>
      </c>
      <c r="AK27">
        <f>Master!T27</f>
        <v>0</v>
      </c>
      <c r="AM27">
        <f>Master!U27</f>
        <v>0</v>
      </c>
      <c r="AO27">
        <f>Master!V27</f>
        <v>0</v>
      </c>
    </row>
    <row r="28" spans="1:42" x14ac:dyDescent="0.25">
      <c r="A28" t="str">
        <f>Master!A28</f>
        <v>Income before taxes</v>
      </c>
      <c r="B28" t="str">
        <f>Master!B28</f>
        <v>0s</v>
      </c>
      <c r="C28">
        <f>Master!C28</f>
        <v>3357540</v>
      </c>
      <c r="E28">
        <f>Master!D28</f>
        <v>2476294</v>
      </c>
      <c r="G28">
        <f>Master!E28</f>
        <v>233370</v>
      </c>
      <c r="I28">
        <f>Master!F28</f>
        <v>-5068376</v>
      </c>
      <c r="K28">
        <f>Master!G28</f>
        <v>334884</v>
      </c>
      <c r="M28">
        <f>Master!H28</f>
        <v>51138</v>
      </c>
      <c r="O28">
        <f>Master!I28</f>
        <v>56471</v>
      </c>
      <c r="Q28">
        <f>Master!J28</f>
        <v>224598</v>
      </c>
      <c r="S28">
        <f>Master!K28</f>
        <v>7055</v>
      </c>
      <c r="U28">
        <f>Master!L28</f>
        <v>100758</v>
      </c>
      <c r="W28">
        <f>Master!M28</f>
        <v>320464</v>
      </c>
      <c r="Y28">
        <f>Master!N28</f>
        <v>3714</v>
      </c>
      <c r="AA28">
        <f>Master!O28</f>
        <v>263752</v>
      </c>
      <c r="AC28">
        <f>Master!P28</f>
        <v>31198</v>
      </c>
      <c r="AE28">
        <f>Master!Q28</f>
        <v>144789</v>
      </c>
      <c r="AG28">
        <f>Master!R28</f>
        <v>50432</v>
      </c>
      <c r="AI28">
        <f>Master!S28</f>
        <v>125859</v>
      </c>
      <c r="AK28">
        <f>Master!T28</f>
        <v>852369</v>
      </c>
      <c r="AM28">
        <f>Master!U28</f>
        <v>35892</v>
      </c>
      <c r="AO28">
        <f>Master!V28</f>
        <v>-23731</v>
      </c>
    </row>
    <row r="29" spans="1:42" x14ac:dyDescent="0.25">
      <c r="A29" t="str">
        <f>Master!A29</f>
        <v>Deferred tax claimed (to offset future taxes)</v>
      </c>
      <c r="B29">
        <f>Master!B29</f>
        <v>1</v>
      </c>
      <c r="C29">
        <f>Master!C29</f>
        <v>0</v>
      </c>
      <c r="D29" t="str">
        <f>"Taxes form a red herring: "&amp;C$118&amp;"$ \rightarrow$ \textcolor{soln-black}{"&amp;C$117&amp;"}"</f>
        <v>Taxes form a red herring: 20$ \rightarrow$ \textcolor{soln-black}{T}</v>
      </c>
      <c r="E29">
        <f>Master!D29</f>
        <v>0</v>
      </c>
      <c r="F29" t="str">
        <f>"Taxes form a red herring: "&amp;E$118&amp;"$ \rightarrow$ \textcolor{soln-black}{"&amp;E$117&amp;"}"</f>
        <v>Taxes form a red herring: 1$ \rightarrow$ \textcolor{soln-black}{A}</v>
      </c>
      <c r="G29">
        <f>Master!E29</f>
        <v>0</v>
      </c>
      <c r="H29" t="str">
        <f>"Taxes form a red herring: "&amp;G$118&amp;"$ \rightarrow$ \textcolor{soln-black}{"&amp;G$117&amp;"}"</f>
        <v>Taxes form a red herring: 24$ \rightarrow$ \textcolor{soln-black}{X}</v>
      </c>
      <c r="I29">
        <f>Master!F29</f>
        <v>0</v>
      </c>
      <c r="J29" t="str">
        <f>"Taxes form a red herring: "&amp;I$118&amp;"$ \rightarrow$ \textcolor{soln-black}{"&amp;I$117&amp;"}"</f>
        <v>Taxes form a red herring: 5$ \rightarrow$ \textcolor{soln-black}{E}</v>
      </c>
      <c r="K29">
        <f>Master!G29</f>
        <v>0</v>
      </c>
      <c r="L29" t="str">
        <f>"Taxes form a red herring: "&amp;K$118&amp;"$ \rightarrow$ \textcolor{soln-black}{"&amp;K$117&amp;"}"</f>
        <v>Taxes form a red herring: 19$ \rightarrow$ \textcolor{soln-black}{S}</v>
      </c>
      <c r="M29">
        <f>Master!H29</f>
        <v>0</v>
      </c>
      <c r="N29" t="str">
        <f>"Taxes form a red herring: "&amp;M$118&amp;"$ \rightarrow$ \textcolor{soln-black}{"&amp;M$117&amp;"}"</f>
        <v>Taxes form a red herring: 6$ \rightarrow$ \textcolor{soln-black}{F}</v>
      </c>
      <c r="O29">
        <f>Master!I29</f>
        <v>0</v>
      </c>
      <c r="P29" t="str">
        <f>"Taxes form a red herring: "&amp;O$118&amp;"$ \rightarrow$ \textcolor{soln-black}{"&amp;O$117&amp;"}"</f>
        <v>Taxes form a red herring: 15$ \rightarrow$ \textcolor{soln-black}{O}</v>
      </c>
      <c r="Q29">
        <f>Master!J29</f>
        <v>0</v>
      </c>
      <c r="R29" t="str">
        <f>"Taxes form a red herring: "&amp;Q$118&amp;"$ \rightarrow$ \textcolor{soln-black}{"&amp;Q$117&amp;"}"</f>
        <v>Taxes form a red herring: 18$ \rightarrow$ \textcolor{soln-black}{R}</v>
      </c>
      <c r="S29">
        <f>Master!K29</f>
        <v>0</v>
      </c>
      <c r="T29" t="str">
        <f>"Taxes form a red herring: "&amp;S$118&amp;"$ \rightarrow$ \textcolor{soln-black}{"&amp;S$117&amp;"}"</f>
        <v>Taxes form a red herring: 13$ \rightarrow$ \textcolor{soln-black}{M}</v>
      </c>
      <c r="U29">
        <f>Master!L29</f>
        <v>0</v>
      </c>
      <c r="V29" t="str">
        <f>"Taxes form a red herring: "&amp;U$118&amp;"$ \rightarrow$ \textcolor{soln-black}{"&amp;U$117&amp;"}"</f>
        <v>Taxes form a red herring: 1$ \rightarrow$ \textcolor{soln-black}{A}</v>
      </c>
      <c r="W29">
        <f>Master!M29</f>
        <v>0</v>
      </c>
      <c r="X29" t="str">
        <f>"Taxes form a red herring: "&amp;W$118&amp;"$ \rightarrow$ \textcolor{soln-black}{"&amp;W$117&amp;"}"</f>
        <v>Taxes form a red herring: 18$ \rightarrow$ \textcolor{soln-black}{R}</v>
      </c>
      <c r="Y29">
        <f>Master!N29</f>
        <v>0</v>
      </c>
      <c r="Z29" t="str">
        <f>"Taxes form a red herring: "&amp;Y$118&amp;"$ \rightarrow$ \textcolor{soln-black}{"&amp;Y$117&amp;"}"</f>
        <v>Taxes form a red herring: 5$ \rightarrow$ \textcolor{soln-black}{E}</v>
      </c>
      <c r="AA29">
        <f>Master!O29</f>
        <v>0</v>
      </c>
      <c r="AB29" t="str">
        <f>"Taxes form a red herring: "&amp;AA$118&amp;"$ \rightarrow$ \textcolor{soln-black}{"&amp;AA$117&amp;"}"</f>
        <v>Taxes form a red herring: 4$ \rightarrow$ \textcolor{soln-black}{D}</v>
      </c>
      <c r="AC29">
        <f>Master!P29</f>
        <v>0</v>
      </c>
      <c r="AD29" t="str">
        <f>"Taxes form a red herring: "&amp;AC$118&amp;"$ \rightarrow$ \textcolor{soln-black}{"&amp;AC$117&amp;"}"</f>
        <v>Taxes form a red herring: 8$ \rightarrow$ \textcolor{soln-black}{H}</v>
      </c>
      <c r="AE29">
        <f>Master!Q29</f>
        <v>0</v>
      </c>
      <c r="AF29" t="str">
        <f>"Taxes form a red herring: "&amp;AE$118&amp;"$ \rightarrow$ \textcolor{soln-black}{"&amp;AE$117&amp;"}"</f>
        <v>Taxes form a red herring: 5$ \rightarrow$ \textcolor{soln-black}{E}</v>
      </c>
      <c r="AG29">
        <f>Master!R29</f>
        <v>0</v>
      </c>
      <c r="AH29" t="str">
        <f>"Taxes form a red herring: "&amp;AG$118&amp;"$ \rightarrow$ \textcolor{soln-black}{"&amp;AG$117&amp;"}"</f>
        <v>Taxes form a red herring: 18$ \rightarrow$ \textcolor{soln-black}{R}</v>
      </c>
      <c r="AI29">
        <f>Master!S29</f>
        <v>0</v>
      </c>
      <c r="AJ29" t="str">
        <f>"Taxes form a red herring: "&amp;AI$118&amp;"$ \rightarrow$ \textcolor{soln-black}{"&amp;AI$117&amp;"}"</f>
        <v>Taxes form a red herring: 18$ \rightarrow$ \textcolor{soln-black}{R}</v>
      </c>
      <c r="AK29">
        <f>Master!T29</f>
        <v>0</v>
      </c>
      <c r="AL29" t="str">
        <f>"Taxes form a red herring: "&amp;AK$118&amp;"$ \rightarrow$ \textcolor{soln-black}{"&amp;AK$117&amp;"}"</f>
        <v>Taxes form a red herring: 9$ \rightarrow$ \textcolor{soln-black}{I}</v>
      </c>
      <c r="AM29">
        <f>Master!U29</f>
        <v>0</v>
      </c>
      <c r="AN29" t="str">
        <f>"Taxes form a red herring: "&amp;AM$118&amp;"$ \rightarrow$ \textcolor{soln-black}{"&amp;AM$117&amp;"}"</f>
        <v>Taxes form a red herring: 14$ \rightarrow$ \textcolor{soln-black}{N}</v>
      </c>
      <c r="AO29">
        <f>Master!V29</f>
        <v>0</v>
      </c>
      <c r="AP29" t="str">
        <f>"Taxes form a red herring: "&amp;AO$118&amp;"$ \rightarrow$ \textcolor{soln-black}{"&amp;AO$117&amp;"}"</f>
        <v>Taxes form a red herring: 7$ \rightarrow$ \textcolor{soln-black}{G}</v>
      </c>
    </row>
    <row r="30" spans="1:42" x14ac:dyDescent="0.25">
      <c r="A30" t="str">
        <f>Master!A30</f>
        <v>Income taxes paid</v>
      </c>
      <c r="B30">
        <f>Master!B30</f>
        <v>1</v>
      </c>
      <c r="C30">
        <f>Master!C30</f>
        <v>1110020</v>
      </c>
      <c r="D30" t="str">
        <f>"Taxes form a red herring: "&amp;C118&amp;"$ \rightarrow$ \textcolor{soln-black}{"&amp;C117&amp;"}"</f>
        <v>Taxes form a red herring: 20$ \rightarrow$ \textcolor{soln-black}{T}</v>
      </c>
      <c r="E30">
        <f>Master!D30</f>
        <v>820001</v>
      </c>
      <c r="F30" t="str">
        <f>"Taxes form a red herring: "&amp;E118&amp;"$ \rightarrow$ \textcolor{soln-black}{"&amp;E117&amp;"}"</f>
        <v>Taxes form a red herring: 1$ \rightarrow$ \textcolor{soln-black}{A}</v>
      </c>
      <c r="G30">
        <f>Master!E30</f>
        <v>70024</v>
      </c>
      <c r="H30" t="str">
        <f>"Taxes form a red herring: "&amp;G118&amp;"$ \rightarrow$ \textcolor{soln-black}{"&amp;G117&amp;"}"</f>
        <v>Taxes form a red herring: 24$ \rightarrow$ \textcolor{soln-black}{X}</v>
      </c>
      <c r="I30">
        <f>Master!F30</f>
        <v>-1679995</v>
      </c>
      <c r="J30" t="str">
        <f>"Taxes form a red herring: "&amp;I118&amp;"$ \rightarrow$ \textcolor{soln-black}{"&amp;I117&amp;"}"</f>
        <v>Taxes form a red herring: 5$ \rightarrow$ \textcolor{soln-black}{E}</v>
      </c>
      <c r="K30">
        <f>Master!G30</f>
        <v>110019</v>
      </c>
      <c r="L30" t="str">
        <f>"Taxes form a red herring: "&amp;K118&amp;"$ \rightarrow$ \textcolor{soln-black}{"&amp;K117&amp;"}"</f>
        <v>Taxes form a red herring: 19$ \rightarrow$ \textcolor{soln-black}{S}</v>
      </c>
      <c r="M30">
        <f>Master!H30</f>
        <v>10006</v>
      </c>
      <c r="N30" t="str">
        <f>"Taxes form a red herring: "&amp;M118&amp;"$ \rightarrow$ \textcolor{soln-black}{"&amp;M117&amp;"}"</f>
        <v>Taxes form a red herring: 6$ \rightarrow$ \textcolor{soln-black}{F}</v>
      </c>
      <c r="O30">
        <f>Master!I30</f>
        <v>10015</v>
      </c>
      <c r="P30" t="str">
        <f>"Taxes form a red herring: "&amp;O118&amp;"$ \rightarrow$ \textcolor{soln-black}{"&amp;O117&amp;"}"</f>
        <v>Taxes form a red herring: 15$ \rightarrow$ \textcolor{soln-black}{O}</v>
      </c>
      <c r="Q30">
        <f>Master!J30</f>
        <v>70018</v>
      </c>
      <c r="R30" t="str">
        <f>"Taxes form a red herring: "&amp;Q118&amp;"$ \rightarrow$ \textcolor{soln-black}{"&amp;Q117&amp;"}"</f>
        <v>Taxes form a red herring: 18$ \rightarrow$ \textcolor{soln-black}{R}</v>
      </c>
      <c r="S30">
        <f>Master!K30</f>
        <v>13</v>
      </c>
      <c r="T30" t="str">
        <f>"Taxes form a red herring: "&amp;S118&amp;"$ \rightarrow$ \textcolor{soln-black}{"&amp;S117&amp;"}"</f>
        <v>Taxes form a red herring: 13$ \rightarrow$ \textcolor{soln-black}{M}</v>
      </c>
      <c r="U30">
        <f>Master!L30</f>
        <v>30001</v>
      </c>
      <c r="V30" t="str">
        <f>"Taxes form a red herring: "&amp;U118&amp;"$ \rightarrow$ \textcolor{soln-black}{"&amp;U117&amp;"}"</f>
        <v>Taxes form a red herring: 1$ \rightarrow$ \textcolor{soln-black}{A}</v>
      </c>
      <c r="W30">
        <f>Master!M30</f>
        <v>100018</v>
      </c>
      <c r="X30" t="str">
        <f>"Taxes form a red herring: "&amp;W118&amp;"$ \rightarrow$ \textcolor{soln-black}{"&amp;W117&amp;"}"</f>
        <v>Taxes form a red herring: 18$ \rightarrow$ \textcolor{soln-black}{R}</v>
      </c>
      <c r="Y30">
        <f>Master!N30</f>
        <v>5</v>
      </c>
      <c r="Z30" t="str">
        <f>"Taxes form a red herring: "&amp;Y118&amp;"$ \rightarrow$ \textcolor{soln-black}{"&amp;Y117&amp;"}"</f>
        <v>Taxes form a red herring: 5$ \rightarrow$ \textcolor{soln-black}{E}</v>
      </c>
      <c r="AA30">
        <f>Master!O30</f>
        <v>80004</v>
      </c>
      <c r="AB30" t="str">
        <f>"Taxes form a red herring: "&amp;AA118&amp;"$ \rightarrow$ \textcolor{soln-black}{"&amp;AA117&amp;"}"</f>
        <v>Taxes form a red herring: 4$ \rightarrow$ \textcolor{soln-black}{D}</v>
      </c>
      <c r="AC30">
        <f>Master!P30</f>
        <v>10008</v>
      </c>
      <c r="AD30" t="str">
        <f>"Taxes form a red herring: "&amp;AC118&amp;"$ \rightarrow$ \textcolor{soln-black}{"&amp;AC117&amp;"}"</f>
        <v>Taxes form a red herring: 8$ \rightarrow$ \textcolor{soln-black}{H}</v>
      </c>
      <c r="AE30">
        <f>Master!Q30</f>
        <v>40005</v>
      </c>
      <c r="AF30" t="str">
        <f>"Taxes form a red herring: "&amp;AE118&amp;"$ \rightarrow$ \textcolor{soln-black}{"&amp;AE117&amp;"}"</f>
        <v>Taxes form a red herring: 5$ \rightarrow$ \textcolor{soln-black}{E}</v>
      </c>
      <c r="AG30">
        <f>Master!R30</f>
        <v>10018</v>
      </c>
      <c r="AH30" t="str">
        <f>"Taxes form a red herring: "&amp;AG118&amp;"$ \rightarrow$ \textcolor{soln-black}{"&amp;AG117&amp;"}"</f>
        <v>Taxes form a red herring: 18$ \rightarrow$ \textcolor{soln-black}{R}</v>
      </c>
      <c r="AI30">
        <f>Master!S30</f>
        <v>40018</v>
      </c>
      <c r="AJ30" t="str">
        <f>"Taxes form a red herring: "&amp;AI118&amp;"$ \rightarrow$ \textcolor{soln-black}{"&amp;AI117&amp;"}"</f>
        <v>Taxes form a red herring: 18$ \rightarrow$ \textcolor{soln-black}{R}</v>
      </c>
      <c r="AK30">
        <f>Master!T30</f>
        <v>280009</v>
      </c>
      <c r="AL30" t="str">
        <f>"Taxes form a red herring: "&amp;AK118&amp;"$ \rightarrow$ \textcolor{soln-black}{"&amp;AK117&amp;"}"</f>
        <v>Taxes form a red herring: 9$ \rightarrow$ \textcolor{soln-black}{I}</v>
      </c>
      <c r="AM30">
        <f>Master!U30</f>
        <v>10014</v>
      </c>
      <c r="AN30" t="str">
        <f>"Taxes form a red herring: "&amp;AM118&amp;"$ \rightarrow$ \textcolor{soln-black}{"&amp;AM117&amp;"}"</f>
        <v>Taxes form a red herring: 14$ \rightarrow$ \textcolor{soln-black}{N}</v>
      </c>
      <c r="AO30">
        <f>Master!V30</f>
        <v>-6993</v>
      </c>
      <c r="AP30" t="str">
        <f>"Taxes form a red herring: "&amp;AO$118&amp;"$ \rightarrow$ \textcolor{soln-black}{"&amp;AO$117&amp;"}"</f>
        <v>Taxes form a red herring: 7$ \rightarrow$ \textcolor{soln-black}{G}</v>
      </c>
    </row>
    <row r="31" spans="1:42" x14ac:dyDescent="0.25">
      <c r="A31">
        <f>Master!A31</f>
        <v>0</v>
      </c>
      <c r="B31">
        <f>Master!B31</f>
        <v>0</v>
      </c>
      <c r="C31">
        <f>Master!C31</f>
        <v>0</v>
      </c>
      <c r="E31">
        <f>Master!D31</f>
        <v>0</v>
      </c>
      <c r="G31">
        <f>Master!E31</f>
        <v>0</v>
      </c>
      <c r="I31">
        <f>Master!F31</f>
        <v>0</v>
      </c>
      <c r="K31">
        <f>Master!G31</f>
        <v>0</v>
      </c>
      <c r="M31">
        <f>Master!H31</f>
        <v>0</v>
      </c>
      <c r="O31">
        <f>Master!I31</f>
        <v>0</v>
      </c>
      <c r="Q31">
        <f>Master!J31</f>
        <v>0</v>
      </c>
      <c r="S31">
        <f>Master!K31</f>
        <v>0</v>
      </c>
      <c r="U31">
        <f>Master!L31</f>
        <v>0</v>
      </c>
      <c r="W31">
        <f>Master!M31</f>
        <v>0</v>
      </c>
      <c r="Y31">
        <f>Master!N31</f>
        <v>0</v>
      </c>
      <c r="AA31">
        <f>Master!O31</f>
        <v>0</v>
      </c>
      <c r="AC31">
        <f>Master!P31</f>
        <v>0</v>
      </c>
      <c r="AE31">
        <f>Master!Q31</f>
        <v>0</v>
      </c>
      <c r="AG31">
        <f>Master!R31</f>
        <v>0</v>
      </c>
      <c r="AI31">
        <f>Master!S31</f>
        <v>0</v>
      </c>
      <c r="AK31">
        <f>Master!T31</f>
        <v>0</v>
      </c>
      <c r="AM31">
        <f>Master!U31</f>
        <v>0</v>
      </c>
      <c r="AO31">
        <f>Master!V31</f>
        <v>0</v>
      </c>
    </row>
    <row r="32" spans="1:42" x14ac:dyDescent="0.25">
      <c r="A32" t="str">
        <f>Master!A32</f>
        <v>Net income</v>
      </c>
      <c r="B32" t="str">
        <f>Master!B32</f>
        <v>0s</v>
      </c>
      <c r="C32">
        <f>Master!C32</f>
        <v>2247520</v>
      </c>
      <c r="E32">
        <f>Master!D32</f>
        <v>1656293</v>
      </c>
      <c r="G32">
        <f>Master!E32</f>
        <v>163346</v>
      </c>
      <c r="I32">
        <f>Master!F32</f>
        <v>-3388381</v>
      </c>
      <c r="K32">
        <f>Master!G32</f>
        <v>224865</v>
      </c>
      <c r="M32">
        <f>Master!H32</f>
        <v>41132</v>
      </c>
      <c r="O32">
        <f>Master!I32</f>
        <v>46456</v>
      </c>
      <c r="Q32">
        <f>Master!J32</f>
        <v>154580</v>
      </c>
      <c r="S32">
        <f>Master!K32</f>
        <v>7042</v>
      </c>
      <c r="U32">
        <f>Master!L32</f>
        <v>70757</v>
      </c>
      <c r="W32">
        <f>Master!M32</f>
        <v>220446</v>
      </c>
      <c r="Y32">
        <f>Master!N32</f>
        <v>3709</v>
      </c>
      <c r="AA32">
        <f>Master!O32</f>
        <v>183748</v>
      </c>
      <c r="AC32">
        <f>Master!P32</f>
        <v>21190</v>
      </c>
      <c r="AE32">
        <f>Master!Q32</f>
        <v>104784</v>
      </c>
      <c r="AG32">
        <f>Master!R32</f>
        <v>40414</v>
      </c>
      <c r="AI32">
        <f>Master!S32</f>
        <v>85841</v>
      </c>
      <c r="AK32">
        <f>Master!T32</f>
        <v>572360</v>
      </c>
      <c r="AM32">
        <f>Master!U32</f>
        <v>25878</v>
      </c>
      <c r="AO32">
        <f>Master!V32</f>
        <v>-16738</v>
      </c>
      <c r="AP32" t="s">
        <v>235</v>
      </c>
    </row>
    <row r="33" spans="1:41" x14ac:dyDescent="0.25">
      <c r="A33">
        <f>Master!A33</f>
        <v>0</v>
      </c>
      <c r="B33">
        <f>Master!B33</f>
        <v>0</v>
      </c>
      <c r="C33">
        <f>Master!C33</f>
        <v>0</v>
      </c>
      <c r="E33">
        <f>Master!D33</f>
        <v>0</v>
      </c>
      <c r="G33">
        <f>Master!E33</f>
        <v>0</v>
      </c>
      <c r="I33">
        <f>Master!F33</f>
        <v>0</v>
      </c>
      <c r="K33">
        <f>Master!G33</f>
        <v>0</v>
      </c>
      <c r="M33">
        <f>Master!H33</f>
        <v>0</v>
      </c>
      <c r="O33">
        <f>Master!I33</f>
        <v>0</v>
      </c>
      <c r="Q33">
        <f>Master!J33</f>
        <v>0</v>
      </c>
      <c r="S33">
        <f>Master!K33</f>
        <v>0</v>
      </c>
      <c r="U33">
        <f>Master!L33</f>
        <v>0</v>
      </c>
      <c r="W33">
        <f>Master!M33</f>
        <v>0</v>
      </c>
      <c r="Y33">
        <f>Master!N33</f>
        <v>0</v>
      </c>
      <c r="AA33">
        <f>Master!O33</f>
        <v>0</v>
      </c>
      <c r="AC33">
        <f>Master!P33</f>
        <v>0</v>
      </c>
      <c r="AE33">
        <f>Master!Q33</f>
        <v>0</v>
      </c>
      <c r="AG33">
        <f>Master!R33</f>
        <v>0</v>
      </c>
      <c r="AI33">
        <f>Master!S33</f>
        <v>0</v>
      </c>
      <c r="AK33">
        <f>Master!T33</f>
        <v>0</v>
      </c>
      <c r="AM33">
        <f>Master!U33</f>
        <v>0</v>
      </c>
      <c r="AO33">
        <f>Master!V33</f>
        <v>0</v>
      </c>
    </row>
    <row r="34" spans="1:41" x14ac:dyDescent="0.25">
      <c r="A34">
        <f>Master!A34</f>
        <v>0</v>
      </c>
      <c r="B34">
        <f>Master!B34</f>
        <v>0</v>
      </c>
      <c r="C34">
        <f>Master!C34</f>
        <v>0</v>
      </c>
      <c r="E34">
        <f>Master!D34</f>
        <v>0</v>
      </c>
      <c r="G34">
        <f>Master!E34</f>
        <v>0</v>
      </c>
      <c r="I34">
        <f>Master!F34</f>
        <v>0</v>
      </c>
      <c r="K34">
        <f>Master!G34</f>
        <v>0</v>
      </c>
      <c r="M34">
        <f>Master!H34</f>
        <v>0</v>
      </c>
      <c r="O34">
        <f>Master!I34</f>
        <v>0</v>
      </c>
      <c r="Q34">
        <f>Master!J34</f>
        <v>0</v>
      </c>
      <c r="S34">
        <f>Master!K34</f>
        <v>0</v>
      </c>
      <c r="U34">
        <f>Master!L34</f>
        <v>0</v>
      </c>
      <c r="W34">
        <f>Master!M34</f>
        <v>0</v>
      </c>
      <c r="Y34">
        <f>Master!N34</f>
        <v>0</v>
      </c>
      <c r="AA34">
        <f>Master!O34</f>
        <v>0</v>
      </c>
      <c r="AC34">
        <f>Master!P34</f>
        <v>0</v>
      </c>
      <c r="AE34">
        <f>Master!Q34</f>
        <v>0</v>
      </c>
      <c r="AG34">
        <f>Master!R34</f>
        <v>0</v>
      </c>
      <c r="AI34">
        <f>Master!S34</f>
        <v>0</v>
      </c>
      <c r="AK34">
        <f>Master!T34</f>
        <v>0</v>
      </c>
      <c r="AM34">
        <f>Master!U34</f>
        <v>0</v>
      </c>
      <c r="AO34">
        <f>Master!V34</f>
        <v>0</v>
      </c>
    </row>
    <row r="35" spans="1:41" x14ac:dyDescent="0.25">
      <c r="A35">
        <f>Master!A35</f>
        <v>0</v>
      </c>
      <c r="B35">
        <f>Master!B35</f>
        <v>0</v>
      </c>
      <c r="C35">
        <f>Master!C35</f>
        <v>0</v>
      </c>
      <c r="E35">
        <f>Master!D35</f>
        <v>0</v>
      </c>
      <c r="G35">
        <f>Master!E35</f>
        <v>0</v>
      </c>
      <c r="I35">
        <f>Master!F35</f>
        <v>0</v>
      </c>
      <c r="K35">
        <f>Master!G35</f>
        <v>0</v>
      </c>
      <c r="M35">
        <f>Master!H35</f>
        <v>0</v>
      </c>
      <c r="O35">
        <f>Master!I35</f>
        <v>0</v>
      </c>
      <c r="Q35">
        <f>Master!J35</f>
        <v>0</v>
      </c>
      <c r="S35">
        <f>Master!K35</f>
        <v>0</v>
      </c>
      <c r="U35">
        <f>Master!L35</f>
        <v>0</v>
      </c>
      <c r="W35">
        <f>Master!M35</f>
        <v>0</v>
      </c>
      <c r="Y35">
        <f>Master!N35</f>
        <v>0</v>
      </c>
      <c r="AA35">
        <f>Master!O35</f>
        <v>0</v>
      </c>
      <c r="AC35">
        <f>Master!P35</f>
        <v>0</v>
      </c>
      <c r="AE35">
        <f>Master!Q35</f>
        <v>0</v>
      </c>
      <c r="AG35">
        <f>Master!R35</f>
        <v>0</v>
      </c>
      <c r="AI35">
        <f>Master!S35</f>
        <v>0</v>
      </c>
      <c r="AK35">
        <f>Master!T35</f>
        <v>0</v>
      </c>
      <c r="AM35">
        <f>Master!U35</f>
        <v>0</v>
      </c>
      <c r="AO35">
        <f>Master!V35</f>
        <v>0</v>
      </c>
    </row>
    <row r="36" spans="1:41" x14ac:dyDescent="0.25">
      <c r="A36">
        <f>Master!A36</f>
        <v>0</v>
      </c>
      <c r="B36">
        <f>Master!B36</f>
        <v>0</v>
      </c>
      <c r="C36">
        <f>Master!C36</f>
        <v>0</v>
      </c>
      <c r="E36">
        <f>Master!D36</f>
        <v>0</v>
      </c>
      <c r="G36">
        <f>Master!E36</f>
        <v>0</v>
      </c>
      <c r="I36">
        <f>Master!F36</f>
        <v>0</v>
      </c>
      <c r="K36">
        <f>Master!G36</f>
        <v>0</v>
      </c>
      <c r="M36">
        <f>Master!H36</f>
        <v>0</v>
      </c>
      <c r="O36">
        <f>Master!I36</f>
        <v>0</v>
      </c>
      <c r="Q36">
        <f>Master!J36</f>
        <v>0</v>
      </c>
      <c r="S36">
        <f>Master!K36</f>
        <v>0</v>
      </c>
      <c r="U36">
        <f>Master!L36</f>
        <v>0</v>
      </c>
      <c r="W36">
        <f>Master!M36</f>
        <v>0</v>
      </c>
      <c r="Y36">
        <f>Master!N36</f>
        <v>0</v>
      </c>
      <c r="AA36">
        <f>Master!O36</f>
        <v>0</v>
      </c>
      <c r="AC36">
        <f>Master!P36</f>
        <v>0</v>
      </c>
      <c r="AE36">
        <f>Master!Q36</f>
        <v>0</v>
      </c>
      <c r="AG36">
        <f>Master!R36</f>
        <v>0</v>
      </c>
      <c r="AI36">
        <f>Master!S36</f>
        <v>0</v>
      </c>
      <c r="AK36">
        <f>Master!T36</f>
        <v>0</v>
      </c>
      <c r="AM36">
        <f>Master!U36</f>
        <v>0</v>
      </c>
      <c r="AO36">
        <f>Master!V36</f>
        <v>0</v>
      </c>
    </row>
    <row r="37" spans="1:41" x14ac:dyDescent="0.25">
      <c r="A37" t="str">
        <f>Master!A37</f>
        <v>Consolidated Statement of Cash Flows</v>
      </c>
      <c r="B37" t="str">
        <f>Master!B37</f>
        <v>0m</v>
      </c>
      <c r="C37">
        <f>Master!C37</f>
        <v>0</v>
      </c>
      <c r="E37">
        <f>Master!D37</f>
        <v>0</v>
      </c>
      <c r="G37">
        <f>Master!E37</f>
        <v>0</v>
      </c>
      <c r="I37">
        <f>Master!F37</f>
        <v>0</v>
      </c>
      <c r="K37">
        <f>Master!G37</f>
        <v>0</v>
      </c>
      <c r="M37">
        <f>Master!H37</f>
        <v>0</v>
      </c>
      <c r="O37">
        <f>Master!I37</f>
        <v>0</v>
      </c>
      <c r="Q37">
        <f>Master!J37</f>
        <v>0</v>
      </c>
      <c r="S37">
        <f>Master!K37</f>
        <v>0</v>
      </c>
      <c r="U37">
        <f>Master!L37</f>
        <v>0</v>
      </c>
      <c r="W37">
        <f>Master!M37</f>
        <v>0</v>
      </c>
      <c r="Y37">
        <f>Master!N37</f>
        <v>0</v>
      </c>
      <c r="AA37">
        <f>Master!O37</f>
        <v>0</v>
      </c>
      <c r="AC37">
        <f>Master!P37</f>
        <v>0</v>
      </c>
      <c r="AE37">
        <f>Master!Q37</f>
        <v>0</v>
      </c>
      <c r="AG37">
        <f>Master!R37</f>
        <v>0</v>
      </c>
      <c r="AI37">
        <f>Master!S37</f>
        <v>0</v>
      </c>
      <c r="AK37">
        <f>Master!T37</f>
        <v>0</v>
      </c>
      <c r="AM37">
        <f>Master!U37</f>
        <v>0</v>
      </c>
      <c r="AO37">
        <f>Master!V37</f>
        <v>0</v>
      </c>
    </row>
    <row r="38" spans="1:41" x14ac:dyDescent="0.25">
      <c r="A38">
        <f>Master!A38</f>
        <v>0</v>
      </c>
      <c r="B38">
        <f>Master!B38</f>
        <v>0</v>
      </c>
      <c r="C38">
        <f>Master!C38</f>
        <v>0</v>
      </c>
      <c r="E38">
        <f>Master!D38</f>
        <v>0</v>
      </c>
      <c r="G38">
        <f>Master!E38</f>
        <v>0</v>
      </c>
      <c r="I38">
        <f>Master!F38</f>
        <v>0</v>
      </c>
      <c r="K38">
        <f>Master!G38</f>
        <v>0</v>
      </c>
      <c r="M38">
        <f>Master!H38</f>
        <v>0</v>
      </c>
      <c r="O38">
        <f>Master!I38</f>
        <v>0</v>
      </c>
      <c r="Q38">
        <f>Master!J38</f>
        <v>0</v>
      </c>
      <c r="S38">
        <f>Master!K38</f>
        <v>0</v>
      </c>
      <c r="U38">
        <f>Master!L38</f>
        <v>0</v>
      </c>
      <c r="W38">
        <f>Master!M38</f>
        <v>0</v>
      </c>
      <c r="Y38">
        <f>Master!N38</f>
        <v>0</v>
      </c>
      <c r="AA38">
        <f>Master!O38</f>
        <v>0</v>
      </c>
      <c r="AC38">
        <f>Master!P38</f>
        <v>0</v>
      </c>
      <c r="AE38">
        <f>Master!Q38</f>
        <v>0</v>
      </c>
      <c r="AG38">
        <f>Master!R38</f>
        <v>0</v>
      </c>
      <c r="AI38">
        <f>Master!S38</f>
        <v>0</v>
      </c>
      <c r="AK38">
        <f>Master!T38</f>
        <v>0</v>
      </c>
      <c r="AM38">
        <f>Master!U38</f>
        <v>0</v>
      </c>
      <c r="AO38">
        <f>Master!V38</f>
        <v>0</v>
      </c>
    </row>
    <row r="39" spans="1:41" x14ac:dyDescent="0.25">
      <c r="A39" t="str">
        <f>Master!A39</f>
        <v>Cash and cash equivalents: beginning of period</v>
      </c>
      <c r="B39">
        <f>Master!B39</f>
        <v>0</v>
      </c>
      <c r="C39">
        <f>Master!C39</f>
        <v>-1019420</v>
      </c>
      <c r="E39">
        <f>Master!D39</f>
        <v>185857</v>
      </c>
      <c r="G39">
        <f>Master!E39</f>
        <v>900704</v>
      </c>
      <c r="I39">
        <f>Master!F39</f>
        <v>1546231</v>
      </c>
      <c r="K39">
        <f>Master!G39</f>
        <v>1214185</v>
      </c>
      <c r="M39">
        <f>Master!H39</f>
        <v>347918</v>
      </c>
      <c r="O39">
        <f>Master!I39</f>
        <v>702594</v>
      </c>
      <c r="Q39">
        <f>Master!J39</f>
        <v>219470</v>
      </c>
      <c r="S39">
        <f>Master!K39</f>
        <v>606808</v>
      </c>
      <c r="U39">
        <f>Master!L39</f>
        <v>453293</v>
      </c>
      <c r="W39">
        <f>Master!M39</f>
        <v>-506396</v>
      </c>
      <c r="Y39">
        <f>Master!N39</f>
        <v>611268</v>
      </c>
      <c r="AA39">
        <f>Master!O39</f>
        <v>430302</v>
      </c>
      <c r="AC39">
        <f>Master!P39</f>
        <v>562860</v>
      </c>
      <c r="AE39">
        <f>Master!Q39</f>
        <v>509266</v>
      </c>
      <c r="AG39">
        <f>Master!R39</f>
        <v>-326364</v>
      </c>
      <c r="AI39">
        <f>Master!S39</f>
        <v>528209</v>
      </c>
      <c r="AK39">
        <f>Master!T39</f>
        <v>10988</v>
      </c>
      <c r="AM39">
        <f>Master!U39</f>
        <v>574767</v>
      </c>
      <c r="AO39">
        <f>Master!V39</f>
        <v>630758</v>
      </c>
    </row>
    <row r="40" spans="1:41" x14ac:dyDescent="0.25">
      <c r="A40">
        <f>Master!A40</f>
        <v>0</v>
      </c>
      <c r="B40">
        <f>Master!B40</f>
        <v>0</v>
      </c>
      <c r="C40">
        <f>Master!C40</f>
        <v>0</v>
      </c>
      <c r="E40">
        <f>Master!D40</f>
        <v>0</v>
      </c>
      <c r="G40">
        <f>Master!E40</f>
        <v>0</v>
      </c>
      <c r="I40">
        <f>Master!F40</f>
        <v>0</v>
      </c>
      <c r="K40">
        <f>Master!G40</f>
        <v>0</v>
      </c>
      <c r="M40">
        <f>Master!H40</f>
        <v>0</v>
      </c>
      <c r="O40">
        <f>Master!I40</f>
        <v>0</v>
      </c>
      <c r="Q40">
        <f>Master!J40</f>
        <v>0</v>
      </c>
      <c r="S40">
        <f>Master!K40</f>
        <v>0</v>
      </c>
      <c r="U40">
        <f>Master!L40</f>
        <v>0</v>
      </c>
      <c r="W40">
        <f>Master!M40</f>
        <v>0</v>
      </c>
      <c r="Y40">
        <f>Master!N40</f>
        <v>0</v>
      </c>
      <c r="AA40">
        <f>Master!O40</f>
        <v>0</v>
      </c>
      <c r="AC40">
        <f>Master!P40</f>
        <v>0</v>
      </c>
      <c r="AE40">
        <f>Master!Q40</f>
        <v>0</v>
      </c>
      <c r="AG40">
        <f>Master!R40</f>
        <v>0</v>
      </c>
      <c r="AI40">
        <f>Master!S40</f>
        <v>0</v>
      </c>
      <c r="AK40">
        <f>Master!T40</f>
        <v>0</v>
      </c>
      <c r="AM40">
        <f>Master!U40</f>
        <v>0</v>
      </c>
      <c r="AO40">
        <f>Master!V40</f>
        <v>0</v>
      </c>
    </row>
    <row r="41" spans="1:41" x14ac:dyDescent="0.25">
      <c r="A41" t="str">
        <f>Master!A41</f>
        <v>Cash from operating activities</v>
      </c>
      <c r="B41" t="str">
        <f>Master!B41</f>
        <v>0h</v>
      </c>
      <c r="C41">
        <f>Master!C41</f>
        <v>0</v>
      </c>
      <c r="E41">
        <f>Master!D41</f>
        <v>0</v>
      </c>
      <c r="G41">
        <f>Master!E41</f>
        <v>0</v>
      </c>
      <c r="I41">
        <f>Master!F41</f>
        <v>0</v>
      </c>
      <c r="K41">
        <f>Master!G41</f>
        <v>0</v>
      </c>
      <c r="M41">
        <f>Master!H41</f>
        <v>0</v>
      </c>
      <c r="O41">
        <f>Master!I41</f>
        <v>0</v>
      </c>
      <c r="Q41">
        <f>Master!J41</f>
        <v>0</v>
      </c>
      <c r="S41">
        <f>Master!K41</f>
        <v>0</v>
      </c>
      <c r="U41">
        <f>Master!L41</f>
        <v>0</v>
      </c>
      <c r="W41">
        <f>Master!M41</f>
        <v>0</v>
      </c>
      <c r="Y41">
        <f>Master!N41</f>
        <v>0</v>
      </c>
      <c r="AA41">
        <f>Master!O41</f>
        <v>0</v>
      </c>
      <c r="AC41">
        <f>Master!P41</f>
        <v>0</v>
      </c>
      <c r="AE41">
        <f>Master!Q41</f>
        <v>0</v>
      </c>
      <c r="AG41">
        <f>Master!R41</f>
        <v>0</v>
      </c>
      <c r="AI41">
        <f>Master!S41</f>
        <v>0</v>
      </c>
      <c r="AK41">
        <f>Master!T41</f>
        <v>0</v>
      </c>
      <c r="AM41">
        <f>Master!U41</f>
        <v>0</v>
      </c>
      <c r="AO41">
        <f>Master!V41</f>
        <v>0</v>
      </c>
    </row>
    <row r="42" spans="1:41" x14ac:dyDescent="0.25">
      <c r="A42" t="str">
        <f>Master!A42</f>
        <v>Net Income</v>
      </c>
      <c r="B42">
        <f>Master!B42</f>
        <v>1</v>
      </c>
      <c r="C42">
        <f>Master!C42</f>
        <v>2247520</v>
      </c>
      <c r="E42">
        <f>Master!D42</f>
        <v>1656293</v>
      </c>
      <c r="G42">
        <f>Master!E42</f>
        <v>163346</v>
      </c>
      <c r="I42">
        <f>Master!F42</f>
        <v>-3388381</v>
      </c>
      <c r="K42">
        <f>Master!G42</f>
        <v>224865</v>
      </c>
      <c r="M42">
        <f>Master!H42</f>
        <v>41132</v>
      </c>
      <c r="O42">
        <f>Master!I42</f>
        <v>46456</v>
      </c>
      <c r="Q42">
        <f>Master!J42</f>
        <v>154580</v>
      </c>
      <c r="S42">
        <f>Master!K42</f>
        <v>7042</v>
      </c>
      <c r="U42">
        <f>Master!L42</f>
        <v>70757</v>
      </c>
      <c r="W42">
        <f>Master!M42</f>
        <v>220446</v>
      </c>
      <c r="Y42">
        <f>Master!N42</f>
        <v>3709</v>
      </c>
      <c r="AA42">
        <f>Master!O42</f>
        <v>183748</v>
      </c>
      <c r="AC42">
        <f>Master!P42</f>
        <v>21190</v>
      </c>
      <c r="AE42">
        <f>Master!Q42</f>
        <v>104784</v>
      </c>
      <c r="AG42">
        <f>Master!R42</f>
        <v>40414</v>
      </c>
      <c r="AI42">
        <f>Master!S42</f>
        <v>85841</v>
      </c>
      <c r="AK42">
        <f>Master!T42</f>
        <v>572360</v>
      </c>
      <c r="AM42">
        <f>Master!U42</f>
        <v>25878</v>
      </c>
      <c r="AO42">
        <f>Master!V42</f>
        <v>-16738</v>
      </c>
    </row>
    <row r="43" spans="1:41" x14ac:dyDescent="0.25">
      <c r="A43" t="str">
        <f>Master!A43</f>
        <v>Depreciation \&amp; amortization</v>
      </c>
      <c r="B43">
        <f>Master!B43</f>
        <v>1</v>
      </c>
      <c r="C43">
        <f>Master!C43</f>
        <v>0</v>
      </c>
      <c r="E43">
        <f>Master!D43</f>
        <v>0</v>
      </c>
      <c r="G43">
        <f>Master!E43</f>
        <v>150000</v>
      </c>
      <c r="I43">
        <f>Master!F43</f>
        <v>3070250</v>
      </c>
      <c r="K43">
        <f>Master!G43</f>
        <v>375000</v>
      </c>
      <c r="M43">
        <f>Master!H43</f>
        <v>225000</v>
      </c>
      <c r="O43">
        <f>Master!I43</f>
        <v>15000</v>
      </c>
      <c r="Q43">
        <f>Master!J43</f>
        <v>240000</v>
      </c>
      <c r="S43">
        <f>Master!K43</f>
        <v>200</v>
      </c>
      <c r="U43">
        <f>Master!L43</f>
        <v>90000</v>
      </c>
      <c r="W43">
        <f>Master!M43</f>
        <v>0</v>
      </c>
      <c r="Y43">
        <f>Master!N43</f>
        <v>0</v>
      </c>
      <c r="AA43">
        <f>Master!O43</f>
        <v>0</v>
      </c>
      <c r="AC43">
        <f>Master!P43</f>
        <v>30000</v>
      </c>
      <c r="AE43">
        <f>Master!Q43</f>
        <v>0</v>
      </c>
      <c r="AG43">
        <f>Master!R43</f>
        <v>0</v>
      </c>
      <c r="AI43">
        <f>Master!S43</f>
        <v>0</v>
      </c>
      <c r="AK43">
        <f>Master!T43</f>
        <v>30702.5</v>
      </c>
      <c r="AM43">
        <f>Master!U43</f>
        <v>0</v>
      </c>
      <c r="AO43">
        <f>Master!V43</f>
        <v>30</v>
      </c>
    </row>
    <row r="44" spans="1:41" x14ac:dyDescent="0.25">
      <c r="A44" t="str">
        <f>Master!A44</f>
        <v>Provision for loan losses</v>
      </c>
      <c r="B44">
        <f>Master!B44</f>
        <v>1</v>
      </c>
      <c r="C44">
        <f>Master!C44</f>
        <v>0</v>
      </c>
      <c r="E44">
        <f>Master!D44</f>
        <v>0</v>
      </c>
      <c r="G44">
        <f>Master!E44</f>
        <v>0</v>
      </c>
      <c r="I44">
        <f>Master!F44</f>
        <v>0</v>
      </c>
      <c r="K44">
        <f>Master!G44</f>
        <v>0</v>
      </c>
      <c r="M44">
        <f>Master!H44</f>
        <v>0</v>
      </c>
      <c r="O44">
        <f>Master!I44</f>
        <v>0</v>
      </c>
      <c r="Q44">
        <f>Master!J44</f>
        <v>0</v>
      </c>
      <c r="S44">
        <f>Master!K44</f>
        <v>0</v>
      </c>
      <c r="U44">
        <f>Master!L44</f>
        <v>0</v>
      </c>
      <c r="W44">
        <f>Master!M44</f>
        <v>0</v>
      </c>
      <c r="Y44">
        <f>Master!N44</f>
        <v>0</v>
      </c>
      <c r="AA44">
        <f>Master!O44</f>
        <v>0</v>
      </c>
      <c r="AC44">
        <f>Master!P44</f>
        <v>0</v>
      </c>
      <c r="AE44">
        <f>Master!Q44</f>
        <v>0</v>
      </c>
      <c r="AG44">
        <f>Master!R44</f>
        <v>0</v>
      </c>
      <c r="AI44">
        <f>Master!S44</f>
        <v>0</v>
      </c>
      <c r="AK44">
        <f>Master!T44</f>
        <v>0</v>
      </c>
      <c r="AM44">
        <f>Master!U44</f>
        <v>0</v>
      </c>
      <c r="AO44">
        <f>Master!V44</f>
        <v>0</v>
      </c>
    </row>
    <row r="45" spans="1:41" x14ac:dyDescent="0.25">
      <c r="A45" t="str">
        <f>Master!A45</f>
        <v>Stock-based compensation</v>
      </c>
      <c r="B45">
        <f>Master!B45</f>
        <v>1</v>
      </c>
      <c r="C45">
        <f>Master!C45</f>
        <v>0</v>
      </c>
      <c r="E45">
        <f>Master!D45</f>
        <v>0</v>
      </c>
      <c r="G45">
        <f>Master!E45</f>
        <v>0</v>
      </c>
      <c r="I45">
        <f>Master!F45</f>
        <v>0</v>
      </c>
      <c r="K45">
        <f>Master!G45</f>
        <v>0</v>
      </c>
      <c r="M45">
        <f>Master!H45</f>
        <v>0</v>
      </c>
      <c r="O45">
        <f>Master!I45</f>
        <v>0</v>
      </c>
      <c r="Q45">
        <f>Master!J45</f>
        <v>0</v>
      </c>
      <c r="S45">
        <f>Master!K45</f>
        <v>0</v>
      </c>
      <c r="U45">
        <f>Master!L45</f>
        <v>0</v>
      </c>
      <c r="W45">
        <f>Master!M45</f>
        <v>0</v>
      </c>
      <c r="Y45">
        <f>Master!N45</f>
        <v>0</v>
      </c>
      <c r="AA45">
        <f>Master!O45</f>
        <v>0</v>
      </c>
      <c r="AC45">
        <f>Master!P45</f>
        <v>0</v>
      </c>
      <c r="AE45">
        <f>Master!Q45</f>
        <v>0</v>
      </c>
      <c r="AG45">
        <f>Master!R45</f>
        <v>0</v>
      </c>
      <c r="AI45">
        <f>Master!S45</f>
        <v>0</v>
      </c>
      <c r="AK45">
        <f>Master!T45</f>
        <v>0</v>
      </c>
      <c r="AM45">
        <f>Master!U45</f>
        <v>0</v>
      </c>
      <c r="AO45">
        <f>Master!V45</f>
        <v>0</v>
      </c>
    </row>
    <row r="46" spans="1:41" x14ac:dyDescent="0.25">
      <c r="A46">
        <f>Master!A46</f>
        <v>0</v>
      </c>
      <c r="B46">
        <f>Master!B46</f>
        <v>0</v>
      </c>
      <c r="C46">
        <f>Master!C46</f>
        <v>0</v>
      </c>
      <c r="E46">
        <f>Master!D46</f>
        <v>0</v>
      </c>
      <c r="G46">
        <f>Master!E46</f>
        <v>0</v>
      </c>
      <c r="I46">
        <f>Master!F46</f>
        <v>0</v>
      </c>
      <c r="K46">
        <f>Master!G46</f>
        <v>0</v>
      </c>
      <c r="M46">
        <f>Master!H46</f>
        <v>0</v>
      </c>
      <c r="O46">
        <f>Master!I46</f>
        <v>0</v>
      </c>
      <c r="Q46">
        <f>Master!J46</f>
        <v>0</v>
      </c>
      <c r="S46">
        <f>Master!K46</f>
        <v>0</v>
      </c>
      <c r="U46">
        <f>Master!L46</f>
        <v>0</v>
      </c>
      <c r="W46">
        <f>Master!M46</f>
        <v>0</v>
      </c>
      <c r="Y46">
        <f>Master!N46</f>
        <v>0</v>
      </c>
      <c r="AA46">
        <f>Master!O46</f>
        <v>0</v>
      </c>
      <c r="AC46">
        <f>Master!P46</f>
        <v>0</v>
      </c>
      <c r="AE46">
        <f>Master!Q46</f>
        <v>0</v>
      </c>
      <c r="AG46">
        <f>Master!R46</f>
        <v>0</v>
      </c>
      <c r="AI46">
        <f>Master!S46</f>
        <v>0</v>
      </c>
      <c r="AK46">
        <f>Master!T46</f>
        <v>0</v>
      </c>
      <c r="AM46">
        <f>Master!U46</f>
        <v>0</v>
      </c>
      <c r="AO46">
        <f>Master!V46</f>
        <v>0</v>
      </c>
    </row>
    <row r="47" spans="1:41" x14ac:dyDescent="0.25">
      <c r="A47" t="str">
        <f>Master!A47</f>
        <v>Increase (decrease) in assets</v>
      </c>
      <c r="B47">
        <f>Master!B47</f>
        <v>1</v>
      </c>
      <c r="C47">
        <f>Master!C47</f>
        <v>0</v>
      </c>
      <c r="E47">
        <f>Master!D47</f>
        <v>0</v>
      </c>
      <c r="G47">
        <f>Master!E47</f>
        <v>0</v>
      </c>
      <c r="I47">
        <f>Master!F47</f>
        <v>0</v>
      </c>
      <c r="K47">
        <f>Master!G47</f>
        <v>0</v>
      </c>
      <c r="M47">
        <f>Master!H47</f>
        <v>0</v>
      </c>
      <c r="O47">
        <f>Master!I47</f>
        <v>0</v>
      </c>
      <c r="Q47">
        <f>Master!J47</f>
        <v>0</v>
      </c>
      <c r="S47">
        <f>Master!K47</f>
        <v>0</v>
      </c>
      <c r="U47">
        <f>Master!L47</f>
        <v>0</v>
      </c>
      <c r="W47">
        <f>Master!M47</f>
        <v>0</v>
      </c>
      <c r="Y47">
        <f>Master!N47</f>
        <v>0</v>
      </c>
      <c r="AA47">
        <f>Master!O47</f>
        <v>0</v>
      </c>
      <c r="AC47">
        <f>Master!P47</f>
        <v>0</v>
      </c>
      <c r="AE47">
        <f>Master!Q47</f>
        <v>0</v>
      </c>
      <c r="AG47">
        <f>Master!R47</f>
        <v>0</v>
      </c>
      <c r="AI47">
        <f>Master!S47</f>
        <v>0</v>
      </c>
      <c r="AK47">
        <f>Master!T47</f>
        <v>0</v>
      </c>
      <c r="AM47">
        <f>Master!U47</f>
        <v>0</v>
      </c>
      <c r="AO47">
        <f>Master!V47</f>
        <v>0</v>
      </c>
    </row>
    <row r="48" spans="1:41" x14ac:dyDescent="0.25">
      <c r="A48" t="str">
        <f>Master!A48</f>
        <v>Purchase of financial assets</v>
      </c>
      <c r="B48">
        <f>Master!B48</f>
        <v>1</v>
      </c>
      <c r="C48">
        <f>Master!C48</f>
        <v>0</v>
      </c>
      <c r="E48">
        <f>Master!D48</f>
        <v>0</v>
      </c>
      <c r="G48">
        <f>Master!E48</f>
        <v>0</v>
      </c>
      <c r="I48">
        <f>Master!F48</f>
        <v>0</v>
      </c>
      <c r="K48">
        <f>Master!G48</f>
        <v>0</v>
      </c>
      <c r="M48">
        <f>Master!H48</f>
        <v>0</v>
      </c>
      <c r="O48">
        <f>Master!I48</f>
        <v>0</v>
      </c>
      <c r="Q48">
        <f>Master!J48</f>
        <v>0</v>
      </c>
      <c r="S48">
        <f>Master!K48</f>
        <v>0</v>
      </c>
      <c r="U48">
        <f>Master!L48</f>
        <v>0</v>
      </c>
      <c r="W48">
        <f>Master!M48</f>
        <v>0</v>
      </c>
      <c r="Y48">
        <f>Master!N48</f>
        <v>0</v>
      </c>
      <c r="AA48">
        <f>Master!O48</f>
        <v>0</v>
      </c>
      <c r="AC48">
        <f>Master!P48</f>
        <v>0</v>
      </c>
      <c r="AE48">
        <f>Master!Q48</f>
        <v>0</v>
      </c>
      <c r="AG48">
        <f>Master!R48</f>
        <v>0</v>
      </c>
      <c r="AI48">
        <f>Master!S48</f>
        <v>0</v>
      </c>
      <c r="AK48">
        <f>Master!T48</f>
        <v>0</v>
      </c>
      <c r="AM48">
        <f>Master!U48</f>
        <v>0</v>
      </c>
      <c r="AO48">
        <f>Master!V48</f>
        <v>0</v>
      </c>
    </row>
    <row r="49" spans="1:41" x14ac:dyDescent="0.25">
      <c r="A49" t="str">
        <f>Master!A49</f>
        <v>Decrease (increase) in accounts recievable</v>
      </c>
      <c r="B49">
        <f>Master!B49</f>
        <v>1</v>
      </c>
      <c r="C49">
        <f>Master!C49</f>
        <v>0</v>
      </c>
      <c r="E49">
        <f>Master!D49</f>
        <v>0</v>
      </c>
      <c r="G49">
        <f>Master!E49</f>
        <v>0</v>
      </c>
      <c r="I49">
        <f>Master!F49</f>
        <v>0</v>
      </c>
      <c r="K49">
        <f>Master!G49</f>
        <v>0</v>
      </c>
      <c r="M49">
        <f>Master!H49</f>
        <v>0</v>
      </c>
      <c r="O49">
        <f>Master!I49</f>
        <v>0</v>
      </c>
      <c r="Q49">
        <f>Master!J49</f>
        <v>0</v>
      </c>
      <c r="S49">
        <f>Master!K49</f>
        <v>0</v>
      </c>
      <c r="U49">
        <f>Master!L49</f>
        <v>0</v>
      </c>
      <c r="W49">
        <f>Master!M49</f>
        <v>0</v>
      </c>
      <c r="Y49">
        <f>Master!N49</f>
        <v>0</v>
      </c>
      <c r="AA49">
        <f>Master!O49</f>
        <v>0</v>
      </c>
      <c r="AC49">
        <f>Master!P49</f>
        <v>0</v>
      </c>
      <c r="AE49">
        <f>Master!Q49</f>
        <v>0</v>
      </c>
      <c r="AG49">
        <f>Master!R49</f>
        <v>0</v>
      </c>
      <c r="AI49">
        <f>Master!S49</f>
        <v>0</v>
      </c>
      <c r="AK49">
        <f>Master!T49</f>
        <v>0</v>
      </c>
      <c r="AM49">
        <f>Master!U49</f>
        <v>0</v>
      </c>
      <c r="AO49">
        <f>Master!V49</f>
        <v>0</v>
      </c>
    </row>
    <row r="50" spans="1:41" x14ac:dyDescent="0.25">
      <c r="A50" t="str">
        <f>Master!A50</f>
        <v>Increase (decrease) in accounts payable</v>
      </c>
      <c r="B50">
        <f>Master!B50</f>
        <v>1</v>
      </c>
      <c r="C50">
        <f>Master!C50</f>
        <v>0</v>
      </c>
      <c r="E50">
        <f>Master!D50</f>
        <v>0</v>
      </c>
      <c r="G50">
        <f>Master!E50</f>
        <v>0</v>
      </c>
      <c r="I50">
        <f>Master!F50</f>
        <v>0</v>
      </c>
      <c r="K50">
        <f>Master!G50</f>
        <v>0</v>
      </c>
      <c r="M50">
        <f>Master!H50</f>
        <v>0</v>
      </c>
      <c r="O50">
        <f>Master!I50</f>
        <v>0</v>
      </c>
      <c r="Q50">
        <f>Master!J50</f>
        <v>0</v>
      </c>
      <c r="S50">
        <f>Master!K50</f>
        <v>0</v>
      </c>
      <c r="U50">
        <f>Master!L50</f>
        <v>0</v>
      </c>
      <c r="W50">
        <f>Master!M50</f>
        <v>0</v>
      </c>
      <c r="Y50">
        <f>Master!N50</f>
        <v>0</v>
      </c>
      <c r="AA50">
        <f>Master!O50</f>
        <v>0</v>
      </c>
      <c r="AC50">
        <f>Master!P50</f>
        <v>0</v>
      </c>
      <c r="AE50">
        <f>Master!Q50</f>
        <v>0</v>
      </c>
      <c r="AG50">
        <f>Master!R50</f>
        <v>0</v>
      </c>
      <c r="AI50">
        <f>Master!S50</f>
        <v>0</v>
      </c>
      <c r="AK50">
        <f>Master!T50</f>
        <v>0</v>
      </c>
      <c r="AM50">
        <f>Master!U50</f>
        <v>0</v>
      </c>
      <c r="AO50">
        <f>Master!V50</f>
        <v>0</v>
      </c>
    </row>
    <row r="51" spans="1:41" x14ac:dyDescent="0.25">
      <c r="A51" t="str">
        <f>Master!A51</f>
        <v>Decrease (increase) in Inventories</v>
      </c>
      <c r="B51">
        <f>Master!B51</f>
        <v>1</v>
      </c>
      <c r="C51">
        <f>Master!C51</f>
        <v>0</v>
      </c>
      <c r="E51">
        <f>Master!D51</f>
        <v>0</v>
      </c>
      <c r="G51">
        <f>Master!E51</f>
        <v>0</v>
      </c>
      <c r="I51">
        <f>Master!F51</f>
        <v>0</v>
      </c>
      <c r="K51">
        <f>Master!G51</f>
        <v>0</v>
      </c>
      <c r="M51">
        <f>Master!H51</f>
        <v>0</v>
      </c>
      <c r="O51">
        <f>Master!I51</f>
        <v>0</v>
      </c>
      <c r="Q51">
        <f>Master!J51</f>
        <v>0</v>
      </c>
      <c r="S51">
        <f>Master!K51</f>
        <v>0</v>
      </c>
      <c r="U51">
        <f>Master!L51</f>
        <v>0</v>
      </c>
      <c r="W51">
        <f>Master!M51</f>
        <v>0</v>
      </c>
      <c r="Y51">
        <f>Master!N51</f>
        <v>0</v>
      </c>
      <c r="AA51">
        <f>Master!O51</f>
        <v>0</v>
      </c>
      <c r="AC51">
        <f>Master!P51</f>
        <v>0</v>
      </c>
      <c r="AE51">
        <f>Master!Q51</f>
        <v>0</v>
      </c>
      <c r="AG51">
        <f>Master!R51</f>
        <v>0</v>
      </c>
      <c r="AI51">
        <f>Master!S51</f>
        <v>0</v>
      </c>
      <c r="AK51">
        <f>Master!T51</f>
        <v>0</v>
      </c>
      <c r="AM51">
        <f>Master!U51</f>
        <v>0</v>
      </c>
      <c r="AO51">
        <f>Master!V51</f>
        <v>0</v>
      </c>
    </row>
    <row r="52" spans="1:41" x14ac:dyDescent="0.25">
      <c r="A52" t="str">
        <f>Master!A52</f>
        <v>Additions to unearned revenue</v>
      </c>
      <c r="B52">
        <f>Master!B52</f>
        <v>1</v>
      </c>
      <c r="C52">
        <f>Master!C52</f>
        <v>0</v>
      </c>
      <c r="E52">
        <f>Master!D52</f>
        <v>0</v>
      </c>
      <c r="G52">
        <f>Master!E52</f>
        <v>0</v>
      </c>
      <c r="I52">
        <f>Master!F52</f>
        <v>0</v>
      </c>
      <c r="K52">
        <f>Master!G52</f>
        <v>0</v>
      </c>
      <c r="M52">
        <f>Master!H52</f>
        <v>0</v>
      </c>
      <c r="O52">
        <f>Master!I52</f>
        <v>0</v>
      </c>
      <c r="Q52">
        <f>Master!J52</f>
        <v>0</v>
      </c>
      <c r="S52">
        <f>Master!K52</f>
        <v>0</v>
      </c>
      <c r="U52">
        <f>Master!L52</f>
        <v>0</v>
      </c>
      <c r="W52">
        <f>Master!M52</f>
        <v>0</v>
      </c>
      <c r="Y52">
        <f>Master!N52</f>
        <v>0</v>
      </c>
      <c r="AA52">
        <f>Master!O52</f>
        <v>0</v>
      </c>
      <c r="AC52">
        <f>Master!P52</f>
        <v>0</v>
      </c>
      <c r="AE52">
        <f>Master!Q52</f>
        <v>0</v>
      </c>
      <c r="AG52">
        <f>Master!R52</f>
        <v>0</v>
      </c>
      <c r="AI52">
        <f>Master!S52</f>
        <v>0</v>
      </c>
      <c r="AK52">
        <f>Master!T52</f>
        <v>0</v>
      </c>
      <c r="AM52">
        <f>Master!U52</f>
        <v>0</v>
      </c>
      <c r="AO52">
        <f>Master!V52</f>
        <v>0</v>
      </c>
    </row>
    <row r="53" spans="1:41" x14ac:dyDescent="0.25">
      <c r="A53" t="str">
        <f>Master!A53</f>
        <v>Net cash flows from operating activities</v>
      </c>
      <c r="B53" t="str">
        <f>Master!B53</f>
        <v>0s</v>
      </c>
      <c r="C53">
        <f>Master!C53</f>
        <v>2247520</v>
      </c>
      <c r="E53">
        <f>Master!D53</f>
        <v>1656293</v>
      </c>
      <c r="G53">
        <f>Master!E53</f>
        <v>313346</v>
      </c>
      <c r="I53">
        <f>Master!F53</f>
        <v>-318131</v>
      </c>
      <c r="K53">
        <f>Master!G53</f>
        <v>599865</v>
      </c>
      <c r="M53">
        <f>Master!H53</f>
        <v>266132</v>
      </c>
      <c r="O53">
        <f>Master!I53</f>
        <v>61456</v>
      </c>
      <c r="Q53">
        <f>Master!J53</f>
        <v>394580</v>
      </c>
      <c r="S53">
        <f>Master!K53</f>
        <v>7242</v>
      </c>
      <c r="U53">
        <f>Master!L53</f>
        <v>160757</v>
      </c>
      <c r="W53">
        <f>Master!M53</f>
        <v>220446</v>
      </c>
      <c r="Y53">
        <f>Master!N53</f>
        <v>3709</v>
      </c>
      <c r="AA53">
        <f>Master!O53</f>
        <v>183748</v>
      </c>
      <c r="AC53">
        <f>Master!P53</f>
        <v>51190</v>
      </c>
      <c r="AE53">
        <f>Master!Q53</f>
        <v>104784</v>
      </c>
      <c r="AG53">
        <f>Master!R53</f>
        <v>40414</v>
      </c>
      <c r="AI53">
        <f>Master!S53</f>
        <v>85841</v>
      </c>
      <c r="AK53">
        <f>Master!T53</f>
        <v>603062.5</v>
      </c>
      <c r="AM53">
        <f>Master!U53</f>
        <v>25878</v>
      </c>
      <c r="AO53">
        <f>Master!V53</f>
        <v>-16708</v>
      </c>
    </row>
    <row r="54" spans="1:41" x14ac:dyDescent="0.25">
      <c r="A54">
        <f>Master!A54</f>
        <v>0</v>
      </c>
      <c r="B54">
        <f>Master!B54</f>
        <v>0</v>
      </c>
      <c r="C54">
        <f>Master!C54</f>
        <v>0</v>
      </c>
      <c r="E54">
        <f>Master!D54</f>
        <v>0</v>
      </c>
      <c r="G54">
        <f>Master!E54</f>
        <v>0</v>
      </c>
      <c r="I54">
        <f>Master!F54</f>
        <v>0</v>
      </c>
      <c r="K54">
        <f>Master!G54</f>
        <v>0</v>
      </c>
      <c r="M54">
        <f>Master!H54</f>
        <v>0</v>
      </c>
      <c r="O54">
        <f>Master!I54</f>
        <v>0</v>
      </c>
      <c r="Q54">
        <f>Master!J54</f>
        <v>0</v>
      </c>
      <c r="S54">
        <f>Master!K54</f>
        <v>0</v>
      </c>
      <c r="U54">
        <f>Master!L54</f>
        <v>0</v>
      </c>
      <c r="W54">
        <f>Master!M54</f>
        <v>0</v>
      </c>
      <c r="Y54">
        <f>Master!N54</f>
        <v>0</v>
      </c>
      <c r="AA54">
        <f>Master!O54</f>
        <v>0</v>
      </c>
      <c r="AC54">
        <f>Master!P54</f>
        <v>0</v>
      </c>
      <c r="AE54">
        <f>Master!Q54</f>
        <v>0</v>
      </c>
      <c r="AG54">
        <f>Master!R54</f>
        <v>0</v>
      </c>
      <c r="AI54">
        <f>Master!S54</f>
        <v>0</v>
      </c>
      <c r="AK54">
        <f>Master!T54</f>
        <v>0</v>
      </c>
      <c r="AM54">
        <f>Master!U54</f>
        <v>0</v>
      </c>
      <c r="AO54">
        <f>Master!V54</f>
        <v>0</v>
      </c>
    </row>
    <row r="55" spans="1:41" x14ac:dyDescent="0.25">
      <c r="A55" t="str">
        <f>Master!A55</f>
        <v>Cash flows from investing activities</v>
      </c>
      <c r="B55" t="str">
        <f>Master!B55</f>
        <v>0h</v>
      </c>
      <c r="C55">
        <f>Master!C55</f>
        <v>0</v>
      </c>
      <c r="E55">
        <f>Master!D55</f>
        <v>0</v>
      </c>
      <c r="G55">
        <f>Master!E55</f>
        <v>0</v>
      </c>
      <c r="I55">
        <f>Master!F55</f>
        <v>0</v>
      </c>
      <c r="K55">
        <f>Master!G55</f>
        <v>0</v>
      </c>
      <c r="M55">
        <f>Master!H55</f>
        <v>0</v>
      </c>
      <c r="O55">
        <f>Master!I55</f>
        <v>0</v>
      </c>
      <c r="Q55">
        <f>Master!J55</f>
        <v>0</v>
      </c>
      <c r="S55">
        <f>Master!K55</f>
        <v>0</v>
      </c>
      <c r="U55">
        <f>Master!L55</f>
        <v>0</v>
      </c>
      <c r="W55">
        <f>Master!M55</f>
        <v>0</v>
      </c>
      <c r="Y55">
        <f>Master!N55</f>
        <v>0</v>
      </c>
      <c r="AA55">
        <f>Master!O55</f>
        <v>0</v>
      </c>
      <c r="AC55">
        <f>Master!P55</f>
        <v>0</v>
      </c>
      <c r="AE55">
        <f>Master!Q55</f>
        <v>0</v>
      </c>
      <c r="AG55">
        <f>Master!R55</f>
        <v>0</v>
      </c>
      <c r="AI55">
        <f>Master!S55</f>
        <v>0</v>
      </c>
      <c r="AK55">
        <f>Master!T55</f>
        <v>0</v>
      </c>
      <c r="AM55">
        <f>Master!U55</f>
        <v>0</v>
      </c>
      <c r="AO55">
        <f>Master!V55</f>
        <v>0</v>
      </c>
    </row>
    <row r="56" spans="1:41" x14ac:dyDescent="0.25">
      <c r="A56" t="str">
        <f>Master!A56</f>
        <v>Sale (purchase) of fixed assets</v>
      </c>
      <c r="B56">
        <f>Master!B56</f>
        <v>1</v>
      </c>
      <c r="C56">
        <f>Master!C56</f>
        <v>0</v>
      </c>
      <c r="E56">
        <f>Master!D56</f>
        <v>0</v>
      </c>
      <c r="G56">
        <f>Master!E56</f>
        <v>0</v>
      </c>
      <c r="I56">
        <f>Master!F56</f>
        <v>0</v>
      </c>
      <c r="K56">
        <f>Master!G56</f>
        <v>0</v>
      </c>
      <c r="M56">
        <f>Master!H56</f>
        <v>0</v>
      </c>
      <c r="O56">
        <f>Master!I56</f>
        <v>0</v>
      </c>
      <c r="Q56">
        <f>Master!J56</f>
        <v>0</v>
      </c>
      <c r="S56">
        <f>Master!K56</f>
        <v>0</v>
      </c>
      <c r="U56">
        <f>Master!L56</f>
        <v>0</v>
      </c>
      <c r="W56">
        <f>Master!M56</f>
        <v>0</v>
      </c>
      <c r="Y56">
        <f>Master!N56</f>
        <v>0</v>
      </c>
      <c r="AA56">
        <f>Master!O56</f>
        <v>0</v>
      </c>
      <c r="AC56">
        <f>Master!P56</f>
        <v>0</v>
      </c>
      <c r="AE56">
        <f>Master!Q56</f>
        <v>0</v>
      </c>
      <c r="AG56">
        <f>Master!R56</f>
        <v>0</v>
      </c>
      <c r="AI56">
        <f>Master!S56</f>
        <v>0</v>
      </c>
      <c r="AK56">
        <f>Master!T56</f>
        <v>0</v>
      </c>
      <c r="AM56">
        <f>Master!U56</f>
        <v>0</v>
      </c>
      <c r="AO56">
        <f>Master!V56</f>
        <v>0</v>
      </c>
    </row>
    <row r="57" spans="1:41" x14ac:dyDescent="0.25">
      <c r="A57" t="str">
        <f>Master!A57</f>
        <v>Net cash flows from investing activities</v>
      </c>
      <c r="B57" t="str">
        <f>Master!B57</f>
        <v>0s</v>
      </c>
      <c r="C57">
        <f>Master!C57</f>
        <v>0</v>
      </c>
      <c r="E57">
        <f>Master!D57</f>
        <v>0</v>
      </c>
      <c r="G57">
        <f>Master!E57</f>
        <v>0</v>
      </c>
      <c r="I57">
        <f>Master!F57</f>
        <v>0</v>
      </c>
      <c r="K57">
        <f>Master!G57</f>
        <v>0</v>
      </c>
      <c r="M57">
        <f>Master!H57</f>
        <v>0</v>
      </c>
      <c r="O57">
        <f>Master!I57</f>
        <v>-150000</v>
      </c>
      <c r="P57" t="s">
        <v>226</v>
      </c>
      <c r="Q57">
        <f>Master!J57</f>
        <v>0</v>
      </c>
      <c r="S57">
        <f>Master!K57</f>
        <v>0</v>
      </c>
      <c r="U57">
        <f>Master!L57</f>
        <v>0</v>
      </c>
      <c r="W57">
        <f>Master!M57</f>
        <v>0</v>
      </c>
      <c r="Y57">
        <f>Master!N57</f>
        <v>0</v>
      </c>
      <c r="AA57">
        <f>Master!O57</f>
        <v>0</v>
      </c>
      <c r="AC57">
        <f>Master!P57</f>
        <v>0</v>
      </c>
      <c r="AE57">
        <f>Master!Q57</f>
        <v>0</v>
      </c>
      <c r="AG57">
        <f>Master!R57</f>
        <v>0</v>
      </c>
      <c r="AI57">
        <f>Master!S57</f>
        <v>0</v>
      </c>
      <c r="AK57">
        <f>Master!T57</f>
        <v>0</v>
      </c>
      <c r="AM57">
        <f>Master!U57</f>
        <v>0</v>
      </c>
      <c r="AO57">
        <f>Master!V57</f>
        <v>0</v>
      </c>
    </row>
    <row r="58" spans="1:41" x14ac:dyDescent="0.25">
      <c r="A58">
        <f>Master!A58</f>
        <v>0</v>
      </c>
      <c r="B58">
        <f>Master!B58</f>
        <v>0</v>
      </c>
      <c r="C58">
        <f>Master!C58</f>
        <v>0</v>
      </c>
      <c r="E58">
        <f>Master!D58</f>
        <v>0</v>
      </c>
      <c r="G58">
        <f>Master!E58</f>
        <v>0</v>
      </c>
      <c r="I58">
        <f>Master!F58</f>
        <v>0</v>
      </c>
      <c r="K58">
        <f>Master!G58</f>
        <v>0</v>
      </c>
      <c r="M58">
        <f>Master!H58</f>
        <v>0</v>
      </c>
      <c r="O58">
        <f>Master!I58</f>
        <v>0</v>
      </c>
      <c r="Q58">
        <f>Master!J58</f>
        <v>0</v>
      </c>
      <c r="S58">
        <f>Master!K58</f>
        <v>0</v>
      </c>
      <c r="U58">
        <f>Master!L58</f>
        <v>0</v>
      </c>
      <c r="W58">
        <f>Master!M58</f>
        <v>0</v>
      </c>
      <c r="Y58">
        <f>Master!N58</f>
        <v>0</v>
      </c>
      <c r="AA58">
        <f>Master!O58</f>
        <v>0</v>
      </c>
      <c r="AC58">
        <f>Master!P58</f>
        <v>0</v>
      </c>
      <c r="AE58">
        <f>Master!Q58</f>
        <v>0</v>
      </c>
      <c r="AG58">
        <f>Master!R58</f>
        <v>0</v>
      </c>
      <c r="AI58">
        <f>Master!S58</f>
        <v>0</v>
      </c>
      <c r="AK58">
        <f>Master!T58</f>
        <v>0</v>
      </c>
      <c r="AM58">
        <f>Master!U58</f>
        <v>0</v>
      </c>
      <c r="AO58">
        <f>Master!V58</f>
        <v>0</v>
      </c>
    </row>
    <row r="59" spans="1:41" x14ac:dyDescent="0.25">
      <c r="A59" t="str">
        <f>Master!A59</f>
        <v>Cash flows from financing activities</v>
      </c>
      <c r="B59">
        <f>Master!B59</f>
        <v>0</v>
      </c>
      <c r="C59">
        <f>Master!C59</f>
        <v>0</v>
      </c>
      <c r="E59">
        <f>Master!D59</f>
        <v>0</v>
      </c>
      <c r="G59">
        <f>Master!E59</f>
        <v>0</v>
      </c>
      <c r="I59">
        <f>Master!F59</f>
        <v>0</v>
      </c>
      <c r="K59">
        <f>Master!G59</f>
        <v>0</v>
      </c>
      <c r="M59">
        <f>Master!H59</f>
        <v>0</v>
      </c>
      <c r="O59">
        <f>Master!I59</f>
        <v>0</v>
      </c>
      <c r="Q59">
        <f>Master!J59</f>
        <v>0</v>
      </c>
      <c r="S59">
        <f>Master!K59</f>
        <v>0</v>
      </c>
      <c r="U59">
        <f>Master!L59</f>
        <v>0</v>
      </c>
      <c r="W59">
        <f>Master!M59</f>
        <v>0</v>
      </c>
      <c r="Y59">
        <f>Master!N59</f>
        <v>0</v>
      </c>
      <c r="AA59">
        <f>Master!O59</f>
        <v>0</v>
      </c>
      <c r="AC59">
        <f>Master!P59</f>
        <v>0</v>
      </c>
      <c r="AE59">
        <f>Master!Q59</f>
        <v>0</v>
      </c>
      <c r="AG59">
        <f>Master!R59</f>
        <v>0</v>
      </c>
      <c r="AI59">
        <f>Master!S59</f>
        <v>0</v>
      </c>
      <c r="AK59">
        <f>Master!T59</f>
        <v>0</v>
      </c>
      <c r="AM59">
        <f>Master!U59</f>
        <v>0</v>
      </c>
      <c r="AO59">
        <f>Master!V59</f>
        <v>0</v>
      </c>
    </row>
    <row r="60" spans="1:41" x14ac:dyDescent="0.25">
      <c r="A60" t="str">
        <f>Master!A60</f>
        <v>Purchases of treasury shares</v>
      </c>
      <c r="B60">
        <f>Master!B60</f>
        <v>1</v>
      </c>
      <c r="C60">
        <f>Master!C60</f>
        <v>0</v>
      </c>
      <c r="E60">
        <f>Master!D60</f>
        <v>-614050</v>
      </c>
      <c r="G60">
        <f>Master!E60</f>
        <v>0</v>
      </c>
      <c r="I60">
        <f>Master!F60</f>
        <v>0</v>
      </c>
      <c r="K60">
        <f>Master!G60</f>
        <v>0</v>
      </c>
      <c r="M60">
        <f>Master!H60</f>
        <v>0</v>
      </c>
      <c r="O60">
        <f>Master!I60</f>
        <v>0</v>
      </c>
      <c r="Q60">
        <f>Master!J60</f>
        <v>0</v>
      </c>
      <c r="S60">
        <f>Master!K60</f>
        <v>0</v>
      </c>
      <c r="U60">
        <f>Master!L60</f>
        <v>0</v>
      </c>
      <c r="W60">
        <f>Master!M60</f>
        <v>0</v>
      </c>
      <c r="Y60">
        <f>Master!N60</f>
        <v>0</v>
      </c>
      <c r="AA60">
        <f>Master!O60</f>
        <v>0</v>
      </c>
      <c r="AC60">
        <f>Master!P60</f>
        <v>0</v>
      </c>
      <c r="AE60">
        <f>Master!Q60</f>
        <v>0</v>
      </c>
      <c r="AG60">
        <f>Master!R60</f>
        <v>0</v>
      </c>
      <c r="AI60">
        <f>Master!S60</f>
        <v>0</v>
      </c>
      <c r="AK60">
        <f>Master!T60</f>
        <v>0</v>
      </c>
      <c r="AM60">
        <f>Master!U60</f>
        <v>0</v>
      </c>
      <c r="AO60">
        <f>Master!V60</f>
        <v>0</v>
      </c>
    </row>
    <row r="61" spans="1:41" x14ac:dyDescent="0.25">
      <c r="A61" t="str">
        <f>Master!A61</f>
        <v>Repurchase of common stock</v>
      </c>
      <c r="B61">
        <f>Master!B61</f>
        <v>1</v>
      </c>
      <c r="C61">
        <f>Master!C61</f>
        <v>0</v>
      </c>
      <c r="E61">
        <f>Master!D61</f>
        <v>0</v>
      </c>
      <c r="G61">
        <f>Master!E61</f>
        <v>0</v>
      </c>
      <c r="I61">
        <f>Master!F61</f>
        <v>0</v>
      </c>
      <c r="K61">
        <f>Master!G61</f>
        <v>0</v>
      </c>
      <c r="M61">
        <f>Master!H61</f>
        <v>0</v>
      </c>
      <c r="O61">
        <f>Master!I61</f>
        <v>0</v>
      </c>
      <c r="Q61">
        <f>Master!J61</f>
        <v>0</v>
      </c>
      <c r="S61">
        <f>Master!K61</f>
        <v>0</v>
      </c>
      <c r="U61">
        <f>Master!L61</f>
        <v>0</v>
      </c>
      <c r="W61">
        <f>Master!M61</f>
        <v>0</v>
      </c>
      <c r="Y61">
        <f>Master!N61</f>
        <v>0</v>
      </c>
      <c r="AA61">
        <f>Master!O61</f>
        <v>0</v>
      </c>
      <c r="AC61">
        <f>Master!P61</f>
        <v>0</v>
      </c>
      <c r="AE61">
        <f>Master!Q61</f>
        <v>0</v>
      </c>
      <c r="AG61">
        <f>Master!R61</f>
        <v>0</v>
      </c>
      <c r="AI61">
        <f>Master!S61</f>
        <v>0</v>
      </c>
      <c r="AK61">
        <f>Master!T61</f>
        <v>0</v>
      </c>
      <c r="AM61">
        <f>Master!U61</f>
        <v>0</v>
      </c>
      <c r="AO61">
        <f>Master!V61</f>
        <v>0</v>
      </c>
    </row>
    <row r="62" spans="1:41" x14ac:dyDescent="0.25">
      <c r="A62" t="str">
        <f>Master!A62</f>
        <v>Proceeds from exercise of stock options</v>
      </c>
      <c r="B62">
        <f>Master!B62</f>
        <v>1</v>
      </c>
      <c r="C62">
        <f>Master!C62</f>
        <v>0</v>
      </c>
      <c r="E62">
        <f>Master!D62</f>
        <v>0</v>
      </c>
      <c r="G62">
        <f>Master!E62</f>
        <v>0</v>
      </c>
      <c r="I62">
        <f>Master!F62</f>
        <v>0</v>
      </c>
      <c r="K62">
        <f>Master!G62</f>
        <v>0</v>
      </c>
      <c r="M62">
        <f>Master!H62</f>
        <v>0</v>
      </c>
      <c r="O62">
        <f>Master!I62</f>
        <v>0</v>
      </c>
      <c r="Q62">
        <f>Master!J62</f>
        <v>0</v>
      </c>
      <c r="S62">
        <f>Master!K62</f>
        <v>0</v>
      </c>
      <c r="U62">
        <f>Master!L62</f>
        <v>0</v>
      </c>
      <c r="W62">
        <f>Master!M62</f>
        <v>0</v>
      </c>
      <c r="Y62">
        <f>Master!N62</f>
        <v>0</v>
      </c>
      <c r="AA62">
        <f>Master!O62</f>
        <v>0</v>
      </c>
      <c r="AC62">
        <f>Master!P62</f>
        <v>0</v>
      </c>
      <c r="AE62">
        <f>Master!Q62</f>
        <v>0</v>
      </c>
      <c r="AG62">
        <f>Master!R62</f>
        <v>0</v>
      </c>
      <c r="AI62">
        <f>Master!S62</f>
        <v>0</v>
      </c>
      <c r="AK62">
        <f>Master!T62</f>
        <v>0</v>
      </c>
      <c r="AM62">
        <f>Master!U62</f>
        <v>0</v>
      </c>
      <c r="AO62">
        <f>Master!V62</f>
        <v>0</v>
      </c>
    </row>
    <row r="63" spans="1:41" x14ac:dyDescent="0.25">
      <c r="A63" t="str">
        <f>Master!A63</f>
        <v>New debt incurred (repayed)</v>
      </c>
      <c r="B63">
        <f>Master!B63</f>
        <v>1</v>
      </c>
      <c r="C63">
        <f>Master!C63</f>
        <v>0</v>
      </c>
      <c r="E63">
        <f>Master!D63</f>
        <v>0</v>
      </c>
      <c r="G63">
        <f>Master!E63</f>
        <v>-600000</v>
      </c>
      <c r="I63">
        <f>Master!F63</f>
        <v>-614050</v>
      </c>
      <c r="K63">
        <f>Master!G63</f>
        <v>-1200000</v>
      </c>
      <c r="M63">
        <f>Master!H63</f>
        <v>0</v>
      </c>
      <c r="O63">
        <f>Master!I63</f>
        <v>0</v>
      </c>
      <c r="Q63">
        <f>Master!J63</f>
        <v>0</v>
      </c>
      <c r="S63">
        <f>Master!K63</f>
        <v>0</v>
      </c>
      <c r="U63">
        <f>Master!L63</f>
        <v>0</v>
      </c>
      <c r="W63">
        <f>Master!M63</f>
        <v>900000</v>
      </c>
      <c r="Y63">
        <f>Master!N63</f>
        <v>0</v>
      </c>
      <c r="AA63">
        <f>Master!O63</f>
        <v>0</v>
      </c>
      <c r="AC63">
        <f>Master!P63</f>
        <v>0</v>
      </c>
      <c r="AE63">
        <f>Master!Q63</f>
        <v>0</v>
      </c>
      <c r="AG63">
        <f>Master!R63</f>
        <v>900000</v>
      </c>
      <c r="AI63">
        <f>Master!S63</f>
        <v>0</v>
      </c>
      <c r="AK63">
        <f>Master!T63</f>
        <v>0</v>
      </c>
      <c r="AM63">
        <f>Master!U63</f>
        <v>61405</v>
      </c>
      <c r="AO63">
        <f>Master!V63</f>
        <v>0</v>
      </c>
    </row>
    <row r="64" spans="1:41" x14ac:dyDescent="0.25">
      <c r="A64" t="str">
        <f>Master!A64</f>
        <v>Dividend payment</v>
      </c>
      <c r="B64">
        <f>Master!B64</f>
        <v>1</v>
      </c>
      <c r="C64">
        <f>Master!C64</f>
        <v>0</v>
      </c>
      <c r="E64">
        <f>Master!D64</f>
        <v>0</v>
      </c>
      <c r="G64">
        <f>Master!E64</f>
        <v>0</v>
      </c>
      <c r="I64">
        <f>Master!F64</f>
        <v>0</v>
      </c>
      <c r="K64">
        <f>Master!G64</f>
        <v>0</v>
      </c>
      <c r="M64">
        <f>Master!H64</f>
        <v>0</v>
      </c>
      <c r="O64">
        <f>Master!I64</f>
        <v>0</v>
      </c>
      <c r="Q64">
        <f>Master!J64</f>
        <v>0</v>
      </c>
      <c r="S64">
        <f>Master!K64</f>
        <v>0</v>
      </c>
      <c r="U64">
        <f>Master!L64</f>
        <v>0</v>
      </c>
      <c r="W64">
        <f>Master!M64</f>
        <v>0</v>
      </c>
      <c r="Y64">
        <f>Master!N64</f>
        <v>-927.25</v>
      </c>
      <c r="Z64" t="s">
        <v>231</v>
      </c>
      <c r="AA64">
        <f>Master!O64</f>
        <v>0</v>
      </c>
      <c r="AC64">
        <f>Master!P64</f>
        <v>0</v>
      </c>
      <c r="AE64">
        <f>Master!Q64</f>
        <v>0</v>
      </c>
      <c r="AG64">
        <f>Master!R64</f>
        <v>0</v>
      </c>
      <c r="AI64">
        <f>Master!S64</f>
        <v>0</v>
      </c>
      <c r="AK64">
        <f>Master!T64</f>
        <v>0</v>
      </c>
      <c r="AM64">
        <f>Master!U64</f>
        <v>-48000</v>
      </c>
      <c r="AN64" t="s">
        <v>272</v>
      </c>
      <c r="AO64">
        <f>Master!V64</f>
        <v>0</v>
      </c>
    </row>
    <row r="65" spans="1:41" x14ac:dyDescent="0.25">
      <c r="A65" t="str">
        <f>Master!A65</f>
        <v>Proceeds from issuance (repurchase) of long-term debt</v>
      </c>
      <c r="B65">
        <f>Master!B65</f>
        <v>1</v>
      </c>
      <c r="C65">
        <f>Master!C65</f>
        <v>-614050</v>
      </c>
      <c r="E65">
        <f>Master!D65</f>
        <v>-614050</v>
      </c>
      <c r="G65">
        <f>Master!E65</f>
        <v>0</v>
      </c>
      <c r="I65">
        <f>Master!F65</f>
        <v>0</v>
      </c>
      <c r="K65">
        <f>Master!G65</f>
        <v>0</v>
      </c>
      <c r="M65">
        <f>Master!H65</f>
        <v>0</v>
      </c>
      <c r="O65">
        <f>Master!I65</f>
        <v>0</v>
      </c>
      <c r="Q65">
        <f>Master!J65</f>
        <v>0</v>
      </c>
      <c r="S65">
        <f>Master!K65</f>
        <v>0</v>
      </c>
      <c r="U65">
        <f>Master!L65</f>
        <v>0</v>
      </c>
      <c r="W65">
        <f>Master!M65</f>
        <v>0</v>
      </c>
      <c r="Y65">
        <f>Master!N65</f>
        <v>0</v>
      </c>
      <c r="AA65">
        <f>Master!O65</f>
        <v>0</v>
      </c>
      <c r="AC65">
        <f>Master!P65</f>
        <v>0</v>
      </c>
      <c r="AE65">
        <f>Master!Q65</f>
        <v>0</v>
      </c>
      <c r="AG65">
        <f>Master!R65</f>
        <v>0</v>
      </c>
      <c r="AI65">
        <f>Master!S65</f>
        <v>0</v>
      </c>
      <c r="AK65">
        <f>Master!T65</f>
        <v>0</v>
      </c>
      <c r="AM65">
        <f>Master!U65</f>
        <v>0</v>
      </c>
      <c r="AO65">
        <f>Master!V65</f>
        <v>0</v>
      </c>
    </row>
    <row r="66" spans="1:41" x14ac:dyDescent="0.25">
      <c r="A66" t="str">
        <f>Master!A66</f>
        <v>Net cash flows from financing activities</v>
      </c>
      <c r="B66" t="str">
        <f>Master!B66</f>
        <v>0s</v>
      </c>
      <c r="C66">
        <f>Master!C66</f>
        <v>-614050</v>
      </c>
      <c r="E66">
        <f>Master!D66</f>
        <v>-1228100</v>
      </c>
      <c r="G66">
        <f>Master!E66</f>
        <v>-600000</v>
      </c>
      <c r="I66">
        <f>Master!F66</f>
        <v>-614050</v>
      </c>
      <c r="K66">
        <f>Master!G66</f>
        <v>-1200000</v>
      </c>
      <c r="M66">
        <f>Master!H66</f>
        <v>0</v>
      </c>
      <c r="O66">
        <f>Master!I66</f>
        <v>0</v>
      </c>
      <c r="Q66">
        <f>Master!J66</f>
        <v>0</v>
      </c>
      <c r="S66">
        <f>Master!K66</f>
        <v>0</v>
      </c>
      <c r="U66">
        <f>Master!L66</f>
        <v>0</v>
      </c>
      <c r="W66">
        <f>Master!M66</f>
        <v>900000</v>
      </c>
      <c r="Y66">
        <f>Master!N66</f>
        <v>-927.25</v>
      </c>
      <c r="AA66">
        <f>Master!O66</f>
        <v>0</v>
      </c>
      <c r="AC66">
        <f>Master!P66</f>
        <v>0</v>
      </c>
      <c r="AE66">
        <f>Master!Q66</f>
        <v>0</v>
      </c>
      <c r="AG66">
        <f>Master!R66</f>
        <v>900000</v>
      </c>
      <c r="AI66">
        <f>Master!S66</f>
        <v>0</v>
      </c>
      <c r="AK66">
        <f>Master!T66</f>
        <v>0</v>
      </c>
      <c r="AM66">
        <f>Master!U66</f>
        <v>13405</v>
      </c>
      <c r="AO66">
        <f>Master!V66</f>
        <v>0</v>
      </c>
    </row>
    <row r="67" spans="1:41" x14ac:dyDescent="0.25">
      <c r="A67">
        <f>Master!A67</f>
        <v>0</v>
      </c>
      <c r="B67">
        <f>Master!B67</f>
        <v>0</v>
      </c>
      <c r="C67">
        <f>Master!C67</f>
        <v>0</v>
      </c>
      <c r="E67">
        <f>Master!D67</f>
        <v>0</v>
      </c>
      <c r="G67">
        <f>Master!E67</f>
        <v>0</v>
      </c>
      <c r="I67">
        <f>Master!F67</f>
        <v>0</v>
      </c>
      <c r="K67">
        <f>Master!G67</f>
        <v>0</v>
      </c>
      <c r="M67">
        <f>Master!H67</f>
        <v>0</v>
      </c>
      <c r="O67">
        <f>Master!I67</f>
        <v>0</v>
      </c>
      <c r="Q67">
        <f>Master!J67</f>
        <v>0</v>
      </c>
      <c r="S67">
        <f>Master!K67</f>
        <v>0</v>
      </c>
      <c r="U67">
        <f>Master!L67</f>
        <v>0</v>
      </c>
      <c r="W67">
        <f>Master!M67</f>
        <v>0</v>
      </c>
      <c r="Y67">
        <f>Master!N67</f>
        <v>0</v>
      </c>
      <c r="AA67">
        <f>Master!O67</f>
        <v>0</v>
      </c>
      <c r="AC67">
        <f>Master!P67</f>
        <v>0</v>
      </c>
      <c r="AE67">
        <f>Master!Q67</f>
        <v>0</v>
      </c>
      <c r="AG67">
        <f>Master!R67</f>
        <v>0</v>
      </c>
      <c r="AI67">
        <f>Master!S67</f>
        <v>0</v>
      </c>
      <c r="AK67">
        <f>Master!T67</f>
        <v>0</v>
      </c>
      <c r="AM67">
        <f>Master!U67</f>
        <v>0</v>
      </c>
      <c r="AO67">
        <f>Master!V67</f>
        <v>0</v>
      </c>
    </row>
    <row r="68" spans="1:41" x14ac:dyDescent="0.25">
      <c r="A68" t="str">
        <f>Master!A68</f>
        <v>Cash and cash equivalents: end of period</v>
      </c>
      <c r="B68">
        <f>Master!B68</f>
        <v>0</v>
      </c>
      <c r="C68">
        <f>Master!C68</f>
        <v>614050</v>
      </c>
      <c r="E68">
        <f>Master!D68</f>
        <v>614050</v>
      </c>
      <c r="G68">
        <f>Master!E68</f>
        <v>614050</v>
      </c>
      <c r="I68">
        <f>Master!F68</f>
        <v>614050</v>
      </c>
      <c r="K68">
        <f>Master!G68</f>
        <v>614050</v>
      </c>
      <c r="M68">
        <f>Master!H68</f>
        <v>614050</v>
      </c>
      <c r="O68">
        <f>Master!I68</f>
        <v>614050</v>
      </c>
      <c r="Q68">
        <f>Master!J68</f>
        <v>614050</v>
      </c>
      <c r="S68">
        <f>Master!K68</f>
        <v>614050</v>
      </c>
      <c r="U68">
        <f>Master!L68</f>
        <v>614050</v>
      </c>
      <c r="W68">
        <f>Master!M68</f>
        <v>614050</v>
      </c>
      <c r="Y68">
        <f>Master!N68</f>
        <v>614050</v>
      </c>
      <c r="AA68">
        <f>Master!O68</f>
        <v>614050</v>
      </c>
      <c r="AC68">
        <f>Master!P68</f>
        <v>614050</v>
      </c>
      <c r="AE68">
        <f>Master!Q68</f>
        <v>614050</v>
      </c>
      <c r="AG68">
        <f>Master!R68</f>
        <v>614050</v>
      </c>
      <c r="AI68">
        <f>Master!S68</f>
        <v>614050</v>
      </c>
      <c r="AK68">
        <f>Master!T68</f>
        <v>614050</v>
      </c>
      <c r="AM68">
        <f>Master!U68</f>
        <v>614050</v>
      </c>
      <c r="AO68">
        <f>Master!V68</f>
        <v>614050</v>
      </c>
    </row>
    <row r="69" spans="1:41" x14ac:dyDescent="0.25">
      <c r="A69">
        <f>Master!A69</f>
        <v>0</v>
      </c>
      <c r="B69">
        <f>Master!B69</f>
        <v>0</v>
      </c>
      <c r="C69">
        <f>Master!C69</f>
        <v>0</v>
      </c>
      <c r="E69">
        <f>Master!D69</f>
        <v>0</v>
      </c>
      <c r="G69">
        <f>Master!E69</f>
        <v>0</v>
      </c>
      <c r="I69">
        <f>Master!F69</f>
        <v>0</v>
      </c>
      <c r="K69">
        <f>Master!G69</f>
        <v>0</v>
      </c>
      <c r="M69">
        <f>Master!H69</f>
        <v>0</v>
      </c>
      <c r="O69">
        <f>Master!I69</f>
        <v>0</v>
      </c>
      <c r="Q69">
        <f>Master!J69</f>
        <v>0</v>
      </c>
      <c r="S69">
        <f>Master!K69</f>
        <v>0</v>
      </c>
      <c r="U69">
        <f>Master!L69</f>
        <v>0</v>
      </c>
      <c r="W69">
        <f>Master!M69</f>
        <v>0</v>
      </c>
      <c r="Y69">
        <f>Master!N69</f>
        <v>0</v>
      </c>
      <c r="AA69">
        <f>Master!O69</f>
        <v>0</v>
      </c>
      <c r="AC69">
        <f>Master!P69</f>
        <v>0</v>
      </c>
      <c r="AE69">
        <f>Master!Q69</f>
        <v>0</v>
      </c>
      <c r="AG69">
        <f>Master!R69</f>
        <v>0</v>
      </c>
      <c r="AI69">
        <f>Master!S69</f>
        <v>0</v>
      </c>
      <c r="AK69">
        <f>Master!T69</f>
        <v>0</v>
      </c>
      <c r="AM69">
        <f>Master!U69</f>
        <v>0</v>
      </c>
      <c r="AO69">
        <f>Master!V69</f>
        <v>0</v>
      </c>
    </row>
    <row r="70" spans="1:41" x14ac:dyDescent="0.25">
      <c r="A70">
        <f>Master!A70</f>
        <v>0</v>
      </c>
      <c r="B70">
        <f>Master!B70</f>
        <v>0</v>
      </c>
      <c r="C70">
        <f>Master!C70</f>
        <v>0</v>
      </c>
      <c r="E70">
        <f>Master!D70</f>
        <v>0</v>
      </c>
      <c r="G70">
        <f>Master!E70</f>
        <v>0</v>
      </c>
      <c r="I70">
        <f>Master!F70</f>
        <v>0</v>
      </c>
      <c r="K70">
        <f>Master!G70</f>
        <v>0</v>
      </c>
      <c r="M70">
        <f>Master!H70</f>
        <v>0</v>
      </c>
      <c r="O70">
        <f>Master!I70</f>
        <v>0</v>
      </c>
      <c r="Q70">
        <f>Master!J70</f>
        <v>0</v>
      </c>
      <c r="S70">
        <f>Master!K70</f>
        <v>0</v>
      </c>
      <c r="U70">
        <f>Master!L70</f>
        <v>0</v>
      </c>
      <c r="W70">
        <f>Master!M70</f>
        <v>0</v>
      </c>
      <c r="Y70">
        <f>Master!N70</f>
        <v>0</v>
      </c>
      <c r="AA70">
        <f>Master!O70</f>
        <v>0</v>
      </c>
      <c r="AC70">
        <f>Master!P70</f>
        <v>0</v>
      </c>
      <c r="AE70">
        <f>Master!Q70</f>
        <v>0</v>
      </c>
      <c r="AG70">
        <f>Master!R70</f>
        <v>0</v>
      </c>
      <c r="AI70">
        <f>Master!S70</f>
        <v>0</v>
      </c>
      <c r="AK70">
        <f>Master!T70</f>
        <v>0</v>
      </c>
      <c r="AM70">
        <f>Master!U70</f>
        <v>0</v>
      </c>
      <c r="AO70">
        <f>Master!V70</f>
        <v>0</v>
      </c>
    </row>
    <row r="71" spans="1:41" x14ac:dyDescent="0.25">
      <c r="A71" t="str">
        <f>Master!A71</f>
        <v>Statement of Assets \&amp; Liabilities</v>
      </c>
      <c r="B71" t="str">
        <f>Master!B71</f>
        <v>0m</v>
      </c>
      <c r="C71">
        <f>Master!C71</f>
        <v>0</v>
      </c>
      <c r="E71">
        <f>Master!D71</f>
        <v>0</v>
      </c>
      <c r="G71">
        <f>Master!E71</f>
        <v>0</v>
      </c>
      <c r="I71">
        <f>Master!F71</f>
        <v>0</v>
      </c>
      <c r="K71">
        <f>Master!G71</f>
        <v>0</v>
      </c>
      <c r="M71">
        <f>Master!H71</f>
        <v>0</v>
      </c>
      <c r="O71">
        <f>Master!I71</f>
        <v>0</v>
      </c>
      <c r="Q71">
        <f>Master!J71</f>
        <v>0</v>
      </c>
      <c r="S71">
        <f>Master!K71</f>
        <v>0</v>
      </c>
      <c r="U71">
        <f>Master!L71</f>
        <v>0</v>
      </c>
      <c r="W71">
        <f>Master!M71</f>
        <v>0</v>
      </c>
      <c r="Y71">
        <f>Master!N71</f>
        <v>0</v>
      </c>
      <c r="AA71">
        <f>Master!O71</f>
        <v>0</v>
      </c>
      <c r="AC71">
        <f>Master!P71</f>
        <v>0</v>
      </c>
      <c r="AE71">
        <f>Master!Q71</f>
        <v>0</v>
      </c>
      <c r="AG71">
        <f>Master!R71</f>
        <v>0</v>
      </c>
      <c r="AI71">
        <f>Master!S71</f>
        <v>0</v>
      </c>
      <c r="AK71">
        <f>Master!T71</f>
        <v>0</v>
      </c>
      <c r="AM71">
        <f>Master!U71</f>
        <v>0</v>
      </c>
      <c r="AO71">
        <f>Master!V71</f>
        <v>0</v>
      </c>
    </row>
    <row r="72" spans="1:41" x14ac:dyDescent="0.25">
      <c r="A72" t="str">
        <f>Master!A72</f>
        <v>Assets</v>
      </c>
      <c r="B72" t="str">
        <f>Master!B72</f>
        <v>0u</v>
      </c>
      <c r="C72">
        <f>Master!C72</f>
        <v>0</v>
      </c>
      <c r="E72">
        <f>Master!D72</f>
        <v>0</v>
      </c>
      <c r="G72">
        <f>Master!E72</f>
        <v>0</v>
      </c>
      <c r="I72">
        <f>Master!F72</f>
        <v>0</v>
      </c>
      <c r="K72">
        <f>Master!G72</f>
        <v>0</v>
      </c>
      <c r="M72">
        <f>Master!H72</f>
        <v>0</v>
      </c>
      <c r="O72">
        <f>Master!I72</f>
        <v>0</v>
      </c>
      <c r="Q72">
        <f>Master!J72</f>
        <v>0</v>
      </c>
      <c r="S72">
        <f>Master!K72</f>
        <v>0</v>
      </c>
      <c r="U72">
        <f>Master!L72</f>
        <v>0</v>
      </c>
      <c r="W72">
        <f>Master!M72</f>
        <v>0</v>
      </c>
      <c r="Y72">
        <f>Master!N72</f>
        <v>0</v>
      </c>
      <c r="AA72">
        <f>Master!O72</f>
        <v>0</v>
      </c>
      <c r="AC72">
        <f>Master!P72</f>
        <v>0</v>
      </c>
      <c r="AE72">
        <f>Master!Q72</f>
        <v>0</v>
      </c>
      <c r="AG72">
        <f>Master!R72</f>
        <v>0</v>
      </c>
      <c r="AI72">
        <f>Master!S72</f>
        <v>0</v>
      </c>
      <c r="AK72">
        <f>Master!T72</f>
        <v>0</v>
      </c>
      <c r="AM72">
        <f>Master!U72</f>
        <v>0</v>
      </c>
      <c r="AO72">
        <f>Master!V72</f>
        <v>0</v>
      </c>
    </row>
    <row r="73" spans="1:41" x14ac:dyDescent="0.25">
      <c r="A73" t="str">
        <f>Master!A73</f>
        <v>Current assets</v>
      </c>
      <c r="B73" t="str">
        <f>Master!B73</f>
        <v>0h</v>
      </c>
      <c r="C73">
        <f>Master!C73</f>
        <v>0</v>
      </c>
      <c r="E73">
        <f>Master!D73</f>
        <v>0</v>
      </c>
      <c r="G73">
        <f>Master!E73</f>
        <v>0</v>
      </c>
      <c r="I73">
        <f>Master!F73</f>
        <v>0</v>
      </c>
      <c r="K73">
        <f>Master!G73</f>
        <v>0</v>
      </c>
      <c r="M73">
        <f>Master!H73</f>
        <v>0</v>
      </c>
      <c r="O73">
        <f>Master!I73</f>
        <v>0</v>
      </c>
      <c r="Q73">
        <f>Master!J73</f>
        <v>0</v>
      </c>
      <c r="S73">
        <f>Master!K73</f>
        <v>0</v>
      </c>
      <c r="U73">
        <f>Master!L73</f>
        <v>0</v>
      </c>
      <c r="W73">
        <f>Master!M73</f>
        <v>0</v>
      </c>
      <c r="Y73">
        <f>Master!N73</f>
        <v>0</v>
      </c>
      <c r="AA73">
        <f>Master!O73</f>
        <v>0</v>
      </c>
      <c r="AC73">
        <f>Master!P73</f>
        <v>0</v>
      </c>
      <c r="AE73">
        <f>Master!Q73</f>
        <v>0</v>
      </c>
      <c r="AG73">
        <f>Master!R73</f>
        <v>0</v>
      </c>
      <c r="AI73">
        <f>Master!S73</f>
        <v>0</v>
      </c>
      <c r="AK73">
        <f>Master!T73</f>
        <v>0</v>
      </c>
      <c r="AM73">
        <f>Master!U73</f>
        <v>0</v>
      </c>
      <c r="AO73">
        <f>Master!V73</f>
        <v>0</v>
      </c>
    </row>
    <row r="74" spans="1:41" x14ac:dyDescent="0.25">
      <c r="A74" t="str">
        <f>Master!A74</f>
        <v>Cash and cash equivalents</v>
      </c>
      <c r="B74">
        <f>Master!B74</f>
        <v>1</v>
      </c>
      <c r="C74">
        <f>Master!C74</f>
        <v>614050</v>
      </c>
      <c r="E74">
        <f>Master!D74</f>
        <v>614050</v>
      </c>
      <c r="G74">
        <f>Master!E74</f>
        <v>614050</v>
      </c>
      <c r="I74">
        <f>Master!F74</f>
        <v>614050</v>
      </c>
      <c r="K74">
        <f>Master!G74</f>
        <v>614050</v>
      </c>
      <c r="M74">
        <f>Master!H74</f>
        <v>614050</v>
      </c>
      <c r="O74">
        <f>Master!I74</f>
        <v>614050</v>
      </c>
      <c r="Q74">
        <f>Master!J74</f>
        <v>614050</v>
      </c>
      <c r="S74">
        <f>Master!K74</f>
        <v>614050</v>
      </c>
      <c r="U74">
        <f>Master!L74</f>
        <v>614050</v>
      </c>
      <c r="W74">
        <f>Master!M74</f>
        <v>614050</v>
      </c>
      <c r="Y74">
        <f>Master!N74</f>
        <v>614050</v>
      </c>
      <c r="AA74">
        <f>Master!O74</f>
        <v>614050</v>
      </c>
      <c r="AC74">
        <f>Master!P74</f>
        <v>614050</v>
      </c>
      <c r="AE74">
        <f>Master!Q74</f>
        <v>614050</v>
      </c>
      <c r="AG74">
        <f>Master!R74</f>
        <v>614050</v>
      </c>
      <c r="AI74">
        <f>Master!S74</f>
        <v>614050</v>
      </c>
      <c r="AK74">
        <f>Master!T74</f>
        <v>614050</v>
      </c>
      <c r="AM74">
        <f>Master!U74</f>
        <v>614050</v>
      </c>
      <c r="AO74">
        <f>Master!V74</f>
        <v>614050</v>
      </c>
    </row>
    <row r="75" spans="1:41" x14ac:dyDescent="0.25">
      <c r="A75" t="str">
        <f>Master!A75</f>
        <v>Current portion of long-term loan assets</v>
      </c>
      <c r="B75">
        <f>Master!B75</f>
        <v>1</v>
      </c>
      <c r="C75">
        <f>Master!C75</f>
        <v>0</v>
      </c>
      <c r="E75">
        <f>Master!D75</f>
        <v>0</v>
      </c>
      <c r="G75">
        <f>Master!E75</f>
        <v>0</v>
      </c>
      <c r="I75">
        <f>Master!F75</f>
        <v>0</v>
      </c>
      <c r="K75">
        <f>Master!G75</f>
        <v>0</v>
      </c>
      <c r="M75">
        <f>Master!H75</f>
        <v>0</v>
      </c>
      <c r="O75">
        <f>Master!I75</f>
        <v>0</v>
      </c>
      <c r="Q75">
        <f>Master!J75</f>
        <v>0</v>
      </c>
      <c r="S75">
        <f>Master!K75</f>
        <v>0</v>
      </c>
      <c r="U75">
        <f>Master!L75</f>
        <v>0</v>
      </c>
      <c r="W75">
        <f>Master!M75</f>
        <v>0</v>
      </c>
      <c r="Y75">
        <f>Master!N75</f>
        <v>0</v>
      </c>
      <c r="AA75">
        <f>Master!O75</f>
        <v>0</v>
      </c>
      <c r="AC75">
        <f>Master!P75</f>
        <v>0</v>
      </c>
      <c r="AE75">
        <f>Master!Q75</f>
        <v>0</v>
      </c>
      <c r="AG75">
        <f>Master!R75</f>
        <v>0</v>
      </c>
      <c r="AI75">
        <f>Master!S75</f>
        <v>0</v>
      </c>
      <c r="AK75">
        <f>Master!T75</f>
        <v>0</v>
      </c>
      <c r="AM75">
        <f>Master!U75</f>
        <v>0</v>
      </c>
      <c r="AO75">
        <f>Master!V75</f>
        <v>0</v>
      </c>
    </row>
    <row r="76" spans="1:41" x14ac:dyDescent="0.25">
      <c r="A76" t="str">
        <f>Master!A76</f>
        <v>Accounts receivable</v>
      </c>
      <c r="B76">
        <f>Master!B76</f>
        <v>1</v>
      </c>
      <c r="C76">
        <f>Master!C76</f>
        <v>0</v>
      </c>
      <c r="E76">
        <f>Master!D76</f>
        <v>0</v>
      </c>
      <c r="G76">
        <f>Master!E76</f>
        <v>625000</v>
      </c>
      <c r="I76">
        <f>Master!F76</f>
        <v>250000</v>
      </c>
      <c r="K76">
        <f>Master!G76</f>
        <v>83300</v>
      </c>
      <c r="M76">
        <f>Master!H76</f>
        <v>375000</v>
      </c>
      <c r="O76">
        <f>Master!I76</f>
        <v>200000</v>
      </c>
      <c r="Q76">
        <f>Master!J76</f>
        <v>66600</v>
      </c>
      <c r="S76">
        <f>Master!K76</f>
        <v>16600</v>
      </c>
      <c r="U76">
        <f>Master!L76</f>
        <v>375000</v>
      </c>
      <c r="W76">
        <f>Master!M76</f>
        <v>0</v>
      </c>
      <c r="Y76">
        <f>Master!N76</f>
        <v>0</v>
      </c>
      <c r="AA76">
        <f>Master!O76</f>
        <v>0</v>
      </c>
      <c r="AC76">
        <f>Master!P76</f>
        <v>0</v>
      </c>
      <c r="AE76">
        <f>Master!Q76</f>
        <v>375000</v>
      </c>
      <c r="AG76">
        <f>Master!R76</f>
        <v>0</v>
      </c>
      <c r="AI76">
        <f>Master!S76</f>
        <v>0</v>
      </c>
      <c r="AK76">
        <f>Master!T76</f>
        <v>0</v>
      </c>
      <c r="AM76">
        <f>Master!U76</f>
        <v>0</v>
      </c>
      <c r="AO76">
        <f>Master!V76</f>
        <v>0</v>
      </c>
    </row>
    <row r="77" spans="1:41" x14ac:dyDescent="0.25">
      <c r="A77" t="str">
        <f>Master!A77</f>
        <v>Inventory</v>
      </c>
      <c r="B77">
        <f>Master!B77</f>
        <v>1</v>
      </c>
      <c r="C77">
        <f>Master!C77</f>
        <v>0</v>
      </c>
      <c r="E77">
        <f>Master!D77</f>
        <v>0</v>
      </c>
      <c r="G77">
        <f>Master!E77</f>
        <v>0</v>
      </c>
      <c r="I77">
        <f>Master!F77</f>
        <v>0</v>
      </c>
      <c r="K77">
        <f>Master!G77</f>
        <v>0</v>
      </c>
      <c r="M77">
        <f>Master!H77</f>
        <v>0</v>
      </c>
      <c r="O77">
        <f>Master!I77</f>
        <v>0</v>
      </c>
      <c r="Q77">
        <f>Master!J77</f>
        <v>0</v>
      </c>
      <c r="S77">
        <f>Master!K77</f>
        <v>0</v>
      </c>
      <c r="U77">
        <f>Master!L77</f>
        <v>288493</v>
      </c>
      <c r="W77">
        <f>Master!M77</f>
        <v>96164</v>
      </c>
      <c r="Y77">
        <f>Master!N77</f>
        <v>38466</v>
      </c>
      <c r="AA77">
        <f>Master!O77</f>
        <v>96164</v>
      </c>
      <c r="AC77">
        <f>Master!P77</f>
        <v>13973</v>
      </c>
      <c r="AE77">
        <f>Master!Q77</f>
        <v>98630</v>
      </c>
      <c r="AG77">
        <f>Master!R77</f>
        <v>34521</v>
      </c>
      <c r="AI77">
        <f>Master!S77</f>
        <v>118356</v>
      </c>
      <c r="AK77">
        <f>Master!T77</f>
        <v>2137</v>
      </c>
      <c r="AM77">
        <f>Master!U77</f>
        <v>44712</v>
      </c>
      <c r="AO77">
        <f>Master!V77</f>
        <v>2203</v>
      </c>
    </row>
    <row r="78" spans="1:41" x14ac:dyDescent="0.25">
      <c r="A78" t="str">
        <f>Master!A78</f>
        <v>Material inventory</v>
      </c>
      <c r="B78">
        <f>Master!B78</f>
        <v>1</v>
      </c>
      <c r="C78">
        <f>Master!C78</f>
        <v>0</v>
      </c>
      <c r="E78">
        <f>Master!D78</f>
        <v>0</v>
      </c>
      <c r="G78">
        <f>Master!E78</f>
        <v>47671</v>
      </c>
      <c r="H78" t="s">
        <v>236</v>
      </c>
      <c r="I78">
        <f>Master!F78</f>
        <v>0</v>
      </c>
      <c r="K78">
        <f>Master!G78</f>
        <v>53425</v>
      </c>
      <c r="L78" t="s">
        <v>236</v>
      </c>
      <c r="M78">
        <f>Master!H78</f>
        <v>39452</v>
      </c>
      <c r="N78" t="s">
        <v>236</v>
      </c>
      <c r="O78">
        <f>Master!I78</f>
        <v>51288</v>
      </c>
      <c r="P78" t="s">
        <v>236</v>
      </c>
      <c r="Q78">
        <f>Master!J78</f>
        <v>42740</v>
      </c>
      <c r="R78" t="s">
        <v>236</v>
      </c>
      <c r="S78">
        <f>Master!K78</f>
        <v>4493</v>
      </c>
      <c r="T78" t="s">
        <v>236</v>
      </c>
      <c r="U78">
        <f>Master!L78</f>
        <v>0</v>
      </c>
      <c r="W78">
        <f>Master!M78</f>
        <v>0</v>
      </c>
      <c r="Y78">
        <f>Master!N78</f>
        <v>0</v>
      </c>
      <c r="AA78">
        <f>Master!O78</f>
        <v>0</v>
      </c>
      <c r="AC78">
        <f>Master!P78</f>
        <v>0</v>
      </c>
      <c r="AE78">
        <f>Master!Q78</f>
        <v>0</v>
      </c>
      <c r="AG78">
        <f>Master!R78</f>
        <v>0</v>
      </c>
      <c r="AI78">
        <f>Master!S78</f>
        <v>0</v>
      </c>
      <c r="AK78">
        <f>Master!T78</f>
        <v>0</v>
      </c>
      <c r="AM78">
        <f>Master!U78</f>
        <v>0</v>
      </c>
      <c r="AO78">
        <f>Master!V78</f>
        <v>0</v>
      </c>
    </row>
    <row r="79" spans="1:41" x14ac:dyDescent="0.25">
      <c r="A79" t="str">
        <f>Master!A79</f>
        <v>Finished goods inventory</v>
      </c>
      <c r="B79">
        <f>Master!B79</f>
        <v>1</v>
      </c>
      <c r="C79">
        <f>Master!C79</f>
        <v>0</v>
      </c>
      <c r="E79">
        <f>Master!D79</f>
        <v>0</v>
      </c>
      <c r="G79">
        <f>Master!E79</f>
        <v>95342</v>
      </c>
      <c r="I79">
        <f>Master!F79</f>
        <v>0</v>
      </c>
      <c r="K79">
        <f>Master!G79</f>
        <v>106849</v>
      </c>
      <c r="M79">
        <f>Master!H79</f>
        <v>78904</v>
      </c>
      <c r="O79">
        <f>Master!I79</f>
        <v>102575</v>
      </c>
      <c r="Q79">
        <f>Master!J79</f>
        <v>85479</v>
      </c>
      <c r="S79">
        <f>Master!K79</f>
        <v>8986</v>
      </c>
      <c r="U79">
        <f>Master!L79</f>
        <v>0</v>
      </c>
      <c r="W79">
        <f>Master!M79</f>
        <v>0</v>
      </c>
      <c r="Y79">
        <f>Master!N79</f>
        <v>0</v>
      </c>
      <c r="AA79">
        <f>Master!O79</f>
        <v>0</v>
      </c>
      <c r="AC79">
        <f>Master!P79</f>
        <v>0</v>
      </c>
      <c r="AE79">
        <f>Master!Q79</f>
        <v>0</v>
      </c>
      <c r="AG79">
        <f>Master!R79</f>
        <v>0</v>
      </c>
      <c r="AI79">
        <f>Master!S79</f>
        <v>0</v>
      </c>
      <c r="AK79">
        <f>Master!T79</f>
        <v>0</v>
      </c>
      <c r="AM79">
        <f>Master!U79</f>
        <v>0</v>
      </c>
      <c r="AO79">
        <f>Master!V79</f>
        <v>0</v>
      </c>
    </row>
    <row r="80" spans="1:41" x14ac:dyDescent="0.25">
      <c r="A80" t="str">
        <f>Master!A80</f>
        <v>Inventories</v>
      </c>
      <c r="B80">
        <f>Master!B80</f>
        <v>0</v>
      </c>
      <c r="C80">
        <f>Master!C80</f>
        <v>0</v>
      </c>
      <c r="E80">
        <f>Master!D80</f>
        <v>0</v>
      </c>
      <c r="G80">
        <f>Master!E80</f>
        <v>0</v>
      </c>
      <c r="I80">
        <f>Master!F80</f>
        <v>0</v>
      </c>
      <c r="K80">
        <f>Master!G80</f>
        <v>0</v>
      </c>
      <c r="M80">
        <f>Master!H80</f>
        <v>0</v>
      </c>
      <c r="O80">
        <f>Master!I80</f>
        <v>0</v>
      </c>
      <c r="Q80">
        <f>Master!J80</f>
        <v>0</v>
      </c>
      <c r="S80">
        <f>Master!K80</f>
        <v>0</v>
      </c>
      <c r="U80">
        <f>Master!L80</f>
        <v>0</v>
      </c>
      <c r="W80">
        <f>Master!M80</f>
        <v>0</v>
      </c>
      <c r="Y80">
        <f>Master!N80</f>
        <v>0</v>
      </c>
      <c r="AA80">
        <f>Master!O80</f>
        <v>0</v>
      </c>
      <c r="AC80">
        <f>Master!P80</f>
        <v>0</v>
      </c>
      <c r="AE80">
        <f>Master!Q80</f>
        <v>0</v>
      </c>
      <c r="AG80">
        <f>Master!R80</f>
        <v>0</v>
      </c>
      <c r="AI80">
        <f>Master!S80</f>
        <v>0</v>
      </c>
      <c r="AK80">
        <f>Master!T80</f>
        <v>0</v>
      </c>
      <c r="AM80">
        <f>Master!U80</f>
        <v>0</v>
      </c>
      <c r="AO80">
        <f>Master!V80</f>
        <v>0</v>
      </c>
    </row>
    <row r="81" spans="1:44" x14ac:dyDescent="0.25">
      <c r="A81" t="str">
        <f>Master!A81</f>
        <v>Total current assets</v>
      </c>
      <c r="B81" t="str">
        <f>Master!B81</f>
        <v>0s</v>
      </c>
      <c r="C81">
        <f>Master!C81</f>
        <v>0</v>
      </c>
      <c r="D81" t="str">
        <f>IF(C$114=0,"Correct sum is "&amp;C81-C$116&amp;": off by "&amp;C$116&amp;"$\rightarrow$ \textcolor{red}{\textbf{"&amp;C$115&amp;"}}","")</f>
        <v/>
      </c>
      <c r="E81">
        <f>Master!D81</f>
        <v>0</v>
      </c>
      <c r="F81" t="str">
        <f>IF(E$114=0,"Correct sum is "&amp;E81-E$116&amp;": off by "&amp;E$116&amp;"$\rightarrow$ \textcolor{red}{\textbf{"&amp;E$115&amp;"}}","")</f>
        <v/>
      </c>
      <c r="G81">
        <f>Master!E81</f>
        <v>1382064</v>
      </c>
      <c r="H81" t="str">
        <f>IF(G$114=0,"\textcolor{soln-black}{Correct sum is "&amp;G81-G$116&amp;": off by "&amp;G$116&amp;"$\rightarrow$ \textcolor{red}{\textbf{"&amp;G$115&amp;"}}}","")</f>
        <v>\textcolor{soln-black}{Correct sum is 1382063: off by 1$\rightarrow$ \textcolor{red}{\textbf{A}}}</v>
      </c>
      <c r="I81">
        <f>Master!F81</f>
        <v>864050</v>
      </c>
      <c r="J81" t="str">
        <f>IF(I$114=0,"\textcolor{soln-black}{Correct sum is "&amp;I81-I$116&amp;": off by "&amp;I$116&amp;"$\rightarrow$ \textcolor{red}{\textbf{"&amp;I$115&amp;"}}}","")</f>
        <v/>
      </c>
      <c r="K81">
        <f>Master!G81</f>
        <v>857627</v>
      </c>
      <c r="L81" t="str">
        <f>IF(K$114=0,"\textcolor{soln-black}{Correct sum is "&amp;K81-K$116&amp;": off by "&amp;K$116&amp;"$\rightarrow$ \textcolor{red}{\textbf{"&amp;K$115&amp;"}}}","")</f>
        <v>\textcolor{soln-black}{Correct sum is 857624: off by 3$\rightarrow$ \textcolor{red}{\textbf{C}}}</v>
      </c>
      <c r="M81">
        <f>Master!H81</f>
        <v>1107406</v>
      </c>
      <c r="N81" t="str">
        <f>IF(M$114=0,"\textcolor{soln-black}{Correct sum is "&amp;M81-M$116&amp;": off by "&amp;M$116&amp;"$\rightarrow$ \textcolor{red}{\textbf{"&amp;M$115&amp;"}}}","")</f>
        <v/>
      </c>
      <c r="O81">
        <f>Master!I81</f>
        <v>967921</v>
      </c>
      <c r="P81" t="str">
        <f>IF(O$114=0,"\textcolor{soln-black}{Correct sum is "&amp;O81-O$116&amp;": off by "&amp;O$116&amp;"$\rightarrow$ \textcolor{red}{\textbf{"&amp;O$115&amp;"}}}","")</f>
        <v>\textcolor{soln-black}{Correct sum is 967913: off by 8$\rightarrow$ \textcolor{red}{\textbf{H}}}</v>
      </c>
      <c r="Q81">
        <f>Master!J81</f>
        <v>808869</v>
      </c>
      <c r="R81" t="str">
        <f>IF(Q$114=0,"\textcolor{soln-black}{Correct sum is "&amp;Q81-Q$116&amp;": off by "&amp;Q$116&amp;"$\rightarrow$ \textcolor{red}{\textbf{"&amp;Q$115&amp;"}}}","")</f>
        <v/>
      </c>
      <c r="S81">
        <f>Master!K81</f>
        <v>644129</v>
      </c>
      <c r="T81" t="str">
        <f>IF(S$114=0,"\textcolor{soln-black}{Correct sum is "&amp;S81-S$116&amp;": off by "&amp;S$116&amp;"$\rightarrow$ \textcolor{red}{\textbf{"&amp;S$115&amp;"}}}","")</f>
        <v/>
      </c>
      <c r="U81">
        <f>Master!L81</f>
        <v>1277543</v>
      </c>
      <c r="V81" t="str">
        <f>IF(U$114=0,"\textcolor{soln-black}{Correct sum is "&amp;U81-U$116&amp;": off by "&amp;U$116&amp;"$\rightarrow$ \textcolor{red}{\textbf{"&amp;U$115&amp;"}}}","")</f>
        <v/>
      </c>
      <c r="W81">
        <f>Master!M81</f>
        <v>710214</v>
      </c>
      <c r="X81" t="str">
        <f>IF(W$114=0,"\textcolor{soln-black}{Correct sum is "&amp;W81-W$116&amp;": off by "&amp;W$116&amp;"$\rightarrow$ \textcolor{red}{\textbf{"&amp;W$115&amp;"}}}","")</f>
        <v/>
      </c>
      <c r="Y81">
        <f>Master!N81</f>
        <v>652516</v>
      </c>
      <c r="Z81" t="str">
        <f>IF(Y$114=0,"\textcolor{soln-black}{Correct sum is "&amp;Y81-Y$116&amp;": off by "&amp;Y$116&amp;"$\rightarrow$ \textcolor{red}{\textbf{"&amp;Y$115&amp;"}}}","")</f>
        <v/>
      </c>
      <c r="AA81">
        <f>Master!O81</f>
        <v>710214</v>
      </c>
      <c r="AB81" t="str">
        <f>IF(AA$114=0,"\textcolor{soln-black}{Correct sum is "&amp;AA81-AA$116&amp;": off by "&amp;AA$116&amp;"$\rightarrow$ \textcolor{red}{\textbf{"&amp;AA$115&amp;"}}}","")</f>
        <v/>
      </c>
      <c r="AC81">
        <f>Master!P81</f>
        <v>628023</v>
      </c>
      <c r="AD81" t="str">
        <f>IF(AC$114=0,"\textcolor{soln-black}{Correct sum is "&amp;AC81-AC$116&amp;": off by "&amp;AC$116&amp;"$\rightarrow$ \textcolor{red}{\textbf{"&amp;AC$115&amp;"}}}","")</f>
        <v/>
      </c>
      <c r="AE81">
        <f>Master!Q81</f>
        <v>1087680</v>
      </c>
      <c r="AF81" t="str">
        <f>IF(AE$114=0,"\textcolor{soln-black}{Correct sum is "&amp;AE81-AE$116&amp;": off by "&amp;AE$116&amp;"$\rightarrow$ \textcolor{red}{\textbf{"&amp;AE$115&amp;"}}}","")</f>
        <v/>
      </c>
      <c r="AG81">
        <f>Master!R81</f>
        <v>648571</v>
      </c>
      <c r="AH81" t="str">
        <f>IF(AG$114=0,"\textcolor{soln-black}{Correct sum is "&amp;AG81-AG$116&amp;": off by "&amp;AG$116&amp;"$\rightarrow$ \textcolor{red}{\textbf{"&amp;AG$115&amp;"}}}","")</f>
        <v/>
      </c>
      <c r="AI81">
        <f>Master!S81</f>
        <v>732406</v>
      </c>
      <c r="AJ81" t="str">
        <f>IF(AI$114=0,"\textcolor{soln-black}{Correct sum is "&amp;AI81-AI$116&amp;": off by "&amp;AI$116&amp;"$\rightarrow$ \textcolor{red}{\textbf{"&amp;AI$115&amp;"}}}","")</f>
        <v/>
      </c>
      <c r="AK81">
        <f>Master!T81</f>
        <v>616187</v>
      </c>
      <c r="AL81" t="str">
        <f>IF(AK$114=0,"\textcolor{soln-black}{Correct sum is "&amp;AK81-AK$116&amp;": off by "&amp;AK$116&amp;"$\rightarrow$ \textcolor{red}{\textbf{"&amp;AK$115&amp;"}}}","")</f>
        <v/>
      </c>
      <c r="AM81">
        <f>Master!U81</f>
        <v>658762</v>
      </c>
      <c r="AN81" t="str">
        <f>IF(AM$114=0,"\textcolor{soln-black}{Correct sum is "&amp;AM81-AM$116&amp;": off by "&amp;AM$116&amp;"$\rightarrow$ \textcolor{red}{\textbf{"&amp;AM$115&amp;"}}}","")</f>
        <v/>
      </c>
      <c r="AO81">
        <f>Master!V81</f>
        <v>616253</v>
      </c>
      <c r="AP81" t="str">
        <f>IF(AO$114=0,"\textcolor{soln-black}{Correct sum is "&amp;AO81-AO$116&amp;": off by "&amp;AO$116&amp;"$\rightarrow$ \textcolor{red}{\textbf{"&amp;AO$115&amp;"}}}","")</f>
        <v/>
      </c>
    </row>
    <row r="82" spans="1:44" x14ac:dyDescent="0.25">
      <c r="A82">
        <f>Master!A82</f>
        <v>0</v>
      </c>
      <c r="B82">
        <f>Master!B82</f>
        <v>0</v>
      </c>
      <c r="C82">
        <f>Master!C82</f>
        <v>0</v>
      </c>
      <c r="E82">
        <f>Master!D82</f>
        <v>0</v>
      </c>
      <c r="G82">
        <f>Master!E82</f>
        <v>0</v>
      </c>
      <c r="I82">
        <f>Master!F82</f>
        <v>0</v>
      </c>
      <c r="K82">
        <f>Master!G82</f>
        <v>0</v>
      </c>
      <c r="M82">
        <f>Master!H82</f>
        <v>0</v>
      </c>
      <c r="O82">
        <f>Master!I82</f>
        <v>0</v>
      </c>
      <c r="Q82">
        <f>Master!J82</f>
        <v>0</v>
      </c>
      <c r="S82">
        <f>Master!K82</f>
        <v>0</v>
      </c>
      <c r="U82">
        <f>Master!L82</f>
        <v>0</v>
      </c>
      <c r="W82">
        <f>Master!M82</f>
        <v>0</v>
      </c>
      <c r="Y82">
        <f>Master!N82</f>
        <v>0</v>
      </c>
      <c r="AA82">
        <f>Master!O82</f>
        <v>0</v>
      </c>
      <c r="AC82">
        <f>Master!P82</f>
        <v>0</v>
      </c>
      <c r="AE82">
        <f>Master!Q82</f>
        <v>0</v>
      </c>
      <c r="AG82">
        <f>Master!R82</f>
        <v>0</v>
      </c>
      <c r="AI82">
        <f>Master!S82</f>
        <v>0</v>
      </c>
      <c r="AK82">
        <f>Master!T82</f>
        <v>0</v>
      </c>
      <c r="AM82">
        <f>Master!U82</f>
        <v>0</v>
      </c>
      <c r="AO82">
        <f>Master!V82</f>
        <v>0</v>
      </c>
    </row>
    <row r="83" spans="1:44" x14ac:dyDescent="0.25">
      <c r="A83" t="str">
        <f>Master!A83</f>
        <v>Property \&amp; fixed assets</v>
      </c>
      <c r="B83">
        <f>Master!B83</f>
        <v>1</v>
      </c>
      <c r="C83">
        <f>Master!C83</f>
        <v>532469</v>
      </c>
      <c r="E83">
        <f>Master!D83</f>
        <v>334339</v>
      </c>
      <c r="G83">
        <f>Master!E83</f>
        <v>15000000</v>
      </c>
      <c r="I83">
        <f>Master!F83</f>
        <v>61405000</v>
      </c>
      <c r="K83">
        <f>Master!G83</f>
        <v>7500000</v>
      </c>
      <c r="M83">
        <f>Master!H83</f>
        <v>4500000</v>
      </c>
      <c r="O83">
        <f>Master!I83</f>
        <v>150000</v>
      </c>
      <c r="Q83">
        <f>Master!J83</f>
        <v>2400000</v>
      </c>
      <c r="S83">
        <f>Master!K83</f>
        <v>600000</v>
      </c>
      <c r="U83">
        <f>Master!L83</f>
        <v>1800000</v>
      </c>
      <c r="W83">
        <f>Master!M83</f>
        <v>0</v>
      </c>
      <c r="Y83">
        <f>Master!N83</f>
        <v>0</v>
      </c>
      <c r="AA83">
        <f>Master!O83</f>
        <v>0</v>
      </c>
      <c r="AC83">
        <f>Master!P83</f>
        <v>600000</v>
      </c>
      <c r="AE83">
        <f>Master!Q83</f>
        <v>0</v>
      </c>
      <c r="AG83">
        <f>Master!R83</f>
        <v>0</v>
      </c>
      <c r="AI83">
        <f>Master!S83</f>
        <v>0</v>
      </c>
      <c r="AK83">
        <f>Master!T83</f>
        <v>614050</v>
      </c>
      <c r="AM83">
        <f>Master!U83</f>
        <v>0</v>
      </c>
      <c r="AO83">
        <f>Master!V83</f>
        <v>600</v>
      </c>
      <c r="AP83" t="s">
        <v>204</v>
      </c>
    </row>
    <row r="84" spans="1:44" x14ac:dyDescent="0.25">
      <c r="A84" t="str">
        <f>Master!A84</f>
        <v>Goodwill \&amp; Intangible assets</v>
      </c>
      <c r="B84">
        <f>Master!B84</f>
        <v>1</v>
      </c>
      <c r="C84">
        <f>Master!C84</f>
        <v>0</v>
      </c>
      <c r="D84" t="str">
        <f>IF(OR(C84=0,C84=""),"","Overpayment for acquisitions")</f>
        <v/>
      </c>
      <c r="E84">
        <f>Master!D84</f>
        <v>0</v>
      </c>
      <c r="F84" t="str">
        <f>IF(OR(E84=0,E84=""),"","Overpayment for acquisitions")</f>
        <v/>
      </c>
      <c r="G84">
        <f>Master!E84</f>
        <v>6140</v>
      </c>
      <c r="H84" t="str">
        <f>IF(OR(G84=0,G84=""),"","Overpayment for acquisitions")</f>
        <v>Overpayment for acquisitions</v>
      </c>
      <c r="I84">
        <f>Master!F84</f>
        <v>307025</v>
      </c>
      <c r="J84" t="str">
        <f>IF(OR(I84=0,I84=""),"","Value of strong brand")</f>
        <v>Value of strong brand</v>
      </c>
      <c r="K84">
        <f>Master!G84</f>
        <v>0</v>
      </c>
      <c r="L84" t="str">
        <f>IF(OR(K84=0,K84=""),"","Overpayment for acquisitions")</f>
        <v/>
      </c>
      <c r="M84">
        <f>Master!H84</f>
        <v>0</v>
      </c>
      <c r="N84" t="str">
        <f>IF(OR(M84=0,M84=""),"","Overpayment for acquisitions")</f>
        <v/>
      </c>
      <c r="O84">
        <f>Master!I84</f>
        <v>307025</v>
      </c>
      <c r="P84" t="str">
        <f>IF(OR(O84=0,O84=""),"","Value of strong brand")</f>
        <v>Value of strong brand</v>
      </c>
      <c r="Q84">
        <f>Master!J84</f>
        <v>0</v>
      </c>
      <c r="R84" t="str">
        <f>IF(OR(Q84=0,Q84=""),"","Overpayment for acquisitions")</f>
        <v/>
      </c>
      <c r="S84">
        <f>Master!K84</f>
        <v>0</v>
      </c>
      <c r="T84" t="str">
        <f>IF(OR(S84=0,S84=""),"","Overpayment for acquisitions")</f>
        <v/>
      </c>
      <c r="U84">
        <f>Master!L84</f>
        <v>307025</v>
      </c>
      <c r="V84" t="str">
        <f>IF(OR(U84=0,U84=""),"","Value of strong brand")</f>
        <v>Value of strong brand</v>
      </c>
      <c r="W84">
        <f>Master!M84</f>
        <v>614050</v>
      </c>
      <c r="X84" t="str">
        <f>IF(OR(W84=0,W84=""),"","Overpayment for acquisitions")</f>
        <v>Overpayment for acquisitions</v>
      </c>
      <c r="Y84">
        <f>Master!N84</f>
        <v>6140</v>
      </c>
      <c r="Z84" t="str">
        <f>IF(OR(Y84=0,Y84=""),"","Overpayment for acquisitions")</f>
        <v>Overpayment for acquisitions</v>
      </c>
      <c r="AA84">
        <f>Master!O84</f>
        <v>0</v>
      </c>
      <c r="AB84" t="str">
        <f>IF(OR(AA84=0,AA84=""),"","Overpayment for acquisitions")</f>
        <v/>
      </c>
      <c r="AC84">
        <f>Master!P84</f>
        <v>0</v>
      </c>
      <c r="AD84" t="str">
        <f>IF(OR(AC84=0,AC84=""),"","Overpayment for acquisitions")</f>
        <v/>
      </c>
      <c r="AE84">
        <f>Master!Q84</f>
        <v>0</v>
      </c>
      <c r="AF84" t="str">
        <f>IF(OR(AE84=0,AE84=""),"","Overpayment for acquisitions")</f>
        <v/>
      </c>
      <c r="AG84">
        <f>Master!R84</f>
        <v>0</v>
      </c>
      <c r="AH84" t="str">
        <f>IF(OR(AG84=0,AG84=""),"","Overpayment for acquisitions")</f>
        <v/>
      </c>
      <c r="AI84">
        <f>Master!S84</f>
        <v>307025</v>
      </c>
      <c r="AJ84" t="str">
        <f>IF(OR(AI84=0,AI84=""),"","Value of strong brand")</f>
        <v>Value of strong brand</v>
      </c>
      <c r="AK84">
        <f>Master!T84</f>
        <v>3000</v>
      </c>
      <c r="AL84" t="str">
        <f>IF(OR(AK84=0,AK84=""),"","Value of strong(ish) brand")</f>
        <v>Value of strong(ish) brand</v>
      </c>
      <c r="AM84">
        <f>Master!U84</f>
        <v>614050</v>
      </c>
      <c r="AN84" t="str">
        <f>IF(OR(AM84=0,AM84=""),"","Overpayment for acquisitions")</f>
        <v>Overpayment for acquisitions</v>
      </c>
      <c r="AO84">
        <f>Master!V84</f>
        <v>0</v>
      </c>
      <c r="AP84" t="str">
        <f>IF(OR(AO84=0,AO84=""),"","Overpayment for acquisitions")</f>
        <v/>
      </c>
      <c r="AR84" t="str">
        <f>IF(OR(AQ84=0,AQ84=""),"","Overpayment for acquisitions")</f>
        <v/>
      </c>
    </row>
    <row r="85" spans="1:44" x14ac:dyDescent="0.25">
      <c r="A85" t="str">
        <f>Master!A85</f>
        <v>Deferred tax asset</v>
      </c>
      <c r="B85">
        <f>Master!B85</f>
        <v>1</v>
      </c>
      <c r="C85" t="str">
        <f>Master!C85</f>
        <v/>
      </c>
      <c r="D85" t="str">
        <f>IF(OR(C85=0,C85=""),"","Tax credit from money-losing years")</f>
        <v/>
      </c>
      <c r="E85" t="str">
        <f>Master!D85</f>
        <v/>
      </c>
      <c r="F85" t="str">
        <f>IF(OR(E85=0,E85=""),"","Tax credit from money-losing years")</f>
        <v/>
      </c>
      <c r="G85" t="str">
        <f>Master!E85</f>
        <v/>
      </c>
      <c r="H85" t="str">
        <f>IF(OR(G85=0,G85=""),"","Tax credit from money-losing years")</f>
        <v/>
      </c>
      <c r="I85">
        <f>Master!F85</f>
        <v>614050</v>
      </c>
      <c r="J85" t="str">
        <f>IF(OR(I85=0,I85=""),"","Tax credit from money-losing years")</f>
        <v>Tax credit from money-losing years</v>
      </c>
      <c r="K85" t="str">
        <f>Master!G85</f>
        <v/>
      </c>
      <c r="L85" t="str">
        <f>IF(OR(K85=0,K85=""),"","Tax credit from money-losing years")</f>
        <v/>
      </c>
      <c r="M85">
        <f>Master!H85</f>
        <v>614050</v>
      </c>
      <c r="N85" t="str">
        <f>IF(OR(M85=0,M85=""),"","Tax credit from money-losing years")</f>
        <v>Tax credit from money-losing years</v>
      </c>
      <c r="O85" t="str">
        <f>Master!I85</f>
        <v/>
      </c>
      <c r="P85" t="str">
        <f>IF(OR(O85=0,O85=""),"","Tax credit from money-losing years")</f>
        <v/>
      </c>
      <c r="Q85" t="str">
        <f>Master!J85</f>
        <v/>
      </c>
      <c r="R85" t="str">
        <f>IF(OR(Q85=0,Q85=""),"","Tax credit from money-losing years")</f>
        <v/>
      </c>
      <c r="S85" t="str">
        <f>Master!K85</f>
        <v/>
      </c>
      <c r="T85" t="str">
        <f>IF(OR(S85=0,S85=""),"","Tax credit from money-losing years")</f>
        <v/>
      </c>
      <c r="U85" t="str">
        <f>Master!L85</f>
        <v/>
      </c>
      <c r="V85" t="str">
        <f>IF(OR(U85=0,U85=""),"","Tax credit from money-losing years")</f>
        <v/>
      </c>
      <c r="W85">
        <f>Master!M85</f>
        <v>614050</v>
      </c>
      <c r="X85" t="str">
        <f>IF(OR(W85=0,W85=""),"","Tax credit from money-losing years")</f>
        <v>Tax credit from money-losing years</v>
      </c>
      <c r="Y85" t="str">
        <f>Master!N85</f>
        <v/>
      </c>
      <c r="Z85" t="str">
        <f>IF(OR(Y85=0,Y85=""),"","Tax credit from money-losing years")</f>
        <v/>
      </c>
      <c r="AA85" t="str">
        <f>Master!O85</f>
        <v/>
      </c>
      <c r="AB85" t="str">
        <f>IF(OR(AA85=0,AA85=""),"","Tax credit from money-losing years")</f>
        <v/>
      </c>
      <c r="AC85" t="str">
        <f>Master!P85</f>
        <v/>
      </c>
      <c r="AD85" t="str">
        <f>IF(OR(AC85=0,AC85=""),"","Tax credit from money-losing years")</f>
        <v/>
      </c>
      <c r="AE85" t="str">
        <f>Master!Q85</f>
        <v/>
      </c>
      <c r="AF85" t="str">
        <f>IF(OR(AE85=0,AE85=""),"","Tax credit from money-losing years")</f>
        <v/>
      </c>
      <c r="AG85" t="str">
        <f>Master!R85</f>
        <v/>
      </c>
      <c r="AH85" t="str">
        <f>IF(OR(AG85=0,AG85=""),"","Tax credit from money-losing years")</f>
        <v/>
      </c>
      <c r="AI85" t="str">
        <f>Master!S85</f>
        <v/>
      </c>
      <c r="AJ85" t="str">
        <f>IF(OR(AI85=0,AI85=""),"","Tax credit from money-losing years")</f>
        <v/>
      </c>
      <c r="AK85" t="str">
        <f>Master!T85</f>
        <v/>
      </c>
      <c r="AL85" t="str">
        <f>IF(OR(AK85=0,AK85=""),"","Tax credit from money-losing years")</f>
        <v/>
      </c>
      <c r="AM85" t="str">
        <f>Master!U85</f>
        <v/>
      </c>
      <c r="AN85" t="str">
        <f>IF(OR(AM85=0,AM85=""),"","Tax credit from money-losing years")</f>
        <v/>
      </c>
      <c r="AO85" t="str">
        <f>Master!V85</f>
        <v/>
      </c>
      <c r="AP85" t="str">
        <f>IF(OR(AO85=0,AO85=""),"","Tax credit from money-losing years")</f>
        <v/>
      </c>
      <c r="AR85" t="str">
        <f>IF(OR(AQ85=0,AQ85=""),"","Tax credit from money-losing years")</f>
        <v/>
      </c>
    </row>
    <row r="86" spans="1:44" x14ac:dyDescent="0.25">
      <c r="A86" t="str">
        <f>Master!A86</f>
        <v>Intangible assets</v>
      </c>
      <c r="B86">
        <f>Master!B86</f>
        <v>1</v>
      </c>
      <c r="C86">
        <f>Master!C86</f>
        <v>0</v>
      </c>
      <c r="D86" t="str">
        <f>IF(OR(C86=0,C86=""),"","Value of strong brand")</f>
        <v/>
      </c>
      <c r="E86">
        <f>Master!D86</f>
        <v>0</v>
      </c>
      <c r="F86" t="str">
        <f>IF(OR(E86=0,E86=""),"","Value of strong brand")</f>
        <v/>
      </c>
      <c r="G86">
        <f>Master!E86</f>
        <v>0</v>
      </c>
      <c r="H86" t="str">
        <f>IF(OR(G86=0,G86=""),"","Value of strong brand")</f>
        <v/>
      </c>
      <c r="I86">
        <f>Master!F86</f>
        <v>0</v>
      </c>
      <c r="J86" t="str">
        <f>IF(OR(I86=0,I86=""),"","Value of strong brand")</f>
        <v/>
      </c>
      <c r="K86">
        <f>Master!G86</f>
        <v>0</v>
      </c>
      <c r="L86" t="str">
        <f>IF(OR(K86=0,K86=""),"","Value of strong brand")</f>
        <v/>
      </c>
      <c r="M86">
        <f>Master!H86</f>
        <v>0</v>
      </c>
      <c r="N86" t="str">
        <f>IF(OR(M86=0,M86=""),"","Value of strong brand")</f>
        <v/>
      </c>
      <c r="O86">
        <f>Master!I86</f>
        <v>0</v>
      </c>
      <c r="P86" t="str">
        <f>IF(OR(O86=0,O86=""),"","Value of strong brand")</f>
        <v/>
      </c>
      <c r="Q86">
        <f>Master!J86</f>
        <v>0</v>
      </c>
      <c r="R86" t="str">
        <f>IF(OR(Q86=0,Q86=""),"","Value of strong brand")</f>
        <v/>
      </c>
      <c r="S86">
        <f>Master!K86</f>
        <v>0</v>
      </c>
      <c r="T86" t="str">
        <f>IF(OR(S86=0,S86=""),"","Value of strong brand")</f>
        <v/>
      </c>
      <c r="U86">
        <f>Master!L86</f>
        <v>0</v>
      </c>
      <c r="V86" t="str">
        <f>IF(OR(U86=0,U86=""),"","Value of strong brand")</f>
        <v/>
      </c>
      <c r="W86">
        <f>Master!M86</f>
        <v>0</v>
      </c>
      <c r="X86" t="str">
        <f>IF(OR(W86=0,W86=""),"","Value of strong brand")</f>
        <v/>
      </c>
      <c r="Y86">
        <f>Master!N86</f>
        <v>0</v>
      </c>
      <c r="Z86" t="str">
        <f>IF(OR(Y86=0,Y86=""),"","Value of strong brand")</f>
        <v/>
      </c>
      <c r="AA86">
        <f>Master!O86</f>
        <v>0</v>
      </c>
      <c r="AB86" t="str">
        <f>IF(OR(AA86=0,AA86=""),"","Value of strong brand")</f>
        <v/>
      </c>
      <c r="AC86">
        <f>Master!P86</f>
        <v>0</v>
      </c>
      <c r="AD86" t="str">
        <f>IF(OR(AC86=0,AC86=""),"","Value of strong brand")</f>
        <v/>
      </c>
      <c r="AE86">
        <f>Master!Q86</f>
        <v>0</v>
      </c>
      <c r="AF86" t="str">
        <f>IF(OR(AE86=0,AE86=""),"","Value of strong brand")</f>
        <v/>
      </c>
      <c r="AG86">
        <f>Master!R86</f>
        <v>0</v>
      </c>
      <c r="AH86" t="str">
        <f>IF(OR(AG86=0,AG86=""),"","Value of strong brand")</f>
        <v/>
      </c>
      <c r="AI86">
        <f>Master!S86</f>
        <v>0</v>
      </c>
      <c r="AJ86" t="str">
        <f>IF(OR(AI86=0,AI86=""),"","Value of strong brand")</f>
        <v/>
      </c>
      <c r="AK86">
        <f>Master!T86</f>
        <v>0</v>
      </c>
      <c r="AL86" t="str">
        <f>IF(OR(AK86=0,AK86=""),"","Value of strong brand")</f>
        <v/>
      </c>
      <c r="AM86">
        <f>Master!U86</f>
        <v>0</v>
      </c>
      <c r="AN86" t="s">
        <v>234</v>
      </c>
      <c r="AO86">
        <f>Master!V86</f>
        <v>0</v>
      </c>
      <c r="AP86" t="str">
        <f>IF(OR(AO86=0,AO86=""),"","Value of strong brand")</f>
        <v/>
      </c>
    </row>
    <row r="87" spans="1:44" x14ac:dyDescent="0.25">
      <c r="A87" t="str">
        <f>Master!A87</f>
        <v>Mortgage loans</v>
      </c>
      <c r="B87">
        <f>Master!B87</f>
        <v>1</v>
      </c>
      <c r="C87">
        <f>Master!C87</f>
        <v>0</v>
      </c>
      <c r="E87">
        <f>Master!D87</f>
        <v>6140500</v>
      </c>
      <c r="F87" t="s">
        <v>210</v>
      </c>
      <c r="G87">
        <f>Master!E87</f>
        <v>0</v>
      </c>
      <c r="I87">
        <f>Master!F87</f>
        <v>0</v>
      </c>
      <c r="K87">
        <f>Master!G87</f>
        <v>0</v>
      </c>
      <c r="M87">
        <f>Master!H87</f>
        <v>0</v>
      </c>
      <c r="O87">
        <f>Master!I87</f>
        <v>0</v>
      </c>
      <c r="Q87">
        <f>Master!J87</f>
        <v>0</v>
      </c>
      <c r="S87">
        <f>Master!K87</f>
        <v>0</v>
      </c>
      <c r="U87">
        <f>Master!L87</f>
        <v>0</v>
      </c>
      <c r="W87">
        <f>Master!M87</f>
        <v>0</v>
      </c>
      <c r="Y87">
        <f>Master!N87</f>
        <v>0</v>
      </c>
      <c r="AA87">
        <f>Master!O87</f>
        <v>0</v>
      </c>
      <c r="AC87">
        <f>Master!P87</f>
        <v>0</v>
      </c>
      <c r="AE87">
        <f>Master!Q87</f>
        <v>0</v>
      </c>
      <c r="AG87">
        <f>Master!R87</f>
        <v>0</v>
      </c>
      <c r="AI87">
        <f>Master!S87</f>
        <v>0</v>
      </c>
      <c r="AK87">
        <f>Master!T87</f>
        <v>0</v>
      </c>
      <c r="AM87">
        <f>Master!U87</f>
        <v>0</v>
      </c>
      <c r="AO87">
        <f>Master!V87</f>
        <v>0</v>
      </c>
    </row>
    <row r="88" spans="1:44" x14ac:dyDescent="0.25">
      <c r="A88" t="str">
        <f>Master!A88</f>
        <v>Loan assets</v>
      </c>
      <c r="B88">
        <f>Master!B88</f>
        <v>1</v>
      </c>
      <c r="C88">
        <f>Master!C88</f>
        <v>67107300</v>
      </c>
      <c r="E88">
        <f>Master!D88</f>
        <v>2435740</v>
      </c>
      <c r="G88">
        <f>Master!E88</f>
        <v>0</v>
      </c>
      <c r="I88">
        <f>Master!F88</f>
        <v>0</v>
      </c>
      <c r="K88">
        <f>Master!G88</f>
        <v>0</v>
      </c>
      <c r="M88">
        <f>Master!H88</f>
        <v>0</v>
      </c>
      <c r="O88">
        <f>Master!I88</f>
        <v>0</v>
      </c>
      <c r="Q88">
        <f>Master!J88</f>
        <v>0</v>
      </c>
      <c r="S88">
        <f>Master!K88</f>
        <v>0</v>
      </c>
      <c r="U88">
        <f>Master!L88</f>
        <v>0</v>
      </c>
      <c r="W88">
        <f>Master!M88</f>
        <v>0</v>
      </c>
      <c r="Y88">
        <f>Master!N88</f>
        <v>0</v>
      </c>
      <c r="AA88">
        <f>Master!O88</f>
        <v>0</v>
      </c>
      <c r="AC88">
        <f>Master!P88</f>
        <v>0</v>
      </c>
      <c r="AE88">
        <f>Master!Q88</f>
        <v>0</v>
      </c>
      <c r="AG88">
        <f>Master!R88</f>
        <v>0</v>
      </c>
      <c r="AI88">
        <f>Master!S88</f>
        <v>0</v>
      </c>
      <c r="AK88">
        <f>Master!T88</f>
        <v>0</v>
      </c>
      <c r="AM88">
        <f>Master!U88</f>
        <v>0</v>
      </c>
      <c r="AO88">
        <f>Master!V88</f>
        <v>0</v>
      </c>
    </row>
    <row r="89" spans="1:44" x14ac:dyDescent="0.25">
      <c r="A89" t="str">
        <f>Master!A89</f>
        <v>Other assets</v>
      </c>
      <c r="B89">
        <f>Master!B89</f>
        <v>1</v>
      </c>
      <c r="C89">
        <f>Master!C89</f>
        <v>614050</v>
      </c>
      <c r="E89">
        <f>Master!D89</f>
        <v>0</v>
      </c>
      <c r="G89">
        <f>Master!E89</f>
        <v>0</v>
      </c>
      <c r="I89">
        <f>Master!F89</f>
        <v>0</v>
      </c>
      <c r="K89">
        <f>Master!G89</f>
        <v>0</v>
      </c>
      <c r="M89">
        <f>Master!H89</f>
        <v>0</v>
      </c>
      <c r="O89">
        <f>Master!I89</f>
        <v>0</v>
      </c>
      <c r="Q89">
        <f>Master!J89</f>
        <v>0</v>
      </c>
      <c r="S89">
        <f>Master!K89</f>
        <v>0</v>
      </c>
      <c r="U89">
        <f>Master!L89</f>
        <v>0</v>
      </c>
      <c r="W89">
        <f>Master!M89</f>
        <v>0</v>
      </c>
      <c r="Y89">
        <f>Master!N89</f>
        <v>0</v>
      </c>
      <c r="AA89">
        <f>Master!O89</f>
        <v>0</v>
      </c>
      <c r="AC89">
        <f>Master!P89</f>
        <v>0</v>
      </c>
      <c r="AE89">
        <f>Master!Q89</f>
        <v>0</v>
      </c>
      <c r="AG89">
        <f>Master!R89</f>
        <v>0</v>
      </c>
      <c r="AI89">
        <f>Master!S89</f>
        <v>0</v>
      </c>
      <c r="AK89">
        <f>Master!T89</f>
        <v>0</v>
      </c>
      <c r="AM89">
        <f>Master!U89</f>
        <v>0</v>
      </c>
      <c r="AO89">
        <f>Master!V89</f>
        <v>0</v>
      </c>
    </row>
    <row r="90" spans="1:44" x14ac:dyDescent="0.25">
      <c r="A90" t="str">
        <f>Master!A90</f>
        <v>Total assets</v>
      </c>
      <c r="B90" t="str">
        <f>Master!B90</f>
        <v>0s</v>
      </c>
      <c r="C90">
        <f>Master!C90</f>
        <v>68867869</v>
      </c>
      <c r="D90" t="str">
        <f>IF(AND(C$114&lt;0.5,C$114&gt;0),"\textcolor{black}{Correct sum is "&amp;C90-C$116&amp;": off by "&amp;TEXT(C$116,"###,###")&amp;"$\rightarrow$ \textcolor{red}{\textbf{"&amp;C$115&amp;"}}}","")</f>
        <v/>
      </c>
      <c r="E90">
        <f>Master!D90</f>
        <v>9524629</v>
      </c>
      <c r="F90" t="str">
        <f>IF(AND(E$114&lt;0.5,E$114&gt;0),"\textcolor{black}{Correct sum is "&amp;E90-E$116&amp;": off by "&amp;E$116&amp;"$\rightarrow$ \textcolor{red}{\textbf{"&amp;E$115&amp;"}}}","")</f>
        <v/>
      </c>
      <c r="G90">
        <f>Master!E90</f>
        <v>16388204</v>
      </c>
      <c r="H90" t="str">
        <f>IF(AND(G$114&lt;0.5,G$114&gt;0),"\textcolor{black}{Correct sum is "&amp;G90-G$116&amp;": off by "&amp;G$116&amp;"$\rightarrow$ \textcolor{red}{\textbf{"&amp;G$115&amp;"}}}","")</f>
        <v/>
      </c>
      <c r="I90">
        <f>Master!F90</f>
        <v>63190125</v>
      </c>
      <c r="J90" t="str">
        <f>IF(AND(I$114&lt;0.5,I$114&gt;0),"\textcolor{black}{Correct sum is "&amp;I90-I$116&amp;": off by "&amp;I$116&amp;"$\rightarrow$ \textcolor{red}{\textbf{"&amp;I$115&amp;"}}}","")</f>
        <v/>
      </c>
      <c r="K90">
        <f>Master!G90</f>
        <v>8357627</v>
      </c>
      <c r="L90" t="str">
        <f>IF(AND(K$114&lt;0.5,K$114&gt;0),"\textcolor{black}{Correct sum is "&amp;K90-K$116&amp;": off by "&amp;K$116&amp;"$\rightarrow$ \textcolor{red}{\textbf{"&amp;K$115&amp;"}}}","")</f>
        <v/>
      </c>
      <c r="M90">
        <f>Master!H90</f>
        <v>6221456</v>
      </c>
      <c r="N90" t="str">
        <f>IF(AND(M$114&lt;0.5,M$114&gt;0),"\textcolor{black}{Correct sum is "&amp;M90-M$116&amp;": off by "&amp;M$116&amp;"$\rightarrow$ \textcolor{red}{\textbf{"&amp;M$115&amp;"}}}","")</f>
        <v/>
      </c>
      <c r="O90">
        <f>Master!I90</f>
        <v>1424946</v>
      </c>
      <c r="P90" t="str">
        <f>IF(AND(O$114&lt;0.5,O$114&gt;0),"\textcolor{black}{Correct sum is "&amp;O90-O$116&amp;": off by "&amp;O$116&amp;"$\rightarrow$ \textcolor{red}{\textbf{"&amp;O$115&amp;"}}}","")</f>
        <v/>
      </c>
      <c r="Q90">
        <f>Master!J90</f>
        <v>3208869</v>
      </c>
      <c r="R90" t="str">
        <f>IF(AND(Q$114&lt;0.5,Q$114&gt;0),"\textcolor{black}{Correct sum is "&amp;Q90-Q$116&amp;": off by "&amp;Q$116&amp;"$\rightarrow$ \textcolor{red}{\textbf{"&amp;Q$115&amp;"}}}","")</f>
        <v/>
      </c>
      <c r="S90">
        <f>Master!K90</f>
        <v>1244148</v>
      </c>
      <c r="T90" t="str">
        <f>IF(AND(S$114&lt;0.5,S$114&gt;0),"\textcolor{black}{Correct sum is "&amp;S90-S$116&amp;": off by "&amp;S$116&amp;"$\rightarrow$ \textcolor{red}{\textbf{"&amp;S$115&amp;"}}}","")</f>
        <v>\textcolor{black}{Correct sum is 1244129: off by 19$\rightarrow$ \textcolor{red}{\textbf{S}}}</v>
      </c>
      <c r="U90">
        <f>Master!L90</f>
        <v>3384568</v>
      </c>
      <c r="V90" t="str">
        <f>IF(AND(U$114&lt;0.5,U$114&gt;0),"\textcolor{black}{Correct sum is "&amp;U90-U$116&amp;": off by "&amp;U$116&amp;"$\rightarrow$ \textcolor{red}{\textbf{"&amp;U$115&amp;"}}}","")</f>
        <v/>
      </c>
      <c r="W90">
        <f>Master!M90</f>
        <v>1938322</v>
      </c>
      <c r="X90" t="str">
        <f>IF(AND(W$114&lt;0.5,W$114&gt;0),"\textcolor{black}{Correct sum is "&amp;W90-W$116&amp;": off by "&amp;W$116&amp;"$\rightarrow$ \textcolor{red}{\textbf{"&amp;W$115&amp;"}}}","")</f>
        <v>\textcolor{black}{Correct sum is 1938314: off by 8$\rightarrow$ \textcolor{red}{\textbf{H}}}</v>
      </c>
      <c r="Y90">
        <f>Master!N90</f>
        <v>658657</v>
      </c>
      <c r="Z90" t="str">
        <f>IF(AND(Y$114&lt;0.5,Y$114&gt;0),"\textcolor{black}{Correct sum is "&amp;Y90-Y$116&amp;": off by "&amp;Y$116&amp;"$\rightarrow$ \textcolor{red}{\textbf{"&amp;Y$115&amp;"}}}","")</f>
        <v>\textcolor{black}{Correct sum is 658656: off by 1$\rightarrow$ \textcolor{red}{\textbf{A}}}</v>
      </c>
      <c r="AA90">
        <f>Master!O90</f>
        <v>710232</v>
      </c>
      <c r="AB90" t="str">
        <f>IF(AND(AA$114&lt;0.5,AA$114&gt;0),"\textcolor{black}{Correct sum is "&amp;AA90-AA$116&amp;": off by "&amp;AA$116&amp;"$\rightarrow$ \textcolor{red}{\textbf{"&amp;AA$115&amp;"}}}","")</f>
        <v>\textcolor{black}{Correct sum is 710214: off by 18$\rightarrow$ \textcolor{red}{\textbf{R}}}</v>
      </c>
      <c r="AC90">
        <f>Master!P90</f>
        <v>1228023</v>
      </c>
      <c r="AD90" t="str">
        <f>IF(AND(AC$114&lt;0.5,AC$114&gt;0),"\textcolor{black}{Correct sum is "&amp;AC90-AC$116&amp;": off by "&amp;AC$116&amp;"$\rightarrow$ \textcolor{red}{\textbf{"&amp;AC$115&amp;"}}}","")</f>
        <v/>
      </c>
      <c r="AE90">
        <f>Master!Q90</f>
        <v>1087680</v>
      </c>
      <c r="AF90" t="str">
        <f>IF(AND(AE$114&lt;0.5,AE$114&gt;0),"\textcolor{black}{Correct sum is "&amp;AE90-AE$116&amp;": off by "&amp;AE$116&amp;"$\rightarrow$ \textcolor{red}{\textbf{"&amp;AE$115&amp;"}}}","")</f>
        <v/>
      </c>
      <c r="AG90">
        <f>Master!R90</f>
        <v>648571</v>
      </c>
      <c r="AH90" t="str">
        <f>IF(AND(AG$114&lt;0.5,AG$114&gt;0),"\textcolor{black}{Correct sum is "&amp;AG90-AG$116&amp;": off by "&amp;AG$116&amp;"$\rightarrow$ \textcolor{red}{\textbf{"&amp;AG$115&amp;"}}}","")</f>
        <v/>
      </c>
      <c r="AI90">
        <f>Master!S90</f>
        <v>1039431</v>
      </c>
      <c r="AJ90" t="str">
        <f>IF(AND(AI$114&lt;0.5,AI$114&gt;0),"\textcolor{black}{Correct sum is "&amp;AI90-AI$116&amp;": off by "&amp;AI$116&amp;"$\rightarrow$ \textcolor{red}{\textbf{"&amp;AI$115&amp;"}}}","")</f>
        <v/>
      </c>
      <c r="AK90">
        <f>Master!T90</f>
        <v>1233242</v>
      </c>
      <c r="AL90" t="str">
        <f>IF(AND(AK$114&lt;0.5,AK$114&gt;0),"\textcolor{black}{Correct sum is "&amp;AK90-AK$116&amp;": off by "&amp;AK$116&amp;"$\rightarrow$ \textcolor{red}{\textbf{"&amp;AK$115&amp;"}}}","")</f>
        <v>\textcolor{black}{Correct sum is 1233237: off by 5$\rightarrow$ \textcolor{red}{\textbf{E}}}</v>
      </c>
      <c r="AM90">
        <f>Master!U90</f>
        <v>1272816</v>
      </c>
      <c r="AN90" t="str">
        <f>IF(AND(AM$114&lt;0.5,AM$114&gt;0),"\textcolor{black}{Correct sum is "&amp;AM90-AM$116&amp;": off by "&amp;AM$116&amp;"$\rightarrow$ \textcolor{red}{\textbf{"&amp;AM$115&amp;"}}}","")</f>
        <v>\textcolor{black}{Correct sum is 1272812: off by 4$\rightarrow$ \textcolor{red}{\textbf{D}}}</v>
      </c>
      <c r="AO90">
        <f>Master!V90</f>
        <v>616853</v>
      </c>
      <c r="AP90" t="str">
        <f>IF(AND(AO$114&lt;0.5,AO$114&gt;0),"\textcolor{black}{Correct sum is "&amp;AO90-AO$116&amp;": off by "&amp;AO$116&amp;"$\rightarrow$ \textcolor{red}{\textbf{"&amp;AO$115&amp;"}}}","")</f>
        <v/>
      </c>
      <c r="AR90" t="str">
        <f>IF(AND(AQ$114&lt;0.5,AQ$114&gt;0),"\textcolor{black}{Correct sum is "&amp;AQ90-AQ$116&amp;": off by "&amp;AQ$116&amp;"$\rightarrow$ \textcolor{red}{\textbf{"&amp;AQ$115&amp;"}}}","")</f>
        <v/>
      </c>
    </row>
    <row r="91" spans="1:44" x14ac:dyDescent="0.25">
      <c r="A91">
        <f>Master!A91</f>
        <v>0</v>
      </c>
      <c r="B91">
        <f>Master!B91</f>
        <v>0</v>
      </c>
      <c r="C91">
        <f>Master!C91</f>
        <v>0</v>
      </c>
      <c r="E91">
        <f>Master!D91</f>
        <v>0</v>
      </c>
      <c r="G91">
        <f>Master!E91</f>
        <v>0</v>
      </c>
      <c r="I91">
        <f>Master!F91</f>
        <v>0</v>
      </c>
      <c r="K91">
        <f>Master!G91</f>
        <v>0</v>
      </c>
      <c r="M91">
        <f>Master!H91</f>
        <v>0</v>
      </c>
      <c r="O91">
        <f>Master!I91</f>
        <v>0</v>
      </c>
      <c r="Q91">
        <f>Master!J91</f>
        <v>0</v>
      </c>
      <c r="S91">
        <f>Master!K91</f>
        <v>0</v>
      </c>
      <c r="U91">
        <f>Master!L91</f>
        <v>0</v>
      </c>
      <c r="W91">
        <f>Master!M91</f>
        <v>0</v>
      </c>
      <c r="Y91">
        <f>Master!N91</f>
        <v>0</v>
      </c>
      <c r="AA91">
        <f>Master!O91</f>
        <v>0</v>
      </c>
      <c r="AC91">
        <f>Master!P91</f>
        <v>0</v>
      </c>
      <c r="AE91">
        <f>Master!Q91</f>
        <v>0</v>
      </c>
      <c r="AG91">
        <f>Master!R91</f>
        <v>0</v>
      </c>
      <c r="AI91">
        <f>Master!S91</f>
        <v>0</v>
      </c>
      <c r="AK91">
        <f>Master!T91</f>
        <v>0</v>
      </c>
      <c r="AM91">
        <f>Master!U91</f>
        <v>0</v>
      </c>
      <c r="AO91">
        <f>Master!V91</f>
        <v>0</v>
      </c>
    </row>
    <row r="92" spans="1:44" x14ac:dyDescent="0.25">
      <c r="A92" t="str">
        <f>Master!A92</f>
        <v>Liabilities</v>
      </c>
      <c r="B92" t="str">
        <f>Master!B92</f>
        <v>0u</v>
      </c>
      <c r="C92">
        <f>Master!C92</f>
        <v>0</v>
      </c>
      <c r="E92">
        <f>Master!D92</f>
        <v>0</v>
      </c>
      <c r="G92">
        <f>Master!E92</f>
        <v>0</v>
      </c>
      <c r="I92">
        <f>Master!F92</f>
        <v>0</v>
      </c>
      <c r="K92">
        <f>Master!G92</f>
        <v>0</v>
      </c>
      <c r="M92">
        <f>Master!H92</f>
        <v>0</v>
      </c>
      <c r="O92">
        <f>Master!I92</f>
        <v>0</v>
      </c>
      <c r="Q92">
        <f>Master!J92</f>
        <v>0</v>
      </c>
      <c r="S92">
        <f>Master!K92</f>
        <v>0</v>
      </c>
      <c r="U92">
        <f>Master!L92</f>
        <v>0</v>
      </c>
      <c r="W92">
        <f>Master!M92</f>
        <v>0</v>
      </c>
      <c r="Y92">
        <f>Master!N92</f>
        <v>0</v>
      </c>
      <c r="AA92">
        <f>Master!O92</f>
        <v>0</v>
      </c>
      <c r="AC92">
        <f>Master!P92</f>
        <v>0</v>
      </c>
      <c r="AE92">
        <f>Master!Q92</f>
        <v>0</v>
      </c>
      <c r="AG92">
        <f>Master!R92</f>
        <v>0</v>
      </c>
      <c r="AI92">
        <f>Master!S92</f>
        <v>0</v>
      </c>
      <c r="AK92">
        <f>Master!T92</f>
        <v>0</v>
      </c>
      <c r="AM92">
        <f>Master!U92</f>
        <v>0</v>
      </c>
      <c r="AO92">
        <f>Master!V92</f>
        <v>0</v>
      </c>
    </row>
    <row r="93" spans="1:44" x14ac:dyDescent="0.25">
      <c r="A93" t="str">
        <f>Master!A93</f>
        <v>Accounts payable</v>
      </c>
      <c r="B93">
        <f>Master!B93</f>
        <v>1</v>
      </c>
      <c r="C93">
        <f>Master!C93</f>
        <v>0</v>
      </c>
      <c r="E93">
        <f>Master!D93</f>
        <v>0</v>
      </c>
      <c r="G93">
        <f>Master!E93</f>
        <v>406800</v>
      </c>
      <c r="I93">
        <f>Master!F93</f>
        <v>1034600</v>
      </c>
      <c r="K93">
        <f>Master!G93</f>
        <v>71900</v>
      </c>
      <c r="M93">
        <f>Master!H93</f>
        <v>353200</v>
      </c>
      <c r="O93">
        <f>Master!I93</f>
        <v>478900</v>
      </c>
      <c r="Q93">
        <f>Master!J93</f>
        <v>59100</v>
      </c>
      <c r="S93">
        <f>Master!K93</f>
        <v>15900</v>
      </c>
      <c r="U93">
        <f>Master!L93</f>
        <v>138300</v>
      </c>
      <c r="W93">
        <f>Master!M93</f>
        <v>113900</v>
      </c>
      <c r="Y93">
        <f>Master!N93</f>
        <v>48500</v>
      </c>
      <c r="AA93">
        <f>Master!O93</f>
        <v>41900</v>
      </c>
      <c r="AC93">
        <f>Master!P93</f>
        <v>114600</v>
      </c>
      <c r="AE93">
        <f>Master!Q93</f>
        <v>128200</v>
      </c>
      <c r="AG93">
        <f>Master!R93</f>
        <v>40400</v>
      </c>
      <c r="AI93">
        <f>Master!S93</f>
        <v>342100</v>
      </c>
      <c r="AK93">
        <f>Master!T93</f>
        <v>28000</v>
      </c>
      <c r="AM93">
        <f>Master!U93</f>
        <v>193800</v>
      </c>
      <c r="AO93">
        <f>Master!V93</f>
        <v>46300</v>
      </c>
    </row>
    <row r="94" spans="1:44" x14ac:dyDescent="0.25">
      <c r="A94" t="str">
        <f>Master!A94</f>
        <v>Current portion of debt</v>
      </c>
      <c r="B94">
        <f>Master!B94</f>
        <v>1</v>
      </c>
      <c r="C94">
        <f>Master!C94</f>
        <v>0</v>
      </c>
      <c r="E94">
        <f>Master!D94</f>
        <v>0</v>
      </c>
      <c r="G94">
        <f>Master!E94</f>
        <v>655525</v>
      </c>
      <c r="I94">
        <f>Master!F94</f>
        <v>2527605</v>
      </c>
      <c r="K94">
        <f>Master!G94</f>
        <v>33430</v>
      </c>
      <c r="M94">
        <f>Master!H94</f>
        <v>24885</v>
      </c>
      <c r="O94">
        <f>Master!I94</f>
        <v>0</v>
      </c>
      <c r="Q94">
        <f>Master!J94</f>
        <v>12835</v>
      </c>
      <c r="S94">
        <f>Master!K94</f>
        <v>4975</v>
      </c>
      <c r="U94">
        <f>Master!L94</f>
        <v>13535</v>
      </c>
      <c r="W94">
        <f>Master!M94</f>
        <v>77530</v>
      </c>
      <c r="Y94">
        <f>Master!N94</f>
        <v>2630</v>
      </c>
      <c r="AA94">
        <f>Master!O94</f>
        <v>2840</v>
      </c>
      <c r="AC94">
        <f>Master!P94</f>
        <v>4910</v>
      </c>
      <c r="AE94">
        <f>Master!Q94</f>
        <v>43505</v>
      </c>
      <c r="AG94">
        <f>Master!R94</f>
        <v>0</v>
      </c>
      <c r="AI94">
        <f>Master!S94</f>
        <v>4155</v>
      </c>
      <c r="AK94">
        <f>Master!T94</f>
        <v>4930</v>
      </c>
      <c r="AM94">
        <f>Master!U94</f>
        <v>5090</v>
      </c>
      <c r="AO94">
        <f>Master!V94</f>
        <v>0</v>
      </c>
    </row>
    <row r="95" spans="1:44" x14ac:dyDescent="0.25">
      <c r="A95" t="str">
        <f>Master!A95</f>
        <v>Total current liabilities</v>
      </c>
      <c r="B95" t="str">
        <f>Master!B95</f>
        <v>0s</v>
      </c>
      <c r="C95">
        <f>Master!C95</f>
        <v>0</v>
      </c>
      <c r="E95">
        <f>Master!D95</f>
        <v>0</v>
      </c>
      <c r="G95">
        <f>Master!E95</f>
        <v>1062325</v>
      </c>
      <c r="I95">
        <f>Master!F95</f>
        <v>3562205</v>
      </c>
      <c r="K95">
        <f>Master!G95</f>
        <v>105330</v>
      </c>
      <c r="M95">
        <f>Master!H95</f>
        <v>378085</v>
      </c>
      <c r="O95">
        <f>Master!I95</f>
        <v>478900</v>
      </c>
      <c r="Q95">
        <f>Master!J95</f>
        <v>71935</v>
      </c>
      <c r="S95">
        <f>Master!K95</f>
        <v>20875</v>
      </c>
      <c r="U95">
        <f>Master!L95</f>
        <v>151835</v>
      </c>
      <c r="W95">
        <f>Master!M95</f>
        <v>191430</v>
      </c>
      <c r="Y95">
        <f>Master!N95</f>
        <v>51130</v>
      </c>
      <c r="AA95">
        <f>Master!O95</f>
        <v>44740</v>
      </c>
      <c r="AC95">
        <f>Master!P95</f>
        <v>119510</v>
      </c>
      <c r="AE95">
        <f>Master!Q95</f>
        <v>171705</v>
      </c>
      <c r="AG95">
        <f>Master!R95</f>
        <v>40400</v>
      </c>
      <c r="AI95">
        <f>Master!S95</f>
        <v>346255</v>
      </c>
      <c r="AK95">
        <f>Master!T95</f>
        <v>32930</v>
      </c>
      <c r="AM95">
        <f>Master!U95</f>
        <v>198890</v>
      </c>
      <c r="AO95">
        <f>Master!V95</f>
        <v>46300</v>
      </c>
    </row>
    <row r="96" spans="1:44" x14ac:dyDescent="0.25">
      <c r="A96">
        <f>Master!A96</f>
        <v>0</v>
      </c>
      <c r="B96">
        <f>Master!B96</f>
        <v>0</v>
      </c>
      <c r="C96">
        <f>Master!C96</f>
        <v>0</v>
      </c>
      <c r="E96">
        <f>Master!D96</f>
        <v>0</v>
      </c>
      <c r="G96">
        <f>Master!E96</f>
        <v>0</v>
      </c>
      <c r="I96">
        <f>Master!F96</f>
        <v>0</v>
      </c>
      <c r="K96">
        <f>Master!G96</f>
        <v>0</v>
      </c>
      <c r="M96">
        <f>Master!H96</f>
        <v>0</v>
      </c>
      <c r="O96">
        <f>Master!I96</f>
        <v>0</v>
      </c>
      <c r="Q96">
        <f>Master!J96</f>
        <v>0</v>
      </c>
      <c r="S96">
        <f>Master!K96</f>
        <v>0</v>
      </c>
      <c r="U96">
        <f>Master!L96</f>
        <v>0</v>
      </c>
      <c r="W96">
        <f>Master!M96</f>
        <v>0</v>
      </c>
      <c r="Y96">
        <f>Master!N96</f>
        <v>0</v>
      </c>
      <c r="AA96">
        <f>Master!O96</f>
        <v>0</v>
      </c>
      <c r="AC96">
        <f>Master!P96</f>
        <v>0</v>
      </c>
      <c r="AE96">
        <f>Master!Q96</f>
        <v>0</v>
      </c>
      <c r="AG96">
        <f>Master!R96</f>
        <v>0</v>
      </c>
      <c r="AI96">
        <f>Master!S96</f>
        <v>0</v>
      </c>
      <c r="AK96">
        <f>Master!T96</f>
        <v>0</v>
      </c>
      <c r="AM96">
        <f>Master!U96</f>
        <v>0</v>
      </c>
      <c r="AO96">
        <f>Master!V96</f>
        <v>0</v>
      </c>
    </row>
    <row r="97" spans="1:42" x14ac:dyDescent="0.25">
      <c r="A97" t="str">
        <f>Master!A97</f>
        <v>Consumer deposits</v>
      </c>
      <c r="B97">
        <f>Master!B97</f>
        <v>1</v>
      </c>
      <c r="C97">
        <f>Master!C97</f>
        <v>0</v>
      </c>
      <c r="E97">
        <f>Master!D97</f>
        <v>0</v>
      </c>
      <c r="G97">
        <f>Master!E97</f>
        <v>0</v>
      </c>
      <c r="I97">
        <f>Master!F97</f>
        <v>0</v>
      </c>
      <c r="K97">
        <f>Master!G97</f>
        <v>0</v>
      </c>
      <c r="M97">
        <f>Master!H97</f>
        <v>0</v>
      </c>
      <c r="O97">
        <f>Master!I97</f>
        <v>0</v>
      </c>
      <c r="Q97">
        <f>Master!J97</f>
        <v>0</v>
      </c>
      <c r="S97">
        <f>Master!K97</f>
        <v>0</v>
      </c>
      <c r="U97">
        <f>Master!L97</f>
        <v>0</v>
      </c>
      <c r="W97">
        <f>Master!M97</f>
        <v>0</v>
      </c>
      <c r="Y97">
        <f>Master!N97</f>
        <v>0</v>
      </c>
      <c r="AA97">
        <f>Master!O97</f>
        <v>0</v>
      </c>
      <c r="AC97">
        <f>Master!P97</f>
        <v>0</v>
      </c>
      <c r="AE97">
        <f>Master!Q97</f>
        <v>0</v>
      </c>
      <c r="AG97">
        <f>Master!R97</f>
        <v>0</v>
      </c>
      <c r="AI97">
        <f>Master!S97</f>
        <v>0</v>
      </c>
      <c r="AK97">
        <f>Master!T97</f>
        <v>0</v>
      </c>
      <c r="AM97">
        <f>Master!U97</f>
        <v>0</v>
      </c>
      <c r="AO97">
        <f>Master!V97</f>
        <v>0</v>
      </c>
    </row>
    <row r="98" spans="1:42" x14ac:dyDescent="0.25">
      <c r="A98" t="str">
        <f>Master!A98</f>
        <v>Deposits</v>
      </c>
      <c r="B98">
        <f>Master!B98</f>
        <v>1</v>
      </c>
      <c r="C98">
        <f>Master!C98</f>
        <v>36000000</v>
      </c>
      <c r="E98">
        <f>Master!D98</f>
        <v>3000000</v>
      </c>
      <c r="G98">
        <f>Master!E98</f>
        <v>0</v>
      </c>
      <c r="I98">
        <f>Master!F98</f>
        <v>0</v>
      </c>
      <c r="K98">
        <f>Master!G98</f>
        <v>0</v>
      </c>
      <c r="M98">
        <f>Master!H98</f>
        <v>0</v>
      </c>
      <c r="O98">
        <f>Master!I98</f>
        <v>0</v>
      </c>
      <c r="Q98">
        <f>Master!J98</f>
        <v>0</v>
      </c>
      <c r="S98">
        <f>Master!K98</f>
        <v>0</v>
      </c>
      <c r="U98">
        <f>Master!L98</f>
        <v>0</v>
      </c>
      <c r="W98">
        <f>Master!M98</f>
        <v>0</v>
      </c>
      <c r="Y98">
        <f>Master!N98</f>
        <v>0</v>
      </c>
      <c r="AA98">
        <f>Master!O98</f>
        <v>0</v>
      </c>
      <c r="AC98">
        <f>Master!P98</f>
        <v>0</v>
      </c>
      <c r="AE98">
        <f>Master!Q98</f>
        <v>0</v>
      </c>
      <c r="AG98">
        <f>Master!R98</f>
        <v>0</v>
      </c>
      <c r="AI98">
        <f>Master!S98</f>
        <v>0</v>
      </c>
      <c r="AK98">
        <f>Master!T98</f>
        <v>0</v>
      </c>
      <c r="AM98">
        <f>Master!U98</f>
        <v>0</v>
      </c>
      <c r="AO98">
        <f>Master!V98</f>
        <v>0</v>
      </c>
    </row>
    <row r="99" spans="1:42" x14ac:dyDescent="0.25">
      <c r="A99" t="str">
        <f>Master!A99</f>
        <v>Long-term debt</v>
      </c>
      <c r="B99">
        <f>Master!B99</f>
        <v>1</v>
      </c>
      <c r="C99">
        <f>Master!C99</f>
        <v>0</v>
      </c>
      <c r="E99">
        <f>Master!D99</f>
        <v>0</v>
      </c>
      <c r="G99">
        <f>Master!E99</f>
        <v>13110500</v>
      </c>
      <c r="I99">
        <f>Master!F99</f>
        <v>50552100</v>
      </c>
      <c r="K99">
        <f>Master!G99</f>
        <v>668600</v>
      </c>
      <c r="M99">
        <f>Master!H99</f>
        <v>497700</v>
      </c>
      <c r="O99">
        <f>Master!I99</f>
        <v>113900</v>
      </c>
      <c r="Q99">
        <f>Master!J99</f>
        <v>256700</v>
      </c>
      <c r="S99">
        <f>Master!K99</f>
        <v>99500</v>
      </c>
      <c r="U99">
        <f>Master!L99</f>
        <v>270700</v>
      </c>
      <c r="W99">
        <f>Master!M99</f>
        <v>1550600</v>
      </c>
      <c r="Y99">
        <f>Master!N99</f>
        <v>52600</v>
      </c>
      <c r="AA99">
        <f>Master!O99</f>
        <v>56800</v>
      </c>
      <c r="AC99">
        <f>Master!P99</f>
        <v>98200</v>
      </c>
      <c r="AE99">
        <f>Master!Q99</f>
        <v>870100</v>
      </c>
      <c r="AG99">
        <f>Master!R99</f>
        <v>518800</v>
      </c>
      <c r="AI99">
        <f>Master!S99</f>
        <v>83100</v>
      </c>
      <c r="AK99">
        <f>Master!T99</f>
        <v>98600</v>
      </c>
      <c r="AM99">
        <f>Master!U99</f>
        <v>101800</v>
      </c>
      <c r="AO99">
        <f>Master!V99</f>
        <v>542740</v>
      </c>
    </row>
    <row r="100" spans="1:42" x14ac:dyDescent="0.25">
      <c r="A100" t="str">
        <f>Master!A100</f>
        <v>Total liabilities</v>
      </c>
      <c r="B100" t="str">
        <f>Master!B100</f>
        <v>0s</v>
      </c>
      <c r="C100">
        <f>Master!C100</f>
        <v>36000000</v>
      </c>
      <c r="E100">
        <f>Master!D100</f>
        <v>3000000</v>
      </c>
      <c r="G100">
        <f>Master!E100</f>
        <v>14172825</v>
      </c>
      <c r="I100">
        <f>Master!F100</f>
        <v>54114305</v>
      </c>
      <c r="K100">
        <f>Master!G100</f>
        <v>773930</v>
      </c>
      <c r="M100">
        <f>Master!H100</f>
        <v>875785</v>
      </c>
      <c r="O100">
        <f>Master!I100</f>
        <v>592800</v>
      </c>
      <c r="Q100">
        <f>Master!J100</f>
        <v>328635</v>
      </c>
      <c r="S100">
        <f>Master!K100</f>
        <v>120375</v>
      </c>
      <c r="U100">
        <f>Master!L100</f>
        <v>422535</v>
      </c>
      <c r="W100">
        <f>Master!M100</f>
        <v>1742030</v>
      </c>
      <c r="Y100">
        <f>Master!N100</f>
        <v>103730</v>
      </c>
      <c r="AA100">
        <f>Master!O100</f>
        <v>101540</v>
      </c>
      <c r="AC100">
        <f>Master!P100</f>
        <v>217710</v>
      </c>
      <c r="AE100">
        <f>Master!Q100</f>
        <v>1041805</v>
      </c>
      <c r="AG100">
        <f>Master!R100</f>
        <v>559200</v>
      </c>
      <c r="AI100">
        <f>Master!S100</f>
        <v>429355</v>
      </c>
      <c r="AK100">
        <f>Master!T100</f>
        <v>131530</v>
      </c>
      <c r="AM100">
        <f>Master!U100</f>
        <v>300690</v>
      </c>
      <c r="AO100">
        <f>Master!V100</f>
        <v>589040</v>
      </c>
    </row>
    <row r="101" spans="1:42" x14ac:dyDescent="0.25">
      <c r="A101">
        <f>Master!A101</f>
        <v>0</v>
      </c>
      <c r="B101">
        <f>Master!B101</f>
        <v>0</v>
      </c>
      <c r="C101">
        <f>Master!C101</f>
        <v>0</v>
      </c>
      <c r="E101">
        <f>Master!D101</f>
        <v>0</v>
      </c>
      <c r="G101">
        <f>Master!E101</f>
        <v>0</v>
      </c>
      <c r="I101">
        <f>Master!F101</f>
        <v>0</v>
      </c>
      <c r="K101">
        <f>Master!G101</f>
        <v>0</v>
      </c>
      <c r="M101">
        <f>Master!H101</f>
        <v>0</v>
      </c>
      <c r="O101">
        <f>Master!I101</f>
        <v>0</v>
      </c>
      <c r="Q101">
        <f>Master!J101</f>
        <v>0</v>
      </c>
      <c r="S101">
        <f>Master!K101</f>
        <v>0</v>
      </c>
      <c r="U101">
        <f>Master!L101</f>
        <v>0</v>
      </c>
      <c r="W101">
        <f>Master!M101</f>
        <v>0</v>
      </c>
      <c r="Y101">
        <f>Master!N101</f>
        <v>0</v>
      </c>
      <c r="AA101">
        <f>Master!O101</f>
        <v>0</v>
      </c>
      <c r="AC101">
        <f>Master!P101</f>
        <v>0</v>
      </c>
      <c r="AE101">
        <f>Master!Q101</f>
        <v>0</v>
      </c>
      <c r="AG101">
        <f>Master!R101</f>
        <v>0</v>
      </c>
      <c r="AI101">
        <f>Master!S101</f>
        <v>0</v>
      </c>
      <c r="AK101">
        <f>Master!T101</f>
        <v>0</v>
      </c>
      <c r="AM101">
        <f>Master!U101</f>
        <v>0</v>
      </c>
      <c r="AO101">
        <f>Master!V101</f>
        <v>0</v>
      </c>
    </row>
    <row r="102" spans="1:42" x14ac:dyDescent="0.25">
      <c r="A102" t="str">
        <f>Master!A102</f>
        <v>Stockholders' equity</v>
      </c>
      <c r="B102" t="str">
        <f>Master!B102</f>
        <v>0u</v>
      </c>
      <c r="C102">
        <f>Master!C102</f>
        <v>32867888</v>
      </c>
      <c r="D102" t="str">
        <f>IF(C$114&gt;0.5,"\textcolor{soln-black}{Correct value is "&amp;C102-C$116&amp;": off by "&amp;C$116&amp;"$\rightarrow$ \textcolor{red}{\textbf{"&amp;C$115&amp;"}}}","")</f>
        <v>\textcolor{soln-black}{Correct value is 32867869: off by 19$\rightarrow$ \textcolor{red}{\textbf{S}}}</v>
      </c>
      <c r="E102">
        <f>Master!D102</f>
        <v>6524634</v>
      </c>
      <c r="F102" t="str">
        <f>IF(E$114&gt;0.5,"\textcolor{soln-black}{Correct value is "&amp;E102-E$116&amp;": off by "&amp;E$116&amp;"$\rightarrow$ \textcolor{red}{\textbf{"&amp;E$115&amp;"}}}","")</f>
        <v>\textcolor{soln-black}{Correct value is 6524629: off by 5$\rightarrow$ \textcolor{red}{\textbf{E}}}</v>
      </c>
      <c r="G102">
        <f>Master!E102</f>
        <v>2215379</v>
      </c>
      <c r="H102" t="str">
        <f>IF(G$114&gt;0.5,"\textcolor{soln-black}{Correct value is "&amp;G102-G$116&amp;": off by "&amp;G$116&amp;"$\rightarrow$ \textcolor{red}{\textbf{"&amp;G$115&amp;"}}}","")</f>
        <v/>
      </c>
      <c r="I102">
        <f>Master!F102</f>
        <v>9075838</v>
      </c>
      <c r="J102" t="str">
        <f>IF(I$114&gt;0.5,"\textcolor{soln-black}{Correct value is "&amp;I102-I$116&amp;": off by "&amp;I$116&amp;"$\rightarrow$ \textcolor{red}{\textbf{"&amp;I$115&amp;"}}}","")</f>
        <v>\textcolor{soln-black}{Correct value is 9075820: off by 18$\rightarrow$ \textcolor{red}{\textbf{R}}}</v>
      </c>
      <c r="K102">
        <f>Master!G102</f>
        <v>7583697</v>
      </c>
      <c r="L102" t="str">
        <f>IF(K$114&gt;0.5,"\textcolor{soln-black}{Correct value is "&amp;K102-K$116&amp;": off by "&amp;K$116&amp;"$\rightarrow$ \textcolor{red}{\textbf{"&amp;K$115&amp;"}}}","")</f>
        <v/>
      </c>
      <c r="M102">
        <f>Master!H102</f>
        <v>5345679</v>
      </c>
      <c r="N102" t="str">
        <f>IF(M$114&gt;0.5,"\textcolor{soln-black}{Correct value is "&amp;M102-M$116&amp;": off by "&amp;M$116&amp;"$\rightarrow$ \textcolor{red}{\textbf{"&amp;M$115&amp;"}}}","")</f>
        <v>\textcolor{soln-black}{Correct value is 5345671: off by 8$\rightarrow$ \textcolor{red}{\textbf{H}}}</v>
      </c>
      <c r="O102">
        <f>Master!I102</f>
        <v>832146</v>
      </c>
      <c r="P102" t="str">
        <f>IF(O$114&gt;0.5,"\textcolor{soln-black}{Correct value is "&amp;O102-O$116&amp;": off by "&amp;O$116&amp;"$\rightarrow$ \textcolor{red}{\textbf{"&amp;O$115&amp;"}}}","")</f>
        <v/>
      </c>
      <c r="Q102">
        <f>Master!J102</f>
        <v>2880236</v>
      </c>
      <c r="R102" t="str">
        <f>IF(Q$114&gt;0.5,"\textcolor{soln-black}{Correct value is "&amp;Q102-Q$116&amp;": off by "&amp;Q$116&amp;"$\rightarrow$ \textcolor{red}{\textbf{"&amp;Q$115&amp;"}}}","")</f>
        <v>\textcolor{soln-black}{Correct value is 2880234: off by 2$\rightarrow$ \textcolor{red}{\textbf{B}}}</v>
      </c>
      <c r="S102">
        <f>Master!K102</f>
        <v>1123773</v>
      </c>
      <c r="T102" t="str">
        <f>IF(S$114&gt;0.5,"\textcolor{soln-black}{Correct value is "&amp;S102-S$116&amp;": off by "&amp;S$116&amp;"$\rightarrow$ \textcolor{red}{\textbf{"&amp;S$115&amp;"}}}","")</f>
        <v/>
      </c>
      <c r="U102">
        <f>Master!L102</f>
        <v>2962049</v>
      </c>
      <c r="V102" t="str">
        <f>IF(U$114&gt;0.5,"\textcolor{soln-black}{Correct value is "&amp;U102-U$116&amp;": off by "&amp;U$116&amp;"$\rightarrow$ \textcolor{red}{\textbf{"&amp;U$115&amp;"}}}","")</f>
        <v>\textcolor{soln-black}{Correct value is 2962033: off by 16$\rightarrow$ \textcolor{red}{\textbf{P}}}</v>
      </c>
      <c r="W102">
        <f>Master!M102</f>
        <v>196292</v>
      </c>
      <c r="X102" t="str">
        <f>IF(W$114&gt;0.5,"\textcolor{soln-black}{Correct value is "&amp;W102-W$116&amp;": off by "&amp;W$116&amp;"$\rightarrow$ \textcolor{red}{\textbf{"&amp;W$115&amp;"}}}","")</f>
        <v/>
      </c>
      <c r="Y102">
        <f>Master!N102</f>
        <v>554927</v>
      </c>
      <c r="Z102" t="str">
        <f>IF(Y$114&gt;0.5,"\textcolor{soln-black}{Correct value is "&amp;Y102-Y$116&amp;": off by "&amp;Y$116&amp;"$\rightarrow$ \textcolor{red}{\textbf{"&amp;Y$115&amp;"}}}","")</f>
        <v/>
      </c>
      <c r="AA102">
        <f>Master!O102</f>
        <v>608692</v>
      </c>
      <c r="AB102" t="str">
        <f>IF(AA$114&gt;0.5,"\textcolor{soln-black}{Correct value is "&amp;AA102-AA$116&amp;": off by "&amp;AA$116&amp;"$\rightarrow$ \textcolor{red}{\textbf{"&amp;AA$115&amp;"}}}","")</f>
        <v/>
      </c>
      <c r="AC102">
        <f>Master!P102</f>
        <v>1010335</v>
      </c>
      <c r="AD102" t="str">
        <f>IF(AC$114&gt;0.5,"\textcolor{soln-black}{Correct value is "&amp;AC102-AC$116&amp;": off by "&amp;AC$116&amp;"$\rightarrow$ \textcolor{red}{\textbf{"&amp;AC$115&amp;"}}}","")</f>
        <v>\textcolor{soln-black}{Correct value is 1010313: off by 22$\rightarrow$ \textcolor{red}{\textbf{V}}}</v>
      </c>
      <c r="AE102">
        <f>Master!Q102</f>
        <v>45876</v>
      </c>
      <c r="AF102" t="str">
        <f>IF(AE$114&gt;0.5,"\textcolor{soln-black}{Correct value is "&amp;AE102-AE$116&amp;": off by "&amp;AE$116&amp;"$\rightarrow$ \textcolor{red}{\textbf{"&amp;AE$115&amp;"}}}","")</f>
        <v>\textcolor{soln-black}{Correct value is 45875: off by 1$\rightarrow$ \textcolor{red}{\textbf{A}}}</v>
      </c>
      <c r="AG102">
        <f>Master!R102</f>
        <v>89389</v>
      </c>
      <c r="AH102" t="str">
        <f>IF(AG$114&gt;0.5,"\textcolor{soln-black}{Correct value is "&amp;AG102-AG$116&amp;": off by "&amp;AG$116&amp;"$\rightarrow$ \textcolor{red}{\textbf{"&amp;AG$115&amp;"}}}","")</f>
        <v>\textcolor{soln-black}{Correct value is 89371: off by 18$\rightarrow$ \textcolor{red}{\textbf{R}}}</v>
      </c>
      <c r="AI102">
        <f>Master!S102</f>
        <v>610080</v>
      </c>
      <c r="AJ102" t="str">
        <f>IF(AI$114&gt;0.5,"\textcolor{soln-black}{Correct value is "&amp;AI102-AI$116&amp;": off by "&amp;AI$116&amp;"$\rightarrow$ \textcolor{red}{\textbf{"&amp;AI$115&amp;"}}}","")</f>
        <v>\textcolor{soln-black}{Correct value is 610076: off by 4$\rightarrow$ \textcolor{red}{\textbf{D}}}</v>
      </c>
      <c r="AK102">
        <f>Master!T102</f>
        <v>1101712</v>
      </c>
      <c r="AL102" t="str">
        <f>IF(AK$114&gt;0.5,"\textcolor{soln-black}{Correct value is "&amp;AK102-AK$116&amp;": off by "&amp;AK$116&amp;"$\rightarrow$ \textcolor{red}{\textbf{"&amp;AK$115&amp;"}}}","")</f>
        <v/>
      </c>
      <c r="AM102">
        <f>Master!U102</f>
        <v>972126</v>
      </c>
      <c r="AN102" t="str">
        <f>IF(AM$114&gt;0.5,"\textcolor{soln-black}{Correct value is "&amp;AM102-AM$116&amp;": off by "&amp;AM$116&amp;"$\rightarrow$ \textcolor{red}{\textbf{"&amp;AM$115&amp;"}}}","")</f>
        <v/>
      </c>
      <c r="AO102">
        <f>Master!V102</f>
        <v>27834</v>
      </c>
      <c r="AP102" t="str">
        <f>IF(AO$114&gt;0.5,"\textcolor{soln-black}{Correct value is "&amp;AO102-AO$116&amp;": off by "&amp;AO$116&amp;"$\rightarrow$ \textcolor{red}{\textbf{"&amp;AO$115&amp;"}}}","")</f>
        <v>\textcolor{soln-black}{Correct value is 27813: off by 21$\rightarrow$ \textcolor{red}{\textbf{U}}}</v>
      </c>
    </row>
    <row r="103" spans="1:42" x14ac:dyDescent="0.25">
      <c r="A103" t="str">
        <f>Master!A103</f>
        <v>Common stock</v>
      </c>
      <c r="B103">
        <f>Master!B103</f>
        <v>0</v>
      </c>
      <c r="C103">
        <f>Master!C103</f>
        <v>0</v>
      </c>
      <c r="E103">
        <f>Master!D103</f>
        <v>0</v>
      </c>
      <c r="G103">
        <f>Master!E103</f>
        <v>0</v>
      </c>
      <c r="I103">
        <f>Master!F103</f>
        <v>0</v>
      </c>
      <c r="K103">
        <f>Master!G103</f>
        <v>0</v>
      </c>
      <c r="M103">
        <f>Master!H103</f>
        <v>0</v>
      </c>
      <c r="O103">
        <f>Master!I103</f>
        <v>0</v>
      </c>
      <c r="Q103">
        <f>Master!J103</f>
        <v>0</v>
      </c>
      <c r="S103">
        <f>Master!K103</f>
        <v>0</v>
      </c>
      <c r="U103">
        <f>Master!L103</f>
        <v>0</v>
      </c>
      <c r="W103">
        <f>Master!M103</f>
        <v>0</v>
      </c>
      <c r="Y103">
        <f>Master!N103</f>
        <v>0</v>
      </c>
      <c r="AA103">
        <f>Master!O103</f>
        <v>0</v>
      </c>
      <c r="AC103">
        <f>Master!P103</f>
        <v>0</v>
      </c>
      <c r="AE103">
        <f>Master!Q103</f>
        <v>0</v>
      </c>
      <c r="AG103">
        <f>Master!R103</f>
        <v>0</v>
      </c>
      <c r="AI103">
        <f>Master!S103</f>
        <v>0</v>
      </c>
      <c r="AK103">
        <f>Master!T103</f>
        <v>0</v>
      </c>
      <c r="AM103">
        <f>Master!U103</f>
        <v>0</v>
      </c>
      <c r="AO103">
        <f>Master!V103</f>
        <v>0</v>
      </c>
    </row>
    <row r="104" spans="1:42" x14ac:dyDescent="0.25">
      <c r="A104" t="str">
        <f>Master!A104</f>
        <v>Total Liabilities \&amp; Stockholders' Equity</v>
      </c>
      <c r="B104">
        <f>Master!B104</f>
        <v>0</v>
      </c>
      <c r="C104">
        <f>Master!C104</f>
        <v>0</v>
      </c>
      <c r="E104">
        <f>Master!D104</f>
        <v>0</v>
      </c>
      <c r="G104">
        <f>Master!E104</f>
        <v>0</v>
      </c>
      <c r="I104">
        <f>Master!F104</f>
        <v>0</v>
      </c>
      <c r="K104">
        <f>Master!G104</f>
        <v>0</v>
      </c>
      <c r="M104">
        <f>Master!H104</f>
        <v>0</v>
      </c>
      <c r="O104">
        <f>Master!I104</f>
        <v>0</v>
      </c>
      <c r="Q104">
        <f>Master!J104</f>
        <v>0</v>
      </c>
      <c r="S104">
        <f>Master!K104</f>
        <v>0</v>
      </c>
      <c r="U104">
        <f>Master!L104</f>
        <v>0</v>
      </c>
      <c r="W104">
        <f>Master!M104</f>
        <v>0</v>
      </c>
      <c r="Y104">
        <f>Master!N104</f>
        <v>0</v>
      </c>
      <c r="AA104">
        <f>Master!O104</f>
        <v>0</v>
      </c>
      <c r="AC104">
        <f>Master!P104</f>
        <v>0</v>
      </c>
      <c r="AE104">
        <f>Master!Q104</f>
        <v>0</v>
      </c>
      <c r="AG104">
        <f>Master!R104</f>
        <v>0</v>
      </c>
      <c r="AI104">
        <f>Master!S104</f>
        <v>0</v>
      </c>
      <c r="AK104">
        <f>Master!T104</f>
        <v>0</v>
      </c>
      <c r="AM104">
        <f>Master!U104</f>
        <v>0</v>
      </c>
      <c r="AO104">
        <f>Master!V104</f>
        <v>0</v>
      </c>
    </row>
    <row r="105" spans="1:42" x14ac:dyDescent="0.25">
      <c r="A105">
        <f>Master!A105</f>
        <v>0</v>
      </c>
      <c r="B105">
        <f>Master!B105</f>
        <v>0</v>
      </c>
      <c r="C105">
        <f>Master!C105</f>
        <v>0</v>
      </c>
      <c r="E105">
        <f>Master!D105</f>
        <v>0</v>
      </c>
      <c r="G105">
        <f>Master!E105</f>
        <v>0</v>
      </c>
      <c r="I105">
        <f>Master!F105</f>
        <v>0</v>
      </c>
      <c r="K105">
        <f>Master!G105</f>
        <v>0</v>
      </c>
      <c r="M105">
        <f>Master!H105</f>
        <v>0</v>
      </c>
      <c r="O105">
        <f>Master!I105</f>
        <v>0</v>
      </c>
      <c r="Q105">
        <f>Master!J105</f>
        <v>0</v>
      </c>
      <c r="S105">
        <f>Master!K105</f>
        <v>0</v>
      </c>
      <c r="U105">
        <f>Master!L105</f>
        <v>0</v>
      </c>
      <c r="W105">
        <f>Master!M105</f>
        <v>0</v>
      </c>
      <c r="Y105">
        <f>Master!N105</f>
        <v>0</v>
      </c>
      <c r="AA105">
        <f>Master!O105</f>
        <v>0</v>
      </c>
      <c r="AC105">
        <f>Master!P105</f>
        <v>0</v>
      </c>
      <c r="AE105">
        <f>Master!Q105</f>
        <v>0</v>
      </c>
      <c r="AG105">
        <f>Master!R105</f>
        <v>0</v>
      </c>
      <c r="AI105">
        <f>Master!S105</f>
        <v>0</v>
      </c>
      <c r="AK105">
        <f>Master!T105</f>
        <v>0</v>
      </c>
      <c r="AM105">
        <f>Master!U105</f>
        <v>0</v>
      </c>
      <c r="AO105">
        <f>Master!V105</f>
        <v>0</v>
      </c>
    </row>
    <row r="106" spans="1:42" x14ac:dyDescent="0.25">
      <c r="A106">
        <f>Master!A106</f>
        <v>0</v>
      </c>
      <c r="B106">
        <f>Master!B106</f>
        <v>0</v>
      </c>
      <c r="C106">
        <f>Master!C106</f>
        <v>0</v>
      </c>
      <c r="E106">
        <f>Master!D106</f>
        <v>0</v>
      </c>
      <c r="G106">
        <f>Master!E106</f>
        <v>0</v>
      </c>
      <c r="I106">
        <f>Master!F106</f>
        <v>0</v>
      </c>
      <c r="K106">
        <f>Master!G106</f>
        <v>0</v>
      </c>
      <c r="M106">
        <f>Master!H106</f>
        <v>0</v>
      </c>
      <c r="O106">
        <f>Master!I106</f>
        <v>0</v>
      </c>
      <c r="Q106">
        <f>Master!J106</f>
        <v>0</v>
      </c>
      <c r="S106">
        <f>Master!K106</f>
        <v>0</v>
      </c>
      <c r="U106">
        <f>Master!L106</f>
        <v>0</v>
      </c>
      <c r="W106">
        <f>Master!M106</f>
        <v>0</v>
      </c>
      <c r="Y106">
        <f>Master!N106</f>
        <v>0</v>
      </c>
      <c r="AA106">
        <f>Master!O106</f>
        <v>0</v>
      </c>
      <c r="AC106">
        <f>Master!P106</f>
        <v>0</v>
      </c>
      <c r="AE106">
        <f>Master!Q106</f>
        <v>0</v>
      </c>
      <c r="AG106">
        <f>Master!R106</f>
        <v>0</v>
      </c>
      <c r="AI106">
        <f>Master!S106</f>
        <v>0</v>
      </c>
      <c r="AK106">
        <f>Master!T106</f>
        <v>0</v>
      </c>
      <c r="AM106">
        <f>Master!U106</f>
        <v>0</v>
      </c>
      <c r="AO106">
        <f>Master!V106</f>
        <v>0</v>
      </c>
    </row>
    <row r="107" spans="1:42" x14ac:dyDescent="0.25">
      <c r="A107">
        <f>Master!A107</f>
        <v>0</v>
      </c>
      <c r="B107">
        <f>Master!B107</f>
        <v>0</v>
      </c>
      <c r="C107">
        <f>Master!C107</f>
        <v>0</v>
      </c>
      <c r="E107">
        <f>Master!D107</f>
        <v>0</v>
      </c>
      <c r="G107">
        <f>Master!E107</f>
        <v>0</v>
      </c>
      <c r="I107">
        <f>Master!F107</f>
        <v>0</v>
      </c>
      <c r="K107">
        <f>Master!G107</f>
        <v>0</v>
      </c>
      <c r="M107">
        <f>Master!H107</f>
        <v>0</v>
      </c>
      <c r="O107">
        <f>Master!I107</f>
        <v>0</v>
      </c>
      <c r="Q107">
        <f>Master!J107</f>
        <v>0</v>
      </c>
      <c r="S107">
        <f>Master!K107</f>
        <v>0</v>
      </c>
      <c r="U107">
        <f>Master!L107</f>
        <v>0</v>
      </c>
      <c r="W107">
        <f>Master!M107</f>
        <v>0</v>
      </c>
      <c r="Y107">
        <f>Master!N107</f>
        <v>0</v>
      </c>
      <c r="AA107">
        <f>Master!O107</f>
        <v>0</v>
      </c>
      <c r="AC107">
        <f>Master!P107</f>
        <v>0</v>
      </c>
      <c r="AE107">
        <f>Master!Q107</f>
        <v>0</v>
      </c>
      <c r="AG107">
        <f>Master!R107</f>
        <v>0</v>
      </c>
      <c r="AI107">
        <f>Master!S107</f>
        <v>0</v>
      </c>
      <c r="AK107">
        <f>Master!T107</f>
        <v>0</v>
      </c>
      <c r="AM107">
        <f>Master!U107</f>
        <v>0</v>
      </c>
      <c r="AO107">
        <f>Master!V107</f>
        <v>0</v>
      </c>
    </row>
    <row r="108" spans="1:42" x14ac:dyDescent="0.25">
      <c r="A108" t="str">
        <f>Master!A108</f>
        <v>Depreciation years</v>
      </c>
      <c r="B108" t="str">
        <f>Master!B108</f>
        <v>(fixed assets) / depreciation</v>
      </c>
      <c r="C108">
        <f>Master!C108</f>
        <v>0</v>
      </c>
      <c r="E108">
        <f>Master!D108</f>
        <v>0</v>
      </c>
      <c r="G108">
        <f>Master!E108</f>
        <v>100</v>
      </c>
      <c r="I108">
        <f>Master!F108</f>
        <v>20</v>
      </c>
      <c r="K108">
        <f>Master!G108</f>
        <v>20</v>
      </c>
      <c r="M108">
        <f>Master!H108</f>
        <v>20</v>
      </c>
      <c r="O108">
        <f>Master!I108</f>
        <v>10</v>
      </c>
      <c r="Q108">
        <f>Master!J108</f>
        <v>10</v>
      </c>
      <c r="S108">
        <f>Master!K108</f>
        <v>20</v>
      </c>
      <c r="U108">
        <f>Master!L108</f>
        <v>15</v>
      </c>
      <c r="W108">
        <f>Master!M108</f>
        <v>0</v>
      </c>
      <c r="Y108">
        <f>Master!N108</f>
        <v>0</v>
      </c>
      <c r="AA108">
        <f>Master!O108</f>
        <v>0</v>
      </c>
      <c r="AC108">
        <f>Master!P108</f>
        <v>20</v>
      </c>
      <c r="AE108">
        <f>Master!Q108</f>
        <v>0</v>
      </c>
      <c r="AG108">
        <f>Master!R108</f>
        <v>0</v>
      </c>
      <c r="AI108">
        <f>Master!S108</f>
        <v>0</v>
      </c>
      <c r="AK108">
        <f>Master!T108</f>
        <v>20</v>
      </c>
      <c r="AM108">
        <f>Master!U108</f>
        <v>0</v>
      </c>
      <c r="AO108">
        <f>Master!V108</f>
        <v>20</v>
      </c>
    </row>
    <row r="109" spans="1:42" x14ac:dyDescent="0.25">
      <c r="A109">
        <f>Master!A109</f>
        <v>0</v>
      </c>
      <c r="B109">
        <f>Master!B109</f>
        <v>0</v>
      </c>
      <c r="C109">
        <f>Master!C109</f>
        <v>0</v>
      </c>
      <c r="E109">
        <f>Master!D109</f>
        <v>0</v>
      </c>
      <c r="G109">
        <f>Master!E109</f>
        <v>0</v>
      </c>
      <c r="I109">
        <f>Master!F109</f>
        <v>0</v>
      </c>
      <c r="K109">
        <f>Master!G109</f>
        <v>0</v>
      </c>
      <c r="M109">
        <f>Master!H109</f>
        <v>0</v>
      </c>
      <c r="O109">
        <f>Master!I109</f>
        <v>0</v>
      </c>
      <c r="Q109">
        <f>Master!J109</f>
        <v>0</v>
      </c>
      <c r="S109">
        <f>Master!K109</f>
        <v>0</v>
      </c>
      <c r="U109">
        <f>Master!L109</f>
        <v>0</v>
      </c>
      <c r="W109">
        <f>Master!M109</f>
        <v>0</v>
      </c>
      <c r="Y109">
        <f>Master!N109</f>
        <v>0</v>
      </c>
      <c r="AA109">
        <f>Master!O109</f>
        <v>0</v>
      </c>
      <c r="AC109">
        <f>Master!P109</f>
        <v>0</v>
      </c>
      <c r="AE109">
        <f>Master!Q109</f>
        <v>0</v>
      </c>
      <c r="AG109">
        <f>Master!R109</f>
        <v>0</v>
      </c>
      <c r="AI109">
        <f>Master!S109</f>
        <v>0</v>
      </c>
      <c r="AK109">
        <f>Master!T109</f>
        <v>0</v>
      </c>
      <c r="AM109">
        <f>Master!U109</f>
        <v>0</v>
      </c>
      <c r="AO109">
        <f>Master!V109</f>
        <v>0</v>
      </c>
    </row>
    <row r="110" spans="1:42" x14ac:dyDescent="0.25">
      <c r="A110" t="str">
        <f>Master!A110</f>
        <v>Receivables days (days sales outstanding)</v>
      </c>
      <c r="B110" t="str">
        <f>Master!B110</f>
        <v>(Accounts receivable) / (Revenue/365)</v>
      </c>
      <c r="C110">
        <f>Master!C110</f>
        <v>0</v>
      </c>
      <c r="E110">
        <f>Master!D110</f>
        <v>0</v>
      </c>
      <c r="G110">
        <f>Master!E110</f>
        <v>76.041666666666671</v>
      </c>
      <c r="I110">
        <f>Master!F110</f>
        <v>30.416666666666668</v>
      </c>
      <c r="K110">
        <f>Master!G110</f>
        <v>10.134833333333335</v>
      </c>
      <c r="M110">
        <f>Master!H110</f>
        <v>76.041666666666671</v>
      </c>
      <c r="O110">
        <f>Master!I110</f>
        <v>30.416666666666668</v>
      </c>
      <c r="Q110">
        <f>Master!J110</f>
        <v>10.12875</v>
      </c>
      <c r="S110">
        <f>Master!K110</f>
        <v>10.098333333333334</v>
      </c>
      <c r="U110">
        <f>Master!L110</f>
        <v>76.041666666666671</v>
      </c>
      <c r="W110">
        <f>Master!M110</f>
        <v>0</v>
      </c>
      <c r="Y110">
        <f>Master!N110</f>
        <v>0</v>
      </c>
      <c r="AA110">
        <f>Master!O110</f>
        <v>0</v>
      </c>
      <c r="AC110">
        <f>Master!P110</f>
        <v>0</v>
      </c>
      <c r="AE110">
        <f>Master!Q110</f>
        <v>76.041666666666671</v>
      </c>
      <c r="AG110">
        <f>Master!R110</f>
        <v>0</v>
      </c>
      <c r="AI110">
        <f>Master!S110</f>
        <v>0</v>
      </c>
      <c r="AK110">
        <f>Master!T110</f>
        <v>0</v>
      </c>
      <c r="AM110">
        <f>Master!U110</f>
        <v>0</v>
      </c>
      <c r="AO110">
        <f>Master!V110</f>
        <v>0</v>
      </c>
    </row>
    <row r="111" spans="1:42" x14ac:dyDescent="0.25">
      <c r="A111" t="str">
        <f>Master!A111</f>
        <v>Payables days</v>
      </c>
      <c r="B111" t="str">
        <f>Master!B111</f>
        <v>(Accounts payable) / (operating expenses / 365)</v>
      </c>
      <c r="C111">
        <f>Master!C111</f>
        <v>0</v>
      </c>
      <c r="E111">
        <f>Master!D111</f>
        <v>0</v>
      </c>
      <c r="G111">
        <f>Master!E111</f>
        <v>74.990909090909085</v>
      </c>
      <c r="I111">
        <f>Master!F111</f>
        <v>74.997070651904068</v>
      </c>
      <c r="K111">
        <f>Master!G111</f>
        <v>9.9975238095238108</v>
      </c>
      <c r="M111">
        <f>Master!H111</f>
        <v>74.995927865037814</v>
      </c>
      <c r="O111">
        <f>Master!I111</f>
        <v>74.988631488631484</v>
      </c>
      <c r="Q111">
        <f>Master!J111</f>
        <v>9.9868055555555557</v>
      </c>
      <c r="S111">
        <f>Master!K111</f>
        <v>9.9716494845360835</v>
      </c>
      <c r="U111">
        <f>Master!L111</f>
        <v>29.993761140819966</v>
      </c>
      <c r="W111">
        <f>Master!M111</f>
        <v>29.995310245310247</v>
      </c>
      <c r="Y111">
        <f>Master!N111</f>
        <v>29.953468697123522</v>
      </c>
      <c r="AA111">
        <f>Master!O111</f>
        <v>9.995751633986929</v>
      </c>
      <c r="AC111">
        <f>Master!P111</f>
        <v>74.962365591397855</v>
      </c>
      <c r="AE111">
        <f>Master!Q111</f>
        <v>29.995512820512818</v>
      </c>
      <c r="AG111">
        <f>Master!R111</f>
        <v>29.971544715447155</v>
      </c>
      <c r="AI111">
        <f>Master!S111</f>
        <v>74.994894894894898</v>
      </c>
      <c r="AK111">
        <f>Master!T111</f>
        <v>29.907964239205185</v>
      </c>
      <c r="AM111">
        <f>Master!U111</f>
        <v>29.998727735368959</v>
      </c>
      <c r="AO111">
        <f>Master!V111</f>
        <v>29.962058755739946</v>
      </c>
    </row>
    <row r="112" spans="1:42" x14ac:dyDescent="0.25">
      <c r="A112" t="str">
        <f>Master!A112</f>
        <v>Inventory days</v>
      </c>
      <c r="B112" t="str">
        <f>Master!B112</f>
        <v>(Inventory) / (COGS per day)</v>
      </c>
      <c r="C112">
        <f>Master!C112</f>
        <v>0</v>
      </c>
      <c r="E112">
        <f>Master!D112</f>
        <v>0</v>
      </c>
      <c r="G112">
        <f>Master!E112</f>
        <v>29.999853448275861</v>
      </c>
      <c r="I112">
        <f>Master!F112</f>
        <v>0</v>
      </c>
      <c r="K112">
        <f>Master!G112</f>
        <v>30.000005128205132</v>
      </c>
      <c r="M112">
        <f>Master!H112</f>
        <v>29.999958333333332</v>
      </c>
      <c r="O112">
        <f>Master!I112</f>
        <v>29.999997329059831</v>
      </c>
      <c r="Q112">
        <f>Master!J112</f>
        <v>29.999958333333332</v>
      </c>
      <c r="S112">
        <f>Master!K112</f>
        <v>9.9996646341463418</v>
      </c>
      <c r="U112">
        <f>Master!L112</f>
        <v>74.999960826210824</v>
      </c>
      <c r="W112">
        <f>Master!M112</f>
        <v>29.999880341880342</v>
      </c>
      <c r="Y112">
        <f>Master!N112</f>
        <v>30.000192307692309</v>
      </c>
      <c r="AA112">
        <f>Master!O112</f>
        <v>29.999880341880342</v>
      </c>
      <c r="AC112">
        <f>Master!P112</f>
        <v>10.000284313725489</v>
      </c>
      <c r="AE112">
        <f>Master!Q112</f>
        <v>29.999958333333336</v>
      </c>
      <c r="AG112">
        <f>Master!R112</f>
        <v>30.000392857142856</v>
      </c>
      <c r="AI112">
        <f>Master!S112</f>
        <v>29.999958333333332</v>
      </c>
      <c r="AK112">
        <f>Master!T112</f>
        <v>8.000051282051281</v>
      </c>
      <c r="AM112">
        <f>Master!U112</f>
        <v>7.9999411764705881</v>
      </c>
      <c r="AO112">
        <f>Master!V112</f>
        <v>2.0002363184079601</v>
      </c>
    </row>
    <row r="113" spans="1:41" x14ac:dyDescent="0.25">
      <c r="A113">
        <f>Master!A113</f>
        <v>0</v>
      </c>
      <c r="B113">
        <f>Master!B113</f>
        <v>0</v>
      </c>
      <c r="C113">
        <f>Master!C113</f>
        <v>0</v>
      </c>
      <c r="E113">
        <f>Master!D113</f>
        <v>0</v>
      </c>
      <c r="G113">
        <f>Master!E113</f>
        <v>0</v>
      </c>
      <c r="I113">
        <f>Master!F113</f>
        <v>0</v>
      </c>
      <c r="K113">
        <f>Master!G113</f>
        <v>0</v>
      </c>
      <c r="M113">
        <f>Master!H113</f>
        <v>0</v>
      </c>
      <c r="O113">
        <f>Master!I113</f>
        <v>0</v>
      </c>
      <c r="Q113">
        <f>Master!J113</f>
        <v>0</v>
      </c>
      <c r="S113">
        <f>Master!K113</f>
        <v>0</v>
      </c>
      <c r="U113">
        <f>Master!L113</f>
        <v>0</v>
      </c>
      <c r="W113">
        <f>Master!M113</f>
        <v>0</v>
      </c>
      <c r="Y113">
        <f>Master!N113</f>
        <v>0</v>
      </c>
      <c r="AA113">
        <f>Master!O113</f>
        <v>0</v>
      </c>
      <c r="AC113">
        <f>Master!P113</f>
        <v>0</v>
      </c>
      <c r="AE113">
        <f>Master!Q113</f>
        <v>0</v>
      </c>
      <c r="AG113">
        <f>Master!R113</f>
        <v>0</v>
      </c>
      <c r="AI113">
        <f>Master!S113</f>
        <v>0</v>
      </c>
      <c r="AK113">
        <f>Master!T113</f>
        <v>0</v>
      </c>
      <c r="AM113">
        <f>Master!U113</f>
        <v>0</v>
      </c>
      <c r="AO113">
        <f>Master!V113</f>
        <v>0</v>
      </c>
    </row>
    <row r="114" spans="1:41" x14ac:dyDescent="0.25">
      <c r="A114" t="str">
        <f>Master!A114</f>
        <v>random number</v>
      </c>
      <c r="B114">
        <f>Master!B114</f>
        <v>0</v>
      </c>
      <c r="C114">
        <f>Master!C114</f>
        <v>0.94510566176748412</v>
      </c>
      <c r="E114">
        <f>Master!D114</f>
        <v>0.96381419546897185</v>
      </c>
      <c r="G114">
        <f>Master!E114</f>
        <v>0</v>
      </c>
      <c r="I114">
        <f>Master!F114</f>
        <v>0.79712378818298735</v>
      </c>
      <c r="K114">
        <f>Master!G114</f>
        <v>0</v>
      </c>
      <c r="M114">
        <f>Master!H114</f>
        <v>0.80430298946211298</v>
      </c>
      <c r="O114">
        <f>Master!I114</f>
        <v>0</v>
      </c>
      <c r="Q114">
        <f>Master!J114</f>
        <v>0.70285874979925689</v>
      </c>
      <c r="S114">
        <f>Master!K114</f>
        <v>0.26419087825413889</v>
      </c>
      <c r="U114">
        <f>Master!L114</f>
        <v>0.52648698794424931</v>
      </c>
      <c r="W114">
        <f>Master!M114</f>
        <v>0.11858957185452823</v>
      </c>
      <c r="Y114">
        <f>Master!N114</f>
        <v>0.18687316094744233</v>
      </c>
      <c r="AA114">
        <f>Master!O114</f>
        <v>0.17155103703452679</v>
      </c>
      <c r="AC114">
        <f>Master!P114</f>
        <v>0.72348157863711915</v>
      </c>
      <c r="AE114">
        <f>Master!Q114</f>
        <v>0.84466005541907796</v>
      </c>
      <c r="AG114">
        <f>Master!R114</f>
        <v>0.79419743086428984</v>
      </c>
      <c r="AI114">
        <f>Master!S114</f>
        <v>0.7046511440355796</v>
      </c>
      <c r="AK114">
        <f>Master!T114</f>
        <v>0.2100643262216888</v>
      </c>
      <c r="AM114">
        <f>Master!U114</f>
        <v>0.44810979455957667</v>
      </c>
      <c r="AO114">
        <f>Master!V114</f>
        <v>0.71850557068079102</v>
      </c>
    </row>
    <row r="115" spans="1:41" x14ac:dyDescent="0.25">
      <c r="A115" t="str">
        <f>Master!A115</f>
        <v>Letter to encode</v>
      </c>
      <c r="B115">
        <f>Master!B115</f>
        <v>0</v>
      </c>
      <c r="C115" t="str">
        <f>Master!C115</f>
        <v>S</v>
      </c>
      <c r="E115" t="str">
        <f>Master!D115</f>
        <v>E</v>
      </c>
      <c r="G115" t="str">
        <f>Master!E115</f>
        <v>A</v>
      </c>
      <c r="I115" t="str">
        <f>Master!F115</f>
        <v>R</v>
      </c>
      <c r="K115" t="str">
        <f>Master!G115</f>
        <v>C</v>
      </c>
      <c r="M115" t="str">
        <f>Master!H115</f>
        <v>H</v>
      </c>
      <c r="O115" t="str">
        <f>Master!I115</f>
        <v>H</v>
      </c>
      <c r="Q115" t="str">
        <f>Master!J115</f>
        <v>B</v>
      </c>
      <c r="S115" t="str">
        <f>Master!K115</f>
        <v>S</v>
      </c>
      <c r="U115" t="str">
        <f>Master!L115</f>
        <v>P</v>
      </c>
      <c r="W115" t="str">
        <f>Master!M115</f>
        <v>H</v>
      </c>
      <c r="Y115" t="str">
        <f>Master!N115</f>
        <v>A</v>
      </c>
      <c r="AA115" t="str">
        <f>Master!O115</f>
        <v>R</v>
      </c>
      <c r="AC115" t="str">
        <f>Master!P115</f>
        <v>V</v>
      </c>
      <c r="AE115" t="str">
        <f>Master!Q115</f>
        <v>A</v>
      </c>
      <c r="AG115" t="str">
        <f>Master!R115</f>
        <v>R</v>
      </c>
      <c r="AI115" t="str">
        <f>Master!S115</f>
        <v>D</v>
      </c>
      <c r="AK115" t="str">
        <f>Master!T115</f>
        <v>E</v>
      </c>
      <c r="AM115" t="str">
        <f>Master!U115</f>
        <v>D</v>
      </c>
      <c r="AO115" t="str">
        <f>Master!V115</f>
        <v>U</v>
      </c>
    </row>
    <row r="116" spans="1:41" x14ac:dyDescent="0.25">
      <c r="A116">
        <f>Master!A116</f>
        <v>0</v>
      </c>
      <c r="B116">
        <f>Master!B116</f>
        <v>0</v>
      </c>
      <c r="C116">
        <f>Master!C116</f>
        <v>19</v>
      </c>
      <c r="E116">
        <f>Master!D116</f>
        <v>5</v>
      </c>
      <c r="G116">
        <f>Master!E116</f>
        <v>1</v>
      </c>
      <c r="I116">
        <f>Master!F116</f>
        <v>18</v>
      </c>
      <c r="K116">
        <f>Master!G116</f>
        <v>3</v>
      </c>
      <c r="M116">
        <f>Master!H116</f>
        <v>8</v>
      </c>
      <c r="O116">
        <f>Master!I116</f>
        <v>8</v>
      </c>
      <c r="Q116">
        <f>Master!J116</f>
        <v>2</v>
      </c>
      <c r="S116">
        <f>Master!K116</f>
        <v>19</v>
      </c>
      <c r="U116">
        <f>Master!L116</f>
        <v>16</v>
      </c>
      <c r="W116">
        <f>Master!M116</f>
        <v>8</v>
      </c>
      <c r="Y116">
        <f>Master!N116</f>
        <v>1</v>
      </c>
      <c r="AA116">
        <f>Master!O116</f>
        <v>18</v>
      </c>
      <c r="AC116">
        <f>Master!P116</f>
        <v>22</v>
      </c>
      <c r="AE116">
        <f>Master!Q116</f>
        <v>1</v>
      </c>
      <c r="AG116">
        <f>Master!R116</f>
        <v>18</v>
      </c>
      <c r="AI116">
        <f>Master!S116</f>
        <v>4</v>
      </c>
      <c r="AK116">
        <f>Master!T116</f>
        <v>5</v>
      </c>
      <c r="AM116">
        <f>Master!U116</f>
        <v>4</v>
      </c>
      <c r="AO116">
        <f>Master!V116</f>
        <v>21</v>
      </c>
    </row>
    <row r="117" spans="1:41" x14ac:dyDescent="0.25">
      <c r="A117" t="str">
        <f>Master!A117</f>
        <v>Red herring letter to encode</v>
      </c>
      <c r="B117">
        <f>Master!B117</f>
        <v>0</v>
      </c>
      <c r="C117" t="str">
        <f>Master!C117</f>
        <v>T</v>
      </c>
      <c r="E117" t="str">
        <f>Master!D117</f>
        <v>A</v>
      </c>
      <c r="G117" t="str">
        <f>Master!E117</f>
        <v>X</v>
      </c>
      <c r="I117" t="str">
        <f>Master!F117</f>
        <v>E</v>
      </c>
      <c r="K117" t="str">
        <f>Master!G117</f>
        <v>S</v>
      </c>
      <c r="M117" t="str">
        <f>Master!H117</f>
        <v>F</v>
      </c>
      <c r="O117" t="str">
        <f>Master!I117</f>
        <v>O</v>
      </c>
      <c r="Q117" t="str">
        <f>Master!J117</f>
        <v>R</v>
      </c>
      <c r="S117" t="str">
        <f>Master!K117</f>
        <v>M</v>
      </c>
      <c r="U117" t="str">
        <f>Master!L117</f>
        <v>A</v>
      </c>
      <c r="W117" t="str">
        <f>Master!M117</f>
        <v>R</v>
      </c>
      <c r="Y117" t="str">
        <f>Master!N117</f>
        <v>E</v>
      </c>
      <c r="AA117" t="str">
        <f>Master!O117</f>
        <v>D</v>
      </c>
      <c r="AC117" t="str">
        <f>Master!P117</f>
        <v>H</v>
      </c>
      <c r="AE117" t="str">
        <f>Master!Q117</f>
        <v>E</v>
      </c>
      <c r="AG117" t="str">
        <f>Master!R117</f>
        <v>R</v>
      </c>
      <c r="AI117" t="str">
        <f>Master!S117</f>
        <v>R</v>
      </c>
      <c r="AK117" t="str">
        <f>Master!T117</f>
        <v>I</v>
      </c>
      <c r="AM117" t="str">
        <f>Master!U117</f>
        <v>N</v>
      </c>
      <c r="AO117" t="str">
        <f>Master!V117</f>
        <v>G</v>
      </c>
    </row>
    <row r="118" spans="1:41" x14ac:dyDescent="0.25">
      <c r="A118">
        <f>Master!A118</f>
        <v>0</v>
      </c>
      <c r="B118">
        <f>Master!B118</f>
        <v>0</v>
      </c>
      <c r="C118">
        <f>Master!C118</f>
        <v>20</v>
      </c>
      <c r="E118">
        <f>Master!D118</f>
        <v>1</v>
      </c>
      <c r="G118">
        <f>Master!E118</f>
        <v>24</v>
      </c>
      <c r="I118">
        <f>Master!F118</f>
        <v>5</v>
      </c>
      <c r="K118">
        <f>Master!G118</f>
        <v>19</v>
      </c>
      <c r="M118">
        <f>Master!H118</f>
        <v>6</v>
      </c>
      <c r="O118">
        <f>Master!I118</f>
        <v>15</v>
      </c>
      <c r="Q118">
        <f>Master!J118</f>
        <v>18</v>
      </c>
      <c r="S118">
        <f>Master!K118</f>
        <v>13</v>
      </c>
      <c r="U118">
        <f>Master!L118</f>
        <v>1</v>
      </c>
      <c r="W118">
        <f>Master!M118</f>
        <v>18</v>
      </c>
      <c r="Y118">
        <f>Master!N118</f>
        <v>5</v>
      </c>
      <c r="AA118">
        <f>Master!O118</f>
        <v>4</v>
      </c>
      <c r="AC118">
        <f>Master!P118</f>
        <v>8</v>
      </c>
      <c r="AE118">
        <f>Master!Q118</f>
        <v>5</v>
      </c>
      <c r="AG118">
        <f>Master!R118</f>
        <v>18</v>
      </c>
      <c r="AI118">
        <f>Master!S118</f>
        <v>18</v>
      </c>
      <c r="AK118">
        <f>Master!T118</f>
        <v>9</v>
      </c>
      <c r="AM118">
        <f>Master!U118</f>
        <v>14</v>
      </c>
      <c r="AO118">
        <f>Master!V118</f>
        <v>7</v>
      </c>
    </row>
    <row r="119" spans="1:41" x14ac:dyDescent="0.25">
      <c r="A119" t="str">
        <f>Master!A119</f>
        <v>Real ordering:</v>
      </c>
      <c r="B119">
        <f>Master!B119</f>
        <v>0</v>
      </c>
      <c r="C119">
        <f>Master!C119</f>
        <v>1</v>
      </c>
      <c r="E119">
        <f>Master!D119</f>
        <v>2</v>
      </c>
      <c r="G119">
        <f>Master!E119</f>
        <v>3</v>
      </c>
      <c r="I119">
        <f>Master!F119</f>
        <v>4</v>
      </c>
      <c r="K119">
        <f>Master!G119</f>
        <v>5</v>
      </c>
      <c r="M119">
        <f>Master!H119</f>
        <v>6</v>
      </c>
      <c r="O119">
        <f>Master!I119</f>
        <v>7</v>
      </c>
      <c r="Q119">
        <f>Master!J119</f>
        <v>8</v>
      </c>
      <c r="S119">
        <f>Master!K119</f>
        <v>9</v>
      </c>
      <c r="U119">
        <f>Master!L119</f>
        <v>10</v>
      </c>
      <c r="W119">
        <f>Master!M119</f>
        <v>11</v>
      </c>
      <c r="Y119">
        <f>Master!N119</f>
        <v>12</v>
      </c>
      <c r="AA119">
        <f>Master!O119</f>
        <v>13</v>
      </c>
      <c r="AC119">
        <f>Master!P119</f>
        <v>14</v>
      </c>
      <c r="AE119">
        <f>Master!Q119</f>
        <v>15</v>
      </c>
      <c r="AG119">
        <f>Master!R119</f>
        <v>16</v>
      </c>
      <c r="AI119">
        <f>Master!S119</f>
        <v>17</v>
      </c>
      <c r="AK119">
        <f>Master!T119</f>
        <v>18</v>
      </c>
      <c r="AM119">
        <f>Master!U119</f>
        <v>19</v>
      </c>
      <c r="AO119">
        <f>Master!V119</f>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Descriptions (2)</vt:lpstr>
      <vt:lpstr>Master</vt:lpstr>
      <vt:lpstr>Sheet1</vt:lpstr>
      <vt:lpstr>magic</vt:lpstr>
    </vt:vector>
  </TitlesOfParts>
  <Company>Flextronics Int.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sjckrobi</dc:creator>
  <cp:lastModifiedBy>karenerobinson</cp:lastModifiedBy>
  <cp:lastPrinted>2013-11-14T04:41:49Z</cp:lastPrinted>
  <dcterms:created xsi:type="dcterms:W3CDTF">2013-11-10T17:52:31Z</dcterms:created>
  <dcterms:modified xsi:type="dcterms:W3CDTF">2014-01-10T02:20:02Z</dcterms:modified>
</cp:coreProperties>
</file>