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6" sheetId="1" r:id="rId4"/>
    <sheet state="visible" name="campaign_dataDump" sheetId="2" r:id="rId5"/>
    <sheet state="hidden" name="Sheet5" sheetId="3" r:id="rId6"/>
    <sheet state="visible" name="Dashboard-Categorywise" sheetId="4" r:id="rId7"/>
    <sheet state="visible" name="Dashboard-Industrywide" sheetId="5" r:id="rId8"/>
    <sheet state="hidden" name="DropDowns" sheetId="6" r:id="rId9"/>
    <sheet state="hidden" name="Sheet4" sheetId="7" r:id="rId10"/>
  </sheets>
  <definedNames>
    <definedName hidden="1" localSheetId="0" name="Z_E2A79D08_62F4_44E4_AF0C_4052E6044C74_.wvu.FilterData">Sheet6!$A$1:$L$169</definedName>
    <definedName hidden="1" localSheetId="1" name="Z_E2A79D08_62F4_44E4_AF0C_4052E6044C74_.wvu.FilterData">campaign_dataDump!$A$1:$AE$163</definedName>
    <definedName hidden="1" localSheetId="1" name="Z_AC1572AF_0235_403E_8493_8DA6912AA1DD_.wvu.FilterData">campaign_dataDump!$A$1:$AF$164</definedName>
  </definedNames>
  <calcPr/>
  <customWorkbookViews>
    <customWorkbookView activeSheetId="0" maximized="1" windowHeight="0" windowWidth="0" guid="{AC1572AF-0235-403E-8493-8DA6912AA1DD}" name="Filter 2"/>
    <customWorkbookView activeSheetId="0" maximized="1" windowHeight="0" windowWidth="0" guid="{E2A79D08-62F4-44E4-AF0C-4052E6044C74}" name="Filter 1"/>
  </customWorkbookViews>
  <extLst>
    <ext uri="GoogleSheetsCustomDataVersion2">
      <go:sheetsCustomData xmlns:go="http://customooxmlschemas.google.com/" r:id="rId11" roundtripDataChecksum="U5FrlHCBN/4mfUb5PKSzFzJ1NZmIPPjQtPTsq4CBpXY="/>
    </ext>
  </extLst>
</workbook>
</file>

<file path=xl/sharedStrings.xml><?xml version="1.0" encoding="utf-8"?>
<sst xmlns="http://schemas.openxmlformats.org/spreadsheetml/2006/main" count="1063" uniqueCount="76">
  <si>
    <t>ds</t>
  </si>
  <si>
    <t>l1</t>
  </si>
  <si>
    <t>concat</t>
  </si>
  <si>
    <t>buyers_target</t>
  </si>
  <si>
    <t>orders_target</t>
  </si>
  <si>
    <t>concat2</t>
  </si>
  <si>
    <t>orders</t>
  </si>
  <si>
    <t>buyers</t>
  </si>
  <si>
    <t>Bags and Travel</t>
  </si>
  <si>
    <t>Mobiles &amp; Tablets</t>
  </si>
  <si>
    <t>Bedding &amp; Bath</t>
  </si>
  <si>
    <t>TV, Audio / Video, Gaming &amp; Wearables</t>
  </si>
  <si>
    <t>Cameras</t>
  </si>
  <si>
    <t>Special Digital Products</t>
  </si>
  <si>
    <t>Computers &amp; Laptops</t>
  </si>
  <si>
    <t>Digital Goods</t>
  </si>
  <si>
    <t>Mother &amp; Baby</t>
  </si>
  <si>
    <t>Fashion</t>
  </si>
  <si>
    <t>Furniture &amp; Decor</t>
  </si>
  <si>
    <t>Motors</t>
  </si>
  <si>
    <t>Groceries</t>
  </si>
  <si>
    <t>Watches Sunglasses Jewellery</t>
  </si>
  <si>
    <t>Health &amp; Beauty</t>
  </si>
  <si>
    <t>Home Appliances</t>
  </si>
  <si>
    <t>Kitchen &amp; Dining</t>
  </si>
  <si>
    <t>Toys &amp; Games</t>
  </si>
  <si>
    <t>Laundry &amp; Cleaning</t>
  </si>
  <si>
    <t>Media, Music &amp; Books</t>
  </si>
  <si>
    <t>Stationery &amp; Craft</t>
  </si>
  <si>
    <t>Pet Supplies</t>
  </si>
  <si>
    <t>Sports &amp; Outdoors</t>
  </si>
  <si>
    <t>Tools, DIY &amp; Outdoor</t>
  </si>
  <si>
    <t>Date</t>
  </si>
  <si>
    <t>GMV</t>
  </si>
  <si>
    <t>GMV_target</t>
  </si>
  <si>
    <t>GMV_2021</t>
  </si>
  <si>
    <t>Orders</t>
  </si>
  <si>
    <t>Orders_target</t>
  </si>
  <si>
    <t>Orders_2021</t>
  </si>
  <si>
    <t>Items</t>
  </si>
  <si>
    <t>Items_target</t>
  </si>
  <si>
    <t>Items_2021</t>
  </si>
  <si>
    <t>Buyers</t>
  </si>
  <si>
    <t>Buyers_target</t>
  </si>
  <si>
    <t>Buyers_2021</t>
  </si>
  <si>
    <t>AOV</t>
  </si>
  <si>
    <t>Aov_2021</t>
  </si>
  <si>
    <t>Aiv</t>
  </si>
  <si>
    <t>Aiv_2021</t>
  </si>
  <si>
    <t>Opas</t>
  </si>
  <si>
    <t>Opas_2021</t>
  </si>
  <si>
    <t>UV</t>
  </si>
  <si>
    <t>PDP_uv</t>
  </si>
  <si>
    <t>A2C_uv</t>
  </si>
  <si>
    <t>A2C_quantity</t>
  </si>
  <si>
    <t>Carts</t>
  </si>
  <si>
    <t>visible_products</t>
  </si>
  <si>
    <t>purchasable_product</t>
  </si>
  <si>
    <t>product_viewed</t>
  </si>
  <si>
    <t>selling_products</t>
  </si>
  <si>
    <t>oos_items</t>
  </si>
  <si>
    <t>fbd_items</t>
  </si>
  <si>
    <t>Industry</t>
  </si>
  <si>
    <t>EL</t>
  </si>
  <si>
    <t>FMCG</t>
  </si>
  <si>
    <t>Furniture &amp; DÃ©cor</t>
  </si>
  <si>
    <t>LS</t>
  </si>
  <si>
    <t>Testing Categories</t>
  </si>
  <si>
    <t>Select One Category</t>
  </si>
  <si>
    <t>Category</t>
  </si>
  <si>
    <t>Note: You can select one category at a time</t>
  </si>
  <si>
    <t>Select One Industry</t>
  </si>
  <si>
    <t xml:space="preserve"> </t>
  </si>
  <si>
    <t>Note: Motors has been excluded from LS.</t>
  </si>
  <si>
    <t>Furniture &amp; Décor</t>
  </si>
  <si>
    <t>Monthly Campaign 
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</si>
</sst>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4">
    <font>
      <sz val="10.0"/>
      <color rgb="FF000000"/>
      <name val="Arial"/>
      <scheme val="minor"/>
    </font>
    <font>
      <color theme="1"/>
      <name val="Arial"/>
    </font>
    <font>
      <b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rgb="FFFFFFFF"/>
      <name val="Arial"/>
    </font>
    <font>
      <sz val="12.0"/>
      <color rgb="FFFFFFFF"/>
      <name val="Inconsolata"/>
    </font>
    <font>
      <sz val="12.0"/>
      <color rgb="FF000000"/>
      <name val="Inconsolata"/>
    </font>
    <font>
      <sz val="11.0"/>
      <color rgb="FF000000"/>
      <name val="Inconsolata"/>
    </font>
    <font>
      <color rgb="FFFFFFFF"/>
      <name val="Arial"/>
    </font>
    <font>
      <sz val="11.0"/>
      <color rgb="FFFFFFFF"/>
      <name val="Inconsolata"/>
    </font>
    <font/>
    <font>
      <b/>
      <color theme="1"/>
      <name val="Arial"/>
    </font>
    <font>
      <b/>
      <sz val="18.0"/>
      <color theme="1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</border>
    <border>
      <left style="medium">
        <color rgb="FFFFFFFF"/>
      </lef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2" numFmtId="165" xfId="0" applyAlignment="1" applyBorder="1" applyFill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0" xfId="0" applyFont="1"/>
    <xf borderId="0" fillId="0" fontId="4" numFmtId="0" xfId="0" applyFont="1"/>
    <xf borderId="0" fillId="0" fontId="3" numFmtId="1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165" xfId="0" applyFont="1" applyNumberFormat="1"/>
    <xf borderId="0" fillId="0" fontId="5" numFmtId="0" xfId="0" applyFont="1"/>
    <xf borderId="0" fillId="3" fontId="6" numFmtId="0" xfId="0" applyAlignment="1" applyFill="1" applyFont="1">
      <alignment horizontal="center"/>
    </xf>
    <xf borderId="0" fillId="4" fontId="6" numFmtId="0" xfId="0" applyAlignment="1" applyFill="1" applyFont="1">
      <alignment horizontal="center"/>
    </xf>
    <xf borderId="1" fillId="4" fontId="6" numFmtId="0" xfId="0" applyBorder="1" applyFont="1"/>
    <xf borderId="1" fillId="4" fontId="7" numFmtId="0" xfId="0" applyBorder="1" applyFont="1"/>
    <xf borderId="1" fillId="3" fontId="6" numFmtId="0" xfId="0" applyBorder="1" applyFont="1"/>
    <xf borderId="1" fillId="3" fontId="7" numFmtId="0" xfId="0" applyBorder="1" applyFont="1"/>
    <xf borderId="0" fillId="5" fontId="1" numFmtId="0" xfId="0" applyFill="1" applyFont="1"/>
    <xf borderId="1" fillId="5" fontId="7" numFmtId="0" xfId="0" applyBorder="1" applyFont="1"/>
    <xf borderId="1" fillId="0" fontId="1" numFmtId="0" xfId="0" applyBorder="1" applyFont="1"/>
    <xf borderId="0" fillId="4" fontId="8" numFmtId="0" xfId="0" applyFont="1"/>
    <xf borderId="1" fillId="2" fontId="9" numFmtId="0" xfId="0" applyBorder="1" applyFont="1"/>
    <xf borderId="0" fillId="0" fontId="1" numFmtId="164" xfId="0" applyFont="1" applyNumberFormat="1"/>
    <xf borderId="0" fillId="0" fontId="1" numFmtId="1" xfId="0" applyFont="1" applyNumberFormat="1"/>
    <xf borderId="0" fillId="3" fontId="10" numFmtId="0" xfId="0" applyAlignment="1" applyFont="1">
      <alignment horizontal="center"/>
    </xf>
    <xf borderId="2" fillId="0" fontId="11" numFmtId="0" xfId="0" applyBorder="1" applyFont="1"/>
    <xf borderId="0" fillId="0" fontId="1" numFmtId="165" xfId="0" applyFont="1" applyNumberFormat="1"/>
    <xf borderId="0" fillId="3" fontId="5" numFmtId="1" xfId="0" applyAlignment="1" applyFont="1" applyNumberFormat="1">
      <alignment horizontal="center"/>
    </xf>
    <xf borderId="3" fillId="3" fontId="10" numFmtId="0" xfId="0" applyAlignment="1" applyBorder="1" applyFont="1">
      <alignment horizontal="center"/>
    </xf>
    <xf borderId="3" fillId="3" fontId="5" numFmtId="1" xfId="0" applyAlignment="1" applyBorder="1" applyFont="1" applyNumberFormat="1">
      <alignment horizontal="center"/>
    </xf>
    <xf borderId="0" fillId="0" fontId="1" numFmtId="1" xfId="0" applyFont="1" applyNumberFormat="1"/>
    <xf borderId="0" fillId="0" fontId="12" numFmtId="0" xfId="0" applyFont="1"/>
    <xf borderId="0" fillId="0" fontId="1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0">
    <tableStyle count="2" pivot="0" name="campaign_dataDump-style">
      <tableStyleElement dxfId="1" type="firstRowStripe"/>
      <tableStyleElement dxfId="2" type="secondRowStripe"/>
    </tableStyle>
    <tableStyle count="2" pivot="0" name="Dashboard-Categorywise-style">
      <tableStyleElement dxfId="1" type="firstRowStripe"/>
      <tableStyleElement dxfId="3" type="secondRowStripe"/>
    </tableStyle>
    <tableStyle count="2" pivot="0" name="Dashboard-Categorywise-style 2">
      <tableStyleElement dxfId="1" type="firstRowStripe"/>
      <tableStyleElement dxfId="3" type="secondRowStripe"/>
    </tableStyle>
    <tableStyle count="2" pivot="0" name="Dashboard-Categorywise-style 3">
      <tableStyleElement dxfId="1" type="firstRowStripe"/>
      <tableStyleElement dxfId="3" type="secondRowStripe"/>
    </tableStyle>
    <tableStyle count="2" pivot="0" name="Dashboard-Categorywise-style 4">
      <tableStyleElement dxfId="1" type="firstRowStripe"/>
      <tableStyleElement dxfId="3" type="secondRowStripe"/>
    </tableStyle>
    <tableStyle count="2" pivot="0" name="Dashboard-Industrywide-style">
      <tableStyleElement dxfId="1" type="firstRowStripe"/>
      <tableStyleElement dxfId="3" type="secondRowStripe"/>
    </tableStyle>
    <tableStyle count="2" pivot="0" name="Dashboard-Industrywide-style 2">
      <tableStyleElement dxfId="1" type="firstRowStripe"/>
      <tableStyleElement dxfId="3" type="secondRowStripe"/>
    </tableStyle>
    <tableStyle count="2" pivot="0" name="Dashboard-Industrywide-style 3">
      <tableStyleElement dxfId="1" type="firstRowStripe"/>
      <tableStyleElement dxfId="3" type="secondRowStripe"/>
    </tableStyle>
    <tableStyle count="2" pivot="0" name="Dashboard-Industrywide-style 4">
      <tableStyleElement dxfId="1" type="firstRowStripe"/>
      <tableStyleElement dxfId="3" type="secondRowStripe"/>
    </tableStyle>
    <tableStyle count="2" pivot="0" name="DropDowns-style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GMV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GMV-2023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'Dashboard-Categorywise'!$A$19:$A$29</c:f>
            </c:strRef>
          </c:cat>
          <c:val>
            <c:numRef>
              <c:f>'Dashboard-Categorywise'!$B$19:$B$29</c:f>
              <c:numCache/>
            </c:numRef>
          </c:val>
        </c:ser>
        <c:ser>
          <c:idx val="1"/>
          <c:order val="1"/>
          <c:tx>
            <c:v>GMV-2022</c:v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'Dashboard-Categorywise'!$A$19:$A$29</c:f>
            </c:strRef>
          </c:cat>
          <c:val>
            <c:numRef>
              <c:f>'Dashboard-Categorywise'!$C$19:$C$29</c:f>
              <c:numCache/>
            </c:numRef>
          </c:val>
        </c:ser>
        <c:ser>
          <c:idx val="2"/>
          <c:order val="2"/>
          <c:tx>
            <c:v>Target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'Dashboard-Categorywise'!$A$19:$A$29</c:f>
            </c:strRef>
          </c:cat>
          <c:val>
            <c:numRef>
              <c:f>'Dashboard-Categorywise'!$D$19:$D$29</c:f>
              <c:numCache/>
            </c:numRef>
          </c:val>
        </c:ser>
        <c:axId val="526278854"/>
        <c:axId val="663514141"/>
      </c:barChart>
      <c:catAx>
        <c:axId val="526278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3514141"/>
      </c:catAx>
      <c:valAx>
        <c:axId val="66351414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62788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'Dashboard-Industrywide'!$L$48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'Dashboard-Industrywide'!$K$49:$K$58</c:f>
            </c:strRef>
          </c:cat>
          <c:val>
            <c:numRef>
              <c:f>'Dashboard-Industrywide'!$L$49:$L$58</c:f>
              <c:numCache/>
            </c:numRef>
          </c:val>
        </c:ser>
        <c:ser>
          <c:idx val="1"/>
          <c:order val="1"/>
          <c:tx>
            <c:strRef>
              <c:f>'Dashboard-Industrywide'!$M$48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'Dashboard-Industrywide'!$K$49:$K$58</c:f>
            </c:strRef>
          </c:cat>
          <c:val>
            <c:numRef>
              <c:f>'Dashboard-Industrywide'!$M$49:$M$58</c:f>
              <c:numCache/>
            </c:numRef>
          </c:val>
        </c:ser>
        <c:ser>
          <c:idx val="2"/>
          <c:order val="2"/>
          <c:tx>
            <c:strRef>
              <c:f>'Dashboard-Industrywide'!$N$48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'Dashboard-Industrywide'!$K$49:$K$58</c:f>
            </c:strRef>
          </c:cat>
          <c:val>
            <c:numRef>
              <c:f>'Dashboard-Industrywide'!$N$49:$N$58</c:f>
              <c:numCache/>
            </c:numRef>
          </c:val>
        </c:ser>
        <c:axId val="896289732"/>
        <c:axId val="1501041712"/>
      </c:barChart>
      <c:catAx>
        <c:axId val="896289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1041712"/>
      </c:catAx>
      <c:valAx>
        <c:axId val="150104171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62897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AOV_2023 and AOV_2022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'Dashboard-Industrywide'!$B$987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'Dashboard-Industrywide'!$A$988:$A$993</c:f>
            </c:strRef>
          </c:cat>
          <c:val>
            <c:numRef>
              <c:f>'Dashboard-Industrywide'!$B$988:$B$993</c:f>
              <c:numCache/>
            </c:numRef>
          </c:val>
        </c:ser>
        <c:ser>
          <c:idx val="1"/>
          <c:order val="1"/>
          <c:tx>
            <c:strRef>
              <c:f>'Dashboard-Industrywide'!$C$987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'Dashboard-Industrywide'!$A$988:$A$993</c:f>
            </c:strRef>
          </c:cat>
          <c:val>
            <c:numRef>
              <c:f>'Dashboard-Industrywide'!$C$988:$C$993</c:f>
              <c:numCache/>
            </c:numRef>
          </c:val>
        </c:ser>
        <c:axId val="746438402"/>
        <c:axId val="220648294"/>
      </c:barChart>
      <c:catAx>
        <c:axId val="74643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0648294"/>
      </c:catAx>
      <c:valAx>
        <c:axId val="22064829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6438402"/>
      </c:valAx>
    </c:plotArea>
    <c:legend>
      <c:legendPos val="r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AIV_2023 and AIV_2022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'Dashboard-Industrywide'!$C$126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'Dashboard-Industrywide'!$B$127:$B$132</c:f>
            </c:strRef>
          </c:cat>
          <c:val>
            <c:numRef>
              <c:f>'Dashboard-Industrywide'!$C$127:$C$132</c:f>
              <c:numCache/>
            </c:numRef>
          </c:val>
        </c:ser>
        <c:ser>
          <c:idx val="1"/>
          <c:order val="1"/>
          <c:tx>
            <c:strRef>
              <c:f>'Dashboard-Industrywide'!$D$126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'Dashboard-Industrywide'!$B$127:$B$132</c:f>
            </c:strRef>
          </c:cat>
          <c:val>
            <c:numRef>
              <c:f>'Dashboard-Industrywide'!$D$127:$D$132</c:f>
              <c:numCache/>
            </c:numRef>
          </c:val>
        </c:ser>
        <c:axId val="1358011442"/>
        <c:axId val="1975436098"/>
      </c:barChart>
      <c:catAx>
        <c:axId val="1358011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5436098"/>
      </c:catAx>
      <c:valAx>
        <c:axId val="197543609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80114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'Dashboard-Categorywise'!$L$19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'Dashboard-Categorywise'!$K$20:$K$29</c:f>
            </c:strRef>
          </c:cat>
          <c:val>
            <c:numRef>
              <c:f>'Dashboard-Categorywise'!$L$20:$L$29</c:f>
              <c:numCache/>
            </c:numRef>
          </c:val>
        </c:ser>
        <c:ser>
          <c:idx val="1"/>
          <c:order val="1"/>
          <c:tx>
            <c:strRef>
              <c:f>'Dashboard-Categorywise'!$M$19</c:f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'Dashboard-Categorywise'!$K$20:$K$29</c:f>
            </c:strRef>
          </c:cat>
          <c:val>
            <c:numRef>
              <c:f>'Dashboard-Categorywise'!$M$20:$M$29</c:f>
              <c:numCache/>
            </c:numRef>
          </c:val>
        </c:ser>
        <c:ser>
          <c:idx val="2"/>
          <c:order val="2"/>
          <c:tx>
            <c:strRef>
              <c:f>'Dashboard-Categorywise'!$N$19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'Dashboard-Categorywise'!$K$20:$K$29</c:f>
            </c:strRef>
          </c:cat>
          <c:val>
            <c:numRef>
              <c:f>'Dashboard-Categorywise'!$N$20:$N$29</c:f>
              <c:numCache/>
            </c:numRef>
          </c:val>
        </c:ser>
        <c:axId val="248592665"/>
        <c:axId val="370858745"/>
      </c:barChart>
      <c:catAx>
        <c:axId val="24859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0858745"/>
      </c:catAx>
      <c:valAx>
        <c:axId val="37085874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85926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Items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'Dashboard-Categorywise'!$B$48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'Dashboard-Categorywise'!$A$49:$A$58</c:f>
            </c:strRef>
          </c:cat>
          <c:val>
            <c:numRef>
              <c:f>'Dashboard-Categorywise'!$B$49:$B$58</c:f>
              <c:numCache/>
            </c:numRef>
          </c:val>
        </c:ser>
        <c:ser>
          <c:idx val="1"/>
          <c:order val="1"/>
          <c:tx>
            <c:strRef>
              <c:f>'Dashboard-Categorywise'!$C$48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'Dashboard-Categorywise'!$A$49:$A$58</c:f>
            </c:strRef>
          </c:cat>
          <c:val>
            <c:numRef>
              <c:f>'Dashboard-Categorywise'!$C$49:$C$58</c:f>
              <c:numCache/>
            </c:numRef>
          </c:val>
        </c:ser>
        <c:ser>
          <c:idx val="2"/>
          <c:order val="2"/>
          <c:tx>
            <c:strRef>
              <c:f>'Dashboard-Categorywise'!$D$48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'Dashboard-Categorywise'!$A$49:$A$58</c:f>
            </c:strRef>
          </c:cat>
          <c:val>
            <c:numRef>
              <c:f>'Dashboard-Categorywise'!$D$49:$D$58</c:f>
              <c:numCache/>
            </c:numRef>
          </c:val>
        </c:ser>
        <c:axId val="1769561719"/>
        <c:axId val="1288317331"/>
      </c:barChart>
      <c:catAx>
        <c:axId val="176956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317331"/>
      </c:catAx>
      <c:valAx>
        <c:axId val="128831733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95617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'Dashboard-Categorywise'!$L$48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'Dashboard-Categorywise'!$K$49:$K$58</c:f>
            </c:strRef>
          </c:cat>
          <c:val>
            <c:numRef>
              <c:f>'Dashboard-Categorywise'!$L$49:$L$58</c:f>
              <c:numCache/>
            </c:numRef>
          </c:val>
        </c:ser>
        <c:ser>
          <c:idx val="1"/>
          <c:order val="1"/>
          <c:tx>
            <c:strRef>
              <c:f>'Dashboard-Categorywise'!$M$48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'Dashboard-Categorywise'!$K$49:$K$58</c:f>
            </c:strRef>
          </c:cat>
          <c:val>
            <c:numRef>
              <c:f>'Dashboard-Categorywise'!$M$49:$M$58</c:f>
              <c:numCache/>
            </c:numRef>
          </c:val>
        </c:ser>
        <c:ser>
          <c:idx val="2"/>
          <c:order val="2"/>
          <c:tx>
            <c:strRef>
              <c:f>'Dashboard-Categorywise'!$N$48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'Dashboard-Categorywise'!$K$49:$K$58</c:f>
            </c:strRef>
          </c:cat>
          <c:val>
            <c:numRef>
              <c:f>'Dashboard-Categorywise'!$N$49:$N$58</c:f>
              <c:numCache/>
            </c:numRef>
          </c:val>
        </c:ser>
        <c:axId val="2079187889"/>
        <c:axId val="436634487"/>
      </c:barChart>
      <c:catAx>
        <c:axId val="207918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6634487"/>
      </c:catAx>
      <c:valAx>
        <c:axId val="43663448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91878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AOV_2023 and AOV_2022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'Dashboard-Categorywise'!$B$987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'Dashboard-Categorywise'!$A$988:$A$993</c:f>
            </c:strRef>
          </c:cat>
          <c:val>
            <c:numRef>
              <c:f>'Dashboard-Categorywise'!$B$988:$B$993</c:f>
              <c:numCache/>
            </c:numRef>
          </c:val>
        </c:ser>
        <c:ser>
          <c:idx val="1"/>
          <c:order val="1"/>
          <c:tx>
            <c:strRef>
              <c:f>'Dashboard-Categorywise'!$C$987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'Dashboard-Categorywise'!$A$988:$A$993</c:f>
            </c:strRef>
          </c:cat>
          <c:val>
            <c:numRef>
              <c:f>'Dashboard-Categorywise'!$C$988:$C$993</c:f>
              <c:numCache/>
            </c:numRef>
          </c:val>
        </c:ser>
        <c:axId val="1167712798"/>
        <c:axId val="2048024589"/>
      </c:barChart>
      <c:catAx>
        <c:axId val="1167712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8024589"/>
      </c:catAx>
      <c:valAx>
        <c:axId val="204802458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7712798"/>
      </c:valAx>
    </c:plotArea>
    <c:legend>
      <c:legendPos val="r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AIV_2023 and AIV_2022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'Dashboard-Categorywise'!$C$126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'Dashboard-Categorywise'!$B$127:$B$132</c:f>
            </c:strRef>
          </c:cat>
          <c:val>
            <c:numRef>
              <c:f>'Dashboard-Categorywise'!$C$127:$C$132</c:f>
              <c:numCache/>
            </c:numRef>
          </c:val>
        </c:ser>
        <c:ser>
          <c:idx val="1"/>
          <c:order val="1"/>
          <c:tx>
            <c:strRef>
              <c:f>'Dashboard-Categorywise'!$D$126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'Dashboard-Categorywise'!$B$127:$B$132</c:f>
            </c:strRef>
          </c:cat>
          <c:val>
            <c:numRef>
              <c:f>'Dashboard-Categorywise'!$D$127:$D$132</c:f>
              <c:numCache/>
            </c:numRef>
          </c:val>
        </c:ser>
        <c:axId val="1710180015"/>
        <c:axId val="1962720909"/>
      </c:barChart>
      <c:catAx>
        <c:axId val="171018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2720909"/>
      </c:catAx>
      <c:valAx>
        <c:axId val="196272090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01800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GMV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GMV-2023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'Dashboard-Industrywide'!$A$19:$A$29</c:f>
            </c:strRef>
          </c:cat>
          <c:val>
            <c:numRef>
              <c:f>'Dashboard-Industrywide'!$B$19:$B$29</c:f>
              <c:numCache/>
            </c:numRef>
          </c:val>
        </c:ser>
        <c:ser>
          <c:idx val="1"/>
          <c:order val="1"/>
          <c:tx>
            <c:v>GMV-2022</c:v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'Dashboard-Industrywide'!$A$19:$A$29</c:f>
            </c:strRef>
          </c:cat>
          <c:val>
            <c:numRef>
              <c:f>'Dashboard-Industrywide'!$C$19:$C$29</c:f>
              <c:numCache/>
            </c:numRef>
          </c:val>
        </c:ser>
        <c:ser>
          <c:idx val="2"/>
          <c:order val="2"/>
          <c:tx>
            <c:v>Target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'Dashboard-Industrywide'!$A$19:$A$29</c:f>
            </c:strRef>
          </c:cat>
          <c:val>
            <c:numRef>
              <c:f>'Dashboard-Industrywide'!$D$19:$D$29</c:f>
              <c:numCache/>
            </c:numRef>
          </c:val>
        </c:ser>
        <c:axId val="848392087"/>
        <c:axId val="132622405"/>
      </c:barChart>
      <c:catAx>
        <c:axId val="848392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622405"/>
      </c:catAx>
      <c:valAx>
        <c:axId val="1326224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83920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'Dashboard-Industrywide'!$L$19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'Dashboard-Industrywide'!$K$20:$K$29</c:f>
            </c:strRef>
          </c:cat>
          <c:val>
            <c:numRef>
              <c:f>'Dashboard-Industrywide'!$L$20:$L$29</c:f>
              <c:numCache/>
            </c:numRef>
          </c:val>
        </c:ser>
        <c:ser>
          <c:idx val="1"/>
          <c:order val="1"/>
          <c:tx>
            <c:strRef>
              <c:f>'Dashboard-Industrywide'!$M$19</c:f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'Dashboard-Industrywide'!$K$20:$K$29</c:f>
            </c:strRef>
          </c:cat>
          <c:val>
            <c:numRef>
              <c:f>'Dashboard-Industrywide'!$M$20:$M$29</c:f>
              <c:numCache/>
            </c:numRef>
          </c:val>
        </c:ser>
        <c:ser>
          <c:idx val="2"/>
          <c:order val="2"/>
          <c:tx>
            <c:strRef>
              <c:f>'Dashboard-Industrywide'!$N$19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'Dashboard-Industrywide'!$K$20:$K$29</c:f>
            </c:strRef>
          </c:cat>
          <c:val>
            <c:numRef>
              <c:f>'Dashboard-Industrywide'!$N$20:$N$29</c:f>
              <c:numCache/>
            </c:numRef>
          </c:val>
        </c:ser>
        <c:axId val="1736759918"/>
        <c:axId val="1412638381"/>
      </c:barChart>
      <c:catAx>
        <c:axId val="173675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2638381"/>
      </c:catAx>
      <c:valAx>
        <c:axId val="141263838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67599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Target VS Achieved Items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'Dashboard-Industrywide'!$B$48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'Dashboard-Industrywide'!$A$49:$A$58</c:f>
            </c:strRef>
          </c:cat>
          <c:val>
            <c:numRef>
              <c:f>'Dashboard-Industrywide'!$B$49:$B$58</c:f>
              <c:numCache/>
            </c:numRef>
          </c:val>
        </c:ser>
        <c:ser>
          <c:idx val="1"/>
          <c:order val="1"/>
          <c:tx>
            <c:strRef>
              <c:f>'Dashboard-Industrywide'!$C$48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'Dashboard-Industrywide'!$A$49:$A$58</c:f>
            </c:strRef>
          </c:cat>
          <c:val>
            <c:numRef>
              <c:f>'Dashboard-Industrywide'!$C$49:$C$58</c:f>
              <c:numCache/>
            </c:numRef>
          </c:val>
        </c:ser>
        <c:ser>
          <c:idx val="2"/>
          <c:order val="2"/>
          <c:tx>
            <c:strRef>
              <c:f>'Dashboard-Industrywide'!$D$48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'Dashboard-Industrywide'!$A$49:$A$58</c:f>
            </c:strRef>
          </c:cat>
          <c:val>
            <c:numRef>
              <c:f>'Dashboard-Industrywide'!$D$49:$D$58</c:f>
              <c:numCache/>
            </c:numRef>
          </c:val>
        </c:ser>
        <c:axId val="51867324"/>
        <c:axId val="951552191"/>
      </c:barChart>
      <c:catAx>
        <c:axId val="51867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1552191"/>
      </c:catAx>
      <c:valAx>
        <c:axId val="9515521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673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6353175" cy="2914650"/>
    <xdr:graphicFrame>
      <xdr:nvGraphicFramePr>
        <xdr:cNvPr id="16475054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2</xdr:row>
      <xdr:rowOff>171450</xdr:rowOff>
    </xdr:from>
    <xdr:ext cx="6534150" cy="2914650"/>
    <xdr:graphicFrame>
      <xdr:nvGraphicFramePr>
        <xdr:cNvPr id="16863982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95250</xdr:rowOff>
    </xdr:from>
    <xdr:ext cx="6305550" cy="3124200"/>
    <xdr:graphicFrame>
      <xdr:nvGraphicFramePr>
        <xdr:cNvPr id="32301990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57150</xdr:colOff>
      <xdr:row>30</xdr:row>
      <xdr:rowOff>123825</xdr:rowOff>
    </xdr:from>
    <xdr:ext cx="6648450" cy="3067050"/>
    <xdr:graphicFrame>
      <xdr:nvGraphicFramePr>
        <xdr:cNvPr id="140383679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152400</xdr:rowOff>
    </xdr:from>
    <xdr:ext cx="4714875" cy="2524125"/>
    <xdr:graphicFrame>
      <xdr:nvGraphicFramePr>
        <xdr:cNvPr id="633630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28575</xdr:colOff>
      <xdr:row>57</xdr:row>
      <xdr:rowOff>161925</xdr:rowOff>
    </xdr:from>
    <xdr:ext cx="4619625" cy="2647950"/>
    <xdr:graphicFrame>
      <xdr:nvGraphicFramePr>
        <xdr:cNvPr id="149166263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600075</xdr:colOff>
      <xdr:row>0</xdr:row>
      <xdr:rowOff>-133350</xdr:rowOff>
    </xdr:from>
    <xdr:ext cx="2124075" cy="71437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57200" cy="2000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6353175" cy="2914650"/>
    <xdr:graphicFrame>
      <xdr:nvGraphicFramePr>
        <xdr:cNvPr id="164132016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2</xdr:row>
      <xdr:rowOff>171450</xdr:rowOff>
    </xdr:from>
    <xdr:ext cx="6534150" cy="2914650"/>
    <xdr:graphicFrame>
      <xdr:nvGraphicFramePr>
        <xdr:cNvPr id="68874603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95250</xdr:rowOff>
    </xdr:from>
    <xdr:ext cx="6305550" cy="3124200"/>
    <xdr:graphicFrame>
      <xdr:nvGraphicFramePr>
        <xdr:cNvPr id="58576864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57150</xdr:colOff>
      <xdr:row>30</xdr:row>
      <xdr:rowOff>123825</xdr:rowOff>
    </xdr:from>
    <xdr:ext cx="6648450" cy="3067050"/>
    <xdr:graphicFrame>
      <xdr:nvGraphicFramePr>
        <xdr:cNvPr id="160773489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161925</xdr:rowOff>
    </xdr:from>
    <xdr:ext cx="4714875" cy="2524125"/>
    <xdr:graphicFrame>
      <xdr:nvGraphicFramePr>
        <xdr:cNvPr id="104741112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28575</xdr:colOff>
      <xdr:row>57</xdr:row>
      <xdr:rowOff>161925</xdr:rowOff>
    </xdr:from>
    <xdr:ext cx="4619625" cy="2647950"/>
    <xdr:graphicFrame>
      <xdr:nvGraphicFramePr>
        <xdr:cNvPr id="138751391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600075</xdr:colOff>
      <xdr:row>0</xdr:row>
      <xdr:rowOff>-133350</xdr:rowOff>
    </xdr:from>
    <xdr:ext cx="2124075" cy="71437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57200" cy="2000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63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campaign_dataDump-style" showColumnStripes="0" showFirstColumn="1" showLastColumn="1" showRowStripes="1"/>
</table>
</file>

<file path=xl/tables/table10.xml><?xml version="1.0" encoding="utf-8"?>
<table xmlns="http://schemas.openxmlformats.org/spreadsheetml/2006/main" headerRowCount="0" ref="C2:C11" displayName="Table_10" name="Table_10" id="10">
  <tableColumns count="1">
    <tableColumn name="Column1" id="1"/>
  </tableColumns>
  <tableStyleInfo name="DropDowns-style" showColumnStripes="0" showFirstColumn="1" showLastColumn="1" showRowStripes="1"/>
</table>
</file>

<file path=xl/tables/table2.xml><?xml version="1.0" encoding="utf-8"?>
<table xmlns="http://schemas.openxmlformats.org/spreadsheetml/2006/main" headerRowCount="0" ref="A19:D29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Dashboard-Categorywise-style" showColumnStripes="0" showFirstColumn="1" showLastColumn="1" showRowStripes="1"/>
</table>
</file>

<file path=xl/tables/table3.xml><?xml version="1.0" encoding="utf-8"?>
<table xmlns="http://schemas.openxmlformats.org/spreadsheetml/2006/main" headerRowCount="0" ref="K19:N29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Dashboard-Categorywise-style 2" showColumnStripes="0" showFirstColumn="1" showLastColumn="1" showRowStripes="1"/>
</table>
</file>

<file path=xl/tables/table4.xml><?xml version="1.0" encoding="utf-8"?>
<table xmlns="http://schemas.openxmlformats.org/spreadsheetml/2006/main" headerRowCount="0" ref="A48:D58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Dashboard-Categorywise-style 3" showColumnStripes="0" showFirstColumn="1" showLastColumn="1" showRowStripes="1"/>
</table>
</file>

<file path=xl/tables/table5.xml><?xml version="1.0" encoding="utf-8"?>
<table xmlns="http://schemas.openxmlformats.org/spreadsheetml/2006/main" headerRowCount="0" ref="K48:N58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Dashboard-Categorywise-style 4" showColumnStripes="0" showFirstColumn="1" showLastColumn="1" showRowStripes="1"/>
</table>
</file>

<file path=xl/tables/table6.xml><?xml version="1.0" encoding="utf-8"?>
<table xmlns="http://schemas.openxmlformats.org/spreadsheetml/2006/main" headerRowCount="0" ref="A19:D29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Dashboard-Industrywide-style" showColumnStripes="0" showFirstColumn="1" showLastColumn="1" showRowStripes="1"/>
</table>
</file>

<file path=xl/tables/table7.xml><?xml version="1.0" encoding="utf-8"?>
<table xmlns="http://schemas.openxmlformats.org/spreadsheetml/2006/main" headerRowCount="0" ref="K19:N29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Dashboard-Industrywide-style 2" showColumnStripes="0" showFirstColumn="1" showLastColumn="1" showRowStripes="1"/>
</table>
</file>

<file path=xl/tables/table8.xml><?xml version="1.0" encoding="utf-8"?>
<table xmlns="http://schemas.openxmlformats.org/spreadsheetml/2006/main" headerRowCount="0" ref="A48:D58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Dashboard-Industrywide-style 3" showColumnStripes="0" showFirstColumn="1" showLastColumn="1" showRowStripes="1"/>
</table>
</file>

<file path=xl/tables/table9.xml><?xml version="1.0" encoding="utf-8"?>
<table xmlns="http://schemas.openxmlformats.org/spreadsheetml/2006/main" headerRowCount="0" ref="K48:N58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Dashboard-Industrywid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75"/>
    <col customWidth="1" min="3" max="3" width="29.38"/>
    <col customWidth="1" min="4" max="6" width="12.63"/>
    <col customWidth="1" min="9" max="9" width="27.5"/>
    <col customWidth="1" min="10" max="10" width="3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  <c r="L1" s="1" t="s">
        <v>7</v>
      </c>
    </row>
    <row r="2" ht="15.75" customHeight="1">
      <c r="A2" s="2">
        <v>44991.0</v>
      </c>
      <c r="B2" s="1" t="s">
        <v>8</v>
      </c>
      <c r="C2" s="1" t="str">
        <f t="shared" ref="C2:C169" si="1">CONCATENATE(A2,B2)</f>
        <v>44991Bags and Travel</v>
      </c>
      <c r="D2" s="1">
        <v>228.0</v>
      </c>
      <c r="E2" s="1">
        <v>200.0</v>
      </c>
      <c r="H2" s="1">
        <v>44991.0</v>
      </c>
      <c r="I2" s="1" t="s">
        <v>9</v>
      </c>
      <c r="J2" s="1" t="str">
        <f t="shared" ref="J2:J164" si="2">CONCATENATE(H2,I2)</f>
        <v>44991Mobiles &amp; Tablets</v>
      </c>
      <c r="K2" s="1">
        <f t="shared" ref="K2:K164" si="3">VLOOKUP(J2,C:E,3,0)</f>
        <v>332</v>
      </c>
      <c r="L2" s="1">
        <f t="shared" ref="L2:L164" si="4">VLOOKUP(J2,C:E,2,0)</f>
        <v>387</v>
      </c>
    </row>
    <row r="3" ht="15.75" customHeight="1">
      <c r="A3" s="2">
        <v>44991.0</v>
      </c>
      <c r="B3" s="1" t="s">
        <v>10</v>
      </c>
      <c r="C3" s="1" t="str">
        <f t="shared" si="1"/>
        <v>44991Bedding &amp; Bath</v>
      </c>
      <c r="D3" s="1">
        <v>101.0</v>
      </c>
      <c r="E3" s="1">
        <v>103.0</v>
      </c>
      <c r="H3" s="1">
        <v>44991.0</v>
      </c>
      <c r="I3" s="1" t="s">
        <v>11</v>
      </c>
      <c r="J3" s="1" t="str">
        <f t="shared" si="2"/>
        <v>44991TV, Audio / Video, Gaming &amp; Wearables</v>
      </c>
      <c r="K3" s="1">
        <f t="shared" si="3"/>
        <v>458</v>
      </c>
      <c r="L3" s="1">
        <f t="shared" si="4"/>
        <v>534</v>
      </c>
    </row>
    <row r="4" ht="15.75" customHeight="1">
      <c r="A4" s="2">
        <v>44991.0</v>
      </c>
      <c r="B4" s="1" t="s">
        <v>12</v>
      </c>
      <c r="C4" s="1" t="str">
        <f t="shared" si="1"/>
        <v>44991Cameras</v>
      </c>
      <c r="D4" s="1">
        <v>109.0</v>
      </c>
      <c r="E4" s="1">
        <v>93.0</v>
      </c>
      <c r="H4" s="1">
        <v>44992.0</v>
      </c>
      <c r="I4" s="1" t="s">
        <v>13</v>
      </c>
      <c r="J4" s="1" t="str">
        <f t="shared" si="2"/>
        <v>44992Special Digital Products</v>
      </c>
      <c r="K4" s="1">
        <f t="shared" si="3"/>
        <v>188</v>
      </c>
      <c r="L4" s="1">
        <f t="shared" si="4"/>
        <v>145</v>
      </c>
    </row>
    <row r="5" ht="15.75" customHeight="1">
      <c r="A5" s="2">
        <v>44991.0</v>
      </c>
      <c r="B5" s="1" t="s">
        <v>14</v>
      </c>
      <c r="C5" s="1" t="str">
        <f t="shared" si="1"/>
        <v>44991Computers &amp; Laptops</v>
      </c>
      <c r="D5" s="1">
        <v>257.0</v>
      </c>
      <c r="E5" s="1">
        <v>232.0</v>
      </c>
      <c r="H5" s="1">
        <v>44992.0</v>
      </c>
      <c r="I5" s="1" t="s">
        <v>12</v>
      </c>
      <c r="J5" s="1" t="str">
        <f t="shared" si="2"/>
        <v>44992Cameras</v>
      </c>
      <c r="K5" s="1">
        <f t="shared" si="3"/>
        <v>109</v>
      </c>
      <c r="L5" s="1">
        <f t="shared" si="4"/>
        <v>124</v>
      </c>
    </row>
    <row r="6" ht="15.75" customHeight="1">
      <c r="A6" s="2">
        <v>44991.0</v>
      </c>
      <c r="B6" s="1" t="s">
        <v>15</v>
      </c>
      <c r="C6" s="1" t="str">
        <f t="shared" si="1"/>
        <v>44991Digital Goods</v>
      </c>
      <c r="D6" s="1">
        <v>9.0</v>
      </c>
      <c r="E6" s="1">
        <v>9.0</v>
      </c>
      <c r="H6" s="1">
        <v>44994.0</v>
      </c>
      <c r="I6" s="1" t="s">
        <v>16</v>
      </c>
      <c r="J6" s="1" t="str">
        <f t="shared" si="2"/>
        <v>44994Mother &amp; Baby</v>
      </c>
      <c r="K6" s="1">
        <f t="shared" si="3"/>
        <v>315</v>
      </c>
      <c r="L6" s="1">
        <f t="shared" si="4"/>
        <v>326</v>
      </c>
    </row>
    <row r="7" ht="15.75" customHeight="1">
      <c r="A7" s="2">
        <v>44991.0</v>
      </c>
      <c r="B7" s="1" t="s">
        <v>17</v>
      </c>
      <c r="C7" s="1" t="str">
        <f t="shared" si="1"/>
        <v>44991Fashion</v>
      </c>
      <c r="D7" s="1">
        <v>872.0</v>
      </c>
      <c r="E7" s="1">
        <v>789.0</v>
      </c>
      <c r="H7" s="1">
        <v>44997.0</v>
      </c>
      <c r="I7" s="1" t="s">
        <v>15</v>
      </c>
      <c r="J7" s="1" t="str">
        <f t="shared" si="2"/>
        <v>44997Digital Goods</v>
      </c>
      <c r="K7" s="1">
        <f t="shared" si="3"/>
        <v>5</v>
      </c>
      <c r="L7" s="1">
        <f t="shared" si="4"/>
        <v>6</v>
      </c>
    </row>
    <row r="8" ht="15.75" customHeight="1">
      <c r="A8" s="2">
        <v>44991.0</v>
      </c>
      <c r="B8" s="1" t="s">
        <v>18</v>
      </c>
      <c r="C8" s="1" t="str">
        <f t="shared" si="1"/>
        <v>44991Furniture &amp; Decor</v>
      </c>
      <c r="D8" s="1">
        <v>349.0</v>
      </c>
      <c r="E8" s="1">
        <v>325.0</v>
      </c>
      <c r="H8" s="1">
        <v>44994.0</v>
      </c>
      <c r="I8" s="1" t="s">
        <v>19</v>
      </c>
      <c r="J8" s="1" t="str">
        <f t="shared" si="2"/>
        <v>44994Motors</v>
      </c>
      <c r="K8" s="1">
        <f t="shared" si="3"/>
        <v>178</v>
      </c>
      <c r="L8" s="1">
        <f t="shared" si="4"/>
        <v>197</v>
      </c>
    </row>
    <row r="9" ht="15.75" customHeight="1">
      <c r="A9" s="2">
        <v>44991.0</v>
      </c>
      <c r="B9" s="1" t="s">
        <v>20</v>
      </c>
      <c r="C9" s="1" t="str">
        <f t="shared" si="1"/>
        <v>44991Groceries</v>
      </c>
      <c r="D9" s="1">
        <v>333.0</v>
      </c>
      <c r="E9" s="1">
        <v>316.0</v>
      </c>
      <c r="H9" s="1">
        <v>44993.0</v>
      </c>
      <c r="I9" s="1" t="s">
        <v>21</v>
      </c>
      <c r="J9" s="1" t="str">
        <f t="shared" si="2"/>
        <v>44993Watches Sunglasses Jewellery</v>
      </c>
      <c r="K9" s="1">
        <f t="shared" si="3"/>
        <v>608</v>
      </c>
      <c r="L9" s="1">
        <f t="shared" si="4"/>
        <v>664</v>
      </c>
    </row>
    <row r="10" ht="15.75" customHeight="1">
      <c r="A10" s="2">
        <v>44991.0</v>
      </c>
      <c r="B10" s="1" t="s">
        <v>22</v>
      </c>
      <c r="C10" s="1" t="str">
        <f t="shared" si="1"/>
        <v>44991Health &amp; Beauty</v>
      </c>
      <c r="D10" s="1">
        <v>1742.0</v>
      </c>
      <c r="E10" s="1">
        <v>1726.0</v>
      </c>
      <c r="H10" s="1">
        <v>44995.0</v>
      </c>
      <c r="I10" s="1" t="s">
        <v>18</v>
      </c>
      <c r="J10" s="1" t="str">
        <f t="shared" si="2"/>
        <v>44995Furniture &amp; Decor</v>
      </c>
      <c r="K10" s="1">
        <f t="shared" si="3"/>
        <v>366</v>
      </c>
      <c r="L10" s="1">
        <f t="shared" si="4"/>
        <v>393</v>
      </c>
    </row>
    <row r="11" ht="15.75" customHeight="1">
      <c r="A11" s="2">
        <v>44991.0</v>
      </c>
      <c r="B11" s="1" t="s">
        <v>23</v>
      </c>
      <c r="C11" s="1" t="str">
        <f t="shared" si="1"/>
        <v>44991Home Appliances</v>
      </c>
      <c r="D11" s="1">
        <v>232.0</v>
      </c>
      <c r="E11" s="1">
        <v>209.0</v>
      </c>
      <c r="H11" s="1">
        <v>44995.0</v>
      </c>
      <c r="I11" s="1" t="s">
        <v>20</v>
      </c>
      <c r="J11" s="1" t="str">
        <f t="shared" si="2"/>
        <v>44995Groceries</v>
      </c>
      <c r="K11" s="1">
        <f t="shared" si="3"/>
        <v>411</v>
      </c>
      <c r="L11" s="1">
        <f t="shared" si="4"/>
        <v>425</v>
      </c>
    </row>
    <row r="12" ht="15.75" customHeight="1">
      <c r="A12" s="2">
        <v>44991.0</v>
      </c>
      <c r="B12" s="1" t="s">
        <v>24</v>
      </c>
      <c r="C12" s="1" t="str">
        <f t="shared" si="1"/>
        <v>44991Kitchen &amp; Dining</v>
      </c>
      <c r="D12" s="1">
        <v>246.0</v>
      </c>
      <c r="E12" s="1">
        <v>231.0</v>
      </c>
      <c r="H12" s="1">
        <v>44994.0</v>
      </c>
      <c r="I12" s="1" t="s">
        <v>25</v>
      </c>
      <c r="J12" s="1" t="str">
        <f t="shared" si="2"/>
        <v>44994Toys &amp; Games</v>
      </c>
      <c r="K12" s="1">
        <f t="shared" si="3"/>
        <v>267</v>
      </c>
      <c r="L12" s="1">
        <f t="shared" si="4"/>
        <v>301</v>
      </c>
    </row>
    <row r="13" ht="15.75" customHeight="1">
      <c r="A13" s="2">
        <v>44991.0</v>
      </c>
      <c r="B13" s="1" t="s">
        <v>26</v>
      </c>
      <c r="C13" s="1" t="str">
        <f t="shared" si="1"/>
        <v>44991Laundry &amp; Cleaning</v>
      </c>
      <c r="D13" s="1">
        <v>109.0</v>
      </c>
      <c r="E13" s="1">
        <v>106.0</v>
      </c>
      <c r="H13" s="1">
        <v>44992.0</v>
      </c>
      <c r="I13" s="1" t="s">
        <v>22</v>
      </c>
      <c r="J13" s="1" t="str">
        <f t="shared" si="2"/>
        <v>44992Health &amp; Beauty</v>
      </c>
      <c r="K13" s="1">
        <f t="shared" si="3"/>
        <v>1925</v>
      </c>
      <c r="L13" s="1">
        <f t="shared" si="4"/>
        <v>1957</v>
      </c>
    </row>
    <row r="14" ht="15.75" customHeight="1">
      <c r="A14" s="2">
        <v>44991.0</v>
      </c>
      <c r="B14" s="1" t="s">
        <v>27</v>
      </c>
      <c r="C14" s="1" t="str">
        <f t="shared" si="1"/>
        <v>44991Media, Music &amp; Books</v>
      </c>
      <c r="D14" s="1">
        <v>226.0</v>
      </c>
      <c r="E14" s="1">
        <v>205.0</v>
      </c>
      <c r="H14" s="1">
        <v>44992.0</v>
      </c>
      <c r="I14" s="1" t="s">
        <v>10</v>
      </c>
      <c r="J14" s="1" t="str">
        <f t="shared" si="2"/>
        <v>44992Bedding &amp; Bath</v>
      </c>
      <c r="K14" s="1">
        <f t="shared" si="3"/>
        <v>106</v>
      </c>
      <c r="L14" s="1">
        <f t="shared" si="4"/>
        <v>109</v>
      </c>
    </row>
    <row r="15" ht="15.75" customHeight="1">
      <c r="A15" s="2">
        <v>44991.0</v>
      </c>
      <c r="B15" s="1" t="s">
        <v>9</v>
      </c>
      <c r="C15" s="1" t="str">
        <f t="shared" si="1"/>
        <v>44991Mobiles &amp; Tablets</v>
      </c>
      <c r="D15" s="1">
        <v>387.0</v>
      </c>
      <c r="E15" s="1">
        <v>332.0</v>
      </c>
      <c r="H15" s="1">
        <v>44997.0</v>
      </c>
      <c r="I15" s="1" t="s">
        <v>28</v>
      </c>
      <c r="J15" s="1" t="str">
        <f t="shared" si="2"/>
        <v>44997Stationery &amp; Craft</v>
      </c>
      <c r="K15" s="1">
        <f t="shared" si="3"/>
        <v>348</v>
      </c>
      <c r="L15" s="1">
        <f t="shared" si="4"/>
        <v>325</v>
      </c>
    </row>
    <row r="16" ht="15.75" customHeight="1">
      <c r="A16" s="2">
        <v>44991.0</v>
      </c>
      <c r="B16" s="1" t="s">
        <v>16</v>
      </c>
      <c r="C16" s="1" t="str">
        <f t="shared" si="1"/>
        <v>44991Mother &amp; Baby</v>
      </c>
      <c r="D16" s="1">
        <v>238.0</v>
      </c>
      <c r="E16" s="1">
        <v>233.0</v>
      </c>
      <c r="H16" s="1">
        <v>44992.0</v>
      </c>
      <c r="I16" s="1" t="s">
        <v>11</v>
      </c>
      <c r="J16" s="1" t="str">
        <f t="shared" si="2"/>
        <v>44992TV, Audio / Video, Gaming &amp; Wearables</v>
      </c>
      <c r="K16" s="1">
        <f t="shared" si="3"/>
        <v>537</v>
      </c>
      <c r="L16" s="1">
        <f t="shared" si="4"/>
        <v>614</v>
      </c>
    </row>
    <row r="17" ht="15.75" customHeight="1">
      <c r="A17" s="2">
        <v>44991.0</v>
      </c>
      <c r="B17" s="1" t="s">
        <v>19</v>
      </c>
      <c r="C17" s="1" t="str">
        <f t="shared" si="1"/>
        <v>44991Motors</v>
      </c>
      <c r="D17" s="1">
        <v>164.0</v>
      </c>
      <c r="E17" s="1">
        <v>147.0</v>
      </c>
      <c r="H17" s="1">
        <v>44991.0</v>
      </c>
      <c r="I17" s="1" t="s">
        <v>10</v>
      </c>
      <c r="J17" s="1" t="str">
        <f t="shared" si="2"/>
        <v>44991Bedding &amp; Bath</v>
      </c>
      <c r="K17" s="1">
        <f t="shared" si="3"/>
        <v>103</v>
      </c>
      <c r="L17" s="1">
        <f t="shared" si="4"/>
        <v>101</v>
      </c>
    </row>
    <row r="18" ht="15.75" customHeight="1">
      <c r="A18" s="2">
        <v>44991.0</v>
      </c>
      <c r="B18" s="1" t="s">
        <v>29</v>
      </c>
      <c r="C18" s="1" t="str">
        <f t="shared" si="1"/>
        <v>44991Pet Supplies</v>
      </c>
      <c r="D18" s="1">
        <v>71.0</v>
      </c>
      <c r="E18" s="1">
        <v>65.0</v>
      </c>
      <c r="H18" s="1">
        <v>44991.0</v>
      </c>
      <c r="I18" s="1" t="s">
        <v>26</v>
      </c>
      <c r="J18" s="1" t="str">
        <f t="shared" si="2"/>
        <v>44991Laundry &amp; Cleaning</v>
      </c>
      <c r="K18" s="1">
        <f t="shared" si="3"/>
        <v>106</v>
      </c>
      <c r="L18" s="1">
        <f t="shared" si="4"/>
        <v>109</v>
      </c>
    </row>
    <row r="19" ht="15.75" customHeight="1">
      <c r="A19" s="2">
        <v>44991.0</v>
      </c>
      <c r="B19" s="1" t="s">
        <v>13</v>
      </c>
      <c r="C19" s="1" t="str">
        <f t="shared" si="1"/>
        <v>44991Special Digital Products</v>
      </c>
      <c r="D19" s="1">
        <v>64.0</v>
      </c>
      <c r="E19" s="1">
        <v>82.0</v>
      </c>
      <c r="H19" s="1">
        <v>44993.0</v>
      </c>
      <c r="I19" s="1" t="s">
        <v>22</v>
      </c>
      <c r="J19" s="1" t="str">
        <f t="shared" si="2"/>
        <v>44993Health &amp; Beauty</v>
      </c>
      <c r="K19" s="1">
        <f t="shared" si="3"/>
        <v>2026</v>
      </c>
      <c r="L19" s="1">
        <f t="shared" si="4"/>
        <v>2066</v>
      </c>
    </row>
    <row r="20" ht="15.75" customHeight="1">
      <c r="A20" s="2">
        <v>44991.0</v>
      </c>
      <c r="B20" s="1" t="s">
        <v>30</v>
      </c>
      <c r="C20" s="1" t="str">
        <f t="shared" si="1"/>
        <v>44991Sports &amp; Outdoors</v>
      </c>
      <c r="D20" s="1">
        <v>347.0</v>
      </c>
      <c r="E20" s="1">
        <v>303.0</v>
      </c>
      <c r="H20" s="1">
        <v>44992.0</v>
      </c>
      <c r="I20" s="1" t="s">
        <v>28</v>
      </c>
      <c r="J20" s="1" t="str">
        <f t="shared" si="2"/>
        <v>44992Stationery &amp; Craft</v>
      </c>
      <c r="K20" s="1">
        <f t="shared" si="3"/>
        <v>337</v>
      </c>
      <c r="L20" s="1">
        <f t="shared" si="4"/>
        <v>314</v>
      </c>
    </row>
    <row r="21" ht="15.75" customHeight="1">
      <c r="A21" s="2">
        <v>44991.0</v>
      </c>
      <c r="B21" s="1" t="s">
        <v>28</v>
      </c>
      <c r="C21" s="1" t="str">
        <f t="shared" si="1"/>
        <v>44991Stationery &amp; Craft</v>
      </c>
      <c r="D21" s="1">
        <v>255.0</v>
      </c>
      <c r="E21" s="1">
        <v>258.0</v>
      </c>
      <c r="H21" s="1">
        <v>44994.0</v>
      </c>
      <c r="I21" s="1" t="s">
        <v>12</v>
      </c>
      <c r="J21" s="1" t="str">
        <f t="shared" si="2"/>
        <v>44994Cameras</v>
      </c>
      <c r="K21" s="1">
        <f t="shared" si="3"/>
        <v>111</v>
      </c>
      <c r="L21" s="1">
        <f t="shared" si="4"/>
        <v>126</v>
      </c>
    </row>
    <row r="22" ht="15.75" customHeight="1">
      <c r="A22" s="2">
        <v>44991.0</v>
      </c>
      <c r="B22" s="1" t="s">
        <v>31</v>
      </c>
      <c r="C22" s="1" t="str">
        <f t="shared" si="1"/>
        <v>44991Tools, DIY &amp; Outdoor</v>
      </c>
      <c r="D22" s="1">
        <v>269.0</v>
      </c>
      <c r="E22" s="1">
        <v>255.0</v>
      </c>
      <c r="H22" s="1">
        <v>44994.0</v>
      </c>
      <c r="I22" s="1" t="s">
        <v>15</v>
      </c>
      <c r="J22" s="1" t="str">
        <f t="shared" si="2"/>
        <v>44994Digital Goods</v>
      </c>
      <c r="K22" s="1">
        <f t="shared" si="3"/>
        <v>5</v>
      </c>
      <c r="L22" s="1">
        <f t="shared" si="4"/>
        <v>6</v>
      </c>
    </row>
    <row r="23" ht="15.75" customHeight="1">
      <c r="A23" s="2">
        <v>44991.0</v>
      </c>
      <c r="B23" s="1" t="s">
        <v>25</v>
      </c>
      <c r="C23" s="1" t="str">
        <f t="shared" si="1"/>
        <v>44991Toys &amp; Games</v>
      </c>
      <c r="D23" s="1">
        <v>212.0</v>
      </c>
      <c r="E23" s="1">
        <v>189.0</v>
      </c>
      <c r="H23" s="1">
        <v>44994.0</v>
      </c>
      <c r="I23" s="1" t="s">
        <v>11</v>
      </c>
      <c r="J23" s="1" t="str">
        <f t="shared" si="2"/>
        <v>44994TV, Audio / Video, Gaming &amp; Wearables</v>
      </c>
      <c r="K23" s="1">
        <f t="shared" si="3"/>
        <v>545</v>
      </c>
      <c r="L23" s="1">
        <f t="shared" si="4"/>
        <v>624</v>
      </c>
    </row>
    <row r="24" ht="15.75" customHeight="1">
      <c r="A24" s="2">
        <v>44991.0</v>
      </c>
      <c r="B24" s="1" t="s">
        <v>11</v>
      </c>
      <c r="C24" s="1" t="str">
        <f t="shared" si="1"/>
        <v>44991TV, Audio / Video, Gaming &amp; Wearables</v>
      </c>
      <c r="D24" s="1">
        <v>534.0</v>
      </c>
      <c r="E24" s="1">
        <v>458.0</v>
      </c>
      <c r="H24" s="1">
        <v>44994.0</v>
      </c>
      <c r="I24" s="1" t="s">
        <v>27</v>
      </c>
      <c r="J24" s="1" t="str">
        <f t="shared" si="2"/>
        <v>44994Media, Music &amp; Books</v>
      </c>
      <c r="K24" s="1">
        <f t="shared" si="3"/>
        <v>227</v>
      </c>
      <c r="L24" s="1">
        <f t="shared" si="4"/>
        <v>240</v>
      </c>
    </row>
    <row r="25" ht="15.75" customHeight="1">
      <c r="A25" s="2">
        <v>44991.0</v>
      </c>
      <c r="B25" s="1" t="s">
        <v>21</v>
      </c>
      <c r="C25" s="1" t="str">
        <f t="shared" si="1"/>
        <v>44991Watches Sunglasses Jewellery</v>
      </c>
      <c r="D25" s="1">
        <v>532.0</v>
      </c>
      <c r="E25" s="1">
        <v>473.0</v>
      </c>
      <c r="H25" s="1">
        <v>44993.0</v>
      </c>
      <c r="I25" s="1" t="s">
        <v>13</v>
      </c>
      <c r="J25" s="1" t="str">
        <f t="shared" si="2"/>
        <v>44993Special Digital Products</v>
      </c>
      <c r="K25" s="1">
        <f t="shared" si="3"/>
        <v>198</v>
      </c>
      <c r="L25" s="1">
        <f t="shared" si="4"/>
        <v>153</v>
      </c>
    </row>
    <row r="26" ht="15.75" customHeight="1">
      <c r="A26" s="2">
        <v>44992.0</v>
      </c>
      <c r="B26" s="1" t="s">
        <v>8</v>
      </c>
      <c r="C26" s="1" t="str">
        <f t="shared" si="1"/>
        <v>44992Bags and Travel</v>
      </c>
      <c r="D26" s="1">
        <v>250.0</v>
      </c>
      <c r="E26" s="1">
        <v>218.0</v>
      </c>
      <c r="H26" s="1">
        <v>44992.0</v>
      </c>
      <c r="I26" s="1" t="s">
        <v>27</v>
      </c>
      <c r="J26" s="1" t="str">
        <f t="shared" si="2"/>
        <v>44992Media, Music &amp; Books</v>
      </c>
      <c r="K26" s="1">
        <f t="shared" si="3"/>
        <v>224</v>
      </c>
      <c r="L26" s="1">
        <f t="shared" si="4"/>
        <v>236</v>
      </c>
    </row>
    <row r="27" ht="15.75" customHeight="1">
      <c r="A27" s="2">
        <v>44992.0</v>
      </c>
      <c r="B27" s="1" t="s">
        <v>10</v>
      </c>
      <c r="C27" s="1" t="str">
        <f t="shared" si="1"/>
        <v>44992Bedding &amp; Bath</v>
      </c>
      <c r="D27" s="1">
        <v>109.0</v>
      </c>
      <c r="E27" s="1">
        <v>106.0</v>
      </c>
      <c r="H27" s="1">
        <v>44994.0</v>
      </c>
      <c r="I27" s="1" t="s">
        <v>17</v>
      </c>
      <c r="J27" s="1" t="str">
        <f t="shared" si="2"/>
        <v>44994Fashion</v>
      </c>
      <c r="K27" s="1">
        <f t="shared" si="3"/>
        <v>919</v>
      </c>
      <c r="L27" s="1">
        <f t="shared" si="4"/>
        <v>1001</v>
      </c>
    </row>
    <row r="28" ht="15.75" customHeight="1">
      <c r="A28" s="2">
        <v>44992.0</v>
      </c>
      <c r="B28" s="1" t="s">
        <v>12</v>
      </c>
      <c r="C28" s="1" t="str">
        <f t="shared" si="1"/>
        <v>44992Cameras</v>
      </c>
      <c r="D28" s="1">
        <v>124.0</v>
      </c>
      <c r="E28" s="1">
        <v>109.0</v>
      </c>
      <c r="H28" s="1">
        <v>44997.0</v>
      </c>
      <c r="I28" s="1" t="s">
        <v>19</v>
      </c>
      <c r="J28" s="1" t="str">
        <f t="shared" si="2"/>
        <v>44997Motors</v>
      </c>
      <c r="K28" s="1">
        <f t="shared" si="3"/>
        <v>181</v>
      </c>
      <c r="L28" s="1">
        <f t="shared" si="4"/>
        <v>200</v>
      </c>
    </row>
    <row r="29" ht="15.75" customHeight="1">
      <c r="A29" s="2">
        <v>44992.0</v>
      </c>
      <c r="B29" s="1" t="s">
        <v>14</v>
      </c>
      <c r="C29" s="1" t="str">
        <f t="shared" si="1"/>
        <v>44992Computers &amp; Laptops</v>
      </c>
      <c r="D29" s="1">
        <v>285.0</v>
      </c>
      <c r="E29" s="1">
        <v>256.0</v>
      </c>
      <c r="H29" s="1">
        <v>44994.0</v>
      </c>
      <c r="I29" s="1" t="s">
        <v>26</v>
      </c>
      <c r="J29" s="1" t="str">
        <f t="shared" si="2"/>
        <v>44994Laundry &amp; Cleaning</v>
      </c>
      <c r="K29" s="1">
        <f t="shared" si="3"/>
        <v>114</v>
      </c>
      <c r="L29" s="1">
        <f t="shared" si="4"/>
        <v>121</v>
      </c>
    </row>
    <row r="30" ht="15.75" customHeight="1">
      <c r="A30" s="2">
        <v>44992.0</v>
      </c>
      <c r="B30" s="1" t="s">
        <v>15</v>
      </c>
      <c r="C30" s="1" t="str">
        <f t="shared" si="1"/>
        <v>44992Digital Goods</v>
      </c>
      <c r="D30" s="1">
        <v>6.0</v>
      </c>
      <c r="E30" s="1">
        <v>5.0</v>
      </c>
      <c r="H30" s="1">
        <v>44991.0</v>
      </c>
      <c r="I30" s="1" t="s">
        <v>21</v>
      </c>
      <c r="J30" s="1" t="str">
        <f t="shared" si="2"/>
        <v>44991Watches Sunglasses Jewellery</v>
      </c>
      <c r="K30" s="1">
        <f t="shared" si="3"/>
        <v>473</v>
      </c>
      <c r="L30" s="1">
        <f t="shared" si="4"/>
        <v>532</v>
      </c>
    </row>
    <row r="31" ht="15.75" customHeight="1">
      <c r="A31" s="2">
        <v>44992.0</v>
      </c>
      <c r="B31" s="1" t="s">
        <v>17</v>
      </c>
      <c r="C31" s="1" t="str">
        <f t="shared" si="1"/>
        <v>44992Fashion</v>
      </c>
      <c r="D31" s="1">
        <v>985.0</v>
      </c>
      <c r="E31" s="1">
        <v>907.0</v>
      </c>
      <c r="H31" s="1">
        <v>44992.0</v>
      </c>
      <c r="I31" s="1" t="s">
        <v>30</v>
      </c>
      <c r="J31" s="1" t="str">
        <f t="shared" si="2"/>
        <v>44992Sports &amp; Outdoors</v>
      </c>
      <c r="K31" s="1">
        <f t="shared" si="3"/>
        <v>327</v>
      </c>
      <c r="L31" s="1">
        <f t="shared" si="4"/>
        <v>367</v>
      </c>
    </row>
    <row r="32" ht="15.75" customHeight="1">
      <c r="A32" s="2">
        <v>44992.0</v>
      </c>
      <c r="B32" s="1" t="s">
        <v>18</v>
      </c>
      <c r="C32" s="1" t="str">
        <f t="shared" si="1"/>
        <v>44992Furniture &amp; Decor</v>
      </c>
      <c r="D32" s="1">
        <v>387.0</v>
      </c>
      <c r="E32" s="1">
        <v>361.0</v>
      </c>
      <c r="H32" s="1">
        <v>44994.0</v>
      </c>
      <c r="I32" s="1" t="s">
        <v>29</v>
      </c>
      <c r="J32" s="1" t="str">
        <f t="shared" si="2"/>
        <v>44994Pet Supplies</v>
      </c>
      <c r="K32" s="1">
        <f t="shared" si="3"/>
        <v>77</v>
      </c>
      <c r="L32" s="1">
        <f t="shared" si="4"/>
        <v>82</v>
      </c>
    </row>
    <row r="33" ht="15.75" customHeight="1">
      <c r="A33" s="2">
        <v>44992.0</v>
      </c>
      <c r="B33" s="1" t="s">
        <v>20</v>
      </c>
      <c r="C33" s="1" t="str">
        <f t="shared" si="1"/>
        <v>44992Groceries</v>
      </c>
      <c r="D33" s="1">
        <v>418.0</v>
      </c>
      <c r="E33" s="1">
        <v>406.0</v>
      </c>
      <c r="H33" s="1">
        <v>44995.0</v>
      </c>
      <c r="I33" s="1" t="s">
        <v>25</v>
      </c>
      <c r="J33" s="1" t="str">
        <f t="shared" si="2"/>
        <v>44995Toys &amp; Games</v>
      </c>
      <c r="K33" s="1">
        <f t="shared" si="3"/>
        <v>267</v>
      </c>
      <c r="L33" s="1">
        <f t="shared" si="4"/>
        <v>300</v>
      </c>
    </row>
    <row r="34" ht="15.75" customHeight="1">
      <c r="A34" s="2">
        <v>44992.0</v>
      </c>
      <c r="B34" s="1" t="s">
        <v>22</v>
      </c>
      <c r="C34" s="1" t="str">
        <f t="shared" si="1"/>
        <v>44992Health &amp; Beauty</v>
      </c>
      <c r="D34" s="1">
        <v>1957.0</v>
      </c>
      <c r="E34" s="1">
        <v>1925.0</v>
      </c>
      <c r="H34" s="1">
        <v>44996.0</v>
      </c>
      <c r="I34" s="1" t="s">
        <v>10</v>
      </c>
      <c r="J34" s="1" t="str">
        <f t="shared" si="2"/>
        <v>44996Bedding &amp; Bath</v>
      </c>
      <c r="K34" s="1">
        <f t="shared" si="3"/>
        <v>108</v>
      </c>
      <c r="L34" s="1">
        <f t="shared" si="4"/>
        <v>110</v>
      </c>
    </row>
    <row r="35" ht="15.75" customHeight="1">
      <c r="A35" s="2">
        <v>44992.0</v>
      </c>
      <c r="B35" s="1" t="s">
        <v>23</v>
      </c>
      <c r="C35" s="1" t="str">
        <f t="shared" si="1"/>
        <v>44992Home Appliances</v>
      </c>
      <c r="D35" s="1">
        <v>268.0</v>
      </c>
      <c r="E35" s="1">
        <v>247.0</v>
      </c>
      <c r="H35" s="1">
        <v>44993.0</v>
      </c>
      <c r="I35" s="1" t="s">
        <v>17</v>
      </c>
      <c r="J35" s="1" t="str">
        <f t="shared" si="2"/>
        <v>44993Fashion</v>
      </c>
      <c r="K35" s="1">
        <f t="shared" si="3"/>
        <v>955</v>
      </c>
      <c r="L35" s="1">
        <f t="shared" si="4"/>
        <v>1040</v>
      </c>
    </row>
    <row r="36" ht="15.75" customHeight="1">
      <c r="A36" s="2">
        <v>44992.0</v>
      </c>
      <c r="B36" s="1" t="s">
        <v>24</v>
      </c>
      <c r="C36" s="1" t="str">
        <f t="shared" si="1"/>
        <v>44992Kitchen &amp; Dining</v>
      </c>
      <c r="D36" s="1">
        <v>284.0</v>
      </c>
      <c r="E36" s="1">
        <v>268.0</v>
      </c>
      <c r="H36" s="1">
        <v>44997.0</v>
      </c>
      <c r="I36" s="1" t="s">
        <v>14</v>
      </c>
      <c r="J36" s="1" t="str">
        <f t="shared" si="2"/>
        <v>44997Computers &amp; Laptops</v>
      </c>
      <c r="K36" s="1">
        <f t="shared" si="3"/>
        <v>264</v>
      </c>
      <c r="L36" s="1">
        <f t="shared" si="4"/>
        <v>295</v>
      </c>
    </row>
    <row r="37" ht="15.75" customHeight="1">
      <c r="A37" s="2">
        <v>44992.0</v>
      </c>
      <c r="B37" s="1" t="s">
        <v>26</v>
      </c>
      <c r="C37" s="1" t="str">
        <f t="shared" si="1"/>
        <v>44992Laundry &amp; Cleaning</v>
      </c>
      <c r="D37" s="1">
        <v>119.0</v>
      </c>
      <c r="E37" s="1">
        <v>113.0</v>
      </c>
      <c r="H37" s="1">
        <v>44996.0</v>
      </c>
      <c r="I37" s="1" t="s">
        <v>20</v>
      </c>
      <c r="J37" s="1" t="str">
        <f t="shared" si="2"/>
        <v>44996Groceries</v>
      </c>
      <c r="K37" s="1">
        <f t="shared" si="3"/>
        <v>411</v>
      </c>
      <c r="L37" s="1">
        <f t="shared" si="4"/>
        <v>425</v>
      </c>
    </row>
    <row r="38" ht="15.75" customHeight="1">
      <c r="A38" s="2">
        <v>44992.0</v>
      </c>
      <c r="B38" s="1" t="s">
        <v>27</v>
      </c>
      <c r="C38" s="1" t="str">
        <f t="shared" si="1"/>
        <v>44992Media, Music &amp; Books</v>
      </c>
      <c r="D38" s="1">
        <v>236.0</v>
      </c>
      <c r="E38" s="1">
        <v>224.0</v>
      </c>
      <c r="H38" s="1">
        <v>44996.0</v>
      </c>
      <c r="I38" s="1" t="s">
        <v>25</v>
      </c>
      <c r="J38" s="1" t="str">
        <f t="shared" si="2"/>
        <v>44996Toys &amp; Games</v>
      </c>
      <c r="K38" s="1">
        <f t="shared" si="3"/>
        <v>267</v>
      </c>
      <c r="L38" s="1">
        <f t="shared" si="4"/>
        <v>300</v>
      </c>
    </row>
    <row r="39" ht="15.75" customHeight="1">
      <c r="A39" s="2">
        <v>44992.0</v>
      </c>
      <c r="B39" s="1" t="s">
        <v>9</v>
      </c>
      <c r="C39" s="1" t="str">
        <f t="shared" si="1"/>
        <v>44992Mobiles &amp; Tablets</v>
      </c>
      <c r="D39" s="1">
        <v>456.0</v>
      </c>
      <c r="E39" s="1">
        <v>404.0</v>
      </c>
      <c r="H39" s="1">
        <v>44991.0</v>
      </c>
      <c r="I39" s="1" t="s">
        <v>25</v>
      </c>
      <c r="J39" s="1" t="str">
        <f t="shared" si="2"/>
        <v>44991Toys &amp; Games</v>
      </c>
      <c r="K39" s="1">
        <f t="shared" si="3"/>
        <v>189</v>
      </c>
      <c r="L39" s="1">
        <f t="shared" si="4"/>
        <v>212</v>
      </c>
    </row>
    <row r="40" ht="15.75" customHeight="1">
      <c r="A40" s="2">
        <v>44992.0</v>
      </c>
      <c r="B40" s="1" t="s">
        <v>16</v>
      </c>
      <c r="C40" s="1" t="str">
        <f t="shared" si="1"/>
        <v>44992Mother &amp; Baby</v>
      </c>
      <c r="D40" s="1">
        <v>321.0</v>
      </c>
      <c r="E40" s="1">
        <v>310.0</v>
      </c>
      <c r="H40" s="1">
        <v>44991.0</v>
      </c>
      <c r="I40" s="1" t="s">
        <v>18</v>
      </c>
      <c r="J40" s="1" t="str">
        <f t="shared" si="2"/>
        <v>44991Furniture &amp; Decor</v>
      </c>
      <c r="K40" s="1">
        <f t="shared" si="3"/>
        <v>325</v>
      </c>
      <c r="L40" s="1">
        <f t="shared" si="4"/>
        <v>349</v>
      </c>
    </row>
    <row r="41" ht="15.75" customHeight="1">
      <c r="A41" s="2">
        <v>44992.0</v>
      </c>
      <c r="B41" s="1" t="s">
        <v>19</v>
      </c>
      <c r="C41" s="1" t="str">
        <f t="shared" si="1"/>
        <v>44992Motors</v>
      </c>
      <c r="D41" s="1">
        <v>193.0</v>
      </c>
      <c r="E41" s="1">
        <v>176.0</v>
      </c>
      <c r="H41" s="1">
        <v>44991.0</v>
      </c>
      <c r="I41" s="1" t="s">
        <v>14</v>
      </c>
      <c r="J41" s="1" t="str">
        <f t="shared" si="2"/>
        <v>44991Computers &amp; Laptops</v>
      </c>
      <c r="K41" s="1">
        <f t="shared" si="3"/>
        <v>232</v>
      </c>
      <c r="L41" s="1">
        <f t="shared" si="4"/>
        <v>257</v>
      </c>
    </row>
    <row r="42" ht="15.75" customHeight="1">
      <c r="A42" s="2">
        <v>44992.0</v>
      </c>
      <c r="B42" s="1" t="s">
        <v>29</v>
      </c>
      <c r="C42" s="1" t="str">
        <f t="shared" si="1"/>
        <v>44992Pet Supplies</v>
      </c>
      <c r="D42" s="1">
        <v>81.0</v>
      </c>
      <c r="E42" s="1">
        <v>76.0</v>
      </c>
      <c r="H42" s="1">
        <v>44996.0</v>
      </c>
      <c r="I42" s="1" t="s">
        <v>15</v>
      </c>
      <c r="J42" s="1" t="str">
        <f t="shared" si="2"/>
        <v>44996Digital Goods</v>
      </c>
      <c r="K42" s="1">
        <f t="shared" si="3"/>
        <v>5</v>
      </c>
      <c r="L42" s="1">
        <f t="shared" si="4"/>
        <v>6</v>
      </c>
    </row>
    <row r="43" ht="15.75" customHeight="1">
      <c r="A43" s="2">
        <v>44992.0</v>
      </c>
      <c r="B43" s="1" t="s">
        <v>13</v>
      </c>
      <c r="C43" s="1" t="str">
        <f t="shared" si="1"/>
        <v>44992Special Digital Products</v>
      </c>
      <c r="D43" s="1">
        <v>145.0</v>
      </c>
      <c r="E43" s="1">
        <v>188.0</v>
      </c>
      <c r="H43" s="1">
        <v>44991.0</v>
      </c>
      <c r="I43" s="1" t="s">
        <v>23</v>
      </c>
      <c r="J43" s="1" t="str">
        <f t="shared" si="2"/>
        <v>44991Home Appliances</v>
      </c>
      <c r="K43" s="1">
        <f t="shared" si="3"/>
        <v>209</v>
      </c>
      <c r="L43" s="1">
        <f t="shared" si="4"/>
        <v>232</v>
      </c>
    </row>
    <row r="44" ht="15.75" customHeight="1">
      <c r="A44" s="2">
        <v>44992.0</v>
      </c>
      <c r="B44" s="1" t="s">
        <v>30</v>
      </c>
      <c r="C44" s="1" t="str">
        <f t="shared" si="1"/>
        <v>44992Sports &amp; Outdoors</v>
      </c>
      <c r="D44" s="1">
        <v>367.0</v>
      </c>
      <c r="E44" s="1">
        <v>327.0</v>
      </c>
      <c r="H44" s="1">
        <v>44997.0</v>
      </c>
      <c r="I44" s="1" t="s">
        <v>12</v>
      </c>
      <c r="J44" s="1" t="str">
        <f t="shared" si="2"/>
        <v>44997Cameras</v>
      </c>
      <c r="K44" s="1">
        <f t="shared" si="3"/>
        <v>113</v>
      </c>
      <c r="L44" s="1">
        <f t="shared" si="4"/>
        <v>129</v>
      </c>
    </row>
    <row r="45" ht="15.75" customHeight="1">
      <c r="A45" s="2">
        <v>44992.0</v>
      </c>
      <c r="B45" s="1" t="s">
        <v>28</v>
      </c>
      <c r="C45" s="1" t="str">
        <f t="shared" si="1"/>
        <v>44992Stationery &amp; Craft</v>
      </c>
      <c r="D45" s="1">
        <v>314.0</v>
      </c>
      <c r="E45" s="1">
        <v>337.0</v>
      </c>
      <c r="H45" s="1">
        <v>44997.0</v>
      </c>
      <c r="I45" s="1" t="s">
        <v>13</v>
      </c>
      <c r="J45" s="1" t="str">
        <f t="shared" si="2"/>
        <v>44997Special Digital Products</v>
      </c>
      <c r="K45" s="1">
        <f t="shared" si="3"/>
        <v>194</v>
      </c>
      <c r="L45" s="1">
        <f t="shared" si="4"/>
        <v>150</v>
      </c>
    </row>
    <row r="46" ht="15.75" customHeight="1">
      <c r="A46" s="2">
        <v>44992.0</v>
      </c>
      <c r="B46" s="1" t="s">
        <v>31</v>
      </c>
      <c r="C46" s="1" t="str">
        <f t="shared" si="1"/>
        <v>44992Tools, DIY &amp; Outdoor</v>
      </c>
      <c r="D46" s="1">
        <v>316.0</v>
      </c>
      <c r="E46" s="1">
        <v>305.0</v>
      </c>
      <c r="H46" s="1">
        <v>44996.0</v>
      </c>
      <c r="I46" s="1" t="s">
        <v>13</v>
      </c>
      <c r="J46" s="1" t="str">
        <f t="shared" si="2"/>
        <v>44996Special Digital Products</v>
      </c>
      <c r="K46" s="1">
        <f t="shared" si="3"/>
        <v>190</v>
      </c>
      <c r="L46" s="1">
        <f t="shared" si="4"/>
        <v>147</v>
      </c>
    </row>
    <row r="47" ht="15.75" customHeight="1">
      <c r="A47" s="2">
        <v>44992.0</v>
      </c>
      <c r="B47" s="1" t="s">
        <v>25</v>
      </c>
      <c r="C47" s="1" t="str">
        <f t="shared" si="1"/>
        <v>44992Toys &amp; Games</v>
      </c>
      <c r="D47" s="1">
        <v>296.0</v>
      </c>
      <c r="E47" s="1">
        <v>263.0</v>
      </c>
      <c r="H47" s="1">
        <v>44994.0</v>
      </c>
      <c r="I47" s="1" t="s">
        <v>18</v>
      </c>
      <c r="J47" s="1" t="str">
        <f t="shared" si="2"/>
        <v>44994Furniture &amp; Decor</v>
      </c>
      <c r="K47" s="1">
        <f t="shared" si="3"/>
        <v>366</v>
      </c>
      <c r="L47" s="1">
        <f t="shared" si="4"/>
        <v>393</v>
      </c>
    </row>
    <row r="48" ht="15.75" customHeight="1">
      <c r="A48" s="2">
        <v>44992.0</v>
      </c>
      <c r="B48" s="1" t="s">
        <v>11</v>
      </c>
      <c r="C48" s="1" t="str">
        <f t="shared" si="1"/>
        <v>44992TV, Audio / Video, Gaming &amp; Wearables</v>
      </c>
      <c r="D48" s="1">
        <v>614.0</v>
      </c>
      <c r="E48" s="1">
        <v>537.0</v>
      </c>
      <c r="H48" s="1">
        <v>44993.0</v>
      </c>
      <c r="I48" s="1" t="s">
        <v>28</v>
      </c>
      <c r="J48" s="1" t="str">
        <f t="shared" si="2"/>
        <v>44993Stationery &amp; Craft</v>
      </c>
      <c r="K48" s="1">
        <f t="shared" si="3"/>
        <v>355</v>
      </c>
      <c r="L48" s="1">
        <f t="shared" si="4"/>
        <v>332</v>
      </c>
    </row>
    <row r="49" ht="15.75" customHeight="1">
      <c r="A49" s="2">
        <v>44992.0</v>
      </c>
      <c r="B49" s="1" t="s">
        <v>21</v>
      </c>
      <c r="C49" s="1" t="str">
        <f t="shared" si="1"/>
        <v>44992Watches Sunglasses Jewellery</v>
      </c>
      <c r="D49" s="1">
        <v>629.0</v>
      </c>
      <c r="E49" s="1">
        <v>578.0</v>
      </c>
      <c r="H49" s="1">
        <v>44991.0</v>
      </c>
      <c r="I49" s="1" t="s">
        <v>17</v>
      </c>
      <c r="J49" s="1" t="str">
        <f t="shared" si="2"/>
        <v>44991Fashion</v>
      </c>
      <c r="K49" s="1">
        <f t="shared" si="3"/>
        <v>789</v>
      </c>
      <c r="L49" s="1">
        <f t="shared" si="4"/>
        <v>872</v>
      </c>
    </row>
    <row r="50" ht="15.75" customHeight="1">
      <c r="A50" s="2">
        <v>44993.0</v>
      </c>
      <c r="B50" s="1" t="s">
        <v>8</v>
      </c>
      <c r="C50" s="1" t="str">
        <f t="shared" si="1"/>
        <v>44993Bags and Travel</v>
      </c>
      <c r="D50" s="1">
        <v>264.0</v>
      </c>
      <c r="E50" s="1">
        <v>230.0</v>
      </c>
      <c r="H50" s="1">
        <v>44997.0</v>
      </c>
      <c r="I50" s="1" t="s">
        <v>31</v>
      </c>
      <c r="J50" s="1" t="str">
        <f t="shared" si="2"/>
        <v>44997Tools, DIY &amp; Outdoor</v>
      </c>
      <c r="K50" s="1">
        <f t="shared" si="3"/>
        <v>315</v>
      </c>
      <c r="L50" s="1">
        <f t="shared" si="4"/>
        <v>327</v>
      </c>
    </row>
    <row r="51" ht="15.75" customHeight="1">
      <c r="A51" s="2">
        <v>44993.0</v>
      </c>
      <c r="B51" s="1" t="s">
        <v>10</v>
      </c>
      <c r="C51" s="1" t="str">
        <f t="shared" si="1"/>
        <v>44993Bedding &amp; Bath</v>
      </c>
      <c r="D51" s="1">
        <v>115.0</v>
      </c>
      <c r="E51" s="1">
        <v>112.0</v>
      </c>
      <c r="H51" s="1">
        <v>44997.0</v>
      </c>
      <c r="I51" s="1" t="s">
        <v>16</v>
      </c>
      <c r="J51" s="1" t="str">
        <f t="shared" si="2"/>
        <v>44997Mother &amp; Baby</v>
      </c>
      <c r="K51" s="1">
        <f t="shared" si="3"/>
        <v>320</v>
      </c>
      <c r="L51" s="1">
        <f t="shared" si="4"/>
        <v>332</v>
      </c>
    </row>
    <row r="52" ht="15.75" customHeight="1">
      <c r="A52" s="2">
        <v>44993.0</v>
      </c>
      <c r="B52" s="1" t="s">
        <v>12</v>
      </c>
      <c r="C52" s="1" t="str">
        <f t="shared" si="1"/>
        <v>44993Cameras</v>
      </c>
      <c r="D52" s="1">
        <v>131.0</v>
      </c>
      <c r="E52" s="1">
        <v>115.0</v>
      </c>
      <c r="H52" s="1">
        <v>44995.0</v>
      </c>
      <c r="I52" s="1" t="s">
        <v>9</v>
      </c>
      <c r="J52" s="1" t="str">
        <f t="shared" si="2"/>
        <v>44995Mobiles &amp; Tablets</v>
      </c>
      <c r="K52" s="1">
        <f t="shared" si="3"/>
        <v>409</v>
      </c>
      <c r="L52" s="1">
        <f t="shared" si="4"/>
        <v>463</v>
      </c>
    </row>
    <row r="53" ht="15.75" customHeight="1">
      <c r="A53" s="2">
        <v>44993.0</v>
      </c>
      <c r="B53" s="1" t="s">
        <v>14</v>
      </c>
      <c r="C53" s="1" t="str">
        <f t="shared" si="1"/>
        <v>44993Computers &amp; Laptops</v>
      </c>
      <c r="D53" s="1">
        <v>300.0</v>
      </c>
      <c r="E53" s="1">
        <v>269.0</v>
      </c>
      <c r="H53" s="1">
        <v>44996.0</v>
      </c>
      <c r="I53" s="1" t="s">
        <v>17</v>
      </c>
      <c r="J53" s="1" t="str">
        <f t="shared" si="2"/>
        <v>44996Fashion</v>
      </c>
      <c r="K53" s="1">
        <f t="shared" si="3"/>
        <v>919</v>
      </c>
      <c r="L53" s="1">
        <f t="shared" si="4"/>
        <v>1000</v>
      </c>
    </row>
    <row r="54" ht="15.75" customHeight="1">
      <c r="A54" s="2">
        <v>44993.0</v>
      </c>
      <c r="B54" s="1" t="s">
        <v>15</v>
      </c>
      <c r="C54" s="1" t="str">
        <f t="shared" si="1"/>
        <v>44993Digital Goods</v>
      </c>
      <c r="D54" s="1">
        <v>6.0</v>
      </c>
      <c r="E54" s="1">
        <v>5.0</v>
      </c>
      <c r="H54" s="1">
        <v>44991.0</v>
      </c>
      <c r="I54" s="1" t="s">
        <v>12</v>
      </c>
      <c r="J54" s="1" t="str">
        <f t="shared" si="2"/>
        <v>44991Cameras</v>
      </c>
      <c r="K54" s="1">
        <f t="shared" si="3"/>
        <v>93</v>
      </c>
      <c r="L54" s="1">
        <f t="shared" si="4"/>
        <v>109</v>
      </c>
    </row>
    <row r="55" ht="15.75" customHeight="1">
      <c r="A55" s="2">
        <v>44993.0</v>
      </c>
      <c r="B55" s="1" t="s">
        <v>17</v>
      </c>
      <c r="C55" s="1" t="str">
        <f t="shared" si="1"/>
        <v>44993Fashion</v>
      </c>
      <c r="D55" s="1">
        <v>1040.0</v>
      </c>
      <c r="E55" s="1">
        <v>955.0</v>
      </c>
      <c r="H55" s="1">
        <v>44992.0</v>
      </c>
      <c r="I55" s="1" t="s">
        <v>9</v>
      </c>
      <c r="J55" s="1" t="str">
        <f t="shared" si="2"/>
        <v>44992Mobiles &amp; Tablets</v>
      </c>
      <c r="K55" s="1">
        <f t="shared" si="3"/>
        <v>404</v>
      </c>
      <c r="L55" s="1">
        <f t="shared" si="4"/>
        <v>456</v>
      </c>
    </row>
    <row r="56" ht="15.75" customHeight="1">
      <c r="A56" s="2">
        <v>44993.0</v>
      </c>
      <c r="B56" s="1" t="s">
        <v>18</v>
      </c>
      <c r="C56" s="1" t="str">
        <f t="shared" si="1"/>
        <v>44993Furniture &amp; Decor</v>
      </c>
      <c r="D56" s="1">
        <v>408.0</v>
      </c>
      <c r="E56" s="1">
        <v>380.0</v>
      </c>
      <c r="H56" s="1">
        <v>44995.0</v>
      </c>
      <c r="I56" s="1" t="s">
        <v>12</v>
      </c>
      <c r="J56" s="1" t="str">
        <f t="shared" si="2"/>
        <v>44995Cameras</v>
      </c>
      <c r="K56" s="1">
        <f t="shared" si="3"/>
        <v>111</v>
      </c>
      <c r="L56" s="1">
        <f t="shared" si="4"/>
        <v>126</v>
      </c>
    </row>
    <row r="57" ht="15.75" customHeight="1">
      <c r="A57" s="2">
        <v>44993.0</v>
      </c>
      <c r="B57" s="1" t="s">
        <v>20</v>
      </c>
      <c r="C57" s="1" t="str">
        <f t="shared" si="1"/>
        <v>44993Groceries</v>
      </c>
      <c r="D57" s="1">
        <v>442.0</v>
      </c>
      <c r="E57" s="1">
        <v>427.0</v>
      </c>
      <c r="H57" s="1">
        <v>44993.0</v>
      </c>
      <c r="I57" s="1" t="s">
        <v>19</v>
      </c>
      <c r="J57" s="1" t="str">
        <f t="shared" si="2"/>
        <v>44993Motors</v>
      </c>
      <c r="K57" s="1">
        <f t="shared" si="3"/>
        <v>185</v>
      </c>
      <c r="L57" s="1">
        <f t="shared" si="4"/>
        <v>204</v>
      </c>
    </row>
    <row r="58" ht="15.75" customHeight="1">
      <c r="A58" s="2">
        <v>44993.0</v>
      </c>
      <c r="B58" s="1" t="s">
        <v>22</v>
      </c>
      <c r="C58" s="1" t="str">
        <f t="shared" si="1"/>
        <v>44993Health &amp; Beauty</v>
      </c>
      <c r="D58" s="1">
        <v>2066.0</v>
      </c>
      <c r="E58" s="1">
        <v>2026.0</v>
      </c>
      <c r="H58" s="1">
        <v>44997.0</v>
      </c>
      <c r="I58" s="1" t="s">
        <v>17</v>
      </c>
      <c r="J58" s="1" t="str">
        <f t="shared" si="2"/>
        <v>44997Fashion</v>
      </c>
      <c r="K58" s="1">
        <f t="shared" si="3"/>
        <v>936</v>
      </c>
      <c r="L58" s="1">
        <f t="shared" si="4"/>
        <v>1019</v>
      </c>
    </row>
    <row r="59" ht="15.75" customHeight="1">
      <c r="A59" s="2">
        <v>44993.0</v>
      </c>
      <c r="B59" s="1" t="s">
        <v>23</v>
      </c>
      <c r="C59" s="1" t="str">
        <f t="shared" si="1"/>
        <v>44993Home Appliances</v>
      </c>
      <c r="D59" s="1">
        <v>283.0</v>
      </c>
      <c r="E59" s="1">
        <v>260.0</v>
      </c>
      <c r="H59" s="1">
        <v>44996.0</v>
      </c>
      <c r="I59" s="1" t="s">
        <v>24</v>
      </c>
      <c r="J59" s="1" t="str">
        <f t="shared" si="2"/>
        <v>44996Kitchen &amp; Dining</v>
      </c>
      <c r="K59" s="1">
        <f t="shared" si="3"/>
        <v>271</v>
      </c>
      <c r="L59" s="1">
        <f t="shared" si="4"/>
        <v>288</v>
      </c>
    </row>
    <row r="60" ht="15.75" customHeight="1">
      <c r="A60" s="2">
        <v>44993.0</v>
      </c>
      <c r="B60" s="1" t="s">
        <v>24</v>
      </c>
      <c r="C60" s="1" t="str">
        <f t="shared" si="1"/>
        <v>44993Kitchen &amp; Dining</v>
      </c>
      <c r="D60" s="1">
        <v>300.0</v>
      </c>
      <c r="E60" s="1">
        <v>282.0</v>
      </c>
      <c r="H60" s="1">
        <v>44997.0</v>
      </c>
      <c r="I60" s="1" t="s">
        <v>29</v>
      </c>
      <c r="J60" s="1" t="str">
        <f t="shared" si="2"/>
        <v>44997Pet Supplies</v>
      </c>
      <c r="K60" s="1">
        <f t="shared" si="3"/>
        <v>79</v>
      </c>
      <c r="L60" s="1">
        <f t="shared" si="4"/>
        <v>84</v>
      </c>
    </row>
    <row r="61" ht="15.75" customHeight="1">
      <c r="A61" s="2">
        <v>44993.0</v>
      </c>
      <c r="B61" s="1" t="s">
        <v>26</v>
      </c>
      <c r="C61" s="1" t="str">
        <f t="shared" si="1"/>
        <v>44993Laundry &amp; Cleaning</v>
      </c>
      <c r="D61" s="1">
        <v>125.0</v>
      </c>
      <c r="E61" s="1">
        <v>119.0</v>
      </c>
      <c r="H61" s="1">
        <v>44997.0</v>
      </c>
      <c r="I61" s="1" t="s">
        <v>11</v>
      </c>
      <c r="J61" s="1" t="str">
        <f t="shared" si="2"/>
        <v>44997TV, Audio / Video, Gaming &amp; Wearables</v>
      </c>
      <c r="K61" s="1">
        <f t="shared" si="3"/>
        <v>555</v>
      </c>
      <c r="L61" s="1">
        <f t="shared" si="4"/>
        <v>635</v>
      </c>
    </row>
    <row r="62" ht="15.75" customHeight="1">
      <c r="A62" s="2">
        <v>44993.0</v>
      </c>
      <c r="B62" s="1" t="s">
        <v>27</v>
      </c>
      <c r="C62" s="1" t="str">
        <f t="shared" si="1"/>
        <v>44993Media, Music &amp; Books</v>
      </c>
      <c r="D62" s="1">
        <v>249.0</v>
      </c>
      <c r="E62" s="1">
        <v>236.0</v>
      </c>
      <c r="H62" s="1">
        <v>44993.0</v>
      </c>
      <c r="I62" s="1" t="s">
        <v>8</v>
      </c>
      <c r="J62" s="1" t="str">
        <f t="shared" si="2"/>
        <v>44993Bags and Travel</v>
      </c>
      <c r="K62" s="1">
        <f t="shared" si="3"/>
        <v>230</v>
      </c>
      <c r="L62" s="1">
        <f t="shared" si="4"/>
        <v>264</v>
      </c>
    </row>
    <row r="63" ht="15.75" customHeight="1">
      <c r="A63" s="2">
        <v>44993.0</v>
      </c>
      <c r="B63" s="1" t="s">
        <v>9</v>
      </c>
      <c r="C63" s="1" t="str">
        <f t="shared" si="1"/>
        <v>44993Mobiles &amp; Tablets</v>
      </c>
      <c r="D63" s="1">
        <v>481.0</v>
      </c>
      <c r="E63" s="1">
        <v>425.0</v>
      </c>
      <c r="H63" s="1">
        <v>44995.0</v>
      </c>
      <c r="I63" s="1" t="s">
        <v>13</v>
      </c>
      <c r="J63" s="1" t="str">
        <f t="shared" si="2"/>
        <v>44995Special Digital Products</v>
      </c>
      <c r="K63" s="1">
        <f t="shared" si="3"/>
        <v>190</v>
      </c>
      <c r="L63" s="1">
        <f t="shared" si="4"/>
        <v>147</v>
      </c>
    </row>
    <row r="64" ht="15.75" customHeight="1">
      <c r="A64" s="2">
        <v>44993.0</v>
      </c>
      <c r="B64" s="1" t="s">
        <v>16</v>
      </c>
      <c r="C64" s="1" t="str">
        <f t="shared" si="1"/>
        <v>44993Mother &amp; Baby</v>
      </c>
      <c r="D64" s="1">
        <v>338.0</v>
      </c>
      <c r="E64" s="1">
        <v>327.0</v>
      </c>
      <c r="H64" s="1">
        <v>44991.0</v>
      </c>
      <c r="I64" s="1" t="s">
        <v>19</v>
      </c>
      <c r="J64" s="1" t="str">
        <f t="shared" si="2"/>
        <v>44991Motors</v>
      </c>
      <c r="K64" s="1">
        <f t="shared" si="3"/>
        <v>147</v>
      </c>
      <c r="L64" s="1">
        <f t="shared" si="4"/>
        <v>164</v>
      </c>
    </row>
    <row r="65" ht="15.75" customHeight="1">
      <c r="A65" s="2">
        <v>44993.0</v>
      </c>
      <c r="B65" s="1" t="s">
        <v>19</v>
      </c>
      <c r="C65" s="1" t="str">
        <f t="shared" si="1"/>
        <v>44993Motors</v>
      </c>
      <c r="D65" s="1">
        <v>204.0</v>
      </c>
      <c r="E65" s="1">
        <v>185.0</v>
      </c>
      <c r="H65" s="1">
        <v>44994.0</v>
      </c>
      <c r="I65" s="1" t="s">
        <v>23</v>
      </c>
      <c r="J65" s="1" t="str">
        <f t="shared" si="2"/>
        <v>44994Home Appliances</v>
      </c>
      <c r="K65" s="1">
        <f t="shared" si="3"/>
        <v>250</v>
      </c>
      <c r="L65" s="1">
        <f t="shared" si="4"/>
        <v>272</v>
      </c>
    </row>
    <row r="66" ht="15.75" customHeight="1">
      <c r="A66" s="2">
        <v>44993.0</v>
      </c>
      <c r="B66" s="1" t="s">
        <v>29</v>
      </c>
      <c r="C66" s="1" t="str">
        <f t="shared" si="1"/>
        <v>44993Pet Supplies</v>
      </c>
      <c r="D66" s="1">
        <v>86.0</v>
      </c>
      <c r="E66" s="1">
        <v>80.0</v>
      </c>
      <c r="H66" s="1">
        <v>44996.0</v>
      </c>
      <c r="I66" s="1" t="s">
        <v>26</v>
      </c>
      <c r="J66" s="1" t="str">
        <f t="shared" si="2"/>
        <v>44996Laundry &amp; Cleaning</v>
      </c>
      <c r="K66" s="1">
        <f t="shared" si="3"/>
        <v>114</v>
      </c>
      <c r="L66" s="1">
        <f t="shared" si="4"/>
        <v>121</v>
      </c>
    </row>
    <row r="67" ht="15.75" customHeight="1">
      <c r="A67" s="2">
        <v>44993.0</v>
      </c>
      <c r="B67" s="1" t="s">
        <v>13</v>
      </c>
      <c r="C67" s="1" t="str">
        <f t="shared" si="1"/>
        <v>44993Special Digital Products</v>
      </c>
      <c r="D67" s="1">
        <v>153.0</v>
      </c>
      <c r="E67" s="1">
        <v>198.0</v>
      </c>
      <c r="H67" s="1">
        <v>44995.0</v>
      </c>
      <c r="I67" s="1" t="s">
        <v>31</v>
      </c>
      <c r="J67" s="1" t="str">
        <f t="shared" si="2"/>
        <v>44995Tools, DIY &amp; Outdoor</v>
      </c>
      <c r="K67" s="1">
        <f t="shared" si="3"/>
        <v>309</v>
      </c>
      <c r="L67" s="1">
        <f t="shared" si="4"/>
        <v>321</v>
      </c>
    </row>
    <row r="68" ht="15.75" customHeight="1">
      <c r="A68" s="2">
        <v>44993.0</v>
      </c>
      <c r="B68" s="1" t="s">
        <v>30</v>
      </c>
      <c r="C68" s="1" t="str">
        <f t="shared" si="1"/>
        <v>44993Sports &amp; Outdoors</v>
      </c>
      <c r="D68" s="1">
        <v>387.0</v>
      </c>
      <c r="E68" s="1">
        <v>344.0</v>
      </c>
      <c r="H68" s="1">
        <v>44995.0</v>
      </c>
      <c r="I68" s="1" t="s">
        <v>30</v>
      </c>
      <c r="J68" s="1" t="str">
        <f t="shared" si="2"/>
        <v>44995Sports &amp; Outdoors</v>
      </c>
      <c r="K68" s="1">
        <f t="shared" si="3"/>
        <v>331</v>
      </c>
      <c r="L68" s="1">
        <f t="shared" si="4"/>
        <v>373</v>
      </c>
    </row>
    <row r="69" ht="15.75" customHeight="1">
      <c r="A69" s="2">
        <v>44993.0</v>
      </c>
      <c r="B69" s="1" t="s">
        <v>28</v>
      </c>
      <c r="C69" s="1" t="str">
        <f t="shared" si="1"/>
        <v>44993Stationery &amp; Craft</v>
      </c>
      <c r="D69" s="1">
        <v>332.0</v>
      </c>
      <c r="E69" s="1">
        <v>355.0</v>
      </c>
      <c r="H69" s="1">
        <v>44995.0</v>
      </c>
      <c r="I69" s="1" t="s">
        <v>10</v>
      </c>
      <c r="J69" s="1" t="str">
        <f t="shared" si="2"/>
        <v>44995Bedding &amp; Bath</v>
      </c>
      <c r="K69" s="1">
        <f t="shared" si="3"/>
        <v>108</v>
      </c>
      <c r="L69" s="1">
        <f t="shared" si="4"/>
        <v>110</v>
      </c>
    </row>
    <row r="70" ht="15.75" customHeight="1">
      <c r="A70" s="2">
        <v>44993.0</v>
      </c>
      <c r="B70" s="1" t="s">
        <v>31</v>
      </c>
      <c r="C70" s="1" t="str">
        <f t="shared" si="1"/>
        <v>44993Tools, DIY &amp; Outdoor</v>
      </c>
      <c r="D70" s="1">
        <v>334.0</v>
      </c>
      <c r="E70" s="1">
        <v>321.0</v>
      </c>
      <c r="H70" s="1">
        <v>44993.0</v>
      </c>
      <c r="I70" s="1" t="s">
        <v>25</v>
      </c>
      <c r="J70" s="1" t="str">
        <f t="shared" si="2"/>
        <v>44993Toys &amp; Games</v>
      </c>
      <c r="K70" s="1">
        <f t="shared" si="3"/>
        <v>277</v>
      </c>
      <c r="L70" s="1">
        <f t="shared" si="4"/>
        <v>312</v>
      </c>
    </row>
    <row r="71" ht="15.75" customHeight="1">
      <c r="A71" s="2">
        <v>44993.0</v>
      </c>
      <c r="B71" s="1" t="s">
        <v>25</v>
      </c>
      <c r="C71" s="1" t="str">
        <f t="shared" si="1"/>
        <v>44993Toys &amp; Games</v>
      </c>
      <c r="D71" s="1">
        <v>312.0</v>
      </c>
      <c r="E71" s="1">
        <v>277.0</v>
      </c>
      <c r="H71" s="1">
        <v>44995.0</v>
      </c>
      <c r="I71" s="1" t="s">
        <v>21</v>
      </c>
      <c r="J71" s="1" t="str">
        <f t="shared" si="2"/>
        <v>44995Watches Sunglasses Jewellery</v>
      </c>
      <c r="K71" s="1">
        <f t="shared" si="3"/>
        <v>585</v>
      </c>
      <c r="L71" s="1">
        <f t="shared" si="4"/>
        <v>639</v>
      </c>
    </row>
    <row r="72" ht="15.75" customHeight="1">
      <c r="A72" s="2">
        <v>44993.0</v>
      </c>
      <c r="B72" s="1" t="s">
        <v>11</v>
      </c>
      <c r="C72" s="1" t="str">
        <f t="shared" si="1"/>
        <v>44993TV, Audio / Video, Gaming &amp; Wearables</v>
      </c>
      <c r="D72" s="1">
        <v>648.0</v>
      </c>
      <c r="E72" s="1">
        <v>566.0</v>
      </c>
      <c r="H72" s="1">
        <v>44994.0</v>
      </c>
      <c r="I72" s="1" t="s">
        <v>31</v>
      </c>
      <c r="J72" s="1" t="str">
        <f t="shared" si="2"/>
        <v>44994Tools, DIY &amp; Outdoor</v>
      </c>
      <c r="K72" s="1">
        <f t="shared" si="3"/>
        <v>309</v>
      </c>
      <c r="L72" s="1">
        <f t="shared" si="4"/>
        <v>321</v>
      </c>
    </row>
    <row r="73" ht="15.75" customHeight="1">
      <c r="A73" s="2">
        <v>44993.0</v>
      </c>
      <c r="B73" s="1" t="s">
        <v>21</v>
      </c>
      <c r="C73" s="1" t="str">
        <f t="shared" si="1"/>
        <v>44993Watches Sunglasses Jewellery</v>
      </c>
      <c r="D73" s="1">
        <v>664.0</v>
      </c>
      <c r="E73" s="1">
        <v>608.0</v>
      </c>
      <c r="H73" s="1">
        <v>44992.0</v>
      </c>
      <c r="I73" s="1" t="s">
        <v>24</v>
      </c>
      <c r="J73" s="1" t="str">
        <f t="shared" si="2"/>
        <v>44992Kitchen &amp; Dining</v>
      </c>
      <c r="K73" s="1">
        <f t="shared" si="3"/>
        <v>268</v>
      </c>
      <c r="L73" s="1">
        <f t="shared" si="4"/>
        <v>284</v>
      </c>
    </row>
    <row r="74" ht="15.75" customHeight="1">
      <c r="A74" s="2">
        <v>44994.0</v>
      </c>
      <c r="B74" s="1" t="s">
        <v>8</v>
      </c>
      <c r="C74" s="1" t="str">
        <f t="shared" si="1"/>
        <v>44994Bags and Travel</v>
      </c>
      <c r="D74" s="1">
        <v>254.0</v>
      </c>
      <c r="E74" s="1">
        <v>221.0</v>
      </c>
      <c r="H74" s="1">
        <v>44991.0</v>
      </c>
      <c r="I74" s="1" t="s">
        <v>30</v>
      </c>
      <c r="J74" s="1" t="str">
        <f t="shared" si="2"/>
        <v>44991Sports &amp; Outdoors</v>
      </c>
      <c r="K74" s="1">
        <f t="shared" si="3"/>
        <v>303</v>
      </c>
      <c r="L74" s="1">
        <f t="shared" si="4"/>
        <v>347</v>
      </c>
    </row>
    <row r="75" ht="15.75" customHeight="1">
      <c r="A75" s="2">
        <v>44994.0</v>
      </c>
      <c r="B75" s="1" t="s">
        <v>10</v>
      </c>
      <c r="C75" s="1" t="str">
        <f t="shared" si="1"/>
        <v>44994Bedding &amp; Bath</v>
      </c>
      <c r="D75" s="1">
        <v>110.0</v>
      </c>
      <c r="E75" s="1">
        <v>108.0</v>
      </c>
      <c r="H75" s="1">
        <v>44993.0</v>
      </c>
      <c r="I75" s="1" t="s">
        <v>15</v>
      </c>
      <c r="J75" s="1" t="str">
        <f t="shared" si="2"/>
        <v>44993Digital Goods</v>
      </c>
      <c r="K75" s="1">
        <f t="shared" si="3"/>
        <v>5</v>
      </c>
      <c r="L75" s="1">
        <f t="shared" si="4"/>
        <v>6</v>
      </c>
    </row>
    <row r="76" ht="15.75" customHeight="1">
      <c r="A76" s="2">
        <v>44994.0</v>
      </c>
      <c r="B76" s="1" t="s">
        <v>12</v>
      </c>
      <c r="C76" s="1" t="str">
        <f t="shared" si="1"/>
        <v>44994Cameras</v>
      </c>
      <c r="D76" s="1">
        <v>126.0</v>
      </c>
      <c r="E76" s="1">
        <v>111.0</v>
      </c>
      <c r="H76" s="1">
        <v>44992.0</v>
      </c>
      <c r="I76" s="1" t="s">
        <v>31</v>
      </c>
      <c r="J76" s="1" t="str">
        <f t="shared" si="2"/>
        <v>44992Tools, DIY &amp; Outdoor</v>
      </c>
      <c r="K76" s="1">
        <f t="shared" si="3"/>
        <v>305</v>
      </c>
      <c r="L76" s="1">
        <f t="shared" si="4"/>
        <v>316</v>
      </c>
    </row>
    <row r="77" ht="15.75" customHeight="1">
      <c r="A77" s="2">
        <v>44994.0</v>
      </c>
      <c r="B77" s="1" t="s">
        <v>14</v>
      </c>
      <c r="C77" s="1" t="str">
        <f t="shared" si="1"/>
        <v>44994Computers &amp; Laptops</v>
      </c>
      <c r="D77" s="1">
        <v>289.0</v>
      </c>
      <c r="E77" s="1">
        <v>259.0</v>
      </c>
      <c r="H77" s="1">
        <v>44994.0</v>
      </c>
      <c r="I77" s="1" t="s">
        <v>14</v>
      </c>
      <c r="J77" s="1" t="str">
        <f t="shared" si="2"/>
        <v>44994Computers &amp; Laptops</v>
      </c>
      <c r="K77" s="1">
        <f t="shared" si="3"/>
        <v>259</v>
      </c>
      <c r="L77" s="1">
        <f t="shared" si="4"/>
        <v>289</v>
      </c>
    </row>
    <row r="78" ht="15.75" customHeight="1">
      <c r="A78" s="2">
        <v>44994.0</v>
      </c>
      <c r="B78" s="1" t="s">
        <v>15</v>
      </c>
      <c r="C78" s="1" t="str">
        <f t="shared" si="1"/>
        <v>44994Digital Goods</v>
      </c>
      <c r="D78" s="1">
        <v>6.0</v>
      </c>
      <c r="E78" s="1">
        <v>5.0</v>
      </c>
      <c r="H78" s="1">
        <v>44991.0</v>
      </c>
      <c r="I78" s="1" t="s">
        <v>20</v>
      </c>
      <c r="J78" s="1" t="str">
        <f t="shared" si="2"/>
        <v>44991Groceries</v>
      </c>
      <c r="K78" s="1">
        <f t="shared" si="3"/>
        <v>316</v>
      </c>
      <c r="L78" s="1">
        <f t="shared" si="4"/>
        <v>333</v>
      </c>
    </row>
    <row r="79" ht="15.75" customHeight="1">
      <c r="A79" s="2">
        <v>44994.0</v>
      </c>
      <c r="B79" s="1" t="s">
        <v>17</v>
      </c>
      <c r="C79" s="1" t="str">
        <f t="shared" si="1"/>
        <v>44994Fashion</v>
      </c>
      <c r="D79" s="1">
        <v>1001.0</v>
      </c>
      <c r="E79" s="1">
        <v>919.0</v>
      </c>
      <c r="H79" s="1">
        <v>44991.0</v>
      </c>
      <c r="I79" s="1" t="s">
        <v>22</v>
      </c>
      <c r="J79" s="1" t="str">
        <f t="shared" si="2"/>
        <v>44991Health &amp; Beauty</v>
      </c>
      <c r="K79" s="1">
        <f t="shared" si="3"/>
        <v>1726</v>
      </c>
      <c r="L79" s="1">
        <f t="shared" si="4"/>
        <v>1742</v>
      </c>
    </row>
    <row r="80" ht="15.75" customHeight="1">
      <c r="A80" s="2">
        <v>44994.0</v>
      </c>
      <c r="B80" s="1" t="s">
        <v>18</v>
      </c>
      <c r="C80" s="1" t="str">
        <f t="shared" si="1"/>
        <v>44994Furniture &amp; Decor</v>
      </c>
      <c r="D80" s="1">
        <v>393.0</v>
      </c>
      <c r="E80" s="1">
        <v>366.0</v>
      </c>
      <c r="H80" s="1">
        <v>44995.0</v>
      </c>
      <c r="I80" s="1" t="s">
        <v>19</v>
      </c>
      <c r="J80" s="1" t="str">
        <f t="shared" si="2"/>
        <v>44995Motors</v>
      </c>
      <c r="K80" s="1">
        <f t="shared" si="3"/>
        <v>178</v>
      </c>
      <c r="L80" s="1">
        <f t="shared" si="4"/>
        <v>197</v>
      </c>
    </row>
    <row r="81" ht="15.75" customHeight="1">
      <c r="A81" s="2">
        <v>44994.0</v>
      </c>
      <c r="B81" s="1" t="s">
        <v>20</v>
      </c>
      <c r="C81" s="1" t="str">
        <f t="shared" si="1"/>
        <v>44994Groceries</v>
      </c>
      <c r="D81" s="1">
        <v>425.0</v>
      </c>
      <c r="E81" s="1">
        <v>411.0</v>
      </c>
      <c r="H81" s="1">
        <v>44993.0</v>
      </c>
      <c r="I81" s="1" t="s">
        <v>30</v>
      </c>
      <c r="J81" s="1" t="str">
        <f t="shared" si="2"/>
        <v>44993Sports &amp; Outdoors</v>
      </c>
      <c r="K81" s="1">
        <f t="shared" si="3"/>
        <v>344</v>
      </c>
      <c r="L81" s="1">
        <f t="shared" si="4"/>
        <v>387</v>
      </c>
    </row>
    <row r="82" ht="15.75" customHeight="1">
      <c r="A82" s="2">
        <v>44994.0</v>
      </c>
      <c r="B82" s="1" t="s">
        <v>22</v>
      </c>
      <c r="C82" s="1" t="str">
        <f t="shared" si="1"/>
        <v>44994Health &amp; Beauty</v>
      </c>
      <c r="D82" s="1">
        <v>1989.0</v>
      </c>
      <c r="E82" s="1">
        <v>1951.0</v>
      </c>
      <c r="H82" s="1">
        <v>44994.0</v>
      </c>
      <c r="I82" s="1" t="s">
        <v>24</v>
      </c>
      <c r="J82" s="1" t="str">
        <f t="shared" si="2"/>
        <v>44994Kitchen &amp; Dining</v>
      </c>
      <c r="K82" s="1">
        <f t="shared" si="3"/>
        <v>271</v>
      </c>
      <c r="L82" s="1">
        <f t="shared" si="4"/>
        <v>288</v>
      </c>
    </row>
    <row r="83" ht="15.75" customHeight="1">
      <c r="A83" s="2">
        <v>44994.0</v>
      </c>
      <c r="B83" s="1" t="s">
        <v>23</v>
      </c>
      <c r="C83" s="1" t="str">
        <f t="shared" si="1"/>
        <v>44994Home Appliances</v>
      </c>
      <c r="D83" s="1">
        <v>272.0</v>
      </c>
      <c r="E83" s="1">
        <v>250.0</v>
      </c>
      <c r="H83" s="1">
        <v>44995.0</v>
      </c>
      <c r="I83" s="1" t="s">
        <v>15</v>
      </c>
      <c r="J83" s="1" t="str">
        <f t="shared" si="2"/>
        <v>44995Digital Goods</v>
      </c>
      <c r="K83" s="1">
        <f t="shared" si="3"/>
        <v>5</v>
      </c>
      <c r="L83" s="1">
        <f t="shared" si="4"/>
        <v>6</v>
      </c>
    </row>
    <row r="84" ht="15.75" customHeight="1">
      <c r="A84" s="2">
        <v>44994.0</v>
      </c>
      <c r="B84" s="1" t="s">
        <v>24</v>
      </c>
      <c r="C84" s="1" t="str">
        <f t="shared" si="1"/>
        <v>44994Kitchen &amp; Dining</v>
      </c>
      <c r="D84" s="1">
        <v>288.0</v>
      </c>
      <c r="E84" s="1">
        <v>271.0</v>
      </c>
      <c r="H84" s="1">
        <v>44996.0</v>
      </c>
      <c r="I84" s="1" t="s">
        <v>12</v>
      </c>
      <c r="J84" s="1" t="str">
        <f t="shared" si="2"/>
        <v>44996Cameras</v>
      </c>
      <c r="K84" s="1">
        <f t="shared" si="3"/>
        <v>110</v>
      </c>
      <c r="L84" s="1">
        <f t="shared" si="4"/>
        <v>126</v>
      </c>
    </row>
    <row r="85" ht="15.75" customHeight="1">
      <c r="A85" s="2">
        <v>44994.0</v>
      </c>
      <c r="B85" s="1" t="s">
        <v>26</v>
      </c>
      <c r="C85" s="1" t="str">
        <f t="shared" si="1"/>
        <v>44994Laundry &amp; Cleaning</v>
      </c>
      <c r="D85" s="1">
        <v>121.0</v>
      </c>
      <c r="E85" s="1">
        <v>114.0</v>
      </c>
      <c r="H85" s="1">
        <v>44994.0</v>
      </c>
      <c r="I85" s="1" t="s">
        <v>20</v>
      </c>
      <c r="J85" s="1" t="str">
        <f t="shared" si="2"/>
        <v>44994Groceries</v>
      </c>
      <c r="K85" s="1">
        <f t="shared" si="3"/>
        <v>411</v>
      </c>
      <c r="L85" s="1">
        <f t="shared" si="4"/>
        <v>425</v>
      </c>
    </row>
    <row r="86" ht="15.75" customHeight="1">
      <c r="A86" s="2">
        <v>44994.0</v>
      </c>
      <c r="B86" s="1" t="s">
        <v>27</v>
      </c>
      <c r="C86" s="1" t="str">
        <f t="shared" si="1"/>
        <v>44994Media, Music &amp; Books</v>
      </c>
      <c r="D86" s="1">
        <v>240.0</v>
      </c>
      <c r="E86" s="1">
        <v>227.0</v>
      </c>
      <c r="H86" s="1">
        <v>44995.0</v>
      </c>
      <c r="I86" s="1" t="s">
        <v>29</v>
      </c>
      <c r="J86" s="1" t="str">
        <f t="shared" si="2"/>
        <v>44995Pet Supplies</v>
      </c>
      <c r="K86" s="1">
        <f t="shared" si="3"/>
        <v>77</v>
      </c>
      <c r="L86" s="1">
        <f t="shared" si="4"/>
        <v>82</v>
      </c>
    </row>
    <row r="87" ht="15.75" customHeight="1">
      <c r="A87" s="2">
        <v>44994.0</v>
      </c>
      <c r="B87" s="1" t="s">
        <v>9</v>
      </c>
      <c r="C87" s="1" t="str">
        <f t="shared" si="1"/>
        <v>44994Mobiles &amp; Tablets</v>
      </c>
      <c r="D87" s="1">
        <v>463.0</v>
      </c>
      <c r="E87" s="1">
        <v>409.0</v>
      </c>
      <c r="H87" s="1">
        <v>44993.0</v>
      </c>
      <c r="I87" s="1" t="s">
        <v>16</v>
      </c>
      <c r="J87" s="1" t="str">
        <f t="shared" si="2"/>
        <v>44993Mother &amp; Baby</v>
      </c>
      <c r="K87" s="1">
        <f t="shared" si="3"/>
        <v>327</v>
      </c>
      <c r="L87" s="1">
        <f t="shared" si="4"/>
        <v>338</v>
      </c>
    </row>
    <row r="88" ht="15.75" customHeight="1">
      <c r="A88" s="2">
        <v>44994.0</v>
      </c>
      <c r="B88" s="1" t="s">
        <v>16</v>
      </c>
      <c r="C88" s="1" t="str">
        <f t="shared" si="1"/>
        <v>44994Mother &amp; Baby</v>
      </c>
      <c r="D88" s="1">
        <v>326.0</v>
      </c>
      <c r="E88" s="1">
        <v>315.0</v>
      </c>
      <c r="H88" s="1">
        <v>44993.0</v>
      </c>
      <c r="I88" s="1" t="s">
        <v>18</v>
      </c>
      <c r="J88" s="1" t="str">
        <f t="shared" si="2"/>
        <v>44993Furniture &amp; Decor</v>
      </c>
      <c r="K88" s="1">
        <f t="shared" si="3"/>
        <v>380</v>
      </c>
      <c r="L88" s="1">
        <f t="shared" si="4"/>
        <v>408</v>
      </c>
    </row>
    <row r="89" ht="15.75" customHeight="1">
      <c r="A89" s="2">
        <v>44994.0</v>
      </c>
      <c r="B89" s="1" t="s">
        <v>19</v>
      </c>
      <c r="C89" s="1" t="str">
        <f t="shared" si="1"/>
        <v>44994Motors</v>
      </c>
      <c r="D89" s="1">
        <v>197.0</v>
      </c>
      <c r="E89" s="1">
        <v>178.0</v>
      </c>
      <c r="H89" s="1">
        <v>44992.0</v>
      </c>
      <c r="I89" s="1" t="s">
        <v>8</v>
      </c>
      <c r="J89" s="1" t="str">
        <f t="shared" si="2"/>
        <v>44992Bags and Travel</v>
      </c>
      <c r="K89" s="1">
        <f t="shared" si="3"/>
        <v>218</v>
      </c>
      <c r="L89" s="1">
        <f t="shared" si="4"/>
        <v>250</v>
      </c>
    </row>
    <row r="90" ht="15.75" customHeight="1">
      <c r="A90" s="2">
        <v>44994.0</v>
      </c>
      <c r="B90" s="1" t="s">
        <v>29</v>
      </c>
      <c r="C90" s="1" t="str">
        <f t="shared" si="1"/>
        <v>44994Pet Supplies</v>
      </c>
      <c r="D90" s="1">
        <v>82.0</v>
      </c>
      <c r="E90" s="1">
        <v>77.0</v>
      </c>
      <c r="H90" s="1">
        <v>44995.0</v>
      </c>
      <c r="I90" s="1" t="s">
        <v>28</v>
      </c>
      <c r="J90" s="1" t="str">
        <f t="shared" si="2"/>
        <v>44995Stationery &amp; Craft</v>
      </c>
      <c r="K90" s="1">
        <f t="shared" si="3"/>
        <v>342</v>
      </c>
      <c r="L90" s="1">
        <f t="shared" si="4"/>
        <v>319</v>
      </c>
    </row>
    <row r="91" ht="15.75" customHeight="1">
      <c r="A91" s="2">
        <v>44994.0</v>
      </c>
      <c r="B91" s="1" t="s">
        <v>13</v>
      </c>
      <c r="C91" s="1" t="str">
        <f t="shared" si="1"/>
        <v>44994Special Digital Products</v>
      </c>
      <c r="D91" s="1">
        <v>147.0</v>
      </c>
      <c r="E91" s="1">
        <v>190.0</v>
      </c>
      <c r="H91" s="1">
        <v>44997.0</v>
      </c>
      <c r="I91" s="1" t="s">
        <v>18</v>
      </c>
      <c r="J91" s="1" t="str">
        <f t="shared" si="2"/>
        <v>44997Furniture &amp; Decor</v>
      </c>
      <c r="K91" s="1">
        <f t="shared" si="3"/>
        <v>372</v>
      </c>
      <c r="L91" s="1">
        <f t="shared" si="4"/>
        <v>401</v>
      </c>
    </row>
    <row r="92" ht="15.75" customHeight="1">
      <c r="A92" s="2">
        <v>44994.0</v>
      </c>
      <c r="B92" s="1" t="s">
        <v>30</v>
      </c>
      <c r="C92" s="1" t="str">
        <f t="shared" si="1"/>
        <v>44994Sports &amp; Outdoors</v>
      </c>
      <c r="D92" s="1">
        <v>373.0</v>
      </c>
      <c r="E92" s="1">
        <v>331.0</v>
      </c>
      <c r="H92" s="1">
        <v>44993.0</v>
      </c>
      <c r="I92" s="1" t="s">
        <v>11</v>
      </c>
      <c r="J92" s="1" t="str">
        <f t="shared" si="2"/>
        <v>44993TV, Audio / Video, Gaming &amp; Wearables</v>
      </c>
      <c r="K92" s="1">
        <f t="shared" si="3"/>
        <v>566</v>
      </c>
      <c r="L92" s="1">
        <f t="shared" si="4"/>
        <v>648</v>
      </c>
    </row>
    <row r="93" ht="15.75" customHeight="1">
      <c r="A93" s="2">
        <v>44994.0</v>
      </c>
      <c r="B93" s="1" t="s">
        <v>28</v>
      </c>
      <c r="C93" s="1" t="str">
        <f t="shared" si="1"/>
        <v>44994Stationery &amp; Craft</v>
      </c>
      <c r="D93" s="1">
        <v>319.0</v>
      </c>
      <c r="E93" s="1">
        <v>342.0</v>
      </c>
      <c r="H93" s="1">
        <v>44995.0</v>
      </c>
      <c r="I93" s="1" t="s">
        <v>22</v>
      </c>
      <c r="J93" s="1" t="str">
        <f t="shared" si="2"/>
        <v>44995Health &amp; Beauty</v>
      </c>
      <c r="K93" s="1">
        <f t="shared" si="3"/>
        <v>1950</v>
      </c>
      <c r="L93" s="1">
        <f t="shared" si="4"/>
        <v>1988</v>
      </c>
    </row>
    <row r="94" ht="15.75" customHeight="1">
      <c r="A94" s="2">
        <v>44994.0</v>
      </c>
      <c r="B94" s="1" t="s">
        <v>31</v>
      </c>
      <c r="C94" s="1" t="str">
        <f t="shared" si="1"/>
        <v>44994Tools, DIY &amp; Outdoor</v>
      </c>
      <c r="D94" s="1">
        <v>321.0</v>
      </c>
      <c r="E94" s="1">
        <v>309.0</v>
      </c>
      <c r="H94" s="1">
        <v>44991.0</v>
      </c>
      <c r="I94" s="1" t="s">
        <v>24</v>
      </c>
      <c r="J94" s="1" t="str">
        <f t="shared" si="2"/>
        <v>44991Kitchen &amp; Dining</v>
      </c>
      <c r="K94" s="1">
        <f t="shared" si="3"/>
        <v>231</v>
      </c>
      <c r="L94" s="1">
        <f t="shared" si="4"/>
        <v>246</v>
      </c>
    </row>
    <row r="95" ht="15.75" customHeight="1">
      <c r="A95" s="2">
        <v>44994.0</v>
      </c>
      <c r="B95" s="1" t="s">
        <v>25</v>
      </c>
      <c r="C95" s="1" t="str">
        <f t="shared" si="1"/>
        <v>44994Toys &amp; Games</v>
      </c>
      <c r="D95" s="1">
        <v>301.0</v>
      </c>
      <c r="E95" s="1">
        <v>267.0</v>
      </c>
      <c r="H95" s="1">
        <v>44996.0</v>
      </c>
      <c r="I95" s="1" t="s">
        <v>29</v>
      </c>
      <c r="J95" s="1" t="str">
        <f t="shared" si="2"/>
        <v>44996Pet Supplies</v>
      </c>
      <c r="K95" s="1">
        <f t="shared" si="3"/>
        <v>77</v>
      </c>
      <c r="L95" s="1">
        <f t="shared" si="4"/>
        <v>82</v>
      </c>
    </row>
    <row r="96" ht="15.75" customHeight="1">
      <c r="A96" s="2">
        <v>44994.0</v>
      </c>
      <c r="B96" s="1" t="s">
        <v>11</v>
      </c>
      <c r="C96" s="1" t="str">
        <f t="shared" si="1"/>
        <v>44994TV, Audio / Video, Gaming &amp; Wearables</v>
      </c>
      <c r="D96" s="1">
        <v>624.0</v>
      </c>
      <c r="E96" s="1">
        <v>545.0</v>
      </c>
      <c r="H96" s="1">
        <v>44992.0</v>
      </c>
      <c r="I96" s="1" t="s">
        <v>20</v>
      </c>
      <c r="J96" s="1" t="str">
        <f t="shared" si="2"/>
        <v>44992Groceries</v>
      </c>
      <c r="K96" s="1">
        <f t="shared" si="3"/>
        <v>406</v>
      </c>
      <c r="L96" s="1">
        <f t="shared" si="4"/>
        <v>418</v>
      </c>
    </row>
    <row r="97" ht="15.75" customHeight="1">
      <c r="A97" s="2">
        <v>44994.0</v>
      </c>
      <c r="B97" s="1" t="s">
        <v>21</v>
      </c>
      <c r="C97" s="1" t="str">
        <f t="shared" si="1"/>
        <v>44994Watches Sunglasses Jewellery</v>
      </c>
      <c r="D97" s="1">
        <v>639.0</v>
      </c>
      <c r="E97" s="1">
        <v>585.0</v>
      </c>
      <c r="H97" s="1">
        <v>44996.0</v>
      </c>
      <c r="I97" s="1" t="s">
        <v>16</v>
      </c>
      <c r="J97" s="1" t="str">
        <f t="shared" si="2"/>
        <v>44996Mother &amp; Baby</v>
      </c>
      <c r="K97" s="1">
        <f t="shared" si="3"/>
        <v>314</v>
      </c>
      <c r="L97" s="1">
        <f t="shared" si="4"/>
        <v>326</v>
      </c>
    </row>
    <row r="98" ht="15.75" customHeight="1">
      <c r="A98" s="2">
        <v>44995.0</v>
      </c>
      <c r="B98" s="1" t="s">
        <v>8</v>
      </c>
      <c r="C98" s="1" t="str">
        <f t="shared" si="1"/>
        <v>44995Bags and Travel</v>
      </c>
      <c r="D98" s="1">
        <v>254.0</v>
      </c>
      <c r="E98" s="1">
        <v>221.0</v>
      </c>
      <c r="H98" s="1">
        <v>44993.0</v>
      </c>
      <c r="I98" s="1" t="s">
        <v>9</v>
      </c>
      <c r="J98" s="1" t="str">
        <f t="shared" si="2"/>
        <v>44993Mobiles &amp; Tablets</v>
      </c>
      <c r="K98" s="1">
        <f t="shared" si="3"/>
        <v>425</v>
      </c>
      <c r="L98" s="1">
        <f t="shared" si="4"/>
        <v>481</v>
      </c>
    </row>
    <row r="99" ht="15.75" customHeight="1">
      <c r="A99" s="2">
        <v>44995.0</v>
      </c>
      <c r="B99" s="1" t="s">
        <v>10</v>
      </c>
      <c r="C99" s="1" t="str">
        <f t="shared" si="1"/>
        <v>44995Bedding &amp; Bath</v>
      </c>
      <c r="D99" s="1">
        <v>110.0</v>
      </c>
      <c r="E99" s="1">
        <v>108.0</v>
      </c>
      <c r="H99" s="1">
        <v>44997.0</v>
      </c>
      <c r="I99" s="1" t="s">
        <v>20</v>
      </c>
      <c r="J99" s="1" t="str">
        <f t="shared" si="2"/>
        <v>44997Groceries</v>
      </c>
      <c r="K99" s="1">
        <f t="shared" si="3"/>
        <v>419</v>
      </c>
      <c r="L99" s="1">
        <f t="shared" si="4"/>
        <v>433</v>
      </c>
    </row>
    <row r="100" ht="15.75" customHeight="1">
      <c r="A100" s="2">
        <v>44995.0</v>
      </c>
      <c r="B100" s="1" t="s">
        <v>12</v>
      </c>
      <c r="C100" s="1" t="str">
        <f t="shared" si="1"/>
        <v>44995Cameras</v>
      </c>
      <c r="D100" s="1">
        <v>126.0</v>
      </c>
      <c r="E100" s="1">
        <v>111.0</v>
      </c>
      <c r="H100" s="1">
        <v>44993.0</v>
      </c>
      <c r="I100" s="1" t="s">
        <v>26</v>
      </c>
      <c r="J100" s="1" t="str">
        <f t="shared" si="2"/>
        <v>44993Laundry &amp; Cleaning</v>
      </c>
      <c r="K100" s="1">
        <f t="shared" si="3"/>
        <v>119</v>
      </c>
      <c r="L100" s="1">
        <f t="shared" si="4"/>
        <v>125</v>
      </c>
    </row>
    <row r="101" ht="15.75" customHeight="1">
      <c r="A101" s="2">
        <v>44995.0</v>
      </c>
      <c r="B101" s="1" t="s">
        <v>14</v>
      </c>
      <c r="C101" s="1" t="str">
        <f t="shared" si="1"/>
        <v>44995Computers &amp; Laptops</v>
      </c>
      <c r="D101" s="1">
        <v>289.0</v>
      </c>
      <c r="E101" s="1">
        <v>259.0</v>
      </c>
      <c r="H101" s="1">
        <v>44996.0</v>
      </c>
      <c r="I101" s="1" t="s">
        <v>18</v>
      </c>
      <c r="J101" s="1" t="str">
        <f t="shared" si="2"/>
        <v>44996Furniture &amp; Decor</v>
      </c>
      <c r="K101" s="1">
        <f t="shared" si="3"/>
        <v>365</v>
      </c>
      <c r="L101" s="1">
        <f t="shared" si="4"/>
        <v>393</v>
      </c>
    </row>
    <row r="102" ht="15.75" customHeight="1">
      <c r="A102" s="2">
        <v>44995.0</v>
      </c>
      <c r="B102" s="1" t="s">
        <v>15</v>
      </c>
      <c r="C102" s="1" t="str">
        <f t="shared" si="1"/>
        <v>44995Digital Goods</v>
      </c>
      <c r="D102" s="1">
        <v>6.0</v>
      </c>
      <c r="E102" s="1">
        <v>5.0</v>
      </c>
      <c r="H102" s="1">
        <v>44992.0</v>
      </c>
      <c r="I102" s="1" t="s">
        <v>15</v>
      </c>
      <c r="J102" s="1" t="str">
        <f t="shared" si="2"/>
        <v>44992Digital Goods</v>
      </c>
      <c r="K102" s="1">
        <f t="shared" si="3"/>
        <v>5</v>
      </c>
      <c r="L102" s="1">
        <f t="shared" si="4"/>
        <v>6</v>
      </c>
    </row>
    <row r="103" ht="15.75" customHeight="1">
      <c r="A103" s="2">
        <v>44995.0</v>
      </c>
      <c r="B103" s="1" t="s">
        <v>17</v>
      </c>
      <c r="C103" s="1" t="str">
        <f t="shared" si="1"/>
        <v>44995Fashion</v>
      </c>
      <c r="D103" s="1">
        <v>1001.0</v>
      </c>
      <c r="E103" s="1">
        <v>919.0</v>
      </c>
      <c r="H103" s="1">
        <v>44994.0</v>
      </c>
      <c r="I103" s="1" t="s">
        <v>21</v>
      </c>
      <c r="J103" s="1" t="str">
        <f t="shared" si="2"/>
        <v>44994Watches Sunglasses Jewellery</v>
      </c>
      <c r="K103" s="1">
        <f t="shared" si="3"/>
        <v>585</v>
      </c>
      <c r="L103" s="1">
        <f t="shared" si="4"/>
        <v>639</v>
      </c>
    </row>
    <row r="104" ht="15.75" customHeight="1">
      <c r="A104" s="2">
        <v>44995.0</v>
      </c>
      <c r="B104" s="1" t="s">
        <v>18</v>
      </c>
      <c r="C104" s="1" t="str">
        <f t="shared" si="1"/>
        <v>44995Furniture &amp; Decor</v>
      </c>
      <c r="D104" s="1">
        <v>393.0</v>
      </c>
      <c r="E104" s="1">
        <v>366.0</v>
      </c>
      <c r="H104" s="1">
        <v>44992.0</v>
      </c>
      <c r="I104" s="1" t="s">
        <v>19</v>
      </c>
      <c r="J104" s="1" t="str">
        <f t="shared" si="2"/>
        <v>44992Motors</v>
      </c>
      <c r="K104" s="1">
        <f t="shared" si="3"/>
        <v>176</v>
      </c>
      <c r="L104" s="1">
        <f t="shared" si="4"/>
        <v>193</v>
      </c>
    </row>
    <row r="105" ht="15.75" customHeight="1">
      <c r="A105" s="2">
        <v>44995.0</v>
      </c>
      <c r="B105" s="1" t="s">
        <v>20</v>
      </c>
      <c r="C105" s="1" t="str">
        <f t="shared" si="1"/>
        <v>44995Groceries</v>
      </c>
      <c r="D105" s="1">
        <v>425.0</v>
      </c>
      <c r="E105" s="1">
        <v>411.0</v>
      </c>
      <c r="H105" s="1">
        <v>44997.0</v>
      </c>
      <c r="I105" s="1" t="s">
        <v>21</v>
      </c>
      <c r="J105" s="1" t="str">
        <f t="shared" si="2"/>
        <v>44997Watches Sunglasses Jewellery</v>
      </c>
      <c r="K105" s="1">
        <f t="shared" si="3"/>
        <v>596</v>
      </c>
      <c r="L105" s="1">
        <f t="shared" si="4"/>
        <v>651</v>
      </c>
    </row>
    <row r="106" ht="15.75" customHeight="1">
      <c r="A106" s="2">
        <v>44995.0</v>
      </c>
      <c r="B106" s="1" t="s">
        <v>22</v>
      </c>
      <c r="C106" s="1" t="str">
        <f t="shared" si="1"/>
        <v>44995Health &amp; Beauty</v>
      </c>
      <c r="D106" s="1">
        <v>1988.0</v>
      </c>
      <c r="E106" s="1">
        <v>1950.0</v>
      </c>
      <c r="H106" s="1">
        <v>44992.0</v>
      </c>
      <c r="I106" s="1" t="s">
        <v>29</v>
      </c>
      <c r="J106" s="1" t="str">
        <f t="shared" si="2"/>
        <v>44992Pet Supplies</v>
      </c>
      <c r="K106" s="1">
        <f t="shared" si="3"/>
        <v>76</v>
      </c>
      <c r="L106" s="1">
        <f t="shared" si="4"/>
        <v>81</v>
      </c>
    </row>
    <row r="107" ht="15.75" customHeight="1">
      <c r="A107" s="2">
        <v>44995.0</v>
      </c>
      <c r="B107" s="1" t="s">
        <v>23</v>
      </c>
      <c r="C107" s="1" t="str">
        <f t="shared" si="1"/>
        <v>44995Home Appliances</v>
      </c>
      <c r="D107" s="1">
        <v>272.0</v>
      </c>
      <c r="E107" s="1">
        <v>250.0</v>
      </c>
      <c r="H107" s="1">
        <v>44992.0</v>
      </c>
      <c r="I107" s="1" t="s">
        <v>14</v>
      </c>
      <c r="J107" s="1" t="str">
        <f t="shared" si="2"/>
        <v>44992Computers &amp; Laptops</v>
      </c>
      <c r="K107" s="1">
        <f t="shared" si="3"/>
        <v>256</v>
      </c>
      <c r="L107" s="1">
        <f t="shared" si="4"/>
        <v>285</v>
      </c>
    </row>
    <row r="108" ht="15.75" customHeight="1">
      <c r="A108" s="2">
        <v>44995.0</v>
      </c>
      <c r="B108" s="1" t="s">
        <v>24</v>
      </c>
      <c r="C108" s="1" t="str">
        <f t="shared" si="1"/>
        <v>44995Kitchen &amp; Dining</v>
      </c>
      <c r="D108" s="1">
        <v>288.0</v>
      </c>
      <c r="E108" s="1">
        <v>271.0</v>
      </c>
      <c r="H108" s="1">
        <v>44991.0</v>
      </c>
      <c r="I108" s="1" t="s">
        <v>15</v>
      </c>
      <c r="J108" s="1" t="str">
        <f t="shared" si="2"/>
        <v>44991Digital Goods</v>
      </c>
      <c r="K108" s="1">
        <f t="shared" si="3"/>
        <v>9</v>
      </c>
      <c r="L108" s="1">
        <f t="shared" si="4"/>
        <v>9</v>
      </c>
    </row>
    <row r="109" ht="15.75" customHeight="1">
      <c r="A109" s="2">
        <v>44995.0</v>
      </c>
      <c r="B109" s="1" t="s">
        <v>26</v>
      </c>
      <c r="C109" s="1" t="str">
        <f t="shared" si="1"/>
        <v>44995Laundry &amp; Cleaning</v>
      </c>
      <c r="D109" s="1">
        <v>121.0</v>
      </c>
      <c r="E109" s="1">
        <v>114.0</v>
      </c>
      <c r="H109" s="1">
        <v>44993.0</v>
      </c>
      <c r="I109" s="1" t="s">
        <v>31</v>
      </c>
      <c r="J109" s="1" t="str">
        <f t="shared" si="2"/>
        <v>44993Tools, DIY &amp; Outdoor</v>
      </c>
      <c r="K109" s="1">
        <f t="shared" si="3"/>
        <v>321</v>
      </c>
      <c r="L109" s="1">
        <f t="shared" si="4"/>
        <v>334</v>
      </c>
    </row>
    <row r="110" ht="15.75" customHeight="1">
      <c r="A110" s="2">
        <v>44995.0</v>
      </c>
      <c r="B110" s="1" t="s">
        <v>27</v>
      </c>
      <c r="C110" s="1" t="str">
        <f t="shared" si="1"/>
        <v>44995Media, Music &amp; Books</v>
      </c>
      <c r="D110" s="1">
        <v>240.0</v>
      </c>
      <c r="E110" s="1">
        <v>227.0</v>
      </c>
      <c r="H110" s="1">
        <v>44992.0</v>
      </c>
      <c r="I110" s="1" t="s">
        <v>16</v>
      </c>
      <c r="J110" s="1" t="str">
        <f t="shared" si="2"/>
        <v>44992Mother &amp; Baby</v>
      </c>
      <c r="K110" s="1">
        <f t="shared" si="3"/>
        <v>310</v>
      </c>
      <c r="L110" s="1">
        <f t="shared" si="4"/>
        <v>321</v>
      </c>
    </row>
    <row r="111" ht="15.75" customHeight="1">
      <c r="A111" s="2">
        <v>44995.0</v>
      </c>
      <c r="B111" s="1" t="s">
        <v>9</v>
      </c>
      <c r="C111" s="1" t="str">
        <f t="shared" si="1"/>
        <v>44995Mobiles &amp; Tablets</v>
      </c>
      <c r="D111" s="1">
        <v>463.0</v>
      </c>
      <c r="E111" s="1">
        <v>409.0</v>
      </c>
      <c r="H111" s="1">
        <v>44991.0</v>
      </c>
      <c r="I111" s="1" t="s">
        <v>13</v>
      </c>
      <c r="J111" s="1" t="str">
        <f t="shared" si="2"/>
        <v>44991Special Digital Products</v>
      </c>
      <c r="K111" s="1">
        <f t="shared" si="3"/>
        <v>82</v>
      </c>
      <c r="L111" s="1">
        <f t="shared" si="4"/>
        <v>64</v>
      </c>
    </row>
    <row r="112" ht="15.75" customHeight="1">
      <c r="A112" s="2">
        <v>44995.0</v>
      </c>
      <c r="B112" s="1" t="s">
        <v>16</v>
      </c>
      <c r="C112" s="1" t="str">
        <f t="shared" si="1"/>
        <v>44995Mother &amp; Baby</v>
      </c>
      <c r="D112" s="1">
        <v>326.0</v>
      </c>
      <c r="E112" s="1">
        <v>315.0</v>
      </c>
      <c r="H112" s="1">
        <v>44992.0</v>
      </c>
      <c r="I112" s="1" t="s">
        <v>26</v>
      </c>
      <c r="J112" s="1" t="str">
        <f t="shared" si="2"/>
        <v>44992Laundry &amp; Cleaning</v>
      </c>
      <c r="K112" s="1">
        <f t="shared" si="3"/>
        <v>113</v>
      </c>
      <c r="L112" s="1">
        <f t="shared" si="4"/>
        <v>119</v>
      </c>
    </row>
    <row r="113" ht="15.75" customHeight="1">
      <c r="A113" s="2">
        <v>44995.0</v>
      </c>
      <c r="B113" s="1" t="s">
        <v>19</v>
      </c>
      <c r="C113" s="1" t="str">
        <f t="shared" si="1"/>
        <v>44995Motors</v>
      </c>
      <c r="D113" s="1">
        <v>197.0</v>
      </c>
      <c r="E113" s="1">
        <v>178.0</v>
      </c>
      <c r="H113" s="1">
        <v>44992.0</v>
      </c>
      <c r="I113" s="1" t="s">
        <v>17</v>
      </c>
      <c r="J113" s="1" t="str">
        <f t="shared" si="2"/>
        <v>44992Fashion</v>
      </c>
      <c r="K113" s="1">
        <f t="shared" si="3"/>
        <v>907</v>
      </c>
      <c r="L113" s="1">
        <f t="shared" si="4"/>
        <v>985</v>
      </c>
    </row>
    <row r="114" ht="15.75" customHeight="1">
      <c r="A114" s="2">
        <v>44995.0</v>
      </c>
      <c r="B114" s="1" t="s">
        <v>29</v>
      </c>
      <c r="C114" s="1" t="str">
        <f t="shared" si="1"/>
        <v>44995Pet Supplies</v>
      </c>
      <c r="D114" s="1">
        <v>82.0</v>
      </c>
      <c r="E114" s="1">
        <v>77.0</v>
      </c>
      <c r="H114" s="1">
        <v>44996.0</v>
      </c>
      <c r="I114" s="1" t="s">
        <v>19</v>
      </c>
      <c r="J114" s="1" t="str">
        <f t="shared" si="2"/>
        <v>44996Motors</v>
      </c>
      <c r="K114" s="1">
        <f t="shared" si="3"/>
        <v>178</v>
      </c>
      <c r="L114" s="1">
        <f t="shared" si="4"/>
        <v>197</v>
      </c>
    </row>
    <row r="115" ht="15.75" customHeight="1">
      <c r="A115" s="2">
        <v>44995.0</v>
      </c>
      <c r="B115" s="1" t="s">
        <v>13</v>
      </c>
      <c r="C115" s="1" t="str">
        <f t="shared" si="1"/>
        <v>44995Special Digital Products</v>
      </c>
      <c r="D115" s="1">
        <v>147.0</v>
      </c>
      <c r="E115" s="1">
        <v>190.0</v>
      </c>
      <c r="H115" s="1">
        <v>44992.0</v>
      </c>
      <c r="I115" s="1" t="s">
        <v>25</v>
      </c>
      <c r="J115" s="1" t="str">
        <f t="shared" si="2"/>
        <v>44992Toys &amp; Games</v>
      </c>
      <c r="K115" s="1">
        <f t="shared" si="3"/>
        <v>263</v>
      </c>
      <c r="L115" s="1">
        <f t="shared" si="4"/>
        <v>296</v>
      </c>
    </row>
    <row r="116" ht="15.75" customHeight="1">
      <c r="A116" s="2">
        <v>44995.0</v>
      </c>
      <c r="B116" s="1" t="s">
        <v>30</v>
      </c>
      <c r="C116" s="1" t="str">
        <f t="shared" si="1"/>
        <v>44995Sports &amp; Outdoors</v>
      </c>
      <c r="D116" s="1">
        <v>373.0</v>
      </c>
      <c r="E116" s="1">
        <v>331.0</v>
      </c>
      <c r="H116" s="1">
        <v>44993.0</v>
      </c>
      <c r="I116" s="1" t="s">
        <v>29</v>
      </c>
      <c r="J116" s="1" t="str">
        <f t="shared" si="2"/>
        <v>44993Pet Supplies</v>
      </c>
      <c r="K116" s="1">
        <f t="shared" si="3"/>
        <v>80</v>
      </c>
      <c r="L116" s="1">
        <f t="shared" si="4"/>
        <v>86</v>
      </c>
    </row>
    <row r="117" ht="15.75" customHeight="1">
      <c r="A117" s="2">
        <v>44995.0</v>
      </c>
      <c r="B117" s="1" t="s">
        <v>28</v>
      </c>
      <c r="C117" s="1" t="str">
        <f t="shared" si="1"/>
        <v>44995Stationery &amp; Craft</v>
      </c>
      <c r="D117" s="1">
        <v>319.0</v>
      </c>
      <c r="E117" s="1">
        <v>342.0</v>
      </c>
      <c r="H117" s="1">
        <v>44993.0</v>
      </c>
      <c r="I117" s="1" t="s">
        <v>23</v>
      </c>
      <c r="J117" s="1" t="str">
        <f t="shared" si="2"/>
        <v>44993Home Appliances</v>
      </c>
      <c r="K117" s="1">
        <f t="shared" si="3"/>
        <v>260</v>
      </c>
      <c r="L117" s="1">
        <f t="shared" si="4"/>
        <v>283</v>
      </c>
    </row>
    <row r="118" ht="15.75" customHeight="1">
      <c r="A118" s="2">
        <v>44995.0</v>
      </c>
      <c r="B118" s="1" t="s">
        <v>31</v>
      </c>
      <c r="C118" s="1" t="str">
        <f t="shared" si="1"/>
        <v>44995Tools, DIY &amp; Outdoor</v>
      </c>
      <c r="D118" s="1">
        <v>321.0</v>
      </c>
      <c r="E118" s="1">
        <v>309.0</v>
      </c>
      <c r="H118" s="1">
        <v>44997.0</v>
      </c>
      <c r="I118" s="1" t="s">
        <v>22</v>
      </c>
      <c r="J118" s="1" t="str">
        <f t="shared" si="2"/>
        <v>44997Health &amp; Beauty</v>
      </c>
      <c r="K118" s="1">
        <f t="shared" si="3"/>
        <v>1987</v>
      </c>
      <c r="L118" s="1">
        <f t="shared" si="4"/>
        <v>2026</v>
      </c>
    </row>
    <row r="119" ht="15.75" customHeight="1">
      <c r="A119" s="2">
        <v>44995.0</v>
      </c>
      <c r="B119" s="1" t="s">
        <v>25</v>
      </c>
      <c r="C119" s="1" t="str">
        <f t="shared" si="1"/>
        <v>44995Toys &amp; Games</v>
      </c>
      <c r="D119" s="1">
        <v>300.0</v>
      </c>
      <c r="E119" s="1">
        <v>267.0</v>
      </c>
      <c r="H119" s="1">
        <v>44996.0</v>
      </c>
      <c r="I119" s="1" t="s">
        <v>27</v>
      </c>
      <c r="J119" s="1" t="str">
        <f t="shared" si="2"/>
        <v>44996Media, Music &amp; Books</v>
      </c>
      <c r="K119" s="1">
        <f t="shared" si="3"/>
        <v>227</v>
      </c>
      <c r="L119" s="1">
        <f t="shared" si="4"/>
        <v>240</v>
      </c>
    </row>
    <row r="120" ht="15.75" customHeight="1">
      <c r="A120" s="2">
        <v>44995.0</v>
      </c>
      <c r="B120" s="1" t="s">
        <v>11</v>
      </c>
      <c r="C120" s="1" t="str">
        <f t="shared" si="1"/>
        <v>44995TV, Audio / Video, Gaming &amp; Wearables</v>
      </c>
      <c r="D120" s="1">
        <v>623.0</v>
      </c>
      <c r="E120" s="1">
        <v>544.0</v>
      </c>
      <c r="H120" s="1">
        <v>44991.0</v>
      </c>
      <c r="I120" s="1" t="s">
        <v>29</v>
      </c>
      <c r="J120" s="1" t="str">
        <f t="shared" si="2"/>
        <v>44991Pet Supplies</v>
      </c>
      <c r="K120" s="1">
        <f t="shared" si="3"/>
        <v>65</v>
      </c>
      <c r="L120" s="1">
        <f t="shared" si="4"/>
        <v>71</v>
      </c>
    </row>
    <row r="121" ht="15.75" customHeight="1">
      <c r="A121" s="2">
        <v>44995.0</v>
      </c>
      <c r="B121" s="1" t="s">
        <v>21</v>
      </c>
      <c r="C121" s="1" t="str">
        <f t="shared" si="1"/>
        <v>44995Watches Sunglasses Jewellery</v>
      </c>
      <c r="D121" s="1">
        <v>639.0</v>
      </c>
      <c r="E121" s="1">
        <v>585.0</v>
      </c>
      <c r="H121" s="1">
        <v>44997.0</v>
      </c>
      <c r="I121" s="1" t="s">
        <v>10</v>
      </c>
      <c r="J121" s="1" t="str">
        <f t="shared" si="2"/>
        <v>44997Bedding &amp; Bath</v>
      </c>
      <c r="K121" s="1">
        <f t="shared" si="3"/>
        <v>110</v>
      </c>
      <c r="L121" s="1">
        <f t="shared" si="4"/>
        <v>113</v>
      </c>
    </row>
    <row r="122" ht="15.75" customHeight="1">
      <c r="A122" s="2">
        <v>44996.0</v>
      </c>
      <c r="B122" s="1" t="s">
        <v>8</v>
      </c>
      <c r="C122" s="1" t="str">
        <f t="shared" si="1"/>
        <v>44996Bags and Travel</v>
      </c>
      <c r="D122" s="1">
        <v>254.0</v>
      </c>
      <c r="E122" s="1">
        <v>221.0</v>
      </c>
      <c r="H122" s="1">
        <v>44994.0</v>
      </c>
      <c r="I122" s="1" t="s">
        <v>30</v>
      </c>
      <c r="J122" s="1" t="str">
        <f t="shared" si="2"/>
        <v>44994Sports &amp; Outdoors</v>
      </c>
      <c r="K122" s="1">
        <f t="shared" si="3"/>
        <v>331</v>
      </c>
      <c r="L122" s="1">
        <f t="shared" si="4"/>
        <v>373</v>
      </c>
    </row>
    <row r="123" ht="15.75" customHeight="1">
      <c r="A123" s="2">
        <v>44996.0</v>
      </c>
      <c r="B123" s="1" t="s">
        <v>10</v>
      </c>
      <c r="C123" s="1" t="str">
        <f t="shared" si="1"/>
        <v>44996Bedding &amp; Bath</v>
      </c>
      <c r="D123" s="1">
        <v>110.0</v>
      </c>
      <c r="E123" s="1">
        <v>108.0</v>
      </c>
      <c r="H123" s="1">
        <v>44997.0</v>
      </c>
      <c r="I123" s="1" t="s">
        <v>27</v>
      </c>
      <c r="J123" s="1" t="str">
        <f t="shared" si="2"/>
        <v>44997Media, Music &amp; Books</v>
      </c>
      <c r="K123" s="1">
        <f t="shared" si="3"/>
        <v>231</v>
      </c>
      <c r="L123" s="1">
        <f t="shared" si="4"/>
        <v>244</v>
      </c>
    </row>
    <row r="124" ht="15.75" customHeight="1">
      <c r="A124" s="2">
        <v>44996.0</v>
      </c>
      <c r="B124" s="1" t="s">
        <v>12</v>
      </c>
      <c r="C124" s="1" t="str">
        <f t="shared" si="1"/>
        <v>44996Cameras</v>
      </c>
      <c r="D124" s="1">
        <v>126.0</v>
      </c>
      <c r="E124" s="1">
        <v>110.0</v>
      </c>
      <c r="H124" s="1">
        <v>44997.0</v>
      </c>
      <c r="I124" s="1" t="s">
        <v>9</v>
      </c>
      <c r="J124" s="1" t="str">
        <f t="shared" si="2"/>
        <v>44997Mobiles &amp; Tablets</v>
      </c>
      <c r="K124" s="1">
        <f t="shared" si="3"/>
        <v>417</v>
      </c>
      <c r="L124" s="1">
        <f t="shared" si="4"/>
        <v>472</v>
      </c>
    </row>
    <row r="125" ht="15.75" customHeight="1">
      <c r="A125" s="2">
        <v>44996.0</v>
      </c>
      <c r="B125" s="1" t="s">
        <v>14</v>
      </c>
      <c r="C125" s="1" t="str">
        <f t="shared" si="1"/>
        <v>44996Computers &amp; Laptops</v>
      </c>
      <c r="D125" s="1">
        <v>289.0</v>
      </c>
      <c r="E125" s="1">
        <v>259.0</v>
      </c>
      <c r="H125" s="1">
        <v>44997.0</v>
      </c>
      <c r="I125" s="1" t="s">
        <v>25</v>
      </c>
      <c r="J125" s="1" t="str">
        <f t="shared" si="2"/>
        <v>44997Toys &amp; Games</v>
      </c>
      <c r="K125" s="1">
        <f t="shared" si="3"/>
        <v>272</v>
      </c>
      <c r="L125" s="1">
        <f t="shared" si="4"/>
        <v>306</v>
      </c>
    </row>
    <row r="126" ht="15.75" customHeight="1">
      <c r="A126" s="2">
        <v>44996.0</v>
      </c>
      <c r="B126" s="1" t="s">
        <v>15</v>
      </c>
      <c r="C126" s="1" t="str">
        <f t="shared" si="1"/>
        <v>44996Digital Goods</v>
      </c>
      <c r="D126" s="1">
        <v>6.0</v>
      </c>
      <c r="E126" s="1">
        <v>5.0</v>
      </c>
      <c r="H126" s="1">
        <v>44991.0</v>
      </c>
      <c r="I126" s="1" t="s">
        <v>27</v>
      </c>
      <c r="J126" s="1" t="str">
        <f t="shared" si="2"/>
        <v>44991Media, Music &amp; Books</v>
      </c>
      <c r="K126" s="1">
        <f t="shared" si="3"/>
        <v>205</v>
      </c>
      <c r="L126" s="1">
        <f t="shared" si="4"/>
        <v>226</v>
      </c>
    </row>
    <row r="127" ht="15.75" customHeight="1">
      <c r="A127" s="2">
        <v>44996.0</v>
      </c>
      <c r="B127" s="1" t="s">
        <v>17</v>
      </c>
      <c r="C127" s="1" t="str">
        <f t="shared" si="1"/>
        <v>44996Fashion</v>
      </c>
      <c r="D127" s="1">
        <v>1000.0</v>
      </c>
      <c r="E127" s="1">
        <v>919.0</v>
      </c>
      <c r="H127" s="1">
        <v>44995.0</v>
      </c>
      <c r="I127" s="1" t="s">
        <v>8</v>
      </c>
      <c r="J127" s="1" t="str">
        <f t="shared" si="2"/>
        <v>44995Bags and Travel</v>
      </c>
      <c r="K127" s="1">
        <f t="shared" si="3"/>
        <v>221</v>
      </c>
      <c r="L127" s="1">
        <f t="shared" si="4"/>
        <v>254</v>
      </c>
    </row>
    <row r="128" ht="15.75" customHeight="1">
      <c r="A128" s="2">
        <v>44996.0</v>
      </c>
      <c r="B128" s="1" t="s">
        <v>18</v>
      </c>
      <c r="C128" s="1" t="str">
        <f t="shared" si="1"/>
        <v>44996Furniture &amp; Decor</v>
      </c>
      <c r="D128" s="1">
        <v>393.0</v>
      </c>
      <c r="E128" s="1">
        <v>365.0</v>
      </c>
      <c r="H128" s="1">
        <v>44995.0</v>
      </c>
      <c r="I128" s="1" t="s">
        <v>23</v>
      </c>
      <c r="J128" s="1" t="str">
        <f t="shared" si="2"/>
        <v>44995Home Appliances</v>
      </c>
      <c r="K128" s="1">
        <f t="shared" si="3"/>
        <v>250</v>
      </c>
      <c r="L128" s="1">
        <f t="shared" si="4"/>
        <v>272</v>
      </c>
    </row>
    <row r="129" ht="15.75" customHeight="1">
      <c r="A129" s="2">
        <v>44996.0</v>
      </c>
      <c r="B129" s="1" t="s">
        <v>20</v>
      </c>
      <c r="C129" s="1" t="str">
        <f t="shared" si="1"/>
        <v>44996Groceries</v>
      </c>
      <c r="D129" s="1">
        <v>425.0</v>
      </c>
      <c r="E129" s="1">
        <v>411.0</v>
      </c>
      <c r="H129" s="1">
        <v>44997.0</v>
      </c>
      <c r="I129" s="1" t="s">
        <v>26</v>
      </c>
      <c r="J129" s="1" t="str">
        <f t="shared" si="2"/>
        <v>44997Laundry &amp; Cleaning</v>
      </c>
      <c r="K129" s="1">
        <f t="shared" si="3"/>
        <v>116</v>
      </c>
      <c r="L129" s="1">
        <f t="shared" si="4"/>
        <v>123</v>
      </c>
    </row>
    <row r="130" ht="15.75" customHeight="1">
      <c r="A130" s="2">
        <v>44996.0</v>
      </c>
      <c r="B130" s="1" t="s">
        <v>22</v>
      </c>
      <c r="C130" s="1" t="str">
        <f t="shared" si="1"/>
        <v>44996Health &amp; Beauty</v>
      </c>
      <c r="D130" s="1">
        <v>1988.0</v>
      </c>
      <c r="E130" s="1">
        <v>1950.0</v>
      </c>
      <c r="H130" s="1">
        <v>44996.0</v>
      </c>
      <c r="I130" s="1" t="s">
        <v>22</v>
      </c>
      <c r="J130" s="1" t="str">
        <f t="shared" si="2"/>
        <v>44996Health &amp; Beauty</v>
      </c>
      <c r="K130" s="1">
        <f t="shared" si="3"/>
        <v>1950</v>
      </c>
      <c r="L130" s="1">
        <f t="shared" si="4"/>
        <v>1988</v>
      </c>
    </row>
    <row r="131" ht="15.75" customHeight="1">
      <c r="A131" s="2">
        <v>44996.0</v>
      </c>
      <c r="B131" s="1" t="s">
        <v>23</v>
      </c>
      <c r="C131" s="1" t="str">
        <f t="shared" si="1"/>
        <v>44996Home Appliances</v>
      </c>
      <c r="D131" s="1">
        <v>272.0</v>
      </c>
      <c r="E131" s="1">
        <v>250.0</v>
      </c>
      <c r="H131" s="1">
        <v>44991.0</v>
      </c>
      <c r="I131" s="1" t="s">
        <v>28</v>
      </c>
      <c r="J131" s="1" t="str">
        <f t="shared" si="2"/>
        <v>44991Stationery &amp; Craft</v>
      </c>
      <c r="K131" s="1">
        <f t="shared" si="3"/>
        <v>258</v>
      </c>
      <c r="L131" s="1">
        <f t="shared" si="4"/>
        <v>255</v>
      </c>
    </row>
    <row r="132" ht="15.75" customHeight="1">
      <c r="A132" s="2">
        <v>44996.0</v>
      </c>
      <c r="B132" s="1" t="s">
        <v>24</v>
      </c>
      <c r="C132" s="1" t="str">
        <f t="shared" si="1"/>
        <v>44996Kitchen &amp; Dining</v>
      </c>
      <c r="D132" s="1">
        <v>288.0</v>
      </c>
      <c r="E132" s="1">
        <v>271.0</v>
      </c>
      <c r="H132" s="1">
        <v>44993.0</v>
      </c>
      <c r="I132" s="1" t="s">
        <v>20</v>
      </c>
      <c r="J132" s="1" t="str">
        <f t="shared" si="2"/>
        <v>44993Groceries</v>
      </c>
      <c r="K132" s="1">
        <f t="shared" si="3"/>
        <v>427</v>
      </c>
      <c r="L132" s="1">
        <f t="shared" si="4"/>
        <v>442</v>
      </c>
    </row>
    <row r="133" ht="15.75" customHeight="1">
      <c r="A133" s="2">
        <v>44996.0</v>
      </c>
      <c r="B133" s="1" t="s">
        <v>26</v>
      </c>
      <c r="C133" s="1" t="str">
        <f t="shared" si="1"/>
        <v>44996Laundry &amp; Cleaning</v>
      </c>
      <c r="D133" s="1">
        <v>121.0</v>
      </c>
      <c r="E133" s="1">
        <v>114.0</v>
      </c>
      <c r="H133" s="1">
        <v>44995.0</v>
      </c>
      <c r="I133" s="1" t="s">
        <v>27</v>
      </c>
      <c r="J133" s="1" t="str">
        <f t="shared" si="2"/>
        <v>44995Media, Music &amp; Books</v>
      </c>
      <c r="K133" s="1">
        <f t="shared" si="3"/>
        <v>227</v>
      </c>
      <c r="L133" s="1">
        <f t="shared" si="4"/>
        <v>240</v>
      </c>
    </row>
    <row r="134" ht="15.75" customHeight="1">
      <c r="A134" s="2">
        <v>44996.0</v>
      </c>
      <c r="B134" s="1" t="s">
        <v>27</v>
      </c>
      <c r="C134" s="1" t="str">
        <f t="shared" si="1"/>
        <v>44996Media, Music &amp; Books</v>
      </c>
      <c r="D134" s="1">
        <v>240.0</v>
      </c>
      <c r="E134" s="1">
        <v>227.0</v>
      </c>
      <c r="H134" s="1">
        <v>44996.0</v>
      </c>
      <c r="I134" s="1" t="s">
        <v>14</v>
      </c>
      <c r="J134" s="1" t="str">
        <f t="shared" si="2"/>
        <v>44996Computers &amp; Laptops</v>
      </c>
      <c r="K134" s="1">
        <f t="shared" si="3"/>
        <v>259</v>
      </c>
      <c r="L134" s="1">
        <f t="shared" si="4"/>
        <v>289</v>
      </c>
    </row>
    <row r="135" ht="15.75" customHeight="1">
      <c r="A135" s="2">
        <v>44996.0</v>
      </c>
      <c r="B135" s="1" t="s">
        <v>9</v>
      </c>
      <c r="C135" s="1" t="str">
        <f t="shared" si="1"/>
        <v>44996Mobiles &amp; Tablets</v>
      </c>
      <c r="D135" s="1">
        <v>463.0</v>
      </c>
      <c r="E135" s="1">
        <v>409.0</v>
      </c>
      <c r="H135" s="1">
        <v>44993.0</v>
      </c>
      <c r="I135" s="1" t="s">
        <v>24</v>
      </c>
      <c r="J135" s="1" t="str">
        <f t="shared" si="2"/>
        <v>44993Kitchen &amp; Dining</v>
      </c>
      <c r="K135" s="1">
        <f t="shared" si="3"/>
        <v>282</v>
      </c>
      <c r="L135" s="1">
        <f t="shared" si="4"/>
        <v>300</v>
      </c>
    </row>
    <row r="136" ht="15.75" customHeight="1">
      <c r="A136" s="2">
        <v>44996.0</v>
      </c>
      <c r="B136" s="1" t="s">
        <v>16</v>
      </c>
      <c r="C136" s="1" t="str">
        <f t="shared" si="1"/>
        <v>44996Mother &amp; Baby</v>
      </c>
      <c r="D136" s="1">
        <v>326.0</v>
      </c>
      <c r="E136" s="1">
        <v>314.0</v>
      </c>
      <c r="H136" s="1">
        <v>44995.0</v>
      </c>
      <c r="I136" s="1" t="s">
        <v>11</v>
      </c>
      <c r="J136" s="1" t="str">
        <f t="shared" si="2"/>
        <v>44995TV, Audio / Video, Gaming &amp; Wearables</v>
      </c>
      <c r="K136" s="1">
        <f t="shared" si="3"/>
        <v>544</v>
      </c>
      <c r="L136" s="1">
        <f t="shared" si="4"/>
        <v>623</v>
      </c>
    </row>
    <row r="137" ht="15.75" customHeight="1">
      <c r="A137" s="2">
        <v>44996.0</v>
      </c>
      <c r="B137" s="1" t="s">
        <v>19</v>
      </c>
      <c r="C137" s="1" t="str">
        <f t="shared" si="1"/>
        <v>44996Motors</v>
      </c>
      <c r="D137" s="1">
        <v>197.0</v>
      </c>
      <c r="E137" s="1">
        <v>178.0</v>
      </c>
      <c r="H137" s="1">
        <v>44997.0</v>
      </c>
      <c r="I137" s="1" t="s">
        <v>23</v>
      </c>
      <c r="J137" s="1" t="str">
        <f t="shared" si="2"/>
        <v>44997Home Appliances</v>
      </c>
      <c r="K137" s="1">
        <f t="shared" si="3"/>
        <v>255</v>
      </c>
      <c r="L137" s="1">
        <f t="shared" si="4"/>
        <v>278</v>
      </c>
    </row>
    <row r="138" ht="15.75" customHeight="1">
      <c r="A138" s="2">
        <v>44996.0</v>
      </c>
      <c r="B138" s="1" t="s">
        <v>29</v>
      </c>
      <c r="C138" s="1" t="str">
        <f t="shared" si="1"/>
        <v>44996Pet Supplies</v>
      </c>
      <c r="D138" s="1">
        <v>82.0</v>
      </c>
      <c r="E138" s="1">
        <v>77.0</v>
      </c>
      <c r="H138" s="1">
        <v>44991.0</v>
      </c>
      <c r="I138" s="1" t="s">
        <v>31</v>
      </c>
      <c r="J138" s="1" t="str">
        <f t="shared" si="2"/>
        <v>44991Tools, DIY &amp; Outdoor</v>
      </c>
      <c r="K138" s="1">
        <f t="shared" si="3"/>
        <v>255</v>
      </c>
      <c r="L138" s="1">
        <f t="shared" si="4"/>
        <v>269</v>
      </c>
    </row>
    <row r="139" ht="15.75" customHeight="1">
      <c r="A139" s="2">
        <v>44996.0</v>
      </c>
      <c r="B139" s="1" t="s">
        <v>13</v>
      </c>
      <c r="C139" s="1" t="str">
        <f t="shared" si="1"/>
        <v>44996Special Digital Products</v>
      </c>
      <c r="D139" s="1">
        <v>147.0</v>
      </c>
      <c r="E139" s="1">
        <v>190.0</v>
      </c>
      <c r="H139" s="1">
        <v>44996.0</v>
      </c>
      <c r="I139" s="1" t="s">
        <v>21</v>
      </c>
      <c r="J139" s="1" t="str">
        <f t="shared" si="2"/>
        <v>44996Watches Sunglasses Jewellery</v>
      </c>
      <c r="K139" s="1">
        <f t="shared" si="3"/>
        <v>585</v>
      </c>
      <c r="L139" s="1">
        <f t="shared" si="4"/>
        <v>639</v>
      </c>
    </row>
    <row r="140" ht="15.75" customHeight="1">
      <c r="A140" s="2">
        <v>44996.0</v>
      </c>
      <c r="B140" s="1" t="s">
        <v>30</v>
      </c>
      <c r="C140" s="1" t="str">
        <f t="shared" si="1"/>
        <v>44996Sports &amp; Outdoors</v>
      </c>
      <c r="D140" s="1">
        <v>372.0</v>
      </c>
      <c r="E140" s="1">
        <v>331.0</v>
      </c>
      <c r="H140" s="1">
        <v>44994.0</v>
      </c>
      <c r="I140" s="1" t="s">
        <v>8</v>
      </c>
      <c r="J140" s="1" t="str">
        <f t="shared" si="2"/>
        <v>44994Bags and Travel</v>
      </c>
      <c r="K140" s="1">
        <f t="shared" si="3"/>
        <v>221</v>
      </c>
      <c r="L140" s="1">
        <f t="shared" si="4"/>
        <v>254</v>
      </c>
    </row>
    <row r="141" ht="15.75" customHeight="1">
      <c r="A141" s="2">
        <v>44996.0</v>
      </c>
      <c r="B141" s="1" t="s">
        <v>28</v>
      </c>
      <c r="C141" s="1" t="str">
        <f t="shared" si="1"/>
        <v>44996Stationery &amp; Craft</v>
      </c>
      <c r="D141" s="1">
        <v>319.0</v>
      </c>
      <c r="E141" s="1">
        <v>342.0</v>
      </c>
      <c r="H141" s="1">
        <v>44993.0</v>
      </c>
      <c r="I141" s="1" t="s">
        <v>10</v>
      </c>
      <c r="J141" s="1" t="str">
        <f t="shared" si="2"/>
        <v>44993Bedding &amp; Bath</v>
      </c>
      <c r="K141" s="1">
        <f t="shared" si="3"/>
        <v>112</v>
      </c>
      <c r="L141" s="1">
        <f t="shared" si="4"/>
        <v>115</v>
      </c>
    </row>
    <row r="142" ht="15.75" customHeight="1">
      <c r="A142" s="2">
        <v>44996.0</v>
      </c>
      <c r="B142" s="1" t="s">
        <v>31</v>
      </c>
      <c r="C142" s="1" t="str">
        <f t="shared" si="1"/>
        <v>44996Tools, DIY &amp; Outdoor</v>
      </c>
      <c r="D142" s="1">
        <v>321.0</v>
      </c>
      <c r="E142" s="1">
        <v>309.0</v>
      </c>
      <c r="H142" s="1">
        <v>44994.0</v>
      </c>
      <c r="I142" s="1" t="s">
        <v>9</v>
      </c>
      <c r="J142" s="1" t="str">
        <f t="shared" si="2"/>
        <v>44994Mobiles &amp; Tablets</v>
      </c>
      <c r="K142" s="1">
        <f t="shared" si="3"/>
        <v>409</v>
      </c>
      <c r="L142" s="1">
        <f t="shared" si="4"/>
        <v>463</v>
      </c>
    </row>
    <row r="143" ht="15.75" customHeight="1">
      <c r="A143" s="2">
        <v>44996.0</v>
      </c>
      <c r="B143" s="1" t="s">
        <v>25</v>
      </c>
      <c r="C143" s="1" t="str">
        <f t="shared" si="1"/>
        <v>44996Toys &amp; Games</v>
      </c>
      <c r="D143" s="1">
        <v>300.0</v>
      </c>
      <c r="E143" s="1">
        <v>267.0</v>
      </c>
      <c r="H143" s="1">
        <v>44997.0</v>
      </c>
      <c r="I143" s="1" t="s">
        <v>24</v>
      </c>
      <c r="J143" s="1" t="str">
        <f t="shared" si="2"/>
        <v>44997Kitchen &amp; Dining</v>
      </c>
      <c r="K143" s="1">
        <f t="shared" si="3"/>
        <v>276</v>
      </c>
      <c r="L143" s="1">
        <f t="shared" si="4"/>
        <v>294</v>
      </c>
    </row>
    <row r="144" ht="15.75" customHeight="1">
      <c r="A144" s="2">
        <v>44996.0</v>
      </c>
      <c r="B144" s="1" t="s">
        <v>11</v>
      </c>
      <c r="C144" s="1" t="str">
        <f t="shared" si="1"/>
        <v>44996TV, Audio / Video, Gaming &amp; Wearables</v>
      </c>
      <c r="D144" s="1">
        <v>623.0</v>
      </c>
      <c r="E144" s="1">
        <v>544.0</v>
      </c>
      <c r="H144" s="1">
        <v>44991.0</v>
      </c>
      <c r="I144" s="1" t="s">
        <v>8</v>
      </c>
      <c r="J144" s="1" t="str">
        <f t="shared" si="2"/>
        <v>44991Bags and Travel</v>
      </c>
      <c r="K144" s="1">
        <f t="shared" si="3"/>
        <v>200</v>
      </c>
      <c r="L144" s="1">
        <f t="shared" si="4"/>
        <v>228</v>
      </c>
    </row>
    <row r="145" ht="15.75" customHeight="1">
      <c r="A145" s="2">
        <v>44996.0</v>
      </c>
      <c r="B145" s="1" t="s">
        <v>21</v>
      </c>
      <c r="C145" s="1" t="str">
        <f t="shared" si="1"/>
        <v>44996Watches Sunglasses Jewellery</v>
      </c>
      <c r="D145" s="1">
        <v>639.0</v>
      </c>
      <c r="E145" s="1">
        <v>585.0</v>
      </c>
      <c r="H145" s="1">
        <v>44996.0</v>
      </c>
      <c r="I145" s="1" t="s">
        <v>28</v>
      </c>
      <c r="J145" s="1" t="str">
        <f t="shared" si="2"/>
        <v>44996Stationery &amp; Craft</v>
      </c>
      <c r="K145" s="1">
        <f t="shared" si="3"/>
        <v>342</v>
      </c>
      <c r="L145" s="1">
        <f t="shared" si="4"/>
        <v>319</v>
      </c>
    </row>
    <row r="146" ht="15.75" customHeight="1">
      <c r="A146" s="2">
        <v>44997.0</v>
      </c>
      <c r="B146" s="1" t="s">
        <v>8</v>
      </c>
      <c r="C146" s="1" t="str">
        <f t="shared" si="1"/>
        <v>44997Bags and Travel</v>
      </c>
      <c r="D146" s="1">
        <v>258.0</v>
      </c>
      <c r="E146" s="1">
        <v>225.0</v>
      </c>
      <c r="H146" s="1">
        <v>44994.0</v>
      </c>
      <c r="I146" s="1" t="s">
        <v>10</v>
      </c>
      <c r="J146" s="1" t="str">
        <f t="shared" si="2"/>
        <v>44994Bedding &amp; Bath</v>
      </c>
      <c r="K146" s="1">
        <f t="shared" si="3"/>
        <v>108</v>
      </c>
      <c r="L146" s="1">
        <f t="shared" si="4"/>
        <v>110</v>
      </c>
    </row>
    <row r="147" ht="15.75" customHeight="1">
      <c r="A147" s="2">
        <v>44997.0</v>
      </c>
      <c r="B147" s="1" t="s">
        <v>10</v>
      </c>
      <c r="C147" s="1" t="str">
        <f t="shared" si="1"/>
        <v>44997Bedding &amp; Bath</v>
      </c>
      <c r="D147" s="1">
        <v>113.0</v>
      </c>
      <c r="E147" s="1">
        <v>110.0</v>
      </c>
      <c r="H147" s="1">
        <v>44993.0</v>
      </c>
      <c r="I147" s="1" t="s">
        <v>12</v>
      </c>
      <c r="J147" s="1" t="str">
        <f t="shared" si="2"/>
        <v>44993Cameras</v>
      </c>
      <c r="K147" s="1">
        <f t="shared" si="3"/>
        <v>115</v>
      </c>
      <c r="L147" s="1">
        <f t="shared" si="4"/>
        <v>131</v>
      </c>
    </row>
    <row r="148" ht="15.75" customHeight="1">
      <c r="A148" s="2">
        <v>44997.0</v>
      </c>
      <c r="B148" s="1" t="s">
        <v>12</v>
      </c>
      <c r="C148" s="1" t="str">
        <f t="shared" si="1"/>
        <v>44997Cameras</v>
      </c>
      <c r="D148" s="1">
        <v>129.0</v>
      </c>
      <c r="E148" s="1">
        <v>113.0</v>
      </c>
      <c r="H148" s="1">
        <v>44997.0</v>
      </c>
      <c r="I148" s="1" t="s">
        <v>30</v>
      </c>
      <c r="J148" s="1" t="str">
        <f t="shared" si="2"/>
        <v>44997Sports &amp; Outdoors</v>
      </c>
      <c r="K148" s="1">
        <f t="shared" si="3"/>
        <v>337</v>
      </c>
      <c r="L148" s="1">
        <f t="shared" si="4"/>
        <v>380</v>
      </c>
    </row>
    <row r="149" ht="15.75" customHeight="1">
      <c r="A149" s="2">
        <v>44997.0</v>
      </c>
      <c r="B149" s="1" t="s">
        <v>14</v>
      </c>
      <c r="C149" s="1" t="str">
        <f t="shared" si="1"/>
        <v>44997Computers &amp; Laptops</v>
      </c>
      <c r="D149" s="1">
        <v>295.0</v>
      </c>
      <c r="E149" s="1">
        <v>264.0</v>
      </c>
      <c r="H149" s="1">
        <v>44995.0</v>
      </c>
      <c r="I149" s="1" t="s">
        <v>14</v>
      </c>
      <c r="J149" s="1" t="str">
        <f t="shared" si="2"/>
        <v>44995Computers &amp; Laptops</v>
      </c>
      <c r="K149" s="1">
        <f t="shared" si="3"/>
        <v>259</v>
      </c>
      <c r="L149" s="1">
        <f t="shared" si="4"/>
        <v>289</v>
      </c>
    </row>
    <row r="150" ht="15.75" customHeight="1">
      <c r="A150" s="2">
        <v>44997.0</v>
      </c>
      <c r="B150" s="1" t="s">
        <v>15</v>
      </c>
      <c r="C150" s="1" t="str">
        <f t="shared" si="1"/>
        <v>44997Digital Goods</v>
      </c>
      <c r="D150" s="1">
        <v>6.0</v>
      </c>
      <c r="E150" s="1">
        <v>5.0</v>
      </c>
      <c r="H150" s="1">
        <v>44993.0</v>
      </c>
      <c r="I150" s="1" t="s">
        <v>27</v>
      </c>
      <c r="J150" s="1" t="str">
        <f t="shared" si="2"/>
        <v>44993Media, Music &amp; Books</v>
      </c>
      <c r="K150" s="1">
        <f t="shared" si="3"/>
        <v>236</v>
      </c>
      <c r="L150" s="1">
        <f t="shared" si="4"/>
        <v>249</v>
      </c>
    </row>
    <row r="151" ht="15.75" customHeight="1">
      <c r="A151" s="2">
        <v>44997.0</v>
      </c>
      <c r="B151" s="1" t="s">
        <v>17</v>
      </c>
      <c r="C151" s="1" t="str">
        <f t="shared" si="1"/>
        <v>44997Fashion</v>
      </c>
      <c r="D151" s="1">
        <v>1019.0</v>
      </c>
      <c r="E151" s="1">
        <v>936.0</v>
      </c>
      <c r="H151" s="1">
        <v>44992.0</v>
      </c>
      <c r="I151" s="1" t="s">
        <v>23</v>
      </c>
      <c r="J151" s="1" t="str">
        <f t="shared" si="2"/>
        <v>44992Home Appliances</v>
      </c>
      <c r="K151" s="1">
        <f t="shared" si="3"/>
        <v>247</v>
      </c>
      <c r="L151" s="1">
        <f t="shared" si="4"/>
        <v>268</v>
      </c>
    </row>
    <row r="152" ht="15.75" customHeight="1">
      <c r="A152" s="2">
        <v>44997.0</v>
      </c>
      <c r="B152" s="1" t="s">
        <v>18</v>
      </c>
      <c r="C152" s="1" t="str">
        <f t="shared" si="1"/>
        <v>44997Furniture &amp; Decor</v>
      </c>
      <c r="D152" s="1">
        <v>401.0</v>
      </c>
      <c r="E152" s="1">
        <v>372.0</v>
      </c>
      <c r="H152" s="1">
        <v>44992.0</v>
      </c>
      <c r="I152" s="1" t="s">
        <v>18</v>
      </c>
      <c r="J152" s="1" t="str">
        <f t="shared" si="2"/>
        <v>44992Furniture &amp; Decor</v>
      </c>
      <c r="K152" s="1">
        <f t="shared" si="3"/>
        <v>361</v>
      </c>
      <c r="L152" s="1">
        <f t="shared" si="4"/>
        <v>387</v>
      </c>
    </row>
    <row r="153" ht="15.75" customHeight="1">
      <c r="A153" s="2">
        <v>44997.0</v>
      </c>
      <c r="B153" s="1" t="s">
        <v>20</v>
      </c>
      <c r="C153" s="1" t="str">
        <f t="shared" si="1"/>
        <v>44997Groceries</v>
      </c>
      <c r="D153" s="1">
        <v>433.0</v>
      </c>
      <c r="E153" s="1">
        <v>419.0</v>
      </c>
      <c r="H153" s="1">
        <v>44994.0</v>
      </c>
      <c r="I153" s="1" t="s">
        <v>22</v>
      </c>
      <c r="J153" s="1" t="str">
        <f t="shared" si="2"/>
        <v>44994Health &amp; Beauty</v>
      </c>
      <c r="K153" s="1">
        <f t="shared" si="3"/>
        <v>1951</v>
      </c>
      <c r="L153" s="1">
        <f t="shared" si="4"/>
        <v>1989</v>
      </c>
    </row>
    <row r="154" ht="15.75" customHeight="1">
      <c r="A154" s="2">
        <v>44997.0</v>
      </c>
      <c r="B154" s="1" t="s">
        <v>22</v>
      </c>
      <c r="C154" s="1" t="str">
        <f t="shared" si="1"/>
        <v>44997Health &amp; Beauty</v>
      </c>
      <c r="D154" s="1">
        <v>2026.0</v>
      </c>
      <c r="E154" s="1">
        <v>1987.0</v>
      </c>
      <c r="H154" s="1">
        <v>44997.0</v>
      </c>
      <c r="I154" s="1" t="s">
        <v>8</v>
      </c>
      <c r="J154" s="1" t="str">
        <f t="shared" si="2"/>
        <v>44997Bags and Travel</v>
      </c>
      <c r="K154" s="1">
        <f t="shared" si="3"/>
        <v>225</v>
      </c>
      <c r="L154" s="1">
        <f t="shared" si="4"/>
        <v>258</v>
      </c>
    </row>
    <row r="155" ht="15.75" customHeight="1">
      <c r="A155" s="2">
        <v>44997.0</v>
      </c>
      <c r="B155" s="1" t="s">
        <v>23</v>
      </c>
      <c r="C155" s="1" t="str">
        <f t="shared" si="1"/>
        <v>44997Home Appliances</v>
      </c>
      <c r="D155" s="1">
        <v>278.0</v>
      </c>
      <c r="E155" s="1">
        <v>255.0</v>
      </c>
      <c r="H155" s="1">
        <v>44996.0</v>
      </c>
      <c r="I155" s="1" t="s">
        <v>23</v>
      </c>
      <c r="J155" s="1" t="str">
        <f t="shared" si="2"/>
        <v>44996Home Appliances</v>
      </c>
      <c r="K155" s="1">
        <f t="shared" si="3"/>
        <v>250</v>
      </c>
      <c r="L155" s="1">
        <f t="shared" si="4"/>
        <v>272</v>
      </c>
    </row>
    <row r="156" ht="15.75" customHeight="1">
      <c r="A156" s="2">
        <v>44997.0</v>
      </c>
      <c r="B156" s="1" t="s">
        <v>24</v>
      </c>
      <c r="C156" s="1" t="str">
        <f t="shared" si="1"/>
        <v>44997Kitchen &amp; Dining</v>
      </c>
      <c r="D156" s="1">
        <v>294.0</v>
      </c>
      <c r="E156" s="1">
        <v>276.0</v>
      </c>
      <c r="H156" s="1">
        <v>44993.0</v>
      </c>
      <c r="I156" s="1" t="s">
        <v>14</v>
      </c>
      <c r="J156" s="1" t="str">
        <f t="shared" si="2"/>
        <v>44993Computers &amp; Laptops</v>
      </c>
      <c r="K156" s="1">
        <f t="shared" si="3"/>
        <v>269</v>
      </c>
      <c r="L156" s="1">
        <f t="shared" si="4"/>
        <v>300</v>
      </c>
    </row>
    <row r="157" ht="15.75" customHeight="1">
      <c r="A157" s="2">
        <v>44997.0</v>
      </c>
      <c r="B157" s="1" t="s">
        <v>26</v>
      </c>
      <c r="C157" s="1" t="str">
        <f t="shared" si="1"/>
        <v>44997Laundry &amp; Cleaning</v>
      </c>
      <c r="D157" s="1">
        <v>123.0</v>
      </c>
      <c r="E157" s="1">
        <v>116.0</v>
      </c>
      <c r="H157" s="1">
        <v>44995.0</v>
      </c>
      <c r="I157" s="1" t="s">
        <v>24</v>
      </c>
      <c r="J157" s="1" t="str">
        <f t="shared" si="2"/>
        <v>44995Kitchen &amp; Dining</v>
      </c>
      <c r="K157" s="1">
        <f t="shared" si="3"/>
        <v>271</v>
      </c>
      <c r="L157" s="1">
        <f t="shared" si="4"/>
        <v>288</v>
      </c>
    </row>
    <row r="158" ht="15.75" customHeight="1">
      <c r="A158" s="2">
        <v>44997.0</v>
      </c>
      <c r="B158" s="1" t="s">
        <v>27</v>
      </c>
      <c r="C158" s="1" t="str">
        <f t="shared" si="1"/>
        <v>44997Media, Music &amp; Books</v>
      </c>
      <c r="D158" s="1">
        <v>244.0</v>
      </c>
      <c r="E158" s="1">
        <v>231.0</v>
      </c>
      <c r="H158" s="1">
        <v>44992.0</v>
      </c>
      <c r="I158" s="1" t="s">
        <v>21</v>
      </c>
      <c r="J158" s="1" t="str">
        <f t="shared" si="2"/>
        <v>44992Watches Sunglasses Jewellery</v>
      </c>
      <c r="K158" s="1">
        <f t="shared" si="3"/>
        <v>578</v>
      </c>
      <c r="L158" s="1">
        <f t="shared" si="4"/>
        <v>629</v>
      </c>
    </row>
    <row r="159" ht="15.75" customHeight="1">
      <c r="A159" s="2">
        <v>44997.0</v>
      </c>
      <c r="B159" s="1" t="s">
        <v>9</v>
      </c>
      <c r="C159" s="1" t="str">
        <f t="shared" si="1"/>
        <v>44997Mobiles &amp; Tablets</v>
      </c>
      <c r="D159" s="1">
        <v>472.0</v>
      </c>
      <c r="E159" s="1">
        <v>417.0</v>
      </c>
      <c r="H159" s="1">
        <v>44996.0</v>
      </c>
      <c r="I159" s="1" t="s">
        <v>8</v>
      </c>
      <c r="J159" s="1" t="str">
        <f t="shared" si="2"/>
        <v>44996Bags and Travel</v>
      </c>
      <c r="K159" s="1">
        <f t="shared" si="3"/>
        <v>221</v>
      </c>
      <c r="L159" s="1">
        <f t="shared" si="4"/>
        <v>254</v>
      </c>
    </row>
    <row r="160" ht="15.75" customHeight="1">
      <c r="A160" s="2">
        <v>44997.0</v>
      </c>
      <c r="B160" s="1" t="s">
        <v>16</v>
      </c>
      <c r="C160" s="1" t="str">
        <f t="shared" si="1"/>
        <v>44997Mother &amp; Baby</v>
      </c>
      <c r="D160" s="1">
        <v>332.0</v>
      </c>
      <c r="E160" s="1">
        <v>320.0</v>
      </c>
      <c r="H160" s="1">
        <v>44994.0</v>
      </c>
      <c r="I160" s="1" t="s">
        <v>28</v>
      </c>
      <c r="J160" s="1" t="str">
        <f t="shared" si="2"/>
        <v>44994Stationery &amp; Craft</v>
      </c>
      <c r="K160" s="1">
        <f t="shared" si="3"/>
        <v>342</v>
      </c>
      <c r="L160" s="1">
        <f t="shared" si="4"/>
        <v>319</v>
      </c>
    </row>
    <row r="161" ht="15.75" customHeight="1">
      <c r="A161" s="2">
        <v>44997.0</v>
      </c>
      <c r="B161" s="1" t="s">
        <v>19</v>
      </c>
      <c r="C161" s="1" t="str">
        <f t="shared" si="1"/>
        <v>44997Motors</v>
      </c>
      <c r="D161" s="1">
        <v>200.0</v>
      </c>
      <c r="E161" s="1">
        <v>181.0</v>
      </c>
      <c r="H161" s="1">
        <v>44996.0</v>
      </c>
      <c r="I161" s="1" t="s">
        <v>31</v>
      </c>
      <c r="J161" s="1" t="str">
        <f t="shared" si="2"/>
        <v>44996Tools, DIY &amp; Outdoor</v>
      </c>
      <c r="K161" s="1">
        <f t="shared" si="3"/>
        <v>309</v>
      </c>
      <c r="L161" s="1">
        <f t="shared" si="4"/>
        <v>321</v>
      </c>
    </row>
    <row r="162" ht="15.75" customHeight="1">
      <c r="A162" s="2">
        <v>44997.0</v>
      </c>
      <c r="B162" s="1" t="s">
        <v>29</v>
      </c>
      <c r="C162" s="1" t="str">
        <f t="shared" si="1"/>
        <v>44997Pet Supplies</v>
      </c>
      <c r="D162" s="1">
        <v>84.0</v>
      </c>
      <c r="E162" s="1">
        <v>79.0</v>
      </c>
      <c r="H162" s="1">
        <v>44996.0</v>
      </c>
      <c r="I162" s="1" t="s">
        <v>11</v>
      </c>
      <c r="J162" s="1" t="str">
        <f t="shared" si="2"/>
        <v>44996TV, Audio / Video, Gaming &amp; Wearables</v>
      </c>
      <c r="K162" s="1">
        <f t="shared" si="3"/>
        <v>544</v>
      </c>
      <c r="L162" s="1">
        <f t="shared" si="4"/>
        <v>623</v>
      </c>
    </row>
    <row r="163" ht="15.75" customHeight="1">
      <c r="A163" s="2">
        <v>44997.0</v>
      </c>
      <c r="B163" s="1" t="s">
        <v>13</v>
      </c>
      <c r="C163" s="1" t="str">
        <f t="shared" si="1"/>
        <v>44997Special Digital Products</v>
      </c>
      <c r="D163" s="1">
        <v>150.0</v>
      </c>
      <c r="E163" s="1">
        <v>194.0</v>
      </c>
      <c r="H163" s="1">
        <v>44994.0</v>
      </c>
      <c r="I163" s="1" t="s">
        <v>13</v>
      </c>
      <c r="J163" s="1" t="str">
        <f t="shared" si="2"/>
        <v>44994Special Digital Products</v>
      </c>
      <c r="K163" s="1">
        <f t="shared" si="3"/>
        <v>190</v>
      </c>
      <c r="L163" s="1">
        <f t="shared" si="4"/>
        <v>147</v>
      </c>
    </row>
    <row r="164" ht="15.75" customHeight="1">
      <c r="A164" s="2">
        <v>44997.0</v>
      </c>
      <c r="B164" s="1" t="s">
        <v>30</v>
      </c>
      <c r="C164" s="1" t="str">
        <f t="shared" si="1"/>
        <v>44997Sports &amp; Outdoors</v>
      </c>
      <c r="D164" s="1">
        <v>380.0</v>
      </c>
      <c r="E164" s="1">
        <v>337.0</v>
      </c>
      <c r="H164" s="1">
        <v>44996.0</v>
      </c>
      <c r="I164" s="1" t="s">
        <v>9</v>
      </c>
      <c r="J164" s="1" t="str">
        <f t="shared" si="2"/>
        <v>44996Mobiles &amp; Tablets</v>
      </c>
      <c r="K164" s="1">
        <f t="shared" si="3"/>
        <v>409</v>
      </c>
      <c r="L164" s="1">
        <f t="shared" si="4"/>
        <v>463</v>
      </c>
    </row>
    <row r="165" ht="15.75" customHeight="1">
      <c r="A165" s="2">
        <v>44997.0</v>
      </c>
      <c r="B165" s="1" t="s">
        <v>28</v>
      </c>
      <c r="C165" s="1" t="str">
        <f t="shared" si="1"/>
        <v>44997Stationery &amp; Craft</v>
      </c>
      <c r="D165" s="1">
        <v>325.0</v>
      </c>
      <c r="E165" s="1">
        <v>348.0</v>
      </c>
    </row>
    <row r="166" ht="15.75" customHeight="1">
      <c r="A166" s="2">
        <v>44997.0</v>
      </c>
      <c r="B166" s="1" t="s">
        <v>31</v>
      </c>
      <c r="C166" s="1" t="str">
        <f t="shared" si="1"/>
        <v>44997Tools, DIY &amp; Outdoor</v>
      </c>
      <c r="D166" s="1">
        <v>327.0</v>
      </c>
      <c r="E166" s="1">
        <v>315.0</v>
      </c>
    </row>
    <row r="167" ht="15.75" customHeight="1">
      <c r="A167" s="2">
        <v>44997.0</v>
      </c>
      <c r="B167" s="1" t="s">
        <v>25</v>
      </c>
      <c r="C167" s="1" t="str">
        <f t="shared" si="1"/>
        <v>44997Toys &amp; Games</v>
      </c>
      <c r="D167" s="1">
        <v>306.0</v>
      </c>
      <c r="E167" s="1">
        <v>272.0</v>
      </c>
    </row>
    <row r="168" ht="15.75" customHeight="1">
      <c r="A168" s="2">
        <v>44997.0</v>
      </c>
      <c r="B168" s="1" t="s">
        <v>11</v>
      </c>
      <c r="C168" s="1" t="str">
        <f t="shared" si="1"/>
        <v>44997TV, Audio / Video, Gaming &amp; Wearables</v>
      </c>
      <c r="D168" s="1">
        <v>635.0</v>
      </c>
      <c r="E168" s="1">
        <v>555.0</v>
      </c>
    </row>
    <row r="169" ht="15.75" customHeight="1">
      <c r="A169" s="2">
        <v>44997.0</v>
      </c>
      <c r="B169" s="1" t="s">
        <v>21</v>
      </c>
      <c r="C169" s="1" t="str">
        <f t="shared" si="1"/>
        <v>44997Watches Sunglasses Jewellery</v>
      </c>
      <c r="D169" s="1">
        <v>651.0</v>
      </c>
      <c r="E169" s="1">
        <v>596.0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2A79D08-62F4-44E4-AF0C-4052E6044C74}" filter="1" showAutoFilter="1">
      <autoFilter ref="$A$1:$L$169">
        <filterColumn colId="8">
          <filters>
            <filter val="Furniture &amp; Decor"/>
          </filters>
        </filterColumn>
      </autoFilter>
      <extLst>
        <ext uri="GoogleSheetsCustomDataVersion1">
          <go:sheetsCustomData xmlns:go="http://customooxmlschemas.google.com/" filterViewId="642032109"/>
        </ext>
      </extLst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13"/>
    <col customWidth="1" min="3" max="6" width="12.63"/>
    <col customWidth="1" min="26" max="26" width="13.38"/>
  </cols>
  <sheetData>
    <row r="1" ht="15.75" customHeight="1">
      <c r="A1" s="3" t="s">
        <v>32</v>
      </c>
      <c r="B1" s="4" t="s">
        <v>1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4" t="s">
        <v>55</v>
      </c>
      <c r="Z1" s="4" t="s">
        <v>56</v>
      </c>
      <c r="AA1" s="4" t="s">
        <v>57</v>
      </c>
      <c r="AB1" s="4" t="s">
        <v>58</v>
      </c>
      <c r="AC1" s="4" t="s">
        <v>59</v>
      </c>
      <c r="AD1" s="4" t="s">
        <v>60</v>
      </c>
      <c r="AE1" s="4" t="s">
        <v>61</v>
      </c>
      <c r="AF1" s="5" t="s">
        <v>62</v>
      </c>
    </row>
    <row r="2" ht="15.75" customHeight="1">
      <c r="A2" s="6">
        <v>44991.0</v>
      </c>
      <c r="B2" s="7" t="s">
        <v>9</v>
      </c>
      <c r="C2" s="8">
        <v>6803.156</v>
      </c>
      <c r="D2" s="8">
        <v>7017.0</v>
      </c>
      <c r="E2" s="8">
        <v>6483.242</v>
      </c>
      <c r="F2" s="8">
        <v>432.0</v>
      </c>
      <c r="G2" s="8">
        <v>332.0</v>
      </c>
      <c r="H2" s="8">
        <v>445.0</v>
      </c>
      <c r="I2" s="8">
        <v>471.0</v>
      </c>
      <c r="J2" s="8">
        <v>343.0</v>
      </c>
      <c r="K2" s="8">
        <v>513.0</v>
      </c>
      <c r="L2" s="8">
        <v>400.0</v>
      </c>
      <c r="M2" s="8">
        <v>387.0</v>
      </c>
      <c r="N2" s="8">
        <v>416.0</v>
      </c>
      <c r="O2" s="8">
        <v>15.74805</v>
      </c>
      <c r="P2" s="8">
        <v>14.56908</v>
      </c>
      <c r="Q2" s="8">
        <v>14.44407</v>
      </c>
      <c r="R2" s="8">
        <v>12.6379</v>
      </c>
      <c r="S2" s="8">
        <v>1.1775</v>
      </c>
      <c r="T2" s="8">
        <v>1.233173</v>
      </c>
      <c r="U2" s="8">
        <v>18243.0</v>
      </c>
      <c r="V2" s="8">
        <v>185011.0</v>
      </c>
      <c r="W2" s="8">
        <v>1942.0</v>
      </c>
      <c r="X2" s="8">
        <v>7245.0</v>
      </c>
      <c r="Y2" s="8">
        <v>2774.0</v>
      </c>
      <c r="Z2" s="9">
        <v>70777.0</v>
      </c>
      <c r="AA2" s="9">
        <v>70285.0</v>
      </c>
      <c r="AB2" s="9">
        <v>12528.0</v>
      </c>
      <c r="AC2" s="9">
        <v>382.0</v>
      </c>
      <c r="AD2" s="9">
        <v>9.0</v>
      </c>
      <c r="AE2" s="9">
        <v>3.0</v>
      </c>
      <c r="AF2" s="10" t="s">
        <v>63</v>
      </c>
    </row>
    <row r="3" ht="15.75" customHeight="1">
      <c r="A3" s="6">
        <v>44991.0</v>
      </c>
      <c r="B3" s="7" t="s">
        <v>11</v>
      </c>
      <c r="C3" s="8">
        <v>8885.992</v>
      </c>
      <c r="D3" s="8">
        <v>8009.0</v>
      </c>
      <c r="E3" s="8">
        <v>8162.144</v>
      </c>
      <c r="F3" s="8">
        <v>538.0</v>
      </c>
      <c r="G3" s="8">
        <v>458.0</v>
      </c>
      <c r="H3" s="8">
        <v>464.0</v>
      </c>
      <c r="I3" s="8">
        <v>592.0</v>
      </c>
      <c r="J3" s="8">
        <v>430.0</v>
      </c>
      <c r="K3" s="8">
        <v>510.0</v>
      </c>
      <c r="L3" s="8">
        <v>484.0</v>
      </c>
      <c r="M3" s="8">
        <v>534.0</v>
      </c>
      <c r="N3" s="8">
        <v>434.0</v>
      </c>
      <c r="O3" s="8">
        <v>16.51671</v>
      </c>
      <c r="P3" s="8">
        <v>17.59083</v>
      </c>
      <c r="Q3" s="8">
        <v>15.01012</v>
      </c>
      <c r="R3" s="8">
        <v>16.0042</v>
      </c>
      <c r="S3" s="8">
        <v>1.22314</v>
      </c>
      <c r="T3" s="8">
        <v>1.175115</v>
      </c>
      <c r="U3" s="8">
        <v>19701.0</v>
      </c>
      <c r="V3" s="8">
        <v>96486.0</v>
      </c>
      <c r="W3" s="8">
        <v>1880.0</v>
      </c>
      <c r="X3" s="8">
        <v>5100.0</v>
      </c>
      <c r="Y3" s="8">
        <v>2542.0</v>
      </c>
      <c r="Z3" s="9">
        <v>37361.0</v>
      </c>
      <c r="AA3" s="9">
        <v>37178.0</v>
      </c>
      <c r="AB3" s="9">
        <v>9576.0</v>
      </c>
      <c r="AC3" s="9">
        <v>368.0</v>
      </c>
      <c r="AD3" s="9">
        <v>5.0</v>
      </c>
      <c r="AE3" s="9">
        <v>3.0</v>
      </c>
      <c r="AF3" s="10" t="s">
        <v>63</v>
      </c>
    </row>
    <row r="4" ht="15.75" customHeight="1">
      <c r="A4" s="6">
        <v>44992.0</v>
      </c>
      <c r="B4" s="7" t="s">
        <v>13</v>
      </c>
      <c r="C4" s="8">
        <v>49.71831</v>
      </c>
      <c r="D4" s="8">
        <v>71.0</v>
      </c>
      <c r="E4" s="8">
        <v>114.4413</v>
      </c>
      <c r="F4" s="8">
        <v>15.0</v>
      </c>
      <c r="G4" s="8">
        <v>188.0</v>
      </c>
      <c r="H4" s="8">
        <v>47.0</v>
      </c>
      <c r="I4" s="8">
        <v>15.0</v>
      </c>
      <c r="J4" s="8">
        <v>191.0</v>
      </c>
      <c r="K4" s="8">
        <v>47.0</v>
      </c>
      <c r="L4" s="8">
        <v>14.0</v>
      </c>
      <c r="M4" s="8">
        <v>145.0</v>
      </c>
      <c r="N4" s="8">
        <v>44.0</v>
      </c>
      <c r="O4" s="8">
        <v>3.314554</v>
      </c>
      <c r="P4" s="8">
        <v>2.434922</v>
      </c>
      <c r="Q4" s="8">
        <v>3.314554</v>
      </c>
      <c r="R4" s="8">
        <v>2.434922</v>
      </c>
      <c r="S4" s="8">
        <v>1.071429</v>
      </c>
      <c r="T4" s="8">
        <v>1.068182</v>
      </c>
      <c r="U4" s="8">
        <v>7.0</v>
      </c>
      <c r="V4" s="8">
        <v>8.0</v>
      </c>
      <c r="W4" s="8">
        <v>2.0</v>
      </c>
      <c r="X4" s="8">
        <v>2.0</v>
      </c>
      <c r="Y4" s="8">
        <v>2.0</v>
      </c>
      <c r="Z4" s="9">
        <v>4.0</v>
      </c>
      <c r="AA4" s="9">
        <v>4.0</v>
      </c>
      <c r="AB4" s="9">
        <v>4.0</v>
      </c>
      <c r="AC4" s="9">
        <v>8.0</v>
      </c>
      <c r="AD4" s="9">
        <v>1.0</v>
      </c>
      <c r="AE4" s="9">
        <v>0.0</v>
      </c>
      <c r="AF4" s="10" t="s">
        <v>15</v>
      </c>
    </row>
    <row r="5" ht="15.75" customHeight="1">
      <c r="A5" s="6">
        <v>44992.0</v>
      </c>
      <c r="B5" s="7" t="s">
        <v>12</v>
      </c>
      <c r="C5" s="8">
        <v>2332.909</v>
      </c>
      <c r="D5" s="8">
        <v>2586.0</v>
      </c>
      <c r="E5" s="8">
        <v>2022.171</v>
      </c>
      <c r="F5" s="8">
        <v>113.0</v>
      </c>
      <c r="G5" s="8">
        <v>109.0</v>
      </c>
      <c r="H5" s="8">
        <v>104.0</v>
      </c>
      <c r="I5" s="8">
        <v>129.0</v>
      </c>
      <c r="J5" s="8">
        <v>121.0</v>
      </c>
      <c r="K5" s="8">
        <v>111.0</v>
      </c>
      <c r="L5" s="8">
        <v>108.0</v>
      </c>
      <c r="M5" s="8">
        <v>124.0</v>
      </c>
      <c r="N5" s="8">
        <v>100.0</v>
      </c>
      <c r="O5" s="8">
        <v>20.64521</v>
      </c>
      <c r="P5" s="8">
        <v>19.44395</v>
      </c>
      <c r="Q5" s="8">
        <v>18.08456</v>
      </c>
      <c r="R5" s="8">
        <v>18.21776</v>
      </c>
      <c r="S5" s="8">
        <v>1.194444</v>
      </c>
      <c r="T5" s="8">
        <v>1.11</v>
      </c>
      <c r="U5" s="8">
        <v>5872.0</v>
      </c>
      <c r="V5" s="8">
        <v>16945.0</v>
      </c>
      <c r="W5" s="8">
        <v>504.0</v>
      </c>
      <c r="X5" s="8">
        <v>975.0</v>
      </c>
      <c r="Y5" s="8">
        <v>731.0</v>
      </c>
      <c r="Z5" s="9">
        <v>12280.0</v>
      </c>
      <c r="AA5" s="9">
        <v>12218.0</v>
      </c>
      <c r="AB5" s="9">
        <v>3471.0</v>
      </c>
      <c r="AC5" s="9">
        <v>95.0</v>
      </c>
      <c r="AD5" s="9">
        <v>4.0</v>
      </c>
      <c r="AE5" s="9">
        <v>0.0</v>
      </c>
      <c r="AF5" s="10" t="s">
        <v>63</v>
      </c>
    </row>
    <row r="6" ht="15.75" customHeight="1">
      <c r="A6" s="6">
        <v>44994.0</v>
      </c>
      <c r="B6" s="7" t="s">
        <v>16</v>
      </c>
      <c r="C6" s="8">
        <v>4032.943</v>
      </c>
      <c r="D6" s="8">
        <v>4577.0</v>
      </c>
      <c r="E6" s="8">
        <v>3310.799</v>
      </c>
      <c r="F6" s="8">
        <v>388.0</v>
      </c>
      <c r="G6" s="8">
        <v>315.0</v>
      </c>
      <c r="H6" s="8">
        <v>296.0</v>
      </c>
      <c r="I6" s="8">
        <v>618.0</v>
      </c>
      <c r="J6" s="8">
        <v>493.0</v>
      </c>
      <c r="K6" s="8">
        <v>496.0</v>
      </c>
      <c r="L6" s="8">
        <v>339.0</v>
      </c>
      <c r="M6" s="8">
        <v>326.0</v>
      </c>
      <c r="N6" s="8">
        <v>268.0</v>
      </c>
      <c r="O6" s="8">
        <v>10.39418</v>
      </c>
      <c r="P6" s="8">
        <v>11.18513</v>
      </c>
      <c r="Q6" s="8">
        <v>6.525798</v>
      </c>
      <c r="R6" s="8">
        <v>6.674998</v>
      </c>
      <c r="S6" s="8">
        <v>1.823009</v>
      </c>
      <c r="T6" s="8">
        <v>1.850746</v>
      </c>
      <c r="U6" s="8">
        <v>7376.0</v>
      </c>
      <c r="V6" s="8">
        <v>75712.0</v>
      </c>
      <c r="W6" s="8">
        <v>1079.0</v>
      </c>
      <c r="X6" s="8">
        <v>5625.0</v>
      </c>
      <c r="Y6" s="8">
        <v>1764.0</v>
      </c>
      <c r="Z6" s="9">
        <v>34927.0</v>
      </c>
      <c r="AA6" s="9">
        <v>34638.0</v>
      </c>
      <c r="AB6" s="9">
        <v>7646.0</v>
      </c>
      <c r="AC6" s="9">
        <v>377.0</v>
      </c>
      <c r="AD6" s="9">
        <v>10.0</v>
      </c>
      <c r="AE6" s="9">
        <v>98.0</v>
      </c>
      <c r="AF6" s="10" t="s">
        <v>64</v>
      </c>
    </row>
    <row r="7" ht="15.75" customHeight="1">
      <c r="A7" s="6">
        <v>44997.0</v>
      </c>
      <c r="B7" s="7" t="s">
        <v>15</v>
      </c>
      <c r="C7" s="8">
        <v>54.22233</v>
      </c>
      <c r="D7" s="8">
        <v>112.0</v>
      </c>
      <c r="E7" s="8">
        <v>8328.09</v>
      </c>
      <c r="F7" s="8">
        <v>4.0</v>
      </c>
      <c r="G7" s="8">
        <v>5.0</v>
      </c>
      <c r="H7" s="8">
        <v>1752.0</v>
      </c>
      <c r="I7" s="8">
        <v>4.0</v>
      </c>
      <c r="J7" s="8">
        <v>6.0</v>
      </c>
      <c r="K7" s="8">
        <v>1764.0</v>
      </c>
      <c r="L7" s="8">
        <v>4.0</v>
      </c>
      <c r="M7" s="8">
        <v>6.0</v>
      </c>
      <c r="N7" s="8">
        <v>1294.0</v>
      </c>
      <c r="O7" s="8">
        <v>13.55558</v>
      </c>
      <c r="P7" s="8">
        <v>4.753476</v>
      </c>
      <c r="Q7" s="8">
        <v>13.55558</v>
      </c>
      <c r="R7" s="8">
        <v>4.72114</v>
      </c>
      <c r="S7" s="8">
        <v>1.0</v>
      </c>
      <c r="T7" s="8">
        <v>1.363215</v>
      </c>
      <c r="U7" s="8">
        <v>616.0</v>
      </c>
      <c r="V7" s="8">
        <v>1613.0</v>
      </c>
      <c r="W7" s="8">
        <v>62.0</v>
      </c>
      <c r="X7" s="8">
        <v>73.0</v>
      </c>
      <c r="Y7" s="8">
        <v>64.0</v>
      </c>
      <c r="Z7" s="9">
        <v>1170.0</v>
      </c>
      <c r="AA7" s="9">
        <v>1169.0</v>
      </c>
      <c r="AB7" s="9">
        <v>325.0</v>
      </c>
      <c r="AC7" s="9">
        <v>2.0</v>
      </c>
      <c r="AD7" s="9">
        <v>0.0</v>
      </c>
      <c r="AE7" s="9">
        <v>0.0</v>
      </c>
      <c r="AF7" s="10" t="s">
        <v>15</v>
      </c>
    </row>
    <row r="8" ht="15.75" customHeight="1">
      <c r="A8" s="6">
        <v>44994.0</v>
      </c>
      <c r="B8" s="7" t="s">
        <v>19</v>
      </c>
      <c r="C8" s="8">
        <v>1936.656</v>
      </c>
      <c r="D8" s="8">
        <v>2198.0</v>
      </c>
      <c r="E8" s="8">
        <v>1366.067</v>
      </c>
      <c r="F8" s="8">
        <v>205.0</v>
      </c>
      <c r="G8" s="8">
        <v>178.0</v>
      </c>
      <c r="H8" s="8">
        <v>158.0</v>
      </c>
      <c r="I8" s="8">
        <v>245.0</v>
      </c>
      <c r="J8" s="8">
        <v>218.0</v>
      </c>
      <c r="K8" s="8">
        <v>175.0</v>
      </c>
      <c r="L8" s="8">
        <v>194.0</v>
      </c>
      <c r="M8" s="8">
        <v>197.0</v>
      </c>
      <c r="N8" s="8">
        <v>150.0</v>
      </c>
      <c r="O8" s="8">
        <v>9.447102</v>
      </c>
      <c r="P8" s="8">
        <v>8.645991</v>
      </c>
      <c r="Q8" s="8">
        <v>7.904718</v>
      </c>
      <c r="R8" s="8">
        <v>7.806095</v>
      </c>
      <c r="S8" s="8">
        <v>1.262887</v>
      </c>
      <c r="T8" s="8">
        <v>1.166667</v>
      </c>
      <c r="U8" s="8">
        <v>8590.0</v>
      </c>
      <c r="V8" s="8">
        <v>31811.0</v>
      </c>
      <c r="W8" s="8">
        <v>914.0</v>
      </c>
      <c r="X8" s="8">
        <v>1733.0</v>
      </c>
      <c r="Y8" s="8">
        <v>1194.0</v>
      </c>
      <c r="Z8" s="9">
        <v>24253.0</v>
      </c>
      <c r="AA8" s="9">
        <v>24148.0</v>
      </c>
      <c r="AB8" s="9">
        <v>6928.0</v>
      </c>
      <c r="AC8" s="9">
        <v>195.0</v>
      </c>
      <c r="AD8" s="9">
        <v>2.0</v>
      </c>
      <c r="AE8" s="9">
        <v>11.0</v>
      </c>
      <c r="AF8" s="11"/>
    </row>
    <row r="9" ht="15.75" customHeight="1">
      <c r="A9" s="6">
        <v>44993.0</v>
      </c>
      <c r="B9" s="7" t="s">
        <v>21</v>
      </c>
      <c r="C9" s="8">
        <v>3725.441</v>
      </c>
      <c r="D9" s="8">
        <v>4370.0</v>
      </c>
      <c r="E9" s="8">
        <v>3500.83</v>
      </c>
      <c r="F9" s="8">
        <v>628.0</v>
      </c>
      <c r="G9" s="8">
        <v>608.0</v>
      </c>
      <c r="H9" s="8">
        <v>511.0</v>
      </c>
      <c r="I9" s="8">
        <v>832.0</v>
      </c>
      <c r="J9" s="8">
        <v>771.0</v>
      </c>
      <c r="K9" s="8">
        <v>597.0</v>
      </c>
      <c r="L9" s="8">
        <v>550.0</v>
      </c>
      <c r="M9" s="8">
        <v>664.0</v>
      </c>
      <c r="N9" s="8">
        <v>466.0</v>
      </c>
      <c r="O9" s="8">
        <v>5.932231</v>
      </c>
      <c r="P9" s="8">
        <v>6.85094</v>
      </c>
      <c r="Q9" s="8">
        <v>4.477693</v>
      </c>
      <c r="R9" s="8">
        <v>5.864038</v>
      </c>
      <c r="S9" s="8">
        <v>1.512727</v>
      </c>
      <c r="T9" s="8">
        <v>1.281116</v>
      </c>
      <c r="U9" s="8">
        <v>22125.0</v>
      </c>
      <c r="V9" s="8">
        <v>139740.0</v>
      </c>
      <c r="W9" s="8">
        <v>2556.0</v>
      </c>
      <c r="X9" s="8">
        <v>8238.0</v>
      </c>
      <c r="Y9" s="8">
        <v>4509.0</v>
      </c>
      <c r="Z9" s="9">
        <v>91047.0</v>
      </c>
      <c r="AA9" s="9">
        <v>90574.0</v>
      </c>
      <c r="AB9" s="9">
        <v>18891.0</v>
      </c>
      <c r="AC9" s="9">
        <v>551.0</v>
      </c>
      <c r="AD9" s="9">
        <v>2.0</v>
      </c>
      <c r="AE9" s="9">
        <v>119.0</v>
      </c>
      <c r="AF9" s="10" t="s">
        <v>17</v>
      </c>
    </row>
    <row r="10" ht="15.75" customHeight="1">
      <c r="A10" s="6">
        <v>44995.0</v>
      </c>
      <c r="B10" s="7" t="s">
        <v>65</v>
      </c>
      <c r="C10" s="8">
        <v>4494.099</v>
      </c>
      <c r="D10" s="10">
        <v>6911.0</v>
      </c>
      <c r="E10" s="8">
        <v>5478.668</v>
      </c>
      <c r="F10" s="8">
        <v>409.0</v>
      </c>
      <c r="G10" s="10">
        <v>366.0</v>
      </c>
      <c r="H10" s="8">
        <v>355.0</v>
      </c>
      <c r="I10" s="8">
        <v>552.0</v>
      </c>
      <c r="J10" s="10">
        <v>487.0</v>
      </c>
      <c r="K10" s="8">
        <v>512.0</v>
      </c>
      <c r="L10" s="8">
        <v>378.0</v>
      </c>
      <c r="M10" s="10">
        <v>393.0</v>
      </c>
      <c r="N10" s="8">
        <v>308.0</v>
      </c>
      <c r="O10" s="8">
        <v>10.98802</v>
      </c>
      <c r="P10" s="8">
        <v>15.43287</v>
      </c>
      <c r="Q10" s="8">
        <v>8.141483</v>
      </c>
      <c r="R10" s="8">
        <v>10.70052</v>
      </c>
      <c r="S10" s="8">
        <v>1.460317</v>
      </c>
      <c r="T10" s="8">
        <v>1.662338</v>
      </c>
      <c r="U10" s="8">
        <v>14889.0</v>
      </c>
      <c r="V10" s="8">
        <v>65228.0</v>
      </c>
      <c r="W10" s="8">
        <v>1852.0</v>
      </c>
      <c r="X10" s="8">
        <v>5117.0</v>
      </c>
      <c r="Y10" s="8">
        <v>2864.0</v>
      </c>
      <c r="Z10" s="9">
        <v>57233.0</v>
      </c>
      <c r="AA10" s="9">
        <v>56979.0</v>
      </c>
      <c r="AB10" s="9">
        <v>11384.0</v>
      </c>
      <c r="AC10" s="9">
        <v>343.0</v>
      </c>
      <c r="AD10" s="9">
        <v>0.0</v>
      </c>
      <c r="AE10" s="9">
        <v>14.0</v>
      </c>
      <c r="AF10" s="10" t="s">
        <v>66</v>
      </c>
    </row>
    <row r="11" ht="15.75" customHeight="1">
      <c r="A11" s="6">
        <v>44995.0</v>
      </c>
      <c r="B11" s="7" t="s">
        <v>20</v>
      </c>
      <c r="C11" s="8">
        <v>3794.223</v>
      </c>
      <c r="D11" s="8">
        <v>4827.0</v>
      </c>
      <c r="E11" s="8">
        <v>3320.767</v>
      </c>
      <c r="F11" s="8">
        <v>409.0</v>
      </c>
      <c r="G11" s="8">
        <v>411.0</v>
      </c>
      <c r="H11" s="8">
        <v>277.0</v>
      </c>
      <c r="I11" s="8">
        <v>1086.0</v>
      </c>
      <c r="J11" s="8">
        <v>1101.0</v>
      </c>
      <c r="K11" s="8">
        <v>888.0</v>
      </c>
      <c r="L11" s="8">
        <v>385.0</v>
      </c>
      <c r="M11" s="8">
        <v>425.0</v>
      </c>
      <c r="N11" s="8">
        <v>269.0</v>
      </c>
      <c r="O11" s="8">
        <v>9.276829</v>
      </c>
      <c r="P11" s="8">
        <v>11.98833</v>
      </c>
      <c r="Q11" s="8">
        <v>3.49376</v>
      </c>
      <c r="R11" s="8">
        <v>3.739602</v>
      </c>
      <c r="S11" s="8">
        <v>2.820779</v>
      </c>
      <c r="T11" s="8">
        <v>3.301115</v>
      </c>
      <c r="U11" s="8">
        <v>11250.0</v>
      </c>
      <c r="V11" s="8">
        <v>27236.0</v>
      </c>
      <c r="W11" s="8">
        <v>1276.0</v>
      </c>
      <c r="X11" s="8">
        <v>3861.0</v>
      </c>
      <c r="Y11" s="8">
        <v>2585.0</v>
      </c>
      <c r="Z11" s="9">
        <v>24103.0</v>
      </c>
      <c r="AA11" s="9">
        <v>23459.0</v>
      </c>
      <c r="AB11" s="9">
        <v>7034.0</v>
      </c>
      <c r="AC11" s="9">
        <v>595.0</v>
      </c>
      <c r="AD11" s="9">
        <v>2.0</v>
      </c>
      <c r="AE11" s="9">
        <v>447.0</v>
      </c>
      <c r="AF11" s="10" t="s">
        <v>64</v>
      </c>
    </row>
    <row r="12" ht="15.75" customHeight="1">
      <c r="A12" s="6">
        <v>44994.0</v>
      </c>
      <c r="B12" s="7" t="s">
        <v>25</v>
      </c>
      <c r="C12" s="8">
        <v>2166.262</v>
      </c>
      <c r="D12" s="8">
        <v>2915.0</v>
      </c>
      <c r="E12" s="8">
        <v>1880.605</v>
      </c>
      <c r="F12" s="8">
        <v>238.0</v>
      </c>
      <c r="G12" s="8">
        <v>267.0</v>
      </c>
      <c r="H12" s="8">
        <v>215.0</v>
      </c>
      <c r="I12" s="8">
        <v>291.0</v>
      </c>
      <c r="J12" s="8">
        <v>329.0</v>
      </c>
      <c r="K12" s="8">
        <v>285.0</v>
      </c>
      <c r="L12" s="8">
        <v>218.0</v>
      </c>
      <c r="M12" s="8">
        <v>301.0</v>
      </c>
      <c r="N12" s="8">
        <v>200.0</v>
      </c>
      <c r="O12" s="8">
        <v>9.101942</v>
      </c>
      <c r="P12" s="8">
        <v>8.747</v>
      </c>
      <c r="Q12" s="8">
        <v>7.4442</v>
      </c>
      <c r="R12" s="8">
        <v>6.598614</v>
      </c>
      <c r="S12" s="8">
        <v>1.334862</v>
      </c>
      <c r="T12" s="8">
        <v>1.425</v>
      </c>
      <c r="U12" s="8">
        <v>7409.0</v>
      </c>
      <c r="V12" s="8">
        <v>25897.0</v>
      </c>
      <c r="W12" s="8">
        <v>882.0</v>
      </c>
      <c r="X12" s="8">
        <v>2264.0</v>
      </c>
      <c r="Y12" s="8">
        <v>1183.0</v>
      </c>
      <c r="Z12" s="9">
        <v>25322.0</v>
      </c>
      <c r="AA12" s="9">
        <v>25177.0</v>
      </c>
      <c r="AB12" s="9">
        <v>5482.0</v>
      </c>
      <c r="AC12" s="9">
        <v>191.0</v>
      </c>
      <c r="AD12" s="9">
        <v>2.0</v>
      </c>
      <c r="AE12" s="9">
        <v>0.0</v>
      </c>
      <c r="AF12" s="10" t="s">
        <v>66</v>
      </c>
    </row>
    <row r="13" ht="15.75" customHeight="1">
      <c r="A13" s="6">
        <v>44992.0</v>
      </c>
      <c r="B13" s="7" t="s">
        <v>22</v>
      </c>
      <c r="C13" s="8">
        <v>17454.19</v>
      </c>
      <c r="D13" s="8">
        <v>19548.0</v>
      </c>
      <c r="E13" s="8">
        <v>13686.29</v>
      </c>
      <c r="F13" s="8">
        <v>2090.0</v>
      </c>
      <c r="G13" s="8">
        <v>1925.0</v>
      </c>
      <c r="H13" s="8">
        <v>1411.0</v>
      </c>
      <c r="I13" s="8">
        <v>3168.0</v>
      </c>
      <c r="J13" s="8">
        <v>2981.0</v>
      </c>
      <c r="K13" s="8">
        <v>2100.0</v>
      </c>
      <c r="L13" s="8">
        <v>1886.0</v>
      </c>
      <c r="M13" s="8">
        <v>1957.0</v>
      </c>
      <c r="N13" s="8">
        <v>1262.0</v>
      </c>
      <c r="O13" s="8">
        <v>8.351288</v>
      </c>
      <c r="P13" s="8">
        <v>9.699709</v>
      </c>
      <c r="Q13" s="8">
        <v>5.50953</v>
      </c>
      <c r="R13" s="8">
        <v>6.517281</v>
      </c>
      <c r="S13" s="8">
        <v>1.679745</v>
      </c>
      <c r="T13" s="8">
        <v>1.664025</v>
      </c>
      <c r="U13" s="8">
        <v>39860.0</v>
      </c>
      <c r="V13" s="8">
        <v>168748.0</v>
      </c>
      <c r="W13" s="8">
        <v>6256.0</v>
      </c>
      <c r="X13" s="8">
        <v>16977.0</v>
      </c>
      <c r="Y13" s="8">
        <v>12036.0</v>
      </c>
      <c r="Z13" s="9">
        <v>112111.0</v>
      </c>
      <c r="AA13" s="9">
        <v>111062.0</v>
      </c>
      <c r="AB13" s="9">
        <v>31324.0</v>
      </c>
      <c r="AC13" s="9">
        <v>1906.0</v>
      </c>
      <c r="AD13" s="9">
        <v>26.0</v>
      </c>
      <c r="AE13" s="9">
        <v>708.0</v>
      </c>
      <c r="AF13" s="10" t="s">
        <v>64</v>
      </c>
    </row>
    <row r="14" ht="15.75" customHeight="1">
      <c r="A14" s="6">
        <v>44992.0</v>
      </c>
      <c r="B14" s="7" t="s">
        <v>10</v>
      </c>
      <c r="C14" s="8">
        <v>1058.34</v>
      </c>
      <c r="D14" s="8">
        <v>952.0</v>
      </c>
      <c r="E14" s="8">
        <v>933.2321</v>
      </c>
      <c r="F14" s="8">
        <v>134.0</v>
      </c>
      <c r="G14" s="8">
        <v>106.0</v>
      </c>
      <c r="H14" s="8">
        <v>95.0</v>
      </c>
      <c r="I14" s="8">
        <v>188.0</v>
      </c>
      <c r="J14" s="8">
        <v>146.0</v>
      </c>
      <c r="K14" s="8">
        <v>114.0</v>
      </c>
      <c r="L14" s="8">
        <v>117.0</v>
      </c>
      <c r="M14" s="8">
        <v>109.0</v>
      </c>
      <c r="N14" s="8">
        <v>89.0</v>
      </c>
      <c r="O14" s="8">
        <v>7.898059</v>
      </c>
      <c r="P14" s="8">
        <v>9.823496</v>
      </c>
      <c r="Q14" s="8">
        <v>5.629467</v>
      </c>
      <c r="R14" s="8">
        <v>8.186247</v>
      </c>
      <c r="S14" s="8">
        <v>1.606838</v>
      </c>
      <c r="T14" s="8">
        <v>1.280899</v>
      </c>
      <c r="U14" s="8">
        <v>3282.0</v>
      </c>
      <c r="V14" s="8">
        <v>15811.0</v>
      </c>
      <c r="W14" s="8">
        <v>418.0</v>
      </c>
      <c r="X14" s="8">
        <v>1658.0</v>
      </c>
      <c r="Y14" s="8">
        <v>629.0</v>
      </c>
      <c r="Z14" s="9">
        <v>11980.0</v>
      </c>
      <c r="AA14" s="9">
        <v>11870.0</v>
      </c>
      <c r="AB14" s="9">
        <v>2237.0</v>
      </c>
      <c r="AC14" s="9">
        <v>99.0</v>
      </c>
      <c r="AD14" s="9">
        <v>2.0</v>
      </c>
      <c r="AE14" s="9">
        <v>4.0</v>
      </c>
      <c r="AF14" s="10" t="s">
        <v>66</v>
      </c>
    </row>
    <row r="15" ht="15.75" customHeight="1">
      <c r="A15" s="6">
        <v>44997.0</v>
      </c>
      <c r="B15" s="7" t="s">
        <v>28</v>
      </c>
      <c r="C15" s="11"/>
      <c r="D15" s="9">
        <v>2858.0</v>
      </c>
      <c r="E15" s="9">
        <v>1138.655</v>
      </c>
      <c r="F15" s="9">
        <v>333.0</v>
      </c>
      <c r="G15" s="9">
        <v>348.0</v>
      </c>
      <c r="H15" s="9">
        <v>210.0</v>
      </c>
      <c r="I15" s="9">
        <v>1145.0</v>
      </c>
      <c r="J15" s="9">
        <v>1029.0</v>
      </c>
      <c r="K15" s="9">
        <v>313.0</v>
      </c>
      <c r="L15" s="9">
        <v>293.0</v>
      </c>
      <c r="M15" s="9">
        <v>325.0</v>
      </c>
      <c r="N15" s="9">
        <v>187.0</v>
      </c>
      <c r="O15" s="9">
        <v>7.027717</v>
      </c>
      <c r="P15" s="9">
        <v>5.422168</v>
      </c>
      <c r="Q15" s="9">
        <v>2.043869</v>
      </c>
      <c r="R15" s="9">
        <v>3.637876</v>
      </c>
      <c r="S15" s="9">
        <v>3.90785</v>
      </c>
      <c r="T15" s="9">
        <v>1.673797</v>
      </c>
      <c r="U15" s="9">
        <v>7794.0</v>
      </c>
      <c r="V15" s="9">
        <v>41183.0</v>
      </c>
      <c r="W15" s="9">
        <v>1021.0</v>
      </c>
      <c r="X15" s="9">
        <v>5414.0</v>
      </c>
      <c r="Y15" s="9">
        <v>2070.0</v>
      </c>
      <c r="Z15" s="9">
        <v>29128.0</v>
      </c>
      <c r="AA15" s="9">
        <v>28929.0</v>
      </c>
      <c r="AB15" s="9">
        <v>6481.0</v>
      </c>
      <c r="AC15" s="9">
        <v>304.0</v>
      </c>
      <c r="AD15" s="9">
        <v>0.0</v>
      </c>
      <c r="AE15" s="9">
        <v>765.0</v>
      </c>
      <c r="AF15" s="10" t="s">
        <v>66</v>
      </c>
    </row>
    <row r="16" ht="15.75" customHeight="1">
      <c r="A16" s="6">
        <v>44992.0</v>
      </c>
      <c r="B16" s="7" t="s">
        <v>11</v>
      </c>
      <c r="C16" s="8">
        <v>9824.12</v>
      </c>
      <c r="D16" s="8">
        <v>9690.0</v>
      </c>
      <c r="E16" s="8">
        <v>6385.545</v>
      </c>
      <c r="F16" s="8">
        <v>601.0</v>
      </c>
      <c r="G16" s="8">
        <v>537.0</v>
      </c>
      <c r="H16" s="8">
        <v>439.0</v>
      </c>
      <c r="I16" s="8">
        <v>652.0</v>
      </c>
      <c r="J16" s="8">
        <v>590.0</v>
      </c>
      <c r="K16" s="8">
        <v>484.0</v>
      </c>
      <c r="L16" s="8">
        <v>551.0</v>
      </c>
      <c r="M16" s="8">
        <v>614.0</v>
      </c>
      <c r="N16" s="8">
        <v>405.0</v>
      </c>
      <c r="O16" s="8">
        <v>16.34629</v>
      </c>
      <c r="P16" s="8">
        <v>14.54566</v>
      </c>
      <c r="Q16" s="8">
        <v>15.06767</v>
      </c>
      <c r="R16" s="8">
        <v>13.19328</v>
      </c>
      <c r="S16" s="8">
        <v>1.183303</v>
      </c>
      <c r="T16" s="8">
        <v>1.195062</v>
      </c>
      <c r="U16" s="8">
        <v>19295.0</v>
      </c>
      <c r="V16" s="8">
        <v>94470.0</v>
      </c>
      <c r="W16" s="8">
        <v>1857.0</v>
      </c>
      <c r="X16" s="8">
        <v>5004.0</v>
      </c>
      <c r="Y16" s="8">
        <v>2587.0</v>
      </c>
      <c r="Z16" s="9">
        <v>37812.0</v>
      </c>
      <c r="AA16" s="9">
        <v>37632.0</v>
      </c>
      <c r="AB16" s="9">
        <v>9876.0</v>
      </c>
      <c r="AC16" s="9">
        <v>399.0</v>
      </c>
      <c r="AD16" s="9">
        <v>3.0</v>
      </c>
      <c r="AE16" s="9">
        <v>4.0</v>
      </c>
      <c r="AF16" s="10" t="s">
        <v>63</v>
      </c>
    </row>
    <row r="17" ht="15.75" customHeight="1">
      <c r="A17" s="6">
        <v>44991.0</v>
      </c>
      <c r="B17" s="7" t="s">
        <v>10</v>
      </c>
      <c r="C17" s="8">
        <v>924.8011</v>
      </c>
      <c r="D17" s="8">
        <v>906.0</v>
      </c>
      <c r="E17" s="8">
        <v>515.8578</v>
      </c>
      <c r="F17" s="8">
        <v>110.0</v>
      </c>
      <c r="G17" s="8">
        <v>103.0</v>
      </c>
      <c r="H17" s="8">
        <v>76.0</v>
      </c>
      <c r="I17" s="8">
        <v>145.0</v>
      </c>
      <c r="J17" s="8">
        <v>125.0</v>
      </c>
      <c r="K17" s="8">
        <v>99.0</v>
      </c>
      <c r="L17" s="8">
        <v>99.0</v>
      </c>
      <c r="M17" s="8">
        <v>101.0</v>
      </c>
      <c r="N17" s="8">
        <v>72.0</v>
      </c>
      <c r="O17" s="8">
        <v>8.407283</v>
      </c>
      <c r="P17" s="8">
        <v>6.787602</v>
      </c>
      <c r="Q17" s="8">
        <v>6.377939</v>
      </c>
      <c r="R17" s="8">
        <v>5.210685</v>
      </c>
      <c r="S17" s="8">
        <v>1.464646</v>
      </c>
      <c r="T17" s="8">
        <v>1.375</v>
      </c>
      <c r="U17" s="8">
        <v>3711.0</v>
      </c>
      <c r="V17" s="8">
        <v>17701.0</v>
      </c>
      <c r="W17" s="8">
        <v>438.0</v>
      </c>
      <c r="X17" s="8">
        <v>1660.0</v>
      </c>
      <c r="Y17" s="8">
        <v>633.0</v>
      </c>
      <c r="Z17" s="9">
        <v>11927.0</v>
      </c>
      <c r="AA17" s="9">
        <v>11819.0</v>
      </c>
      <c r="AB17" s="9">
        <v>2330.0</v>
      </c>
      <c r="AC17" s="9">
        <v>94.0</v>
      </c>
      <c r="AD17" s="9">
        <v>1.0</v>
      </c>
      <c r="AE17" s="9">
        <v>3.0</v>
      </c>
      <c r="AF17" s="10" t="s">
        <v>66</v>
      </c>
    </row>
    <row r="18" ht="15.75" customHeight="1">
      <c r="A18" s="6">
        <v>44991.0</v>
      </c>
      <c r="B18" s="7" t="s">
        <v>26</v>
      </c>
      <c r="C18" s="8">
        <v>601.7375</v>
      </c>
      <c r="D18" s="8">
        <v>986.0</v>
      </c>
      <c r="E18" s="8">
        <v>727.4805</v>
      </c>
      <c r="F18" s="8">
        <v>97.0</v>
      </c>
      <c r="G18" s="8">
        <v>106.0</v>
      </c>
      <c r="H18" s="8">
        <v>104.0</v>
      </c>
      <c r="I18" s="8">
        <v>129.0</v>
      </c>
      <c r="J18" s="8">
        <v>122.0</v>
      </c>
      <c r="K18" s="8">
        <v>136.0</v>
      </c>
      <c r="L18" s="8">
        <v>92.0</v>
      </c>
      <c r="M18" s="8">
        <v>109.0</v>
      </c>
      <c r="N18" s="8">
        <v>102.0</v>
      </c>
      <c r="O18" s="8">
        <v>6.20348</v>
      </c>
      <c r="P18" s="8">
        <v>6.995005</v>
      </c>
      <c r="Q18" s="8">
        <v>4.664632</v>
      </c>
      <c r="R18" s="8">
        <v>5.349121</v>
      </c>
      <c r="S18" s="8">
        <v>1.402174</v>
      </c>
      <c r="T18" s="8">
        <v>1.333333</v>
      </c>
      <c r="U18" s="8">
        <v>2518.0</v>
      </c>
      <c r="V18" s="8">
        <v>7486.0</v>
      </c>
      <c r="W18" s="8">
        <v>360.0</v>
      </c>
      <c r="X18" s="8">
        <v>810.0</v>
      </c>
      <c r="Y18" s="8">
        <v>506.0</v>
      </c>
      <c r="Z18" s="9">
        <v>8807.0</v>
      </c>
      <c r="AA18" s="9">
        <v>8766.0</v>
      </c>
      <c r="AB18" s="9">
        <v>1610.0</v>
      </c>
      <c r="AC18" s="9">
        <v>85.0</v>
      </c>
      <c r="AD18" s="9">
        <v>2.0</v>
      </c>
      <c r="AE18" s="9">
        <v>2.0</v>
      </c>
      <c r="AF18" s="10" t="s">
        <v>66</v>
      </c>
    </row>
    <row r="19" ht="15.75" customHeight="1">
      <c r="A19" s="6">
        <v>44993.0</v>
      </c>
      <c r="B19" s="7" t="s">
        <v>22</v>
      </c>
      <c r="C19" s="8">
        <v>21213.84</v>
      </c>
      <c r="D19" s="8">
        <v>22329.0</v>
      </c>
      <c r="E19" s="8">
        <v>15281.67</v>
      </c>
      <c r="F19" s="8">
        <v>2316.0</v>
      </c>
      <c r="G19" s="8">
        <v>2026.0</v>
      </c>
      <c r="H19" s="8">
        <v>1648.0</v>
      </c>
      <c r="I19" s="8">
        <v>3768.0</v>
      </c>
      <c r="J19" s="8">
        <v>3109.0</v>
      </c>
      <c r="K19" s="8">
        <v>2409.0</v>
      </c>
      <c r="L19" s="8">
        <v>2062.0</v>
      </c>
      <c r="M19" s="8">
        <v>2066.0</v>
      </c>
      <c r="N19" s="8">
        <v>1468.0</v>
      </c>
      <c r="O19" s="8">
        <v>9.159689</v>
      </c>
      <c r="P19" s="8">
        <v>9.272855</v>
      </c>
      <c r="Q19" s="8">
        <v>5.63</v>
      </c>
      <c r="R19" s="8">
        <v>6.343572</v>
      </c>
      <c r="S19" s="8">
        <v>1.827352</v>
      </c>
      <c r="T19" s="8">
        <v>1.641008</v>
      </c>
      <c r="U19" s="8">
        <v>43969.0</v>
      </c>
      <c r="V19" s="8">
        <v>192193.0</v>
      </c>
      <c r="W19" s="8">
        <v>7069.0</v>
      </c>
      <c r="X19" s="8">
        <v>19119.0</v>
      </c>
      <c r="Y19" s="8">
        <v>13871.0</v>
      </c>
      <c r="Z19" s="9">
        <v>112185.0</v>
      </c>
      <c r="AA19" s="9">
        <v>111074.0</v>
      </c>
      <c r="AB19" s="9">
        <v>33165.0</v>
      </c>
      <c r="AC19" s="9">
        <v>2189.0</v>
      </c>
      <c r="AD19" s="9">
        <v>31.0</v>
      </c>
      <c r="AE19" s="9">
        <v>811.0</v>
      </c>
      <c r="AF19" s="10" t="s">
        <v>64</v>
      </c>
    </row>
    <row r="20" ht="15.75" customHeight="1">
      <c r="A20" s="6">
        <v>44992.0</v>
      </c>
      <c r="B20" s="7" t="s">
        <v>28</v>
      </c>
      <c r="C20" s="8">
        <v>1979.396</v>
      </c>
      <c r="D20" s="8">
        <v>2711.0</v>
      </c>
      <c r="E20" s="8">
        <v>2477.24</v>
      </c>
      <c r="F20" s="8">
        <v>317.0</v>
      </c>
      <c r="G20" s="8">
        <v>337.0</v>
      </c>
      <c r="H20" s="8">
        <v>280.0</v>
      </c>
      <c r="I20" s="8">
        <v>960.0</v>
      </c>
      <c r="J20" s="8">
        <v>1006.0</v>
      </c>
      <c r="K20" s="8">
        <v>1358.0</v>
      </c>
      <c r="L20" s="8">
        <v>265.0</v>
      </c>
      <c r="M20" s="8">
        <v>314.0</v>
      </c>
      <c r="N20" s="8">
        <v>239.0</v>
      </c>
      <c r="O20" s="8">
        <v>6.244152</v>
      </c>
      <c r="P20" s="8">
        <v>8.847285</v>
      </c>
      <c r="Q20" s="8">
        <v>2.061871</v>
      </c>
      <c r="R20" s="8">
        <v>1.824182</v>
      </c>
      <c r="S20" s="8">
        <v>3.622642</v>
      </c>
      <c r="T20" s="8">
        <v>5.682008</v>
      </c>
      <c r="U20" s="8">
        <v>7564.0</v>
      </c>
      <c r="V20" s="8">
        <v>40935.0</v>
      </c>
      <c r="W20" s="8">
        <v>1027.0</v>
      </c>
      <c r="X20" s="8">
        <v>6304.0</v>
      </c>
      <c r="Y20" s="8">
        <v>1892.0</v>
      </c>
      <c r="Z20" s="9">
        <v>29374.0</v>
      </c>
      <c r="AA20" s="9">
        <v>29218.0</v>
      </c>
      <c r="AB20" s="9">
        <v>6625.0</v>
      </c>
      <c r="AC20" s="9">
        <v>258.0</v>
      </c>
      <c r="AD20" s="9">
        <v>5.0</v>
      </c>
      <c r="AE20" s="9">
        <v>649.0</v>
      </c>
      <c r="AF20" s="10" t="s">
        <v>66</v>
      </c>
    </row>
    <row r="21" ht="15.75" customHeight="1">
      <c r="A21" s="6">
        <v>44994.0</v>
      </c>
      <c r="B21" s="7" t="s">
        <v>12</v>
      </c>
      <c r="C21" s="8">
        <v>2720.941</v>
      </c>
      <c r="D21" s="8">
        <v>2845.0</v>
      </c>
      <c r="E21" s="8">
        <v>1242.0</v>
      </c>
      <c r="F21" s="8">
        <v>131.0</v>
      </c>
      <c r="G21" s="8">
        <v>111.0</v>
      </c>
      <c r="H21" s="8">
        <v>109.0</v>
      </c>
      <c r="I21" s="8">
        <v>144.0</v>
      </c>
      <c r="J21" s="8">
        <v>121.0</v>
      </c>
      <c r="K21" s="8">
        <v>118.0</v>
      </c>
      <c r="L21" s="8">
        <v>124.0</v>
      </c>
      <c r="M21" s="8">
        <v>126.0</v>
      </c>
      <c r="N21" s="8">
        <v>102.0</v>
      </c>
      <c r="O21" s="8">
        <v>20.77054</v>
      </c>
      <c r="P21" s="8">
        <v>11.3945</v>
      </c>
      <c r="Q21" s="8">
        <v>18.89542</v>
      </c>
      <c r="R21" s="8">
        <v>10.52543</v>
      </c>
      <c r="S21" s="8">
        <v>1.16129</v>
      </c>
      <c r="T21" s="8">
        <v>1.156863</v>
      </c>
      <c r="U21" s="8">
        <v>6115.0</v>
      </c>
      <c r="V21" s="8">
        <v>17322.0</v>
      </c>
      <c r="W21" s="8">
        <v>505.0</v>
      </c>
      <c r="X21" s="8">
        <v>937.0</v>
      </c>
      <c r="Y21" s="8">
        <v>685.0</v>
      </c>
      <c r="Z21" s="9">
        <v>12392.0</v>
      </c>
      <c r="AA21" s="9">
        <v>12325.0</v>
      </c>
      <c r="AB21" s="9">
        <v>3540.0</v>
      </c>
      <c r="AC21" s="9">
        <v>111.0</v>
      </c>
      <c r="AD21" s="9">
        <v>0.0</v>
      </c>
      <c r="AE21" s="9">
        <v>0.0</v>
      </c>
      <c r="AF21" s="10" t="s">
        <v>63</v>
      </c>
    </row>
    <row r="22" ht="15.75" customHeight="1">
      <c r="A22" s="6">
        <v>44994.0</v>
      </c>
      <c r="B22" s="7" t="s">
        <v>15</v>
      </c>
      <c r="C22" s="8">
        <v>2.296197</v>
      </c>
      <c r="D22" s="8">
        <v>117.0</v>
      </c>
      <c r="E22" s="8">
        <v>6070.379</v>
      </c>
      <c r="F22" s="8">
        <v>2.0</v>
      </c>
      <c r="G22" s="8">
        <v>5.0</v>
      </c>
      <c r="H22" s="8">
        <v>999.0</v>
      </c>
      <c r="I22" s="8">
        <v>2.0</v>
      </c>
      <c r="J22" s="8">
        <v>6.0</v>
      </c>
      <c r="K22" s="8">
        <v>1034.0</v>
      </c>
      <c r="L22" s="8">
        <v>2.0</v>
      </c>
      <c r="M22" s="8">
        <v>6.0</v>
      </c>
      <c r="N22" s="8">
        <v>775.0</v>
      </c>
      <c r="O22" s="8">
        <v>1.148099</v>
      </c>
      <c r="P22" s="8">
        <v>6.076455</v>
      </c>
      <c r="Q22" s="8">
        <v>1.148099</v>
      </c>
      <c r="R22" s="8">
        <v>5.870773</v>
      </c>
      <c r="S22" s="8">
        <v>1.0</v>
      </c>
      <c r="T22" s="8">
        <v>1.334194</v>
      </c>
      <c r="U22" s="8">
        <v>588.0</v>
      </c>
      <c r="V22" s="8">
        <v>1780.0</v>
      </c>
      <c r="W22" s="8">
        <v>63.0</v>
      </c>
      <c r="X22" s="8">
        <v>83.0</v>
      </c>
      <c r="Y22" s="8">
        <v>64.0</v>
      </c>
      <c r="Z22" s="9">
        <v>1166.0</v>
      </c>
      <c r="AA22" s="9">
        <v>1166.0</v>
      </c>
      <c r="AB22" s="9">
        <v>333.0</v>
      </c>
      <c r="AC22" s="9">
        <v>2.0</v>
      </c>
      <c r="AD22" s="9">
        <v>0.0</v>
      </c>
      <c r="AE22" s="9">
        <v>0.0</v>
      </c>
      <c r="AF22" s="10" t="s">
        <v>15</v>
      </c>
    </row>
    <row r="23" ht="15.75" customHeight="1">
      <c r="A23" s="6">
        <v>44994.0</v>
      </c>
      <c r="B23" s="7" t="s">
        <v>11</v>
      </c>
      <c r="C23" s="8">
        <v>10185.44</v>
      </c>
      <c r="D23" s="8">
        <v>10659.0</v>
      </c>
      <c r="E23" s="8">
        <v>7610.121</v>
      </c>
      <c r="F23" s="8">
        <v>575.0</v>
      </c>
      <c r="G23" s="8">
        <v>545.0</v>
      </c>
      <c r="H23" s="8">
        <v>457.0</v>
      </c>
      <c r="I23" s="8">
        <v>621.0</v>
      </c>
      <c r="J23" s="8">
        <v>593.0</v>
      </c>
      <c r="K23" s="8">
        <v>498.0</v>
      </c>
      <c r="L23" s="8">
        <v>549.0</v>
      </c>
      <c r="M23" s="8">
        <v>624.0</v>
      </c>
      <c r="N23" s="8">
        <v>423.0</v>
      </c>
      <c r="O23" s="8">
        <v>17.71381</v>
      </c>
      <c r="P23" s="8">
        <v>16.65234</v>
      </c>
      <c r="Q23" s="8">
        <v>16.40168</v>
      </c>
      <c r="R23" s="8">
        <v>15.28137</v>
      </c>
      <c r="S23" s="8">
        <v>1.131148</v>
      </c>
      <c r="T23" s="8">
        <v>1.177305</v>
      </c>
      <c r="U23" s="8">
        <v>19018.0</v>
      </c>
      <c r="V23" s="8">
        <v>91170.0</v>
      </c>
      <c r="W23" s="8">
        <v>1749.0</v>
      </c>
      <c r="X23" s="8">
        <v>4610.0</v>
      </c>
      <c r="Y23" s="8">
        <v>2408.0</v>
      </c>
      <c r="Z23" s="9">
        <v>37842.0</v>
      </c>
      <c r="AA23" s="9">
        <v>37650.0</v>
      </c>
      <c r="AB23" s="9">
        <v>9886.0</v>
      </c>
      <c r="AC23" s="9">
        <v>375.0</v>
      </c>
      <c r="AD23" s="9">
        <v>0.0</v>
      </c>
      <c r="AE23" s="9">
        <v>3.0</v>
      </c>
      <c r="AF23" s="10" t="s">
        <v>63</v>
      </c>
    </row>
    <row r="24" ht="15.75" customHeight="1">
      <c r="A24" s="6">
        <v>44994.0</v>
      </c>
      <c r="B24" s="7" t="s">
        <v>27</v>
      </c>
      <c r="C24" s="8">
        <v>2206.745</v>
      </c>
      <c r="D24" s="8">
        <v>3794.0</v>
      </c>
      <c r="E24" s="8">
        <v>2408.903</v>
      </c>
      <c r="F24" s="8">
        <v>239.0</v>
      </c>
      <c r="G24" s="8">
        <v>227.0</v>
      </c>
      <c r="H24" s="8">
        <v>178.0</v>
      </c>
      <c r="I24" s="8">
        <v>334.0</v>
      </c>
      <c r="J24" s="8">
        <v>316.0</v>
      </c>
      <c r="K24" s="8">
        <v>250.0</v>
      </c>
      <c r="L24" s="8">
        <v>217.0</v>
      </c>
      <c r="M24" s="8">
        <v>240.0</v>
      </c>
      <c r="N24" s="8">
        <v>161.0</v>
      </c>
      <c r="O24" s="8">
        <v>9.233241</v>
      </c>
      <c r="P24" s="8">
        <v>13.53317</v>
      </c>
      <c r="Q24" s="8">
        <v>6.60702</v>
      </c>
      <c r="R24" s="8">
        <v>9.635614</v>
      </c>
      <c r="S24" s="8">
        <v>1.539171</v>
      </c>
      <c r="T24" s="8">
        <v>1.552795</v>
      </c>
      <c r="U24" s="8">
        <v>6655.0</v>
      </c>
      <c r="V24" s="8">
        <v>22313.0</v>
      </c>
      <c r="W24" s="8">
        <v>1129.0</v>
      </c>
      <c r="X24" s="8">
        <v>2534.0</v>
      </c>
      <c r="Y24" s="8">
        <v>1879.0</v>
      </c>
      <c r="Z24" s="9">
        <v>68207.0</v>
      </c>
      <c r="AA24" s="9">
        <v>67884.0</v>
      </c>
      <c r="AB24" s="9">
        <v>6332.0</v>
      </c>
      <c r="AC24" s="9">
        <v>259.0</v>
      </c>
      <c r="AD24" s="9">
        <v>3.0</v>
      </c>
      <c r="AE24" s="9">
        <v>12.0</v>
      </c>
      <c r="AF24" s="10" t="s">
        <v>66</v>
      </c>
    </row>
    <row r="25" ht="15.75" customHeight="1">
      <c r="A25" s="6">
        <v>44993.0</v>
      </c>
      <c r="B25" s="7" t="s">
        <v>13</v>
      </c>
      <c r="C25" s="8">
        <v>25.06903</v>
      </c>
      <c r="D25" s="8">
        <v>81.0</v>
      </c>
      <c r="E25" s="8">
        <v>94.62015</v>
      </c>
      <c r="F25" s="8">
        <v>18.0</v>
      </c>
      <c r="G25" s="8">
        <v>198.0</v>
      </c>
      <c r="H25" s="8">
        <v>38.0</v>
      </c>
      <c r="I25" s="8">
        <v>18.0</v>
      </c>
      <c r="J25" s="8">
        <v>199.0</v>
      </c>
      <c r="K25" s="8">
        <v>38.0</v>
      </c>
      <c r="L25" s="8">
        <v>15.0</v>
      </c>
      <c r="M25" s="8">
        <v>153.0</v>
      </c>
      <c r="N25" s="8">
        <v>35.0</v>
      </c>
      <c r="O25" s="8">
        <v>1.392724</v>
      </c>
      <c r="P25" s="8">
        <v>2.490004</v>
      </c>
      <c r="Q25" s="8">
        <v>1.392724</v>
      </c>
      <c r="R25" s="8">
        <v>2.490004</v>
      </c>
      <c r="S25" s="8">
        <v>1.2</v>
      </c>
      <c r="T25" s="8">
        <v>1.085714</v>
      </c>
      <c r="U25" s="8">
        <v>11.0</v>
      </c>
      <c r="V25" s="8">
        <v>12.0</v>
      </c>
      <c r="W25" s="8">
        <v>1.0</v>
      </c>
      <c r="X25" s="8">
        <v>1.0</v>
      </c>
      <c r="Y25" s="8">
        <v>1.0</v>
      </c>
      <c r="Z25" s="9">
        <v>4.0</v>
      </c>
      <c r="AA25" s="9">
        <v>4.0</v>
      </c>
      <c r="AB25" s="9">
        <v>4.0</v>
      </c>
      <c r="AC25" s="9">
        <v>9.0</v>
      </c>
      <c r="AD25" s="9">
        <v>8.0</v>
      </c>
      <c r="AE25" s="9">
        <v>0.0</v>
      </c>
      <c r="AF25" s="10" t="s">
        <v>15</v>
      </c>
    </row>
    <row r="26" ht="15.75" customHeight="1">
      <c r="A26" s="6">
        <v>44992.0</v>
      </c>
      <c r="B26" s="7" t="s">
        <v>27</v>
      </c>
      <c r="C26" s="8">
        <v>2988.661</v>
      </c>
      <c r="D26" s="8">
        <v>3448.0</v>
      </c>
      <c r="E26" s="8">
        <v>2172.253</v>
      </c>
      <c r="F26" s="8">
        <v>225.0</v>
      </c>
      <c r="G26" s="8">
        <v>224.0</v>
      </c>
      <c r="H26" s="8">
        <v>172.0</v>
      </c>
      <c r="I26" s="8">
        <v>288.0</v>
      </c>
      <c r="J26" s="8">
        <v>314.0</v>
      </c>
      <c r="K26" s="8">
        <v>220.0</v>
      </c>
      <c r="L26" s="8">
        <v>205.0</v>
      </c>
      <c r="M26" s="8">
        <v>236.0</v>
      </c>
      <c r="N26" s="8">
        <v>157.0</v>
      </c>
      <c r="O26" s="8">
        <v>13.28294</v>
      </c>
      <c r="P26" s="8">
        <v>12.62938</v>
      </c>
      <c r="Q26" s="8">
        <v>10.37729</v>
      </c>
      <c r="R26" s="8">
        <v>9.873878</v>
      </c>
      <c r="S26" s="8">
        <v>1.404878</v>
      </c>
      <c r="T26" s="8">
        <v>1.401274</v>
      </c>
      <c r="U26" s="8">
        <v>6856.0</v>
      </c>
      <c r="V26" s="8">
        <v>24629.0</v>
      </c>
      <c r="W26" s="8">
        <v>1299.0</v>
      </c>
      <c r="X26" s="8">
        <v>2781.0</v>
      </c>
      <c r="Y26" s="8">
        <v>1954.0</v>
      </c>
      <c r="Z26" s="9">
        <v>68056.0</v>
      </c>
      <c r="AA26" s="9">
        <v>67729.0</v>
      </c>
      <c r="AB26" s="9">
        <v>6547.0</v>
      </c>
      <c r="AC26" s="9">
        <v>248.0</v>
      </c>
      <c r="AD26" s="9">
        <v>4.0</v>
      </c>
      <c r="AE26" s="9">
        <v>5.0</v>
      </c>
      <c r="AF26" s="10" t="s">
        <v>66</v>
      </c>
    </row>
    <row r="27" ht="15.75" customHeight="1">
      <c r="A27" s="6">
        <v>44994.0</v>
      </c>
      <c r="B27" s="7" t="s">
        <v>17</v>
      </c>
      <c r="C27" s="8">
        <v>9649.546</v>
      </c>
      <c r="D27" s="8">
        <v>14483.0</v>
      </c>
      <c r="E27" s="8">
        <v>10971.03</v>
      </c>
      <c r="F27" s="8">
        <v>915.0</v>
      </c>
      <c r="G27" s="8">
        <v>919.0</v>
      </c>
      <c r="H27" s="8">
        <v>1035.0</v>
      </c>
      <c r="I27" s="8">
        <v>1212.0</v>
      </c>
      <c r="J27" s="8">
        <v>1189.0</v>
      </c>
      <c r="K27" s="8">
        <v>1288.0</v>
      </c>
      <c r="L27" s="8">
        <v>822.0</v>
      </c>
      <c r="M27" s="8">
        <v>1001.0</v>
      </c>
      <c r="N27" s="8">
        <v>880.0</v>
      </c>
      <c r="O27" s="8">
        <v>10.54595</v>
      </c>
      <c r="P27" s="8">
        <v>10.60003</v>
      </c>
      <c r="Q27" s="8">
        <v>7.961672</v>
      </c>
      <c r="R27" s="8">
        <v>8.517884</v>
      </c>
      <c r="S27" s="8">
        <v>1.474453</v>
      </c>
      <c r="T27" s="8">
        <v>1.463636</v>
      </c>
      <c r="U27" s="8">
        <v>41963.0</v>
      </c>
      <c r="V27" s="8">
        <v>1249945.0</v>
      </c>
      <c r="W27" s="8">
        <v>4663.0</v>
      </c>
      <c r="X27" s="8">
        <v>53524.0</v>
      </c>
      <c r="Y27" s="8">
        <v>8268.0</v>
      </c>
      <c r="Z27" s="9">
        <v>119170.0</v>
      </c>
      <c r="AA27" s="9">
        <v>118323.0</v>
      </c>
      <c r="AB27" s="9">
        <v>37148.0</v>
      </c>
      <c r="AC27" s="9">
        <v>879.0</v>
      </c>
      <c r="AD27" s="9">
        <v>9.0</v>
      </c>
      <c r="AE27" s="9">
        <v>115.0</v>
      </c>
      <c r="AF27" s="10" t="s">
        <v>17</v>
      </c>
    </row>
    <row r="28" ht="15.75" customHeight="1">
      <c r="A28" s="6">
        <v>44997.0</v>
      </c>
      <c r="B28" s="7" t="s">
        <v>19</v>
      </c>
      <c r="C28" s="8">
        <v>1801.703</v>
      </c>
      <c r="D28" s="8">
        <v>2107.0</v>
      </c>
      <c r="E28" s="8">
        <v>1554.903</v>
      </c>
      <c r="F28" s="8">
        <v>192.0</v>
      </c>
      <c r="G28" s="8">
        <v>181.0</v>
      </c>
      <c r="H28" s="8">
        <v>171.0</v>
      </c>
      <c r="I28" s="8">
        <v>233.0</v>
      </c>
      <c r="J28" s="8">
        <v>222.0</v>
      </c>
      <c r="K28" s="8">
        <v>210.0</v>
      </c>
      <c r="L28" s="8">
        <v>178.0</v>
      </c>
      <c r="M28" s="8">
        <v>200.0</v>
      </c>
      <c r="N28" s="8">
        <v>156.0</v>
      </c>
      <c r="O28" s="8">
        <v>9.383872</v>
      </c>
      <c r="P28" s="8">
        <v>9.093002</v>
      </c>
      <c r="Q28" s="8">
        <v>7.732633</v>
      </c>
      <c r="R28" s="8">
        <v>7.404302</v>
      </c>
      <c r="S28" s="8">
        <v>1.308989</v>
      </c>
      <c r="T28" s="8">
        <v>1.346154</v>
      </c>
      <c r="U28" s="8">
        <v>9042.0</v>
      </c>
      <c r="V28" s="8">
        <v>35357.0</v>
      </c>
      <c r="W28" s="8">
        <v>962.0</v>
      </c>
      <c r="X28" s="8">
        <v>1863.0</v>
      </c>
      <c r="Y28" s="8">
        <v>1278.0</v>
      </c>
      <c r="Z28" s="9">
        <v>24412.0</v>
      </c>
      <c r="AA28" s="9">
        <v>24297.0</v>
      </c>
      <c r="AB28" s="9">
        <v>7348.0</v>
      </c>
      <c r="AC28" s="9">
        <v>181.0</v>
      </c>
      <c r="AD28" s="9">
        <v>0.0</v>
      </c>
      <c r="AE28" s="9">
        <v>5.0</v>
      </c>
      <c r="AF28" s="11"/>
    </row>
    <row r="29" ht="15.75" customHeight="1">
      <c r="A29" s="6">
        <v>44994.0</v>
      </c>
      <c r="B29" s="7" t="s">
        <v>26</v>
      </c>
      <c r="C29" s="8">
        <v>1072.154</v>
      </c>
      <c r="D29" s="8">
        <v>949.0</v>
      </c>
      <c r="E29" s="8">
        <v>761.3281</v>
      </c>
      <c r="F29" s="8">
        <v>133.0</v>
      </c>
      <c r="G29" s="8">
        <v>114.0</v>
      </c>
      <c r="H29" s="8">
        <v>107.0</v>
      </c>
      <c r="I29" s="8">
        <v>223.0</v>
      </c>
      <c r="J29" s="8">
        <v>151.0</v>
      </c>
      <c r="K29" s="8">
        <v>151.0</v>
      </c>
      <c r="L29" s="8">
        <v>122.0</v>
      </c>
      <c r="M29" s="8">
        <v>121.0</v>
      </c>
      <c r="N29" s="8">
        <v>98.0</v>
      </c>
      <c r="O29" s="8">
        <v>8.061311</v>
      </c>
      <c r="P29" s="8">
        <v>7.115216</v>
      </c>
      <c r="Q29" s="8">
        <v>4.807867</v>
      </c>
      <c r="R29" s="8">
        <v>5.041908</v>
      </c>
      <c r="S29" s="8">
        <v>1.827869</v>
      </c>
      <c r="T29" s="8">
        <v>1.540816</v>
      </c>
      <c r="U29" s="8">
        <v>2440.0</v>
      </c>
      <c r="V29" s="8">
        <v>7251.0</v>
      </c>
      <c r="W29" s="8">
        <v>353.0</v>
      </c>
      <c r="X29" s="8">
        <v>838.0</v>
      </c>
      <c r="Y29" s="8">
        <v>495.0</v>
      </c>
      <c r="Z29" s="8">
        <v>8891.0</v>
      </c>
      <c r="AA29" s="8">
        <v>8838.0</v>
      </c>
      <c r="AB29" s="9">
        <v>1654.0</v>
      </c>
      <c r="AC29" s="8">
        <v>127.0</v>
      </c>
      <c r="AD29" s="8">
        <v>2.0</v>
      </c>
      <c r="AE29" s="8">
        <v>4.0</v>
      </c>
      <c r="AF29" s="10" t="s">
        <v>66</v>
      </c>
    </row>
    <row r="30" ht="15.75" customHeight="1">
      <c r="A30" s="6">
        <v>44991.0</v>
      </c>
      <c r="B30" s="7" t="s">
        <v>21</v>
      </c>
      <c r="C30" s="8">
        <v>3804.708</v>
      </c>
      <c r="D30" s="8">
        <v>3470.0</v>
      </c>
      <c r="E30" s="8">
        <v>2930.195</v>
      </c>
      <c r="F30" s="8">
        <v>575.0</v>
      </c>
      <c r="G30" s="8">
        <v>473.0</v>
      </c>
      <c r="H30" s="8">
        <v>438.0</v>
      </c>
      <c r="I30" s="8">
        <v>767.0</v>
      </c>
      <c r="J30" s="8">
        <v>546.0</v>
      </c>
      <c r="K30" s="8">
        <v>506.0</v>
      </c>
      <c r="L30" s="8">
        <v>509.0</v>
      </c>
      <c r="M30" s="8">
        <v>532.0</v>
      </c>
      <c r="N30" s="8">
        <v>400.0</v>
      </c>
      <c r="O30" s="8">
        <v>6.616884</v>
      </c>
      <c r="P30" s="8">
        <v>6.689942</v>
      </c>
      <c r="Q30" s="8">
        <v>4.960506</v>
      </c>
      <c r="R30" s="8">
        <v>5.790899</v>
      </c>
      <c r="S30" s="8">
        <v>1.506876</v>
      </c>
      <c r="T30" s="8">
        <v>1.265</v>
      </c>
      <c r="U30" s="8">
        <v>20176.0</v>
      </c>
      <c r="V30" s="8">
        <v>130749.0</v>
      </c>
      <c r="W30" s="8">
        <v>2507.0</v>
      </c>
      <c r="X30" s="8">
        <v>8172.0</v>
      </c>
      <c r="Y30" s="8">
        <v>4512.0</v>
      </c>
      <c r="Z30" s="9">
        <v>90174.0</v>
      </c>
      <c r="AA30" s="9">
        <v>89701.0</v>
      </c>
      <c r="AB30" s="9">
        <v>18538.0</v>
      </c>
      <c r="AC30" s="9">
        <v>497.0</v>
      </c>
      <c r="AD30" s="9">
        <v>5.0</v>
      </c>
      <c r="AE30" s="9">
        <v>132.0</v>
      </c>
      <c r="AF30" s="10" t="s">
        <v>17</v>
      </c>
    </row>
    <row r="31" ht="15.75" customHeight="1">
      <c r="A31" s="6">
        <v>44992.0</v>
      </c>
      <c r="B31" s="7" t="s">
        <v>30</v>
      </c>
      <c r="C31" s="8">
        <v>6757.32</v>
      </c>
      <c r="D31" s="8">
        <v>6765.0</v>
      </c>
      <c r="E31" s="8">
        <v>4389.16</v>
      </c>
      <c r="F31" s="8">
        <v>429.0</v>
      </c>
      <c r="G31" s="8">
        <v>327.0</v>
      </c>
      <c r="H31" s="8">
        <v>313.0</v>
      </c>
      <c r="I31" s="8">
        <v>490.0</v>
      </c>
      <c r="J31" s="8">
        <v>381.0</v>
      </c>
      <c r="K31" s="8">
        <v>355.0</v>
      </c>
      <c r="L31" s="8">
        <v>397.0</v>
      </c>
      <c r="M31" s="8">
        <v>367.0</v>
      </c>
      <c r="N31" s="8">
        <v>291.0</v>
      </c>
      <c r="O31" s="8">
        <v>15.75133</v>
      </c>
      <c r="P31" s="8">
        <v>14.02287</v>
      </c>
      <c r="Q31" s="8">
        <v>13.79045</v>
      </c>
      <c r="R31" s="8">
        <v>12.36383</v>
      </c>
      <c r="S31" s="8">
        <v>1.234257</v>
      </c>
      <c r="T31" s="8">
        <v>1.219931</v>
      </c>
      <c r="U31" s="8">
        <v>16247.0</v>
      </c>
      <c r="V31" s="8">
        <v>170066.0</v>
      </c>
      <c r="W31" s="8">
        <v>1440.0</v>
      </c>
      <c r="X31" s="8">
        <v>6570.0</v>
      </c>
      <c r="Y31" s="8">
        <v>2153.0</v>
      </c>
      <c r="Z31" s="9">
        <v>23350.0</v>
      </c>
      <c r="AA31" s="9">
        <v>23172.0</v>
      </c>
      <c r="AB31" s="9">
        <v>9780.0</v>
      </c>
      <c r="AC31" s="9">
        <v>337.0</v>
      </c>
      <c r="AD31" s="9">
        <v>8.0</v>
      </c>
      <c r="AE31" s="9">
        <v>38.0</v>
      </c>
      <c r="AF31" s="10" t="s">
        <v>66</v>
      </c>
    </row>
    <row r="32" ht="15.75" customHeight="1">
      <c r="A32" s="6">
        <v>44994.0</v>
      </c>
      <c r="B32" s="7" t="s">
        <v>29</v>
      </c>
      <c r="C32" s="8">
        <v>572.618</v>
      </c>
      <c r="D32" s="8">
        <v>917.0</v>
      </c>
      <c r="E32" s="8">
        <v>558.6349</v>
      </c>
      <c r="F32" s="8">
        <v>74.0</v>
      </c>
      <c r="G32" s="8">
        <v>77.0</v>
      </c>
      <c r="H32" s="8">
        <v>75.0</v>
      </c>
      <c r="I32" s="8">
        <v>115.0</v>
      </c>
      <c r="J32" s="8">
        <v>121.0</v>
      </c>
      <c r="K32" s="8">
        <v>127.0</v>
      </c>
      <c r="L32" s="8">
        <v>68.0</v>
      </c>
      <c r="M32" s="8">
        <v>82.0</v>
      </c>
      <c r="N32" s="8">
        <v>71.0</v>
      </c>
      <c r="O32" s="8">
        <v>7.738081</v>
      </c>
      <c r="P32" s="8">
        <v>7.448466</v>
      </c>
      <c r="Q32" s="8">
        <v>4.979287</v>
      </c>
      <c r="R32" s="8">
        <v>4.3987</v>
      </c>
      <c r="S32" s="8">
        <v>1.691176</v>
      </c>
      <c r="T32" s="8">
        <v>1.788732</v>
      </c>
      <c r="U32" s="8">
        <v>1852.0</v>
      </c>
      <c r="V32" s="8">
        <v>6190.0</v>
      </c>
      <c r="W32" s="8">
        <v>268.0</v>
      </c>
      <c r="X32" s="8">
        <v>650.0</v>
      </c>
      <c r="Y32" s="8">
        <v>409.0</v>
      </c>
      <c r="Z32" s="9">
        <v>8278.0</v>
      </c>
      <c r="AA32" s="9">
        <v>8201.0</v>
      </c>
      <c r="AB32" s="9">
        <v>1994.0</v>
      </c>
      <c r="AC32" s="8">
        <v>94.0</v>
      </c>
      <c r="AD32" s="8">
        <v>0.0</v>
      </c>
      <c r="AE32" s="8">
        <v>4.0</v>
      </c>
      <c r="AF32" s="10" t="s">
        <v>64</v>
      </c>
    </row>
    <row r="33" ht="15.75" customHeight="1">
      <c r="A33" s="6">
        <v>44995.0</v>
      </c>
      <c r="B33" s="7" t="s">
        <v>25</v>
      </c>
      <c r="C33" s="8">
        <v>1687.133</v>
      </c>
      <c r="D33" s="8">
        <v>2901.0</v>
      </c>
      <c r="E33" s="8">
        <v>2253.633</v>
      </c>
      <c r="F33" s="8">
        <v>213.0</v>
      </c>
      <c r="G33" s="8">
        <v>267.0</v>
      </c>
      <c r="H33" s="8">
        <v>279.0</v>
      </c>
      <c r="I33" s="8">
        <v>248.0</v>
      </c>
      <c r="J33" s="8">
        <v>329.0</v>
      </c>
      <c r="K33" s="8">
        <v>342.0</v>
      </c>
      <c r="L33" s="8">
        <v>204.0</v>
      </c>
      <c r="M33" s="8">
        <v>300.0</v>
      </c>
      <c r="N33" s="8">
        <v>252.0</v>
      </c>
      <c r="O33" s="8">
        <v>7.920812</v>
      </c>
      <c r="P33" s="8">
        <v>8.077538</v>
      </c>
      <c r="Q33" s="8">
        <v>6.802955</v>
      </c>
      <c r="R33" s="8">
        <v>6.58957</v>
      </c>
      <c r="S33" s="8">
        <v>1.215686</v>
      </c>
      <c r="T33" s="8">
        <v>1.357143</v>
      </c>
      <c r="U33" s="8">
        <v>7782.0</v>
      </c>
      <c r="V33" s="8">
        <v>28600.0</v>
      </c>
      <c r="W33" s="8">
        <v>887.0</v>
      </c>
      <c r="X33" s="8">
        <v>2308.0</v>
      </c>
      <c r="Y33" s="8">
        <v>1268.0</v>
      </c>
      <c r="Z33" s="9">
        <v>25784.0</v>
      </c>
      <c r="AA33" s="9">
        <v>25628.0</v>
      </c>
      <c r="AB33" s="9">
        <v>5903.0</v>
      </c>
      <c r="AC33" s="9">
        <v>187.0</v>
      </c>
      <c r="AD33" s="9">
        <v>1.0</v>
      </c>
      <c r="AE33" s="9">
        <v>1.0</v>
      </c>
      <c r="AF33" s="10" t="s">
        <v>66</v>
      </c>
    </row>
    <row r="34" ht="15.75" customHeight="1">
      <c r="A34" s="6">
        <v>44996.0</v>
      </c>
      <c r="B34" s="7" t="s">
        <v>10</v>
      </c>
      <c r="C34" s="8">
        <v>1075.935</v>
      </c>
      <c r="D34" s="8">
        <v>1024.0</v>
      </c>
      <c r="E34" s="8">
        <v>957.7912</v>
      </c>
      <c r="F34" s="8">
        <v>130.0</v>
      </c>
      <c r="G34" s="8">
        <v>108.0</v>
      </c>
      <c r="H34" s="8">
        <v>101.0</v>
      </c>
      <c r="I34" s="8">
        <v>195.0</v>
      </c>
      <c r="J34" s="8">
        <v>147.0</v>
      </c>
      <c r="K34" s="8">
        <v>134.0</v>
      </c>
      <c r="L34" s="8">
        <v>120.0</v>
      </c>
      <c r="M34" s="8">
        <v>110.0</v>
      </c>
      <c r="N34" s="8">
        <v>89.0</v>
      </c>
      <c r="O34" s="8">
        <v>8.276421</v>
      </c>
      <c r="P34" s="8">
        <v>9.483081</v>
      </c>
      <c r="Q34" s="8">
        <v>5.517614</v>
      </c>
      <c r="R34" s="8">
        <v>7.147695</v>
      </c>
      <c r="S34" s="8">
        <v>1.625</v>
      </c>
      <c r="T34" s="8">
        <v>1.505618</v>
      </c>
      <c r="U34" s="8">
        <v>4155.0</v>
      </c>
      <c r="V34" s="8">
        <v>18555.0</v>
      </c>
      <c r="W34" s="8">
        <v>463.0</v>
      </c>
      <c r="X34" s="8">
        <v>1625.0</v>
      </c>
      <c r="Y34" s="8">
        <v>659.0</v>
      </c>
      <c r="Z34" s="9">
        <v>11954.0</v>
      </c>
      <c r="AA34" s="9">
        <v>11839.0</v>
      </c>
      <c r="AB34" s="9">
        <v>2403.0</v>
      </c>
      <c r="AC34" s="9">
        <v>96.0</v>
      </c>
      <c r="AD34" s="9">
        <v>0.0</v>
      </c>
      <c r="AE34" s="9">
        <v>4.0</v>
      </c>
      <c r="AF34" s="10" t="s">
        <v>66</v>
      </c>
    </row>
    <row r="35" ht="15.75" customHeight="1">
      <c r="A35" s="6">
        <v>44993.0</v>
      </c>
      <c r="B35" s="7" t="s">
        <v>17</v>
      </c>
      <c r="C35" s="11"/>
      <c r="D35" s="8">
        <v>15039.0</v>
      </c>
      <c r="E35" s="8">
        <v>12650.68</v>
      </c>
      <c r="F35" s="8">
        <v>1071.0</v>
      </c>
      <c r="G35" s="8">
        <v>955.0</v>
      </c>
      <c r="H35" s="8">
        <v>1109.0</v>
      </c>
      <c r="I35" s="8">
        <v>1377.0</v>
      </c>
      <c r="J35" s="8">
        <v>1235.0</v>
      </c>
      <c r="K35" s="8">
        <v>1395.0</v>
      </c>
      <c r="L35" s="8">
        <v>959.0</v>
      </c>
      <c r="M35" s="8">
        <v>1040.0</v>
      </c>
      <c r="N35" s="8">
        <v>949.0</v>
      </c>
      <c r="O35" s="8">
        <v>10.51615</v>
      </c>
      <c r="P35" s="8">
        <v>11.40728</v>
      </c>
      <c r="Q35" s="8">
        <v>8.179228</v>
      </c>
      <c r="R35" s="8">
        <v>9.068584</v>
      </c>
      <c r="S35" s="8">
        <v>1.435871</v>
      </c>
      <c r="T35" s="8">
        <v>1.469968</v>
      </c>
      <c r="U35" s="8">
        <v>45093.0</v>
      </c>
      <c r="V35" s="8">
        <v>1402872.0</v>
      </c>
      <c r="W35" s="8">
        <v>4832.0</v>
      </c>
      <c r="X35" s="8">
        <v>53603.0</v>
      </c>
      <c r="Y35" s="8">
        <v>8633.0</v>
      </c>
      <c r="Z35" s="9">
        <v>118964.0</v>
      </c>
      <c r="AA35" s="9">
        <v>118160.0</v>
      </c>
      <c r="AB35" s="9">
        <v>38383.0</v>
      </c>
      <c r="AC35" s="9">
        <v>1034.0</v>
      </c>
      <c r="AD35" s="9">
        <v>9.0</v>
      </c>
      <c r="AE35" s="9">
        <v>134.0</v>
      </c>
      <c r="AF35" s="10" t="s">
        <v>17</v>
      </c>
    </row>
    <row r="36" ht="15.75" customHeight="1">
      <c r="A36" s="6">
        <v>44997.0</v>
      </c>
      <c r="B36" s="7" t="s">
        <v>14</v>
      </c>
      <c r="C36" s="8">
        <v>9408.653</v>
      </c>
      <c r="D36" s="8">
        <v>10923.0</v>
      </c>
      <c r="E36" s="8">
        <v>5140.707</v>
      </c>
      <c r="F36" s="8">
        <v>318.0</v>
      </c>
      <c r="G36" s="8">
        <v>264.0</v>
      </c>
      <c r="H36" s="8">
        <v>253.0</v>
      </c>
      <c r="I36" s="8">
        <v>368.0</v>
      </c>
      <c r="J36" s="8">
        <v>335.0</v>
      </c>
      <c r="K36" s="8">
        <v>319.0</v>
      </c>
      <c r="L36" s="8">
        <v>301.0</v>
      </c>
      <c r="M36" s="8">
        <v>295.0</v>
      </c>
      <c r="N36" s="8">
        <v>220.0</v>
      </c>
      <c r="O36" s="8">
        <v>29.58696</v>
      </c>
      <c r="P36" s="8">
        <v>20.319</v>
      </c>
      <c r="Q36" s="8">
        <v>25.56699</v>
      </c>
      <c r="R36" s="8">
        <v>16.11507</v>
      </c>
      <c r="S36" s="8">
        <v>1.222591</v>
      </c>
      <c r="T36" s="8">
        <v>1.45</v>
      </c>
      <c r="U36" s="8">
        <v>12211.0</v>
      </c>
      <c r="V36" s="8">
        <v>44721.0</v>
      </c>
      <c r="W36" s="8">
        <v>1240.0</v>
      </c>
      <c r="X36" s="8">
        <v>2758.0</v>
      </c>
      <c r="Y36" s="8">
        <v>2023.0</v>
      </c>
      <c r="Z36" s="9">
        <v>35593.0</v>
      </c>
      <c r="AA36" s="9">
        <v>35415.0</v>
      </c>
      <c r="AB36" s="9">
        <v>8766.0</v>
      </c>
      <c r="AC36" s="9">
        <v>277.0</v>
      </c>
      <c r="AD36" s="9">
        <v>0.0</v>
      </c>
      <c r="AE36" s="9">
        <v>1.0</v>
      </c>
      <c r="AF36" s="10" t="s">
        <v>63</v>
      </c>
    </row>
    <row r="37" ht="15.75" customHeight="1">
      <c r="A37" s="6">
        <v>44996.0</v>
      </c>
      <c r="B37" s="7" t="s">
        <v>20</v>
      </c>
      <c r="C37" s="8">
        <v>5508.462</v>
      </c>
      <c r="D37" s="8">
        <v>4746.0</v>
      </c>
      <c r="E37" s="8">
        <v>3316.221</v>
      </c>
      <c r="F37" s="8">
        <v>512.0</v>
      </c>
      <c r="G37" s="8">
        <v>411.0</v>
      </c>
      <c r="H37" s="8">
        <v>269.0</v>
      </c>
      <c r="I37" s="8">
        <v>1663.0</v>
      </c>
      <c r="J37" s="8">
        <v>1101.0</v>
      </c>
      <c r="K37" s="8">
        <v>907.0</v>
      </c>
      <c r="L37" s="8">
        <v>469.0</v>
      </c>
      <c r="M37" s="8">
        <v>425.0</v>
      </c>
      <c r="N37" s="8">
        <v>251.0</v>
      </c>
      <c r="O37" s="8">
        <v>10.75872</v>
      </c>
      <c r="P37" s="8">
        <v>12.32796</v>
      </c>
      <c r="Q37" s="8">
        <v>3.312365</v>
      </c>
      <c r="R37" s="8">
        <v>3.656253</v>
      </c>
      <c r="S37" s="8">
        <v>3.545842</v>
      </c>
      <c r="T37" s="8">
        <v>3.613546</v>
      </c>
      <c r="U37" s="8">
        <v>12057.0</v>
      </c>
      <c r="V37" s="8">
        <v>29870.0</v>
      </c>
      <c r="W37" s="8">
        <v>1481.0</v>
      </c>
      <c r="X37" s="8">
        <v>4962.0</v>
      </c>
      <c r="Y37" s="8">
        <v>3268.0</v>
      </c>
      <c r="Z37" s="9">
        <v>24184.0</v>
      </c>
      <c r="AA37" s="9">
        <v>23463.0</v>
      </c>
      <c r="AB37" s="9">
        <v>7262.0</v>
      </c>
      <c r="AC37" s="9">
        <v>742.0</v>
      </c>
      <c r="AD37" s="9">
        <v>0.0</v>
      </c>
      <c r="AE37" s="9">
        <v>785.0</v>
      </c>
      <c r="AF37" s="10" t="s">
        <v>64</v>
      </c>
    </row>
    <row r="38" ht="15.75" customHeight="1">
      <c r="A38" s="6">
        <v>44996.0</v>
      </c>
      <c r="B38" s="7" t="s">
        <v>25</v>
      </c>
      <c r="C38" s="8">
        <v>1951.625</v>
      </c>
      <c r="D38" s="8">
        <v>2852.0</v>
      </c>
      <c r="E38" s="8">
        <v>1978.056</v>
      </c>
      <c r="F38" s="8">
        <v>224.0</v>
      </c>
      <c r="G38" s="8">
        <v>267.0</v>
      </c>
      <c r="H38" s="8">
        <v>241.0</v>
      </c>
      <c r="I38" s="8">
        <v>278.0</v>
      </c>
      <c r="J38" s="8">
        <v>329.0</v>
      </c>
      <c r="K38" s="8">
        <v>298.0</v>
      </c>
      <c r="L38" s="8">
        <v>203.0</v>
      </c>
      <c r="M38" s="8">
        <v>300.0</v>
      </c>
      <c r="N38" s="8">
        <v>222.0</v>
      </c>
      <c r="O38" s="8">
        <v>8.71261</v>
      </c>
      <c r="P38" s="8">
        <v>8.207699</v>
      </c>
      <c r="Q38" s="8">
        <v>7.020233</v>
      </c>
      <c r="R38" s="8">
        <v>6.63777</v>
      </c>
      <c r="S38" s="8">
        <v>1.369458</v>
      </c>
      <c r="T38" s="8">
        <v>1.342342</v>
      </c>
      <c r="U38" s="8">
        <v>8676.0</v>
      </c>
      <c r="V38" s="8">
        <v>34558.0</v>
      </c>
      <c r="W38" s="8">
        <v>985.0</v>
      </c>
      <c r="X38" s="8">
        <v>2429.0</v>
      </c>
      <c r="Y38" s="8">
        <v>1389.0</v>
      </c>
      <c r="Z38" s="9">
        <v>25642.0</v>
      </c>
      <c r="AA38" s="9">
        <v>25485.0</v>
      </c>
      <c r="AB38" s="9">
        <v>6478.0</v>
      </c>
      <c r="AC38" s="9">
        <v>190.0</v>
      </c>
      <c r="AD38" s="9">
        <v>1.0</v>
      </c>
      <c r="AE38" s="9">
        <v>0.0</v>
      </c>
      <c r="AF38" s="10" t="s">
        <v>66</v>
      </c>
    </row>
    <row r="39" ht="15.75" customHeight="1">
      <c r="A39" s="6">
        <v>44991.0</v>
      </c>
      <c r="B39" s="7" t="s">
        <v>25</v>
      </c>
      <c r="C39" s="8">
        <v>1694.302</v>
      </c>
      <c r="D39" s="8">
        <v>2105.0</v>
      </c>
      <c r="E39" s="8">
        <v>2048.149</v>
      </c>
      <c r="F39" s="8">
        <v>220.0</v>
      </c>
      <c r="G39" s="8">
        <v>189.0</v>
      </c>
      <c r="H39" s="8">
        <v>223.0</v>
      </c>
      <c r="I39" s="8">
        <v>283.0</v>
      </c>
      <c r="J39" s="8">
        <v>200.0</v>
      </c>
      <c r="K39" s="8">
        <v>322.0</v>
      </c>
      <c r="L39" s="8">
        <v>204.0</v>
      </c>
      <c r="M39" s="8">
        <v>212.0</v>
      </c>
      <c r="N39" s="8">
        <v>194.0</v>
      </c>
      <c r="O39" s="8">
        <v>7.701374</v>
      </c>
      <c r="P39" s="8">
        <v>9.184523</v>
      </c>
      <c r="Q39" s="8">
        <v>5.986934</v>
      </c>
      <c r="R39" s="8">
        <v>6.36071</v>
      </c>
      <c r="S39" s="8">
        <v>1.387255</v>
      </c>
      <c r="T39" s="8">
        <v>1.659794</v>
      </c>
      <c r="U39" s="8">
        <v>8799.0</v>
      </c>
      <c r="V39" s="8">
        <v>32289.0</v>
      </c>
      <c r="W39" s="8">
        <v>919.0</v>
      </c>
      <c r="X39" s="8">
        <v>2370.0</v>
      </c>
      <c r="Y39" s="8">
        <v>1316.0</v>
      </c>
      <c r="Z39" s="9">
        <v>25175.0</v>
      </c>
      <c r="AA39" s="9">
        <v>25038.0</v>
      </c>
      <c r="AB39" s="9">
        <v>5701.0</v>
      </c>
      <c r="AC39" s="9">
        <v>195.0</v>
      </c>
      <c r="AD39" s="9">
        <v>11.0</v>
      </c>
      <c r="AE39" s="9">
        <v>4.0</v>
      </c>
      <c r="AF39" s="10" t="s">
        <v>66</v>
      </c>
    </row>
    <row r="40" ht="15.75" customHeight="1">
      <c r="A40" s="6">
        <v>44991.0</v>
      </c>
      <c r="B40" s="7" t="s">
        <v>65</v>
      </c>
      <c r="C40" s="8">
        <v>5813.38</v>
      </c>
      <c r="D40" s="10">
        <v>5062.0</v>
      </c>
      <c r="E40" s="8">
        <v>4818.996</v>
      </c>
      <c r="F40" s="8">
        <v>417.0</v>
      </c>
      <c r="G40" s="10">
        <v>325.0</v>
      </c>
      <c r="H40" s="8">
        <v>344.0</v>
      </c>
      <c r="I40" s="8">
        <v>596.0</v>
      </c>
      <c r="J40" s="10">
        <v>370.0</v>
      </c>
      <c r="K40" s="8">
        <v>467.0</v>
      </c>
      <c r="L40" s="8">
        <v>371.0</v>
      </c>
      <c r="M40" s="10">
        <v>349.0</v>
      </c>
      <c r="N40" s="8">
        <v>319.0</v>
      </c>
      <c r="O40" s="8">
        <v>13.94096</v>
      </c>
      <c r="P40" s="8">
        <v>14.00871</v>
      </c>
      <c r="Q40" s="8">
        <v>9.753993</v>
      </c>
      <c r="R40" s="8">
        <v>10.31905</v>
      </c>
      <c r="S40" s="8">
        <v>1.606469</v>
      </c>
      <c r="T40" s="8">
        <v>1.46395</v>
      </c>
      <c r="U40" s="8">
        <v>14426.0</v>
      </c>
      <c r="V40" s="8">
        <v>66710.0</v>
      </c>
      <c r="W40" s="8">
        <v>1980.0</v>
      </c>
      <c r="X40" s="8">
        <v>5279.0</v>
      </c>
      <c r="Y40" s="8">
        <v>3030.0</v>
      </c>
      <c r="Z40" s="9">
        <v>55283.0</v>
      </c>
      <c r="AA40" s="9">
        <v>55058.0</v>
      </c>
      <c r="AB40" s="9">
        <v>11209.0</v>
      </c>
      <c r="AC40" s="9">
        <v>347.0</v>
      </c>
      <c r="AD40" s="9">
        <v>14.0</v>
      </c>
      <c r="AE40" s="9">
        <v>17.0</v>
      </c>
      <c r="AF40" s="10" t="s">
        <v>66</v>
      </c>
    </row>
    <row r="41" ht="15.75" customHeight="1">
      <c r="A41" s="6">
        <v>44991.0</v>
      </c>
      <c r="B41" s="7" t="s">
        <v>14</v>
      </c>
      <c r="C41" s="8">
        <v>5476.744</v>
      </c>
      <c r="D41" s="8">
        <v>6775.0</v>
      </c>
      <c r="E41" s="8">
        <v>8998.199</v>
      </c>
      <c r="F41" s="8">
        <v>294.0</v>
      </c>
      <c r="G41" s="8">
        <v>232.0</v>
      </c>
      <c r="H41" s="8">
        <v>275.0</v>
      </c>
      <c r="I41" s="8">
        <v>367.0</v>
      </c>
      <c r="J41" s="8">
        <v>254.0</v>
      </c>
      <c r="K41" s="8">
        <v>331.0</v>
      </c>
      <c r="L41" s="8">
        <v>257.0</v>
      </c>
      <c r="M41" s="8">
        <v>257.0</v>
      </c>
      <c r="N41" s="8">
        <v>253.0</v>
      </c>
      <c r="O41" s="8">
        <v>18.62838</v>
      </c>
      <c r="P41" s="8">
        <v>32.72072</v>
      </c>
      <c r="Q41" s="8">
        <v>14.92301</v>
      </c>
      <c r="R41" s="8">
        <v>27.18489</v>
      </c>
      <c r="S41" s="8">
        <v>1.428016</v>
      </c>
      <c r="T41" s="8">
        <v>1.3083</v>
      </c>
      <c r="U41" s="8">
        <v>11524.0</v>
      </c>
      <c r="V41" s="8">
        <v>44776.0</v>
      </c>
      <c r="W41" s="8">
        <v>1216.0</v>
      </c>
      <c r="X41" s="8">
        <v>2840.0</v>
      </c>
      <c r="Y41" s="8">
        <v>2047.0</v>
      </c>
      <c r="Z41" s="9">
        <v>34778.0</v>
      </c>
      <c r="AA41" s="9">
        <v>34624.0</v>
      </c>
      <c r="AB41" s="9">
        <v>8720.0</v>
      </c>
      <c r="AC41" s="9">
        <v>256.0</v>
      </c>
      <c r="AD41" s="9">
        <v>13.0</v>
      </c>
      <c r="AE41" s="9">
        <v>5.0</v>
      </c>
      <c r="AF41" s="10" t="s">
        <v>63</v>
      </c>
    </row>
    <row r="42" ht="15.75" customHeight="1">
      <c r="A42" s="6">
        <v>44996.0</v>
      </c>
      <c r="B42" s="7" t="s">
        <v>15</v>
      </c>
      <c r="C42" s="9">
        <v>37.0891</v>
      </c>
      <c r="D42" s="9">
        <v>114.0</v>
      </c>
      <c r="E42" s="9">
        <v>6947.861</v>
      </c>
      <c r="F42" s="9">
        <v>10.0</v>
      </c>
      <c r="G42" s="9">
        <v>5.0</v>
      </c>
      <c r="H42" s="9">
        <v>1011.0</v>
      </c>
      <c r="I42" s="9">
        <v>10.0</v>
      </c>
      <c r="J42" s="9">
        <v>6.0</v>
      </c>
      <c r="K42" s="9">
        <v>1036.0</v>
      </c>
      <c r="L42" s="9">
        <v>8.0</v>
      </c>
      <c r="M42" s="9">
        <v>6.0</v>
      </c>
      <c r="N42" s="9">
        <v>764.0</v>
      </c>
      <c r="O42" s="9">
        <v>3.70891</v>
      </c>
      <c r="P42" s="9">
        <v>6.872266</v>
      </c>
      <c r="Q42" s="9">
        <v>3.70891</v>
      </c>
      <c r="R42" s="9">
        <v>6.706429</v>
      </c>
      <c r="S42" s="9">
        <v>1.25</v>
      </c>
      <c r="T42" s="9">
        <v>1.356021</v>
      </c>
      <c r="U42" s="9">
        <v>696.0</v>
      </c>
      <c r="V42" s="9">
        <v>1662.0</v>
      </c>
      <c r="W42" s="9">
        <v>61.0</v>
      </c>
      <c r="X42" s="9">
        <v>76.0</v>
      </c>
      <c r="Y42" s="9">
        <v>68.0</v>
      </c>
      <c r="Z42" s="9">
        <v>1166.0</v>
      </c>
      <c r="AA42" s="9">
        <v>1165.0</v>
      </c>
      <c r="AB42" s="9">
        <v>309.0</v>
      </c>
      <c r="AC42" s="9">
        <v>4.0</v>
      </c>
      <c r="AD42" s="9">
        <v>0.0</v>
      </c>
      <c r="AE42" s="9">
        <v>0.0</v>
      </c>
      <c r="AF42" s="10" t="s">
        <v>15</v>
      </c>
    </row>
    <row r="43" ht="15.75" customHeight="1">
      <c r="A43" s="6">
        <v>44991.0</v>
      </c>
      <c r="B43" s="7" t="s">
        <v>23</v>
      </c>
      <c r="C43" s="8">
        <v>4643.491</v>
      </c>
      <c r="D43" s="8">
        <v>5900.0</v>
      </c>
      <c r="E43" s="8">
        <v>5448.723</v>
      </c>
      <c r="F43" s="8">
        <v>215.0</v>
      </c>
      <c r="G43" s="8">
        <v>209.0</v>
      </c>
      <c r="H43" s="8">
        <v>271.0</v>
      </c>
      <c r="I43" s="8">
        <v>250.0</v>
      </c>
      <c r="J43" s="8">
        <v>205.0</v>
      </c>
      <c r="K43" s="8">
        <v>312.0</v>
      </c>
      <c r="L43" s="8">
        <v>200.0</v>
      </c>
      <c r="M43" s="8">
        <v>232.0</v>
      </c>
      <c r="N43" s="8">
        <v>251.0</v>
      </c>
      <c r="O43" s="8">
        <v>21.59763</v>
      </c>
      <c r="P43" s="8">
        <v>20.10599</v>
      </c>
      <c r="Q43" s="8">
        <v>18.57396</v>
      </c>
      <c r="R43" s="8">
        <v>17.46386</v>
      </c>
      <c r="S43" s="8">
        <v>1.25</v>
      </c>
      <c r="T43" s="8">
        <v>1.243028</v>
      </c>
      <c r="U43" s="8">
        <v>10370.0</v>
      </c>
      <c r="V43" s="8">
        <v>30206.0</v>
      </c>
      <c r="W43" s="8">
        <v>1076.0</v>
      </c>
      <c r="X43" s="8">
        <v>1979.0</v>
      </c>
      <c r="Y43" s="8">
        <v>1475.0</v>
      </c>
      <c r="Z43" s="9">
        <v>31815.0</v>
      </c>
      <c r="AA43" s="9">
        <v>31666.0</v>
      </c>
      <c r="AB43" s="9">
        <v>7547.0</v>
      </c>
      <c r="AC43" s="9">
        <v>173.0</v>
      </c>
      <c r="AD43" s="9">
        <v>6.0</v>
      </c>
      <c r="AE43" s="9">
        <v>6.0</v>
      </c>
      <c r="AF43" s="10" t="s">
        <v>63</v>
      </c>
    </row>
    <row r="44" ht="15.75" customHeight="1">
      <c r="A44" s="6">
        <v>44997.0</v>
      </c>
      <c r="B44" s="7" t="s">
        <v>12</v>
      </c>
      <c r="C44" s="8">
        <v>1971.792</v>
      </c>
      <c r="D44" s="8">
        <v>2727.0</v>
      </c>
      <c r="E44" s="8">
        <v>1954.71</v>
      </c>
      <c r="F44" s="8">
        <v>129.0</v>
      </c>
      <c r="G44" s="8">
        <v>113.0</v>
      </c>
      <c r="H44" s="8">
        <v>116.0</v>
      </c>
      <c r="I44" s="8">
        <v>140.0</v>
      </c>
      <c r="J44" s="8">
        <v>123.0</v>
      </c>
      <c r="K44" s="8">
        <v>122.0</v>
      </c>
      <c r="L44" s="8">
        <v>115.0</v>
      </c>
      <c r="M44" s="8">
        <v>129.0</v>
      </c>
      <c r="N44" s="8">
        <v>111.0</v>
      </c>
      <c r="O44" s="8">
        <v>15.28521</v>
      </c>
      <c r="P44" s="8">
        <v>16.85095</v>
      </c>
      <c r="Q44" s="8">
        <v>14.08423</v>
      </c>
      <c r="R44" s="8">
        <v>16.02222</v>
      </c>
      <c r="S44" s="8">
        <v>1.217391</v>
      </c>
      <c r="T44" s="8">
        <v>1.099099</v>
      </c>
      <c r="U44" s="8">
        <v>6418.0</v>
      </c>
      <c r="V44" s="8">
        <v>17895.0</v>
      </c>
      <c r="W44" s="8">
        <v>522.0</v>
      </c>
      <c r="X44" s="8">
        <v>876.0</v>
      </c>
      <c r="Y44" s="8">
        <v>652.0</v>
      </c>
      <c r="Z44" s="9">
        <v>12230.0</v>
      </c>
      <c r="AA44" s="9">
        <v>12160.0</v>
      </c>
      <c r="AB44" s="9">
        <v>3400.0</v>
      </c>
      <c r="AC44" s="9">
        <v>91.0</v>
      </c>
      <c r="AD44" s="9">
        <v>1.0</v>
      </c>
      <c r="AE44" s="9">
        <v>0.0</v>
      </c>
      <c r="AF44" s="10" t="s">
        <v>63</v>
      </c>
    </row>
    <row r="45" ht="15.75" customHeight="1">
      <c r="A45" s="6">
        <v>44997.0</v>
      </c>
      <c r="B45" s="7" t="s">
        <v>13</v>
      </c>
      <c r="C45" s="8">
        <v>467.9471</v>
      </c>
      <c r="D45" s="8">
        <v>74.0</v>
      </c>
      <c r="E45" s="8">
        <v>129.9901</v>
      </c>
      <c r="F45" s="8">
        <v>305.0</v>
      </c>
      <c r="G45" s="8">
        <v>194.0</v>
      </c>
      <c r="H45" s="8">
        <v>57.0</v>
      </c>
      <c r="I45" s="8">
        <v>305.0</v>
      </c>
      <c r="J45" s="8">
        <v>195.0</v>
      </c>
      <c r="K45" s="8">
        <v>57.0</v>
      </c>
      <c r="L45" s="8">
        <v>229.0</v>
      </c>
      <c r="M45" s="8">
        <v>150.0</v>
      </c>
      <c r="N45" s="8">
        <v>51.0</v>
      </c>
      <c r="O45" s="8">
        <v>1.534253</v>
      </c>
      <c r="P45" s="8">
        <v>2.280528</v>
      </c>
      <c r="Q45" s="8">
        <v>1.534253</v>
      </c>
      <c r="R45" s="8">
        <v>2.280528</v>
      </c>
      <c r="S45" s="8">
        <v>1.331878</v>
      </c>
      <c r="T45" s="8">
        <v>1.117647</v>
      </c>
      <c r="U45" s="8">
        <v>3.0</v>
      </c>
      <c r="V45" s="8">
        <v>3.0</v>
      </c>
      <c r="W45" s="8">
        <v>1.0</v>
      </c>
      <c r="X45" s="8">
        <v>1.0</v>
      </c>
      <c r="Y45" s="8">
        <v>1.0</v>
      </c>
      <c r="Z45" s="9">
        <v>5.0</v>
      </c>
      <c r="AA45" s="9">
        <v>5.0</v>
      </c>
      <c r="AB45" s="9">
        <v>1.0</v>
      </c>
      <c r="AC45" s="9">
        <v>10.0</v>
      </c>
      <c r="AD45" s="9">
        <v>46.0</v>
      </c>
      <c r="AE45" s="9">
        <v>0.0</v>
      </c>
      <c r="AF45" s="10" t="s">
        <v>15</v>
      </c>
    </row>
    <row r="46" ht="15.75" customHeight="1">
      <c r="A46" s="6">
        <v>44996.0</v>
      </c>
      <c r="B46" s="7" t="s">
        <v>13</v>
      </c>
      <c r="C46" s="8">
        <v>564.9132</v>
      </c>
      <c r="D46" s="8">
        <v>76.0</v>
      </c>
      <c r="E46" s="8">
        <v>561.9974</v>
      </c>
      <c r="F46" s="8">
        <v>366.0</v>
      </c>
      <c r="G46" s="8">
        <v>190.0</v>
      </c>
      <c r="H46" s="8">
        <v>123.0</v>
      </c>
      <c r="I46" s="8">
        <v>366.0</v>
      </c>
      <c r="J46" s="8">
        <v>192.0</v>
      </c>
      <c r="K46" s="8">
        <v>123.0</v>
      </c>
      <c r="L46" s="8">
        <v>279.0</v>
      </c>
      <c r="M46" s="8">
        <v>147.0</v>
      </c>
      <c r="N46" s="8">
        <v>119.0</v>
      </c>
      <c r="O46" s="8">
        <v>1.543479</v>
      </c>
      <c r="P46" s="8">
        <v>4.569085</v>
      </c>
      <c r="Q46" s="8">
        <v>1.543479</v>
      </c>
      <c r="R46" s="8">
        <v>4.569085</v>
      </c>
      <c r="S46" s="8">
        <v>1.311828</v>
      </c>
      <c r="T46" s="8">
        <v>1.033613</v>
      </c>
      <c r="U46" s="8">
        <v>8.0</v>
      </c>
      <c r="V46" s="8">
        <v>11.0</v>
      </c>
      <c r="W46" s="12"/>
      <c r="X46" s="12"/>
      <c r="Y46" s="12"/>
      <c r="Z46" s="9">
        <v>5.0</v>
      </c>
      <c r="AA46" s="9">
        <v>5.0</v>
      </c>
      <c r="AB46" s="9">
        <v>5.0</v>
      </c>
      <c r="AC46" s="9">
        <v>11.0</v>
      </c>
      <c r="AD46" s="9">
        <v>124.0</v>
      </c>
      <c r="AE46" s="9">
        <v>0.0</v>
      </c>
      <c r="AF46" s="10" t="s">
        <v>15</v>
      </c>
    </row>
    <row r="47" ht="15.75" customHeight="1">
      <c r="A47" s="6">
        <v>44994.0</v>
      </c>
      <c r="B47" s="7" t="s">
        <v>65</v>
      </c>
      <c r="C47" s="8">
        <v>5205.025</v>
      </c>
      <c r="D47" s="10">
        <v>6944.0</v>
      </c>
      <c r="E47" s="8">
        <v>4940.109</v>
      </c>
      <c r="F47" s="8">
        <v>424.0</v>
      </c>
      <c r="G47" s="10">
        <v>366.0</v>
      </c>
      <c r="H47" s="8">
        <v>390.0</v>
      </c>
      <c r="I47" s="8">
        <v>590.0</v>
      </c>
      <c r="J47" s="10">
        <v>487.0</v>
      </c>
      <c r="K47" s="8">
        <v>567.0</v>
      </c>
      <c r="L47" s="8">
        <v>389.0</v>
      </c>
      <c r="M47" s="10">
        <v>393.0</v>
      </c>
      <c r="N47" s="8">
        <v>354.0</v>
      </c>
      <c r="O47" s="8">
        <v>12.276</v>
      </c>
      <c r="P47" s="8">
        <v>12.66695</v>
      </c>
      <c r="Q47" s="8">
        <v>8.822077</v>
      </c>
      <c r="R47" s="8">
        <v>8.712715</v>
      </c>
      <c r="S47" s="8">
        <v>1.51671</v>
      </c>
      <c r="T47" s="8">
        <v>1.601695</v>
      </c>
      <c r="U47" s="8">
        <v>14627.0</v>
      </c>
      <c r="V47" s="8">
        <v>65119.0</v>
      </c>
      <c r="W47" s="8">
        <v>1938.0</v>
      </c>
      <c r="X47" s="8">
        <v>5242.0</v>
      </c>
      <c r="Y47" s="8">
        <v>2987.0</v>
      </c>
      <c r="Z47" s="9">
        <v>57004.0</v>
      </c>
      <c r="AA47" s="9">
        <v>56759.0</v>
      </c>
      <c r="AB47" s="9">
        <v>11238.0</v>
      </c>
      <c r="AC47" s="9">
        <v>357.0</v>
      </c>
      <c r="AD47" s="9">
        <v>0.0</v>
      </c>
      <c r="AE47" s="9">
        <v>20.0</v>
      </c>
      <c r="AF47" s="10" t="s">
        <v>66</v>
      </c>
    </row>
    <row r="48" ht="15.75" customHeight="1">
      <c r="A48" s="6">
        <v>44993.0</v>
      </c>
      <c r="B48" s="7" t="s">
        <v>28</v>
      </c>
      <c r="C48" s="8">
        <v>2570.062</v>
      </c>
      <c r="D48" s="8">
        <v>3097.0</v>
      </c>
      <c r="E48" s="8">
        <v>2974.916</v>
      </c>
      <c r="F48" s="8">
        <v>407.0</v>
      </c>
      <c r="G48" s="8">
        <v>355.0</v>
      </c>
      <c r="H48" s="8">
        <v>331.0</v>
      </c>
      <c r="I48" s="8">
        <v>1239.0</v>
      </c>
      <c r="J48" s="8">
        <v>1049.0</v>
      </c>
      <c r="K48" s="8">
        <v>1793.0</v>
      </c>
      <c r="L48" s="8">
        <v>292.0</v>
      </c>
      <c r="M48" s="8">
        <v>332.0</v>
      </c>
      <c r="N48" s="8">
        <v>258.0</v>
      </c>
      <c r="O48" s="8">
        <v>6.314649</v>
      </c>
      <c r="P48" s="8">
        <v>8.987661</v>
      </c>
      <c r="Q48" s="8">
        <v>2.074304</v>
      </c>
      <c r="R48" s="8">
        <v>1.659183</v>
      </c>
      <c r="S48" s="8">
        <v>4.243151</v>
      </c>
      <c r="T48" s="8">
        <v>6.949612</v>
      </c>
      <c r="U48" s="8">
        <v>8002.0</v>
      </c>
      <c r="V48" s="8">
        <v>45880.0</v>
      </c>
      <c r="W48" s="8">
        <v>1022.0</v>
      </c>
      <c r="X48" s="8">
        <v>5920.0</v>
      </c>
      <c r="Y48" s="8">
        <v>2188.0</v>
      </c>
      <c r="Z48" s="9">
        <v>29439.0</v>
      </c>
      <c r="AA48" s="9">
        <v>29278.0</v>
      </c>
      <c r="AB48" s="9">
        <v>6895.0</v>
      </c>
      <c r="AC48" s="9">
        <v>346.0</v>
      </c>
      <c r="AD48" s="9">
        <v>5.0</v>
      </c>
      <c r="AE48" s="9">
        <v>814.0</v>
      </c>
      <c r="AF48" s="10" t="s">
        <v>66</v>
      </c>
    </row>
    <row r="49" ht="15.75" customHeight="1">
      <c r="A49" s="6">
        <v>44991.0</v>
      </c>
      <c r="B49" s="7" t="s">
        <v>17</v>
      </c>
      <c r="C49" s="8">
        <v>8999.845</v>
      </c>
      <c r="D49" s="8">
        <v>11281.0</v>
      </c>
      <c r="E49" s="8">
        <v>10564.38</v>
      </c>
      <c r="F49" s="8">
        <v>826.0</v>
      </c>
      <c r="G49" s="8">
        <v>789.0</v>
      </c>
      <c r="H49" s="8">
        <v>937.0</v>
      </c>
      <c r="I49" s="8">
        <v>1070.0</v>
      </c>
      <c r="J49" s="8">
        <v>904.0</v>
      </c>
      <c r="K49" s="8">
        <v>1149.0</v>
      </c>
      <c r="L49" s="8">
        <v>755.0</v>
      </c>
      <c r="M49" s="8">
        <v>872.0</v>
      </c>
      <c r="N49" s="8">
        <v>827.0</v>
      </c>
      <c r="O49" s="8">
        <v>10.8957</v>
      </c>
      <c r="P49" s="8">
        <v>11.27469</v>
      </c>
      <c r="Q49" s="8">
        <v>8.41107</v>
      </c>
      <c r="R49" s="8">
        <v>9.194414</v>
      </c>
      <c r="S49" s="8">
        <v>1.417219</v>
      </c>
      <c r="T49" s="8">
        <v>1.389359</v>
      </c>
      <c r="U49" s="8">
        <v>40075.0</v>
      </c>
      <c r="V49" s="8">
        <v>1281167.0</v>
      </c>
      <c r="W49" s="8">
        <v>4425.0</v>
      </c>
      <c r="X49" s="8">
        <v>51884.0</v>
      </c>
      <c r="Y49" s="8">
        <v>7866.0</v>
      </c>
      <c r="Z49" s="9">
        <v>117186.0</v>
      </c>
      <c r="AA49" s="9">
        <v>116416.0</v>
      </c>
      <c r="AB49" s="9">
        <v>36320.0</v>
      </c>
      <c r="AC49" s="9">
        <v>825.0</v>
      </c>
      <c r="AD49" s="9">
        <v>25.0</v>
      </c>
      <c r="AE49" s="9">
        <v>57.0</v>
      </c>
      <c r="AF49" s="10" t="s">
        <v>17</v>
      </c>
    </row>
    <row r="50" ht="15.75" customHeight="1">
      <c r="A50" s="6">
        <v>44997.0</v>
      </c>
      <c r="B50" s="7" t="s">
        <v>31</v>
      </c>
      <c r="C50" s="8">
        <v>3293.83</v>
      </c>
      <c r="D50" s="8">
        <v>2891.0</v>
      </c>
      <c r="E50" s="8">
        <v>3097.641</v>
      </c>
      <c r="F50" s="8">
        <v>428.0</v>
      </c>
      <c r="G50" s="8">
        <v>315.0</v>
      </c>
      <c r="H50" s="8">
        <v>366.0</v>
      </c>
      <c r="I50" s="8">
        <v>644.0</v>
      </c>
      <c r="J50" s="8">
        <v>483.0</v>
      </c>
      <c r="K50" s="8">
        <v>539.0</v>
      </c>
      <c r="L50" s="8">
        <v>396.0</v>
      </c>
      <c r="M50" s="8">
        <v>327.0</v>
      </c>
      <c r="N50" s="8">
        <v>301.0</v>
      </c>
      <c r="O50" s="8">
        <v>7.695865</v>
      </c>
      <c r="P50" s="8">
        <v>8.463501</v>
      </c>
      <c r="Q50" s="8">
        <v>5.114643</v>
      </c>
      <c r="R50" s="8">
        <v>5.747015</v>
      </c>
      <c r="S50" s="8">
        <v>1.626263</v>
      </c>
      <c r="T50" s="8">
        <v>1.790698</v>
      </c>
      <c r="U50" s="8">
        <v>11598.0</v>
      </c>
      <c r="V50" s="8">
        <v>41628.0</v>
      </c>
      <c r="W50" s="8">
        <v>1511.0</v>
      </c>
      <c r="X50" s="8">
        <v>3539.0</v>
      </c>
      <c r="Y50" s="8">
        <v>2257.0</v>
      </c>
      <c r="Z50" s="9">
        <v>41482.0</v>
      </c>
      <c r="AA50" s="9">
        <v>41302.0</v>
      </c>
      <c r="AB50" s="9">
        <v>9509.0</v>
      </c>
      <c r="AC50" s="9">
        <v>413.0</v>
      </c>
      <c r="AD50" s="9">
        <v>4.0</v>
      </c>
      <c r="AE50" s="9">
        <v>9.0</v>
      </c>
      <c r="AF50" s="10" t="s">
        <v>66</v>
      </c>
    </row>
    <row r="51" ht="15.75" customHeight="1">
      <c r="A51" s="6">
        <v>44997.0</v>
      </c>
      <c r="B51" s="7" t="s">
        <v>16</v>
      </c>
      <c r="C51" s="8">
        <v>4610.921</v>
      </c>
      <c r="D51" s="8">
        <v>4386.0</v>
      </c>
      <c r="E51" s="8">
        <v>2613.485</v>
      </c>
      <c r="F51" s="8">
        <v>410.0</v>
      </c>
      <c r="G51" s="8">
        <v>320.0</v>
      </c>
      <c r="H51" s="8">
        <v>281.0</v>
      </c>
      <c r="I51" s="8">
        <v>632.0</v>
      </c>
      <c r="J51" s="8">
        <v>502.0</v>
      </c>
      <c r="K51" s="8">
        <v>402.0</v>
      </c>
      <c r="L51" s="8">
        <v>377.0</v>
      </c>
      <c r="M51" s="8">
        <v>332.0</v>
      </c>
      <c r="N51" s="8">
        <v>244.0</v>
      </c>
      <c r="O51" s="8">
        <v>11.24615</v>
      </c>
      <c r="P51" s="8">
        <v>9.30066</v>
      </c>
      <c r="Q51" s="8">
        <v>7.295762</v>
      </c>
      <c r="R51" s="8">
        <v>6.501207</v>
      </c>
      <c r="S51" s="8">
        <v>1.676393</v>
      </c>
      <c r="T51" s="8">
        <v>1.647541</v>
      </c>
      <c r="U51" s="8">
        <v>7929.0</v>
      </c>
      <c r="V51" s="8">
        <v>79182.0</v>
      </c>
      <c r="W51" s="8">
        <v>1128.0</v>
      </c>
      <c r="X51" s="8">
        <v>5585.0</v>
      </c>
      <c r="Y51" s="8">
        <v>1847.0</v>
      </c>
      <c r="Z51" s="9">
        <v>34808.0</v>
      </c>
      <c r="AA51" s="9">
        <v>34471.0</v>
      </c>
      <c r="AB51" s="9">
        <v>7820.0</v>
      </c>
      <c r="AC51" s="9">
        <v>397.0</v>
      </c>
      <c r="AD51" s="9">
        <v>4.0</v>
      </c>
      <c r="AE51" s="9">
        <v>101.0</v>
      </c>
      <c r="AF51" s="10" t="s">
        <v>64</v>
      </c>
    </row>
    <row r="52" ht="15.75" customHeight="1">
      <c r="A52" s="6">
        <v>44995.0</v>
      </c>
      <c r="B52" s="7" t="s">
        <v>9</v>
      </c>
      <c r="C52" s="8">
        <v>10857.83</v>
      </c>
      <c r="D52" s="8">
        <v>10544.0</v>
      </c>
      <c r="E52" s="8">
        <v>4014.326</v>
      </c>
      <c r="F52" s="8">
        <v>526.0</v>
      </c>
      <c r="G52" s="8">
        <v>409.0</v>
      </c>
      <c r="H52" s="8">
        <v>394.0</v>
      </c>
      <c r="I52" s="8">
        <v>595.0</v>
      </c>
      <c r="J52" s="8">
        <v>472.0</v>
      </c>
      <c r="K52" s="8">
        <v>447.0</v>
      </c>
      <c r="L52" s="8">
        <v>481.0</v>
      </c>
      <c r="M52" s="8">
        <v>463.0</v>
      </c>
      <c r="N52" s="8">
        <v>360.0</v>
      </c>
      <c r="O52" s="8">
        <v>20.64227</v>
      </c>
      <c r="P52" s="8">
        <v>10.18865</v>
      </c>
      <c r="Q52" s="8">
        <v>18.24846</v>
      </c>
      <c r="R52" s="8">
        <v>8.980596</v>
      </c>
      <c r="S52" s="8">
        <v>1.237006</v>
      </c>
      <c r="T52" s="8">
        <v>1.241667</v>
      </c>
      <c r="U52" s="8">
        <v>20054.0</v>
      </c>
      <c r="V52" s="8">
        <v>192692.0</v>
      </c>
      <c r="W52" s="8">
        <v>1989.0</v>
      </c>
      <c r="X52" s="8">
        <v>7382.0</v>
      </c>
      <c r="Y52" s="8">
        <v>2729.0</v>
      </c>
      <c r="Z52" s="9">
        <v>72068.0</v>
      </c>
      <c r="AA52" s="9">
        <v>71532.0</v>
      </c>
      <c r="AB52" s="9">
        <v>12944.0</v>
      </c>
      <c r="AC52" s="9">
        <v>478.0</v>
      </c>
      <c r="AD52" s="9">
        <v>1.0</v>
      </c>
      <c r="AE52" s="9">
        <v>3.0</v>
      </c>
      <c r="AF52" s="10" t="s">
        <v>63</v>
      </c>
    </row>
    <row r="53" ht="15.75" customHeight="1">
      <c r="A53" s="6">
        <v>44996.0</v>
      </c>
      <c r="B53" s="7" t="s">
        <v>17</v>
      </c>
      <c r="C53" s="8">
        <v>9933.997</v>
      </c>
      <c r="D53" s="8">
        <v>14172.0</v>
      </c>
      <c r="E53" s="8">
        <v>12567.23</v>
      </c>
      <c r="F53" s="8">
        <v>973.0</v>
      </c>
      <c r="G53" s="8">
        <v>919.0</v>
      </c>
      <c r="H53" s="8">
        <v>1119.0</v>
      </c>
      <c r="I53" s="8">
        <v>1234.0</v>
      </c>
      <c r="J53" s="8">
        <v>1189.0</v>
      </c>
      <c r="K53" s="8">
        <v>1407.0</v>
      </c>
      <c r="L53" s="8">
        <v>874.0</v>
      </c>
      <c r="M53" s="8">
        <v>1000.0</v>
      </c>
      <c r="N53" s="8">
        <v>954.0</v>
      </c>
      <c r="O53" s="8">
        <v>10.20966</v>
      </c>
      <c r="P53" s="8">
        <v>11.23077</v>
      </c>
      <c r="Q53" s="8">
        <v>8.05024</v>
      </c>
      <c r="R53" s="8">
        <v>8.931935</v>
      </c>
      <c r="S53" s="8">
        <v>1.411899</v>
      </c>
      <c r="T53" s="8">
        <v>1.474843</v>
      </c>
      <c r="U53" s="8">
        <v>43355.0</v>
      </c>
      <c r="V53" s="8">
        <v>1321640.0</v>
      </c>
      <c r="W53" s="8">
        <v>4922.0</v>
      </c>
      <c r="X53" s="8">
        <v>56630.0</v>
      </c>
      <c r="Y53" s="8">
        <v>8653.0</v>
      </c>
      <c r="Z53" s="9">
        <v>120105.0</v>
      </c>
      <c r="AA53" s="9">
        <v>119261.0</v>
      </c>
      <c r="AB53" s="9">
        <v>37724.0</v>
      </c>
      <c r="AC53" s="9">
        <v>932.0</v>
      </c>
      <c r="AD53" s="9">
        <v>4.0</v>
      </c>
      <c r="AE53" s="9">
        <v>62.0</v>
      </c>
      <c r="AF53" s="10" t="s">
        <v>17</v>
      </c>
    </row>
    <row r="54" ht="15.75" customHeight="1">
      <c r="A54" s="6">
        <v>44991.0</v>
      </c>
      <c r="B54" s="7" t="s">
        <v>12</v>
      </c>
      <c r="C54" s="8">
        <v>2288.383</v>
      </c>
      <c r="D54" s="8">
        <v>2262.0</v>
      </c>
      <c r="E54" s="8">
        <v>1801.763</v>
      </c>
      <c r="F54" s="8">
        <v>133.0</v>
      </c>
      <c r="G54" s="8">
        <v>93.0</v>
      </c>
      <c r="H54" s="8">
        <v>115.0</v>
      </c>
      <c r="I54" s="8">
        <v>143.0</v>
      </c>
      <c r="J54" s="8">
        <v>88.0</v>
      </c>
      <c r="K54" s="8">
        <v>121.0</v>
      </c>
      <c r="L54" s="8">
        <v>116.0</v>
      </c>
      <c r="M54" s="8">
        <v>109.0</v>
      </c>
      <c r="N54" s="8">
        <v>107.0</v>
      </c>
      <c r="O54" s="8">
        <v>17.20588</v>
      </c>
      <c r="P54" s="8">
        <v>15.6675</v>
      </c>
      <c r="Q54" s="8">
        <v>16.00268</v>
      </c>
      <c r="R54" s="8">
        <v>14.8906</v>
      </c>
      <c r="S54" s="8">
        <v>1.232759</v>
      </c>
      <c r="T54" s="8">
        <v>1.130841</v>
      </c>
      <c r="U54" s="8">
        <v>7167.0</v>
      </c>
      <c r="V54" s="8">
        <v>18915.0</v>
      </c>
      <c r="W54" s="8">
        <v>621.0</v>
      </c>
      <c r="X54" s="8">
        <v>1081.0</v>
      </c>
      <c r="Y54" s="8">
        <v>804.0</v>
      </c>
      <c r="Z54" s="9">
        <v>12148.0</v>
      </c>
      <c r="AA54" s="9">
        <v>12084.0</v>
      </c>
      <c r="AB54" s="9">
        <v>3376.0</v>
      </c>
      <c r="AC54" s="9">
        <v>112.0</v>
      </c>
      <c r="AD54" s="9">
        <v>3.0</v>
      </c>
      <c r="AE54" s="9">
        <v>0.0</v>
      </c>
      <c r="AF54" s="10" t="s">
        <v>63</v>
      </c>
    </row>
    <row r="55" ht="15.75" customHeight="1">
      <c r="A55" s="6">
        <v>44992.0</v>
      </c>
      <c r="B55" s="7" t="s">
        <v>9</v>
      </c>
      <c r="C55" s="8">
        <v>8939.728</v>
      </c>
      <c r="D55" s="8">
        <v>9632.0</v>
      </c>
      <c r="E55" s="8">
        <v>6878.486</v>
      </c>
      <c r="F55" s="8">
        <v>414.0</v>
      </c>
      <c r="G55" s="8">
        <v>404.0</v>
      </c>
      <c r="H55" s="8">
        <v>429.0</v>
      </c>
      <c r="I55" s="8">
        <v>488.0</v>
      </c>
      <c r="J55" s="8">
        <v>470.0</v>
      </c>
      <c r="K55" s="8">
        <v>494.0</v>
      </c>
      <c r="L55" s="8">
        <v>387.0</v>
      </c>
      <c r="M55" s="8">
        <v>456.0</v>
      </c>
      <c r="N55" s="8">
        <v>396.0</v>
      </c>
      <c r="O55" s="8">
        <v>21.59355</v>
      </c>
      <c r="P55" s="8">
        <v>16.03377</v>
      </c>
      <c r="Q55" s="8">
        <v>18.31911</v>
      </c>
      <c r="R55" s="8">
        <v>13.92406</v>
      </c>
      <c r="S55" s="8">
        <v>1.260982</v>
      </c>
      <c r="T55" s="8">
        <v>1.247475</v>
      </c>
      <c r="U55" s="8">
        <v>18505.0</v>
      </c>
      <c r="V55" s="8">
        <v>184848.0</v>
      </c>
      <c r="W55" s="8">
        <v>1722.0</v>
      </c>
      <c r="X55" s="8">
        <v>6240.0</v>
      </c>
      <c r="Y55" s="8">
        <v>2397.0</v>
      </c>
      <c r="Z55" s="9">
        <v>71391.0</v>
      </c>
      <c r="AA55" s="9">
        <v>70890.0</v>
      </c>
      <c r="AB55" s="9">
        <v>12452.0</v>
      </c>
      <c r="AC55" s="9">
        <v>398.0</v>
      </c>
      <c r="AD55" s="9">
        <v>3.0</v>
      </c>
      <c r="AE55" s="9">
        <v>1.0</v>
      </c>
      <c r="AF55" s="10" t="s">
        <v>63</v>
      </c>
    </row>
    <row r="56" ht="15.75" customHeight="1">
      <c r="A56" s="6">
        <v>44995.0</v>
      </c>
      <c r="B56" s="7" t="s">
        <v>12</v>
      </c>
      <c r="C56" s="8">
        <v>2894.052</v>
      </c>
      <c r="D56" s="8">
        <v>2831.0</v>
      </c>
      <c r="E56" s="8">
        <v>2674.227</v>
      </c>
      <c r="F56" s="8">
        <v>153.0</v>
      </c>
      <c r="G56" s="8">
        <v>111.0</v>
      </c>
      <c r="H56" s="8">
        <v>99.0</v>
      </c>
      <c r="I56" s="8">
        <v>177.0</v>
      </c>
      <c r="J56" s="8">
        <v>121.0</v>
      </c>
      <c r="K56" s="8">
        <v>105.0</v>
      </c>
      <c r="L56" s="8">
        <v>139.0</v>
      </c>
      <c r="M56" s="8">
        <v>126.0</v>
      </c>
      <c r="N56" s="8">
        <v>95.0</v>
      </c>
      <c r="O56" s="8">
        <v>18.91537</v>
      </c>
      <c r="P56" s="8">
        <v>27.0124</v>
      </c>
      <c r="Q56" s="8">
        <v>16.35058</v>
      </c>
      <c r="R56" s="8">
        <v>25.46883</v>
      </c>
      <c r="S56" s="8">
        <v>1.273381</v>
      </c>
      <c r="T56" s="8">
        <v>1.105263</v>
      </c>
      <c r="U56" s="8">
        <v>6253.0</v>
      </c>
      <c r="V56" s="8">
        <v>17310.0</v>
      </c>
      <c r="W56" s="8">
        <v>510.0</v>
      </c>
      <c r="X56" s="8">
        <v>905.0</v>
      </c>
      <c r="Y56" s="8">
        <v>711.0</v>
      </c>
      <c r="Z56" s="9">
        <v>12322.0</v>
      </c>
      <c r="AA56" s="9">
        <v>12249.0</v>
      </c>
      <c r="AB56" s="9">
        <v>3483.0</v>
      </c>
      <c r="AC56" s="9">
        <v>134.0</v>
      </c>
      <c r="AD56" s="9">
        <v>1.0</v>
      </c>
      <c r="AE56" s="9">
        <v>0.0</v>
      </c>
      <c r="AF56" s="10" t="s">
        <v>63</v>
      </c>
    </row>
    <row r="57" ht="15.75" customHeight="1">
      <c r="A57" s="6">
        <v>44993.0</v>
      </c>
      <c r="B57" s="7" t="s">
        <v>19</v>
      </c>
      <c r="C57" s="8">
        <v>2135.128</v>
      </c>
      <c r="D57" s="8">
        <v>2282.0</v>
      </c>
      <c r="E57" s="8">
        <v>1730.658</v>
      </c>
      <c r="F57" s="8">
        <v>220.0</v>
      </c>
      <c r="G57" s="8">
        <v>185.0</v>
      </c>
      <c r="H57" s="8">
        <v>184.0</v>
      </c>
      <c r="I57" s="8">
        <v>273.0</v>
      </c>
      <c r="J57" s="8">
        <v>226.0</v>
      </c>
      <c r="K57" s="8">
        <v>216.0</v>
      </c>
      <c r="L57" s="8">
        <v>207.0</v>
      </c>
      <c r="M57" s="8">
        <v>204.0</v>
      </c>
      <c r="N57" s="8">
        <v>166.0</v>
      </c>
      <c r="O57" s="8">
        <v>9.705126</v>
      </c>
      <c r="P57" s="8">
        <v>9.405751</v>
      </c>
      <c r="Q57" s="8">
        <v>7.820981</v>
      </c>
      <c r="R57" s="8">
        <v>8.012306</v>
      </c>
      <c r="S57" s="8">
        <v>1.318841</v>
      </c>
      <c r="T57" s="8">
        <v>1.301205</v>
      </c>
      <c r="U57" s="8">
        <v>9493.0</v>
      </c>
      <c r="V57" s="8">
        <v>35873.0</v>
      </c>
      <c r="W57" s="8">
        <v>950.0</v>
      </c>
      <c r="X57" s="8">
        <v>1775.0</v>
      </c>
      <c r="Y57" s="8">
        <v>1243.0</v>
      </c>
      <c r="Z57" s="9">
        <v>24223.0</v>
      </c>
      <c r="AA57" s="9">
        <v>24118.0</v>
      </c>
      <c r="AB57" s="9">
        <v>7418.0</v>
      </c>
      <c r="AC57" s="9">
        <v>202.0</v>
      </c>
      <c r="AD57" s="9">
        <v>5.0</v>
      </c>
      <c r="AE57" s="9">
        <v>20.0</v>
      </c>
      <c r="AF57" s="11"/>
    </row>
    <row r="58" ht="15.75" customHeight="1">
      <c r="A58" s="6">
        <v>44997.0</v>
      </c>
      <c r="B58" s="7" t="s">
        <v>17</v>
      </c>
      <c r="C58" s="8">
        <v>9889.03</v>
      </c>
      <c r="D58" s="8">
        <v>13881.0</v>
      </c>
      <c r="E58" s="8">
        <v>11230.26</v>
      </c>
      <c r="F58" s="8">
        <v>940.0</v>
      </c>
      <c r="G58" s="8">
        <v>936.0</v>
      </c>
      <c r="H58" s="8">
        <v>1075.0</v>
      </c>
      <c r="I58" s="8">
        <v>1232.0</v>
      </c>
      <c r="J58" s="8">
        <v>1211.0</v>
      </c>
      <c r="K58" s="8">
        <v>1360.0</v>
      </c>
      <c r="L58" s="8">
        <v>840.0</v>
      </c>
      <c r="M58" s="8">
        <v>1019.0</v>
      </c>
      <c r="N58" s="8">
        <v>936.0</v>
      </c>
      <c r="O58" s="8">
        <v>10.52024</v>
      </c>
      <c r="P58" s="8">
        <v>10.44675</v>
      </c>
      <c r="Q58" s="8">
        <v>8.02681</v>
      </c>
      <c r="R58" s="8">
        <v>8.257544</v>
      </c>
      <c r="S58" s="8">
        <v>1.466667</v>
      </c>
      <c r="T58" s="8">
        <v>1.452991</v>
      </c>
      <c r="U58" s="8">
        <v>43490.0</v>
      </c>
      <c r="V58" s="8">
        <v>1263119.0</v>
      </c>
      <c r="W58" s="8">
        <v>4773.0</v>
      </c>
      <c r="X58" s="8">
        <v>51474.0</v>
      </c>
      <c r="Y58" s="8">
        <v>8156.0</v>
      </c>
      <c r="Z58" s="9">
        <v>121012.0</v>
      </c>
      <c r="AA58" s="9">
        <v>119336.0</v>
      </c>
      <c r="AB58" s="9">
        <v>36984.0</v>
      </c>
      <c r="AC58" s="9">
        <v>957.0</v>
      </c>
      <c r="AD58" s="9">
        <v>7.0</v>
      </c>
      <c r="AE58" s="9">
        <v>61.0</v>
      </c>
      <c r="AF58" s="10" t="s">
        <v>17</v>
      </c>
    </row>
    <row r="59" ht="15.75" customHeight="1">
      <c r="A59" s="6">
        <v>44996.0</v>
      </c>
      <c r="B59" s="7" t="s">
        <v>24</v>
      </c>
      <c r="C59" s="8">
        <v>2058.357</v>
      </c>
      <c r="D59" s="8">
        <v>2322.0</v>
      </c>
      <c r="E59" s="8">
        <v>1854.115</v>
      </c>
      <c r="F59" s="8">
        <v>281.0</v>
      </c>
      <c r="G59" s="8">
        <v>271.0</v>
      </c>
      <c r="H59" s="8">
        <v>240.0</v>
      </c>
      <c r="I59" s="8">
        <v>377.0</v>
      </c>
      <c r="J59" s="8">
        <v>359.0</v>
      </c>
      <c r="K59" s="8">
        <v>320.0</v>
      </c>
      <c r="L59" s="8">
        <v>263.0</v>
      </c>
      <c r="M59" s="8">
        <v>288.0</v>
      </c>
      <c r="N59" s="8">
        <v>220.0</v>
      </c>
      <c r="O59" s="8">
        <v>7.325113</v>
      </c>
      <c r="P59" s="8">
        <v>7.72548</v>
      </c>
      <c r="Q59" s="8">
        <v>5.459832</v>
      </c>
      <c r="R59" s="8">
        <v>5.79411</v>
      </c>
      <c r="S59" s="8">
        <v>1.43346</v>
      </c>
      <c r="T59" s="8">
        <v>1.454545</v>
      </c>
      <c r="U59" s="8">
        <v>9941.0</v>
      </c>
      <c r="V59" s="8">
        <v>38555.0</v>
      </c>
      <c r="W59" s="8">
        <v>1366.0</v>
      </c>
      <c r="X59" s="8">
        <v>3562.0</v>
      </c>
      <c r="Y59" s="8">
        <v>2097.0</v>
      </c>
      <c r="Z59" s="9">
        <v>39958.0</v>
      </c>
      <c r="AA59" s="9">
        <v>39725.0</v>
      </c>
      <c r="AB59" s="9">
        <v>8685.0</v>
      </c>
      <c r="AC59" s="9">
        <v>275.0</v>
      </c>
      <c r="AD59" s="9">
        <v>1.0</v>
      </c>
      <c r="AE59" s="9">
        <v>3.0</v>
      </c>
      <c r="AF59" s="10" t="s">
        <v>66</v>
      </c>
    </row>
    <row r="60" ht="15.75" customHeight="1">
      <c r="A60" s="6">
        <v>44997.0</v>
      </c>
      <c r="B60" s="7" t="s">
        <v>29</v>
      </c>
      <c r="C60" s="8">
        <v>803.3468</v>
      </c>
      <c r="D60" s="8">
        <v>879.0</v>
      </c>
      <c r="E60" s="8">
        <v>885.9198</v>
      </c>
      <c r="F60" s="8">
        <v>102.0</v>
      </c>
      <c r="G60" s="8">
        <v>79.0</v>
      </c>
      <c r="H60" s="8">
        <v>71.0</v>
      </c>
      <c r="I60" s="8">
        <v>177.0</v>
      </c>
      <c r="J60" s="8">
        <v>123.0</v>
      </c>
      <c r="K60" s="8">
        <v>122.0</v>
      </c>
      <c r="L60" s="8">
        <v>90.0</v>
      </c>
      <c r="M60" s="8">
        <v>84.0</v>
      </c>
      <c r="N60" s="8">
        <v>63.0</v>
      </c>
      <c r="O60" s="8">
        <v>7.875949</v>
      </c>
      <c r="P60" s="8">
        <v>12.47774</v>
      </c>
      <c r="Q60" s="8">
        <v>4.538682</v>
      </c>
      <c r="R60" s="8">
        <v>7.261638</v>
      </c>
      <c r="S60" s="8">
        <v>1.966667</v>
      </c>
      <c r="T60" s="8">
        <v>1.936508</v>
      </c>
      <c r="U60" s="8">
        <v>1908.0</v>
      </c>
      <c r="V60" s="8">
        <v>6441.0</v>
      </c>
      <c r="W60" s="8">
        <v>323.0</v>
      </c>
      <c r="X60" s="8">
        <v>791.0</v>
      </c>
      <c r="Y60" s="8">
        <v>524.0</v>
      </c>
      <c r="Z60" s="9">
        <v>8248.0</v>
      </c>
      <c r="AA60" s="9">
        <v>8171.0</v>
      </c>
      <c r="AB60" s="9">
        <v>2165.0</v>
      </c>
      <c r="AC60" s="9">
        <v>119.0</v>
      </c>
      <c r="AD60" s="9">
        <v>0.0</v>
      </c>
      <c r="AE60" s="9">
        <v>2.0</v>
      </c>
      <c r="AF60" s="10" t="s">
        <v>64</v>
      </c>
    </row>
    <row r="61" ht="15.75" customHeight="1">
      <c r="A61" s="6">
        <v>44997.0</v>
      </c>
      <c r="B61" s="7" t="s">
        <v>11</v>
      </c>
      <c r="C61" s="8">
        <v>9692.786</v>
      </c>
      <c r="D61" s="8">
        <v>10216.0</v>
      </c>
      <c r="E61" s="8">
        <v>6063.785</v>
      </c>
      <c r="F61" s="8">
        <v>602.0</v>
      </c>
      <c r="G61" s="8">
        <v>555.0</v>
      </c>
      <c r="H61" s="8">
        <v>423.0</v>
      </c>
      <c r="I61" s="8">
        <v>657.0</v>
      </c>
      <c r="J61" s="8">
        <v>604.0</v>
      </c>
      <c r="K61" s="8">
        <v>461.0</v>
      </c>
      <c r="L61" s="8">
        <v>552.0</v>
      </c>
      <c r="M61" s="8">
        <v>635.0</v>
      </c>
      <c r="N61" s="8">
        <v>390.0</v>
      </c>
      <c r="O61" s="8">
        <v>16.10097</v>
      </c>
      <c r="P61" s="8">
        <v>14.33519</v>
      </c>
      <c r="Q61" s="8">
        <v>14.7531</v>
      </c>
      <c r="R61" s="8">
        <v>13.15355</v>
      </c>
      <c r="S61" s="8">
        <v>1.190217</v>
      </c>
      <c r="T61" s="8">
        <v>1.182051</v>
      </c>
      <c r="U61" s="8">
        <v>19062.0</v>
      </c>
      <c r="V61" s="8">
        <v>88888.0</v>
      </c>
      <c r="W61" s="8">
        <v>1786.0</v>
      </c>
      <c r="X61" s="8">
        <v>4677.0</v>
      </c>
      <c r="Y61" s="8">
        <v>2522.0</v>
      </c>
      <c r="Z61" s="9">
        <v>38090.0</v>
      </c>
      <c r="AA61" s="9">
        <v>37872.0</v>
      </c>
      <c r="AB61" s="9">
        <v>10179.0</v>
      </c>
      <c r="AC61" s="9">
        <v>428.0</v>
      </c>
      <c r="AD61" s="9">
        <v>0.0</v>
      </c>
      <c r="AE61" s="9">
        <v>0.0</v>
      </c>
      <c r="AF61" s="10" t="s">
        <v>63</v>
      </c>
    </row>
    <row r="62" ht="15.75" customHeight="1">
      <c r="A62" s="6">
        <v>44993.0</v>
      </c>
      <c r="B62" s="7" t="s">
        <v>8</v>
      </c>
      <c r="C62" s="8">
        <v>2571.614</v>
      </c>
      <c r="D62" s="8">
        <v>2773.0</v>
      </c>
      <c r="E62" s="8">
        <v>2091.993</v>
      </c>
      <c r="F62" s="8">
        <v>249.0</v>
      </c>
      <c r="G62" s="8">
        <v>230.0</v>
      </c>
      <c r="H62" s="8">
        <v>193.0</v>
      </c>
      <c r="I62" s="8">
        <v>279.0</v>
      </c>
      <c r="J62" s="8">
        <v>253.0</v>
      </c>
      <c r="K62" s="8">
        <v>207.0</v>
      </c>
      <c r="L62" s="8">
        <v>226.0</v>
      </c>
      <c r="M62" s="8">
        <v>264.0</v>
      </c>
      <c r="N62" s="8">
        <v>182.0</v>
      </c>
      <c r="O62" s="8">
        <v>10.32777</v>
      </c>
      <c r="P62" s="8">
        <v>10.83934</v>
      </c>
      <c r="Q62" s="8">
        <v>9.217253</v>
      </c>
      <c r="R62" s="8">
        <v>10.10624</v>
      </c>
      <c r="S62" s="8">
        <v>1.234513</v>
      </c>
      <c r="T62" s="8">
        <v>1.137363</v>
      </c>
      <c r="U62" s="8">
        <v>9734.0</v>
      </c>
      <c r="V62" s="8">
        <v>79509.0</v>
      </c>
      <c r="W62" s="8">
        <v>1078.0</v>
      </c>
      <c r="X62" s="8">
        <v>4662.0</v>
      </c>
      <c r="Y62" s="8">
        <v>1538.0</v>
      </c>
      <c r="Z62" s="9">
        <v>19614.0</v>
      </c>
      <c r="AA62" s="9">
        <v>19456.0</v>
      </c>
      <c r="AB62" s="9">
        <v>6436.0</v>
      </c>
      <c r="AC62" s="9">
        <v>204.0</v>
      </c>
      <c r="AD62" s="9">
        <v>4.0</v>
      </c>
      <c r="AE62" s="9">
        <v>6.0</v>
      </c>
      <c r="AF62" s="10" t="s">
        <v>17</v>
      </c>
    </row>
    <row r="63" ht="15.75" customHeight="1">
      <c r="A63" s="6">
        <v>44995.0</v>
      </c>
      <c r="B63" s="7" t="s">
        <v>13</v>
      </c>
      <c r="C63" s="8">
        <v>185.6839</v>
      </c>
      <c r="D63" s="8">
        <v>77.0</v>
      </c>
      <c r="E63" s="8">
        <v>208.4517</v>
      </c>
      <c r="F63" s="8">
        <v>119.0</v>
      </c>
      <c r="G63" s="8">
        <v>190.0</v>
      </c>
      <c r="H63" s="8">
        <v>65.0</v>
      </c>
      <c r="I63" s="8">
        <v>119.0</v>
      </c>
      <c r="J63" s="8">
        <v>192.0</v>
      </c>
      <c r="K63" s="8">
        <v>65.0</v>
      </c>
      <c r="L63" s="8">
        <v>77.0</v>
      </c>
      <c r="M63" s="8">
        <v>147.0</v>
      </c>
      <c r="N63" s="8">
        <v>61.0</v>
      </c>
      <c r="O63" s="8">
        <v>1.560368</v>
      </c>
      <c r="P63" s="8">
        <v>3.20695</v>
      </c>
      <c r="Q63" s="8">
        <v>1.560368</v>
      </c>
      <c r="R63" s="8">
        <v>3.20695</v>
      </c>
      <c r="S63" s="8">
        <v>1.545455</v>
      </c>
      <c r="T63" s="8">
        <v>1.065574</v>
      </c>
      <c r="U63" s="8">
        <v>5.0</v>
      </c>
      <c r="V63" s="8">
        <v>6.0</v>
      </c>
      <c r="W63" s="12"/>
      <c r="X63" s="12"/>
      <c r="Y63" s="12"/>
      <c r="Z63" s="9">
        <v>5.0</v>
      </c>
      <c r="AA63" s="9">
        <v>5.0</v>
      </c>
      <c r="AB63" s="9">
        <v>5.0</v>
      </c>
      <c r="AC63" s="9">
        <v>8.0</v>
      </c>
      <c r="AD63" s="9">
        <v>33.0</v>
      </c>
      <c r="AE63" s="9">
        <v>0.0</v>
      </c>
      <c r="AF63" s="10" t="s">
        <v>15</v>
      </c>
    </row>
    <row r="64" ht="15.75" customHeight="1">
      <c r="A64" s="6">
        <v>44991.0</v>
      </c>
      <c r="B64" s="7" t="s">
        <v>19</v>
      </c>
      <c r="C64" s="8">
        <v>1423.614</v>
      </c>
      <c r="D64" s="8">
        <v>2025.0</v>
      </c>
      <c r="E64" s="8">
        <v>1581.52</v>
      </c>
      <c r="F64" s="8">
        <v>157.0</v>
      </c>
      <c r="G64" s="8">
        <v>147.0</v>
      </c>
      <c r="H64" s="8">
        <v>150.0</v>
      </c>
      <c r="I64" s="8">
        <v>194.0</v>
      </c>
      <c r="J64" s="8">
        <v>149.0</v>
      </c>
      <c r="K64" s="8">
        <v>182.0</v>
      </c>
      <c r="L64" s="8">
        <v>141.0</v>
      </c>
      <c r="M64" s="8">
        <v>164.0</v>
      </c>
      <c r="N64" s="8">
        <v>145.0</v>
      </c>
      <c r="O64" s="8">
        <v>9.067604</v>
      </c>
      <c r="P64" s="8">
        <v>10.54347</v>
      </c>
      <c r="Q64" s="8">
        <v>7.338215</v>
      </c>
      <c r="R64" s="8">
        <v>8.689671</v>
      </c>
      <c r="S64" s="8">
        <v>1.375887</v>
      </c>
      <c r="T64" s="8">
        <v>1.255172</v>
      </c>
      <c r="U64" s="8">
        <v>8048.0</v>
      </c>
      <c r="V64" s="8">
        <v>31885.0</v>
      </c>
      <c r="W64" s="8">
        <v>872.0</v>
      </c>
      <c r="X64" s="8">
        <v>1754.0</v>
      </c>
      <c r="Y64" s="8">
        <v>1171.0</v>
      </c>
      <c r="Z64" s="9">
        <v>23935.0</v>
      </c>
      <c r="AA64" s="9">
        <v>23811.0</v>
      </c>
      <c r="AB64" s="9">
        <v>6759.0</v>
      </c>
      <c r="AC64" s="9">
        <v>152.0</v>
      </c>
      <c r="AD64" s="9">
        <v>10.0</v>
      </c>
      <c r="AE64" s="9">
        <v>10.0</v>
      </c>
      <c r="AF64" s="11"/>
    </row>
    <row r="65" ht="15.75" customHeight="1">
      <c r="A65" s="6">
        <v>44994.0</v>
      </c>
      <c r="B65" s="7" t="s">
        <v>23</v>
      </c>
      <c r="C65" s="8">
        <v>6370.486</v>
      </c>
      <c r="D65" s="8">
        <v>6903.0</v>
      </c>
      <c r="E65" s="8">
        <v>7389.513</v>
      </c>
      <c r="F65" s="8">
        <v>287.0</v>
      </c>
      <c r="G65" s="8">
        <v>250.0</v>
      </c>
      <c r="H65" s="8">
        <v>308.0</v>
      </c>
      <c r="I65" s="8">
        <v>358.0</v>
      </c>
      <c r="J65" s="8">
        <v>283.0</v>
      </c>
      <c r="K65" s="8">
        <v>347.0</v>
      </c>
      <c r="L65" s="8">
        <v>269.0</v>
      </c>
      <c r="M65" s="8">
        <v>272.0</v>
      </c>
      <c r="N65" s="8">
        <v>295.0</v>
      </c>
      <c r="O65" s="8">
        <v>22.19682</v>
      </c>
      <c r="P65" s="8">
        <v>23.99192</v>
      </c>
      <c r="Q65" s="8">
        <v>17.79465</v>
      </c>
      <c r="R65" s="8">
        <v>21.29543</v>
      </c>
      <c r="S65" s="8">
        <v>1.330855</v>
      </c>
      <c r="T65" s="8">
        <v>1.176271</v>
      </c>
      <c r="U65" s="8">
        <v>10384.0</v>
      </c>
      <c r="V65" s="8">
        <v>29694.0</v>
      </c>
      <c r="W65" s="8">
        <v>994.0</v>
      </c>
      <c r="X65" s="8">
        <v>1818.0</v>
      </c>
      <c r="Y65" s="8">
        <v>1370.0</v>
      </c>
      <c r="Z65" s="9">
        <v>31973.0</v>
      </c>
      <c r="AA65" s="9">
        <v>31811.0</v>
      </c>
      <c r="AB65" s="9">
        <v>7853.0</v>
      </c>
      <c r="AC65" s="9">
        <v>234.0</v>
      </c>
      <c r="AD65" s="9">
        <v>7.0</v>
      </c>
      <c r="AE65" s="9">
        <v>3.0</v>
      </c>
      <c r="AF65" s="10" t="s">
        <v>63</v>
      </c>
    </row>
    <row r="66" ht="15.75" customHeight="1">
      <c r="A66" s="6">
        <v>44996.0</v>
      </c>
      <c r="B66" s="7" t="s">
        <v>26</v>
      </c>
      <c r="C66" s="8">
        <v>707.3231</v>
      </c>
      <c r="D66" s="8">
        <v>929.0</v>
      </c>
      <c r="E66" s="8">
        <v>611.797</v>
      </c>
      <c r="F66" s="8">
        <v>112.0</v>
      </c>
      <c r="G66" s="8">
        <v>114.0</v>
      </c>
      <c r="H66" s="8">
        <v>85.0</v>
      </c>
      <c r="I66" s="8">
        <v>156.0</v>
      </c>
      <c r="J66" s="8">
        <v>151.0</v>
      </c>
      <c r="K66" s="8">
        <v>110.0</v>
      </c>
      <c r="L66" s="8">
        <v>110.0</v>
      </c>
      <c r="M66" s="8">
        <v>121.0</v>
      </c>
      <c r="N66" s="8">
        <v>81.0</v>
      </c>
      <c r="O66" s="8">
        <v>6.315385</v>
      </c>
      <c r="P66" s="8">
        <v>7.197612</v>
      </c>
      <c r="Q66" s="8">
        <v>4.534123</v>
      </c>
      <c r="R66" s="8">
        <v>5.561791</v>
      </c>
      <c r="S66" s="8">
        <v>1.418182</v>
      </c>
      <c r="T66" s="8">
        <v>1.358025</v>
      </c>
      <c r="U66" s="8">
        <v>2679.0</v>
      </c>
      <c r="V66" s="8">
        <v>8095.0</v>
      </c>
      <c r="W66" s="8">
        <v>334.0</v>
      </c>
      <c r="X66" s="8">
        <v>700.0</v>
      </c>
      <c r="Y66" s="8">
        <v>463.0</v>
      </c>
      <c r="Z66" s="8">
        <v>8906.0</v>
      </c>
      <c r="AA66" s="8">
        <v>8850.0</v>
      </c>
      <c r="AB66" s="9">
        <v>1707.0</v>
      </c>
      <c r="AC66" s="8">
        <v>106.0</v>
      </c>
      <c r="AD66" s="8">
        <v>0.0</v>
      </c>
      <c r="AE66" s="8">
        <v>5.0</v>
      </c>
      <c r="AF66" s="10" t="s">
        <v>66</v>
      </c>
    </row>
    <row r="67" ht="15.75" customHeight="1">
      <c r="A67" s="6">
        <v>44995.0</v>
      </c>
      <c r="B67" s="7" t="s">
        <v>31</v>
      </c>
      <c r="C67" s="8">
        <v>3235.495</v>
      </c>
      <c r="D67" s="8">
        <v>3001.0</v>
      </c>
      <c r="E67" s="8">
        <v>2934.788</v>
      </c>
      <c r="F67" s="8">
        <v>370.0</v>
      </c>
      <c r="G67" s="8">
        <v>309.0</v>
      </c>
      <c r="H67" s="8">
        <v>353.0</v>
      </c>
      <c r="I67" s="8">
        <v>558.0</v>
      </c>
      <c r="J67" s="8">
        <v>474.0</v>
      </c>
      <c r="K67" s="8">
        <v>504.0</v>
      </c>
      <c r="L67" s="8">
        <v>341.0</v>
      </c>
      <c r="M67" s="8">
        <v>321.0</v>
      </c>
      <c r="N67" s="8">
        <v>316.0</v>
      </c>
      <c r="O67" s="8">
        <v>8.744582</v>
      </c>
      <c r="P67" s="8">
        <v>8.313846</v>
      </c>
      <c r="Q67" s="8">
        <v>5.798378</v>
      </c>
      <c r="R67" s="8">
        <v>5.822992</v>
      </c>
      <c r="S67" s="8">
        <v>1.636364</v>
      </c>
      <c r="T67" s="8">
        <v>1.594937</v>
      </c>
      <c r="U67" s="8">
        <v>10625.0</v>
      </c>
      <c r="V67" s="8">
        <v>38241.0</v>
      </c>
      <c r="W67" s="8">
        <v>1393.0</v>
      </c>
      <c r="X67" s="8">
        <v>3660.0</v>
      </c>
      <c r="Y67" s="8">
        <v>2282.0</v>
      </c>
      <c r="Z67" s="9">
        <v>42348.0</v>
      </c>
      <c r="AA67" s="9">
        <v>42168.0</v>
      </c>
      <c r="AB67" s="9">
        <v>9316.0</v>
      </c>
      <c r="AC67" s="9">
        <v>384.0</v>
      </c>
      <c r="AD67" s="9">
        <v>2.0</v>
      </c>
      <c r="AE67" s="9">
        <v>6.0</v>
      </c>
      <c r="AF67" s="10" t="s">
        <v>66</v>
      </c>
    </row>
    <row r="68" ht="15.75" customHeight="1">
      <c r="A68" s="6">
        <v>44995.0</v>
      </c>
      <c r="B68" s="7" t="s">
        <v>30</v>
      </c>
      <c r="C68" s="8">
        <v>7722.853</v>
      </c>
      <c r="D68" s="8">
        <v>7406.0</v>
      </c>
      <c r="E68" s="8">
        <v>14464.19</v>
      </c>
      <c r="F68" s="8">
        <v>489.0</v>
      </c>
      <c r="G68" s="8">
        <v>331.0</v>
      </c>
      <c r="H68" s="8">
        <v>688.0</v>
      </c>
      <c r="I68" s="8">
        <v>611.0</v>
      </c>
      <c r="J68" s="8">
        <v>383.0</v>
      </c>
      <c r="K68" s="8">
        <v>820.0</v>
      </c>
      <c r="L68" s="8">
        <v>452.0</v>
      </c>
      <c r="M68" s="8">
        <v>373.0</v>
      </c>
      <c r="N68" s="8">
        <v>587.0</v>
      </c>
      <c r="O68" s="8">
        <v>15.79315</v>
      </c>
      <c r="P68" s="8">
        <v>21.02353</v>
      </c>
      <c r="Q68" s="8">
        <v>12.63969</v>
      </c>
      <c r="R68" s="8">
        <v>17.63926</v>
      </c>
      <c r="S68" s="8">
        <v>1.35177</v>
      </c>
      <c r="T68" s="8">
        <v>1.396934</v>
      </c>
      <c r="U68" s="8">
        <v>16751.0</v>
      </c>
      <c r="V68" s="8">
        <v>181164.0</v>
      </c>
      <c r="W68" s="8">
        <v>1488.0</v>
      </c>
      <c r="X68" s="8">
        <v>7262.0</v>
      </c>
      <c r="Y68" s="8">
        <v>2231.0</v>
      </c>
      <c r="Z68" s="8">
        <v>23138.0</v>
      </c>
      <c r="AA68" s="8">
        <v>22947.0</v>
      </c>
      <c r="AB68" s="9">
        <v>9872.0</v>
      </c>
      <c r="AC68" s="8">
        <v>383.0</v>
      </c>
      <c r="AD68" s="8">
        <v>3.0</v>
      </c>
      <c r="AE68" s="8">
        <v>113.0</v>
      </c>
      <c r="AF68" s="10" t="s">
        <v>66</v>
      </c>
    </row>
    <row r="69" ht="15.75" customHeight="1">
      <c r="A69" s="6">
        <v>44995.0</v>
      </c>
      <c r="B69" s="7" t="s">
        <v>10</v>
      </c>
      <c r="C69" s="8">
        <v>1185.81</v>
      </c>
      <c r="D69" s="8">
        <v>1042.0</v>
      </c>
      <c r="E69" s="8">
        <v>797.3129</v>
      </c>
      <c r="F69" s="8">
        <v>156.0</v>
      </c>
      <c r="G69" s="8">
        <v>108.0</v>
      </c>
      <c r="H69" s="8">
        <v>103.0</v>
      </c>
      <c r="I69" s="8">
        <v>248.0</v>
      </c>
      <c r="J69" s="8">
        <v>147.0</v>
      </c>
      <c r="K69" s="8">
        <v>152.0</v>
      </c>
      <c r="L69" s="8">
        <v>150.0</v>
      </c>
      <c r="M69" s="8">
        <v>110.0</v>
      </c>
      <c r="N69" s="8">
        <v>95.0</v>
      </c>
      <c r="O69" s="8">
        <v>7.601344</v>
      </c>
      <c r="P69" s="8">
        <v>7.740902</v>
      </c>
      <c r="Q69" s="8">
        <v>4.781491</v>
      </c>
      <c r="R69" s="8">
        <v>5.24548</v>
      </c>
      <c r="S69" s="8">
        <v>1.653333</v>
      </c>
      <c r="T69" s="8">
        <v>1.6</v>
      </c>
      <c r="U69" s="8">
        <v>4701.0</v>
      </c>
      <c r="V69" s="8">
        <v>18412.0</v>
      </c>
      <c r="W69" s="8">
        <v>515.0</v>
      </c>
      <c r="X69" s="8">
        <v>1703.0</v>
      </c>
      <c r="Y69" s="8">
        <v>726.0</v>
      </c>
      <c r="Z69" s="9">
        <v>11977.0</v>
      </c>
      <c r="AA69" s="9">
        <v>11862.0</v>
      </c>
      <c r="AB69" s="9">
        <v>2283.0</v>
      </c>
      <c r="AC69" s="9">
        <v>113.0</v>
      </c>
      <c r="AD69" s="9">
        <v>1.0</v>
      </c>
      <c r="AE69" s="9">
        <v>1.0</v>
      </c>
      <c r="AF69" s="10" t="s">
        <v>66</v>
      </c>
    </row>
    <row r="70" ht="15.75" customHeight="1">
      <c r="A70" s="6">
        <v>44993.0</v>
      </c>
      <c r="B70" s="7" t="s">
        <v>25</v>
      </c>
      <c r="C70" s="8">
        <v>2119.638</v>
      </c>
      <c r="D70" s="8">
        <v>3027.0</v>
      </c>
      <c r="E70" s="8">
        <v>1691.514</v>
      </c>
      <c r="F70" s="8">
        <v>234.0</v>
      </c>
      <c r="G70" s="8">
        <v>277.0</v>
      </c>
      <c r="H70" s="8">
        <v>231.0</v>
      </c>
      <c r="I70" s="8">
        <v>301.0</v>
      </c>
      <c r="J70" s="8">
        <v>342.0</v>
      </c>
      <c r="K70" s="8">
        <v>276.0</v>
      </c>
      <c r="L70" s="8">
        <v>220.0</v>
      </c>
      <c r="M70" s="8">
        <v>312.0</v>
      </c>
      <c r="N70" s="8">
        <v>215.0</v>
      </c>
      <c r="O70" s="8">
        <v>9.058282</v>
      </c>
      <c r="P70" s="8">
        <v>7.322572</v>
      </c>
      <c r="Q70" s="8">
        <v>7.041987</v>
      </c>
      <c r="R70" s="8">
        <v>6.128675</v>
      </c>
      <c r="S70" s="8">
        <v>1.368182</v>
      </c>
      <c r="T70" s="8">
        <v>1.283721</v>
      </c>
      <c r="U70" s="8">
        <v>8642.0</v>
      </c>
      <c r="V70" s="8">
        <v>32163.0</v>
      </c>
      <c r="W70" s="8">
        <v>956.0</v>
      </c>
      <c r="X70" s="8">
        <v>2400.0</v>
      </c>
      <c r="Y70" s="8">
        <v>1356.0</v>
      </c>
      <c r="Z70" s="9">
        <v>25567.0</v>
      </c>
      <c r="AA70" s="9">
        <v>25421.0</v>
      </c>
      <c r="AB70" s="9">
        <v>6277.0</v>
      </c>
      <c r="AC70" s="9">
        <v>219.0</v>
      </c>
      <c r="AD70" s="9">
        <v>5.0</v>
      </c>
      <c r="AE70" s="9">
        <v>2.0</v>
      </c>
      <c r="AF70" s="10" t="s">
        <v>66</v>
      </c>
    </row>
    <row r="71" ht="15.75" customHeight="1">
      <c r="A71" s="6">
        <v>44995.0</v>
      </c>
      <c r="B71" s="7" t="s">
        <v>21</v>
      </c>
      <c r="C71" s="8">
        <v>3772.237</v>
      </c>
      <c r="D71" s="8">
        <v>4188.0</v>
      </c>
      <c r="E71" s="8">
        <v>3260.587</v>
      </c>
      <c r="F71" s="8">
        <v>533.0</v>
      </c>
      <c r="G71" s="8">
        <v>585.0</v>
      </c>
      <c r="H71" s="8">
        <v>497.0</v>
      </c>
      <c r="I71" s="8">
        <v>673.0</v>
      </c>
      <c r="J71" s="8">
        <v>742.0</v>
      </c>
      <c r="K71" s="8">
        <v>601.0</v>
      </c>
      <c r="L71" s="8">
        <v>469.0</v>
      </c>
      <c r="M71" s="8">
        <v>639.0</v>
      </c>
      <c r="N71" s="8">
        <v>450.0</v>
      </c>
      <c r="O71" s="8">
        <v>7.077368</v>
      </c>
      <c r="P71" s="8">
        <v>6.560538</v>
      </c>
      <c r="Q71" s="8">
        <v>5.605107</v>
      </c>
      <c r="R71" s="8">
        <v>5.42527</v>
      </c>
      <c r="S71" s="8">
        <v>1.434968</v>
      </c>
      <c r="T71" s="8">
        <v>1.335556</v>
      </c>
      <c r="U71" s="8">
        <v>21096.0</v>
      </c>
      <c r="V71" s="8">
        <v>125855.0</v>
      </c>
      <c r="W71" s="8">
        <v>2390.0</v>
      </c>
      <c r="X71" s="8">
        <v>7809.0</v>
      </c>
      <c r="Y71" s="8">
        <v>4305.0</v>
      </c>
      <c r="Z71" s="9">
        <v>91126.0</v>
      </c>
      <c r="AA71" s="9">
        <v>90610.0</v>
      </c>
      <c r="AB71" s="9">
        <v>18507.0</v>
      </c>
      <c r="AC71" s="9">
        <v>501.0</v>
      </c>
      <c r="AD71" s="9">
        <v>3.0</v>
      </c>
      <c r="AE71" s="9">
        <v>66.0</v>
      </c>
      <c r="AF71" s="10" t="s">
        <v>17</v>
      </c>
    </row>
    <row r="72" ht="15.75" customHeight="1">
      <c r="A72" s="6">
        <v>44994.0</v>
      </c>
      <c r="B72" s="7" t="s">
        <v>31</v>
      </c>
      <c r="C72" s="8">
        <v>3124.684</v>
      </c>
      <c r="D72" s="8">
        <v>3016.0</v>
      </c>
      <c r="E72" s="8">
        <v>2561.609</v>
      </c>
      <c r="F72" s="8">
        <v>409.0</v>
      </c>
      <c r="G72" s="8">
        <v>309.0</v>
      </c>
      <c r="H72" s="8">
        <v>323.0</v>
      </c>
      <c r="I72" s="8">
        <v>585.0</v>
      </c>
      <c r="J72" s="8">
        <v>474.0</v>
      </c>
      <c r="K72" s="8">
        <v>477.0</v>
      </c>
      <c r="L72" s="8">
        <v>362.0</v>
      </c>
      <c r="M72" s="8">
        <v>321.0</v>
      </c>
      <c r="N72" s="8">
        <v>304.0</v>
      </c>
      <c r="O72" s="8">
        <v>7.639813</v>
      </c>
      <c r="P72" s="8">
        <v>7.930677</v>
      </c>
      <c r="Q72" s="8">
        <v>5.34134</v>
      </c>
      <c r="R72" s="8">
        <v>5.370249</v>
      </c>
      <c r="S72" s="8">
        <v>1.616022</v>
      </c>
      <c r="T72" s="8">
        <v>1.569079</v>
      </c>
      <c r="U72" s="8">
        <v>10447.0</v>
      </c>
      <c r="V72" s="8">
        <v>38545.0</v>
      </c>
      <c r="W72" s="8">
        <v>1476.0</v>
      </c>
      <c r="X72" s="8">
        <v>3719.0</v>
      </c>
      <c r="Y72" s="8">
        <v>2200.0</v>
      </c>
      <c r="Z72" s="9">
        <v>42255.0</v>
      </c>
      <c r="AA72" s="9">
        <v>42079.0</v>
      </c>
      <c r="AB72" s="9">
        <v>9129.0</v>
      </c>
      <c r="AC72" s="9">
        <v>404.0</v>
      </c>
      <c r="AD72" s="9">
        <v>2.0</v>
      </c>
      <c r="AE72" s="9">
        <v>5.0</v>
      </c>
      <c r="AF72" s="10" t="s">
        <v>66</v>
      </c>
    </row>
    <row r="73" ht="15.75" customHeight="1">
      <c r="A73" s="6">
        <v>44992.0</v>
      </c>
      <c r="B73" s="7" t="s">
        <v>24</v>
      </c>
      <c r="C73" s="8">
        <v>2147.482</v>
      </c>
      <c r="D73" s="8">
        <v>2157.0</v>
      </c>
      <c r="E73" s="8">
        <v>2149.764</v>
      </c>
      <c r="F73" s="8">
        <v>269.0</v>
      </c>
      <c r="G73" s="8">
        <v>268.0</v>
      </c>
      <c r="H73" s="8">
        <v>292.0</v>
      </c>
      <c r="I73" s="8">
        <v>370.0</v>
      </c>
      <c r="J73" s="8">
        <v>358.0</v>
      </c>
      <c r="K73" s="8">
        <v>388.0</v>
      </c>
      <c r="L73" s="8">
        <v>251.0</v>
      </c>
      <c r="M73" s="8">
        <v>284.0</v>
      </c>
      <c r="N73" s="8">
        <v>264.0</v>
      </c>
      <c r="O73" s="8">
        <v>7.983204</v>
      </c>
      <c r="P73" s="8">
        <v>7.362206</v>
      </c>
      <c r="Q73" s="8">
        <v>5.804005</v>
      </c>
      <c r="R73" s="8">
        <v>5.540629</v>
      </c>
      <c r="S73" s="8">
        <v>1.474104</v>
      </c>
      <c r="T73" s="8">
        <v>1.469697</v>
      </c>
      <c r="U73" s="8">
        <v>9153.0</v>
      </c>
      <c r="V73" s="8">
        <v>34644.0</v>
      </c>
      <c r="W73" s="8">
        <v>1223.0</v>
      </c>
      <c r="X73" s="8">
        <v>3357.0</v>
      </c>
      <c r="Y73" s="8">
        <v>1827.0</v>
      </c>
      <c r="Z73" s="9">
        <v>40393.0</v>
      </c>
      <c r="AA73" s="9">
        <v>40195.0</v>
      </c>
      <c r="AB73" s="9">
        <v>8185.0</v>
      </c>
      <c r="AC73" s="9">
        <v>285.0</v>
      </c>
      <c r="AD73" s="9">
        <v>10.0</v>
      </c>
      <c r="AE73" s="9">
        <v>7.0</v>
      </c>
      <c r="AF73" s="10" t="s">
        <v>66</v>
      </c>
    </row>
    <row r="74" ht="15.75" customHeight="1">
      <c r="A74" s="6">
        <v>44991.0</v>
      </c>
      <c r="B74" s="7" t="s">
        <v>30</v>
      </c>
      <c r="C74" s="8">
        <v>7363.927</v>
      </c>
      <c r="D74" s="8">
        <v>5489.0</v>
      </c>
      <c r="E74" s="8">
        <v>4517.597</v>
      </c>
      <c r="F74" s="8">
        <v>430.0</v>
      </c>
      <c r="G74" s="8">
        <v>303.0</v>
      </c>
      <c r="H74" s="8">
        <v>290.0</v>
      </c>
      <c r="I74" s="8">
        <v>498.0</v>
      </c>
      <c r="J74" s="8">
        <v>306.0</v>
      </c>
      <c r="K74" s="8">
        <v>337.0</v>
      </c>
      <c r="L74" s="8">
        <v>391.0</v>
      </c>
      <c r="M74" s="8">
        <v>347.0</v>
      </c>
      <c r="N74" s="8">
        <v>269.0</v>
      </c>
      <c r="O74" s="8">
        <v>17.12541</v>
      </c>
      <c r="P74" s="8">
        <v>15.57792</v>
      </c>
      <c r="Q74" s="8">
        <v>14.787</v>
      </c>
      <c r="R74" s="8">
        <v>13.40533</v>
      </c>
      <c r="S74" s="8">
        <v>1.273657</v>
      </c>
      <c r="T74" s="8">
        <v>1.252788</v>
      </c>
      <c r="U74" s="8">
        <v>16277.0</v>
      </c>
      <c r="V74" s="8">
        <v>180847.0</v>
      </c>
      <c r="W74" s="8">
        <v>1532.0</v>
      </c>
      <c r="X74" s="8">
        <v>7708.0</v>
      </c>
      <c r="Y74" s="8">
        <v>2356.0</v>
      </c>
      <c r="Z74" s="9">
        <v>23136.0</v>
      </c>
      <c r="AA74" s="9">
        <v>22977.0</v>
      </c>
      <c r="AB74" s="9">
        <v>9815.0</v>
      </c>
      <c r="AC74" s="9">
        <v>339.0</v>
      </c>
      <c r="AD74" s="9">
        <v>7.0</v>
      </c>
      <c r="AE74" s="9">
        <v>61.0</v>
      </c>
      <c r="AF74" s="10" t="s">
        <v>66</v>
      </c>
    </row>
    <row r="75" ht="15.75" customHeight="1">
      <c r="A75" s="6">
        <v>44993.0</v>
      </c>
      <c r="B75" s="7" t="s">
        <v>15</v>
      </c>
      <c r="C75" s="11"/>
      <c r="D75" s="8">
        <v>121.0</v>
      </c>
      <c r="E75" s="8">
        <v>5866.655</v>
      </c>
      <c r="F75" s="8">
        <v>5.0</v>
      </c>
      <c r="G75" s="8">
        <v>5.0</v>
      </c>
      <c r="H75" s="8">
        <v>1056.0</v>
      </c>
      <c r="I75" s="8">
        <v>5.0</v>
      </c>
      <c r="J75" s="8">
        <v>6.0</v>
      </c>
      <c r="K75" s="8">
        <v>1094.0</v>
      </c>
      <c r="L75" s="8">
        <v>5.0</v>
      </c>
      <c r="M75" s="8">
        <v>6.0</v>
      </c>
      <c r="N75" s="8">
        <v>841.0</v>
      </c>
      <c r="O75" s="8">
        <v>33.0106</v>
      </c>
      <c r="P75" s="8">
        <v>5.555544</v>
      </c>
      <c r="Q75" s="8">
        <v>33.0106</v>
      </c>
      <c r="R75" s="8">
        <v>5.362573</v>
      </c>
      <c r="S75" s="8">
        <v>1.0</v>
      </c>
      <c r="T75" s="8">
        <v>1.300832</v>
      </c>
      <c r="U75" s="8">
        <v>647.0</v>
      </c>
      <c r="V75" s="8">
        <v>1738.0</v>
      </c>
      <c r="W75" s="8">
        <v>53.0</v>
      </c>
      <c r="X75" s="8">
        <v>61.0</v>
      </c>
      <c r="Y75" s="8">
        <v>61.0</v>
      </c>
      <c r="Z75" s="9">
        <v>1141.0</v>
      </c>
      <c r="AA75" s="9">
        <v>1141.0</v>
      </c>
      <c r="AB75" s="9">
        <v>367.0</v>
      </c>
      <c r="AC75" s="9">
        <v>4.0</v>
      </c>
      <c r="AD75" s="9">
        <v>0.0</v>
      </c>
      <c r="AE75" s="9">
        <v>0.0</v>
      </c>
      <c r="AF75" s="10" t="s">
        <v>15</v>
      </c>
    </row>
    <row r="76" ht="15.75" customHeight="1">
      <c r="A76" s="6">
        <v>44992.0</v>
      </c>
      <c r="B76" s="7" t="s">
        <v>31</v>
      </c>
      <c r="C76" s="8">
        <v>2574.241</v>
      </c>
      <c r="D76" s="8">
        <v>2742.0</v>
      </c>
      <c r="E76" s="8">
        <v>2696.908</v>
      </c>
      <c r="F76" s="8">
        <v>337.0</v>
      </c>
      <c r="G76" s="8">
        <v>305.0</v>
      </c>
      <c r="H76" s="8">
        <v>325.0</v>
      </c>
      <c r="I76" s="8">
        <v>474.0</v>
      </c>
      <c r="J76" s="8">
        <v>472.0</v>
      </c>
      <c r="K76" s="8">
        <v>477.0</v>
      </c>
      <c r="L76" s="8">
        <v>304.0</v>
      </c>
      <c r="M76" s="8">
        <v>316.0</v>
      </c>
      <c r="N76" s="8">
        <v>293.0</v>
      </c>
      <c r="O76" s="8">
        <v>7.638699</v>
      </c>
      <c r="P76" s="8">
        <v>8.298178</v>
      </c>
      <c r="Q76" s="8">
        <v>5.430889</v>
      </c>
      <c r="R76" s="8">
        <v>5.653895</v>
      </c>
      <c r="S76" s="8">
        <v>1.559211</v>
      </c>
      <c r="T76" s="8">
        <v>1.627986</v>
      </c>
      <c r="U76" s="8">
        <v>10290.0</v>
      </c>
      <c r="V76" s="8">
        <v>36862.0</v>
      </c>
      <c r="W76" s="8">
        <v>1389.0</v>
      </c>
      <c r="X76" s="8">
        <v>3484.0</v>
      </c>
      <c r="Y76" s="8">
        <v>2217.0</v>
      </c>
      <c r="Z76" s="9">
        <v>41774.0</v>
      </c>
      <c r="AA76" s="9">
        <v>41611.0</v>
      </c>
      <c r="AB76" s="9">
        <v>9215.0</v>
      </c>
      <c r="AC76" s="9">
        <v>341.0</v>
      </c>
      <c r="AD76" s="9">
        <v>6.0</v>
      </c>
      <c r="AE76" s="9">
        <v>8.0</v>
      </c>
      <c r="AF76" s="10" t="s">
        <v>66</v>
      </c>
    </row>
    <row r="77" ht="15.75" customHeight="1">
      <c r="A77" s="6">
        <v>44994.0</v>
      </c>
      <c r="B77" s="7" t="s">
        <v>14</v>
      </c>
      <c r="C77" s="8">
        <v>5792.759</v>
      </c>
      <c r="D77" s="8">
        <v>11397.0</v>
      </c>
      <c r="E77" s="8">
        <v>5110.06</v>
      </c>
      <c r="F77" s="8">
        <v>285.0</v>
      </c>
      <c r="G77" s="8">
        <v>259.0</v>
      </c>
      <c r="H77" s="8">
        <v>291.0</v>
      </c>
      <c r="I77" s="8">
        <v>348.0</v>
      </c>
      <c r="J77" s="8">
        <v>329.0</v>
      </c>
      <c r="K77" s="8">
        <v>375.0</v>
      </c>
      <c r="L77" s="8">
        <v>260.0</v>
      </c>
      <c r="M77" s="8">
        <v>289.0</v>
      </c>
      <c r="N77" s="8">
        <v>262.0</v>
      </c>
      <c r="O77" s="8">
        <v>20.32547</v>
      </c>
      <c r="P77" s="8">
        <v>17.56034</v>
      </c>
      <c r="Q77" s="8">
        <v>16.64586</v>
      </c>
      <c r="R77" s="8">
        <v>13.62683</v>
      </c>
      <c r="S77" s="8">
        <v>1.338462</v>
      </c>
      <c r="T77" s="8">
        <v>1.431298</v>
      </c>
      <c r="U77" s="8">
        <v>11670.0</v>
      </c>
      <c r="V77" s="8">
        <v>43857.0</v>
      </c>
      <c r="W77" s="8">
        <v>1203.0</v>
      </c>
      <c r="X77" s="8">
        <v>2777.0</v>
      </c>
      <c r="Y77" s="8">
        <v>1970.0</v>
      </c>
      <c r="Z77" s="9">
        <v>35366.0</v>
      </c>
      <c r="AA77" s="9">
        <v>35198.0</v>
      </c>
      <c r="AB77" s="9">
        <v>8786.0</v>
      </c>
      <c r="AC77" s="9">
        <v>261.0</v>
      </c>
      <c r="AD77" s="9">
        <v>2.0</v>
      </c>
      <c r="AE77" s="9">
        <v>10.0</v>
      </c>
      <c r="AF77" s="10" t="s">
        <v>63</v>
      </c>
    </row>
    <row r="78" ht="15.75" customHeight="1">
      <c r="A78" s="6">
        <v>44991.0</v>
      </c>
      <c r="B78" s="7" t="s">
        <v>20</v>
      </c>
      <c r="C78" s="8">
        <v>3663.959</v>
      </c>
      <c r="D78" s="8">
        <v>4125.0</v>
      </c>
      <c r="E78" s="8">
        <v>3864.47</v>
      </c>
      <c r="F78" s="8">
        <v>398.0</v>
      </c>
      <c r="G78" s="8">
        <v>316.0</v>
      </c>
      <c r="H78" s="8">
        <v>284.0</v>
      </c>
      <c r="I78" s="8">
        <v>985.0</v>
      </c>
      <c r="J78" s="8">
        <v>635.0</v>
      </c>
      <c r="K78" s="8">
        <v>743.0</v>
      </c>
      <c r="L78" s="8">
        <v>373.0</v>
      </c>
      <c r="M78" s="8">
        <v>333.0</v>
      </c>
      <c r="N78" s="8">
        <v>273.0</v>
      </c>
      <c r="O78" s="8">
        <v>9.205928</v>
      </c>
      <c r="P78" s="8">
        <v>13.60729</v>
      </c>
      <c r="Q78" s="8">
        <v>3.719756</v>
      </c>
      <c r="R78" s="8">
        <v>5.201171</v>
      </c>
      <c r="S78" s="8">
        <v>2.640751</v>
      </c>
      <c r="T78" s="8">
        <v>2.721612</v>
      </c>
      <c r="U78" s="8">
        <v>12056.0</v>
      </c>
      <c r="V78" s="8">
        <v>29120.0</v>
      </c>
      <c r="W78" s="8">
        <v>1419.0</v>
      </c>
      <c r="X78" s="8">
        <v>4430.0</v>
      </c>
      <c r="Y78" s="8">
        <v>2907.0</v>
      </c>
      <c r="Z78" s="9">
        <v>22945.0</v>
      </c>
      <c r="AA78" s="9">
        <v>22323.0</v>
      </c>
      <c r="AB78" s="9">
        <v>7100.0</v>
      </c>
      <c r="AC78" s="9">
        <v>541.0</v>
      </c>
      <c r="AD78" s="9">
        <v>23.0</v>
      </c>
      <c r="AE78" s="9">
        <v>367.0</v>
      </c>
      <c r="AF78" s="10" t="s">
        <v>64</v>
      </c>
    </row>
    <row r="79" ht="15.75" customHeight="1">
      <c r="A79" s="6">
        <v>44991.0</v>
      </c>
      <c r="B79" s="7" t="s">
        <v>22</v>
      </c>
      <c r="C79" s="8">
        <v>17049.51</v>
      </c>
      <c r="D79" s="8">
        <v>17580.0</v>
      </c>
      <c r="E79" s="8">
        <v>14768.84</v>
      </c>
      <c r="F79" s="8">
        <v>1964.0</v>
      </c>
      <c r="G79" s="8">
        <v>1726.0</v>
      </c>
      <c r="H79" s="8">
        <v>1547.0</v>
      </c>
      <c r="I79" s="8">
        <v>3108.0</v>
      </c>
      <c r="J79" s="8">
        <v>2468.0</v>
      </c>
      <c r="K79" s="8">
        <v>2217.0</v>
      </c>
      <c r="L79" s="8">
        <v>1754.0</v>
      </c>
      <c r="M79" s="8">
        <v>1742.0</v>
      </c>
      <c r="N79" s="8">
        <v>1394.0</v>
      </c>
      <c r="O79" s="8">
        <v>8.681012</v>
      </c>
      <c r="P79" s="8">
        <v>9.546764</v>
      </c>
      <c r="Q79" s="8">
        <v>5.485685</v>
      </c>
      <c r="R79" s="8">
        <v>6.661635</v>
      </c>
      <c r="S79" s="8">
        <v>1.77195</v>
      </c>
      <c r="T79" s="8">
        <v>1.590387</v>
      </c>
      <c r="U79" s="8">
        <v>38807.0</v>
      </c>
      <c r="V79" s="8">
        <v>169779.0</v>
      </c>
      <c r="W79" s="8">
        <v>6177.0</v>
      </c>
      <c r="X79" s="8">
        <v>16648.0</v>
      </c>
      <c r="Y79" s="8">
        <v>12044.0</v>
      </c>
      <c r="Z79" s="9">
        <v>110956.0</v>
      </c>
      <c r="AA79" s="9">
        <v>109923.0</v>
      </c>
      <c r="AB79" s="9">
        <v>30786.0</v>
      </c>
      <c r="AC79" s="9">
        <v>1865.0</v>
      </c>
      <c r="AD79" s="9">
        <v>52.0</v>
      </c>
      <c r="AE79" s="9">
        <v>764.0</v>
      </c>
      <c r="AF79" s="10" t="s">
        <v>64</v>
      </c>
    </row>
    <row r="80" ht="15.75" customHeight="1">
      <c r="A80" s="6">
        <v>44995.0</v>
      </c>
      <c r="B80" s="7" t="s">
        <v>19</v>
      </c>
      <c r="C80" s="8">
        <v>1754.677</v>
      </c>
      <c r="D80" s="8">
        <v>2187.0</v>
      </c>
      <c r="E80" s="8">
        <v>1618.718</v>
      </c>
      <c r="F80" s="8">
        <v>197.0</v>
      </c>
      <c r="G80" s="8">
        <v>178.0</v>
      </c>
      <c r="H80" s="8">
        <v>167.0</v>
      </c>
      <c r="I80" s="8">
        <v>227.0</v>
      </c>
      <c r="J80" s="8">
        <v>218.0</v>
      </c>
      <c r="K80" s="8">
        <v>186.0</v>
      </c>
      <c r="L80" s="8">
        <v>187.0</v>
      </c>
      <c r="M80" s="8">
        <v>197.0</v>
      </c>
      <c r="N80" s="8">
        <v>156.0</v>
      </c>
      <c r="O80" s="8">
        <v>8.906989</v>
      </c>
      <c r="P80" s="8">
        <v>9.692923</v>
      </c>
      <c r="Q80" s="8">
        <v>7.729854</v>
      </c>
      <c r="R80" s="8">
        <v>8.702786</v>
      </c>
      <c r="S80" s="8">
        <v>1.213904</v>
      </c>
      <c r="T80" s="8">
        <v>1.192308</v>
      </c>
      <c r="U80" s="8">
        <v>8712.0</v>
      </c>
      <c r="V80" s="8">
        <v>33491.0</v>
      </c>
      <c r="W80" s="8">
        <v>909.0</v>
      </c>
      <c r="X80" s="8">
        <v>1934.0</v>
      </c>
      <c r="Y80" s="8">
        <v>1235.0</v>
      </c>
      <c r="Z80" s="9">
        <v>24481.0</v>
      </c>
      <c r="AA80" s="9">
        <v>24371.0</v>
      </c>
      <c r="AB80" s="9">
        <v>7096.0</v>
      </c>
      <c r="AC80" s="9">
        <v>185.0</v>
      </c>
      <c r="AD80" s="9">
        <v>2.0</v>
      </c>
      <c r="AE80" s="9">
        <v>14.0</v>
      </c>
      <c r="AF80" s="11"/>
    </row>
    <row r="81" ht="15.75" customHeight="1">
      <c r="A81" s="6">
        <v>44993.0</v>
      </c>
      <c r="B81" s="7" t="s">
        <v>30</v>
      </c>
      <c r="C81" s="8">
        <v>6930.651</v>
      </c>
      <c r="D81" s="8">
        <v>7728.0</v>
      </c>
      <c r="E81" s="8">
        <v>5241.253</v>
      </c>
      <c r="F81" s="8">
        <v>464.0</v>
      </c>
      <c r="G81" s="8">
        <v>344.0</v>
      </c>
      <c r="H81" s="8">
        <v>331.0</v>
      </c>
      <c r="I81" s="8">
        <v>535.0</v>
      </c>
      <c r="J81" s="8">
        <v>398.0</v>
      </c>
      <c r="K81" s="8">
        <v>373.0</v>
      </c>
      <c r="L81" s="8">
        <v>420.0</v>
      </c>
      <c r="M81" s="8">
        <v>387.0</v>
      </c>
      <c r="N81" s="8">
        <v>300.0</v>
      </c>
      <c r="O81" s="8">
        <v>14.93675</v>
      </c>
      <c r="P81" s="8">
        <v>15.8346</v>
      </c>
      <c r="Q81" s="8">
        <v>12.95449</v>
      </c>
      <c r="R81" s="8">
        <v>14.05162</v>
      </c>
      <c r="S81" s="8">
        <v>1.27381</v>
      </c>
      <c r="T81" s="8">
        <v>1.243333</v>
      </c>
      <c r="U81" s="8">
        <v>18437.0</v>
      </c>
      <c r="V81" s="8">
        <v>201701.0</v>
      </c>
      <c r="W81" s="8">
        <v>1605.0</v>
      </c>
      <c r="X81" s="8">
        <v>7626.0</v>
      </c>
      <c r="Y81" s="8">
        <v>2402.0</v>
      </c>
      <c r="Z81" s="9">
        <v>23246.0</v>
      </c>
      <c r="AA81" s="9">
        <v>23065.0</v>
      </c>
      <c r="AB81" s="9">
        <v>10502.0</v>
      </c>
      <c r="AC81" s="9">
        <v>372.0</v>
      </c>
      <c r="AD81" s="9">
        <v>4.0</v>
      </c>
      <c r="AE81" s="9">
        <v>60.0</v>
      </c>
      <c r="AF81" s="10" t="s">
        <v>66</v>
      </c>
    </row>
    <row r="82" ht="15.75" customHeight="1">
      <c r="A82" s="6">
        <v>44994.0</v>
      </c>
      <c r="B82" s="7" t="s">
        <v>24</v>
      </c>
      <c r="C82" s="8">
        <v>2113.127</v>
      </c>
      <c r="D82" s="8">
        <v>2373.0</v>
      </c>
      <c r="E82" s="8">
        <v>2150.67</v>
      </c>
      <c r="F82" s="8">
        <v>297.0</v>
      </c>
      <c r="G82" s="8">
        <v>271.0</v>
      </c>
      <c r="H82" s="8">
        <v>322.0</v>
      </c>
      <c r="I82" s="8">
        <v>406.0</v>
      </c>
      <c r="J82" s="8">
        <v>359.0</v>
      </c>
      <c r="K82" s="8">
        <v>420.0</v>
      </c>
      <c r="L82" s="8">
        <v>278.0</v>
      </c>
      <c r="M82" s="8">
        <v>288.0</v>
      </c>
      <c r="N82" s="8">
        <v>306.0</v>
      </c>
      <c r="O82" s="8">
        <v>7.114907</v>
      </c>
      <c r="P82" s="8">
        <v>6.679098</v>
      </c>
      <c r="Q82" s="8">
        <v>5.204747</v>
      </c>
      <c r="R82" s="8">
        <v>5.120642</v>
      </c>
      <c r="S82" s="8">
        <v>1.460432</v>
      </c>
      <c r="T82" s="8">
        <v>1.372549</v>
      </c>
      <c r="U82" s="8">
        <v>9182.0</v>
      </c>
      <c r="V82" s="8">
        <v>35260.0</v>
      </c>
      <c r="W82" s="8">
        <v>1310.0</v>
      </c>
      <c r="X82" s="8">
        <v>3675.0</v>
      </c>
      <c r="Y82" s="8">
        <v>2012.0</v>
      </c>
      <c r="Z82" s="9">
        <v>40042.0</v>
      </c>
      <c r="AA82" s="9">
        <v>39821.0</v>
      </c>
      <c r="AB82" s="9">
        <v>8275.0</v>
      </c>
      <c r="AC82" s="9">
        <v>289.0</v>
      </c>
      <c r="AD82" s="9">
        <v>3.0</v>
      </c>
      <c r="AE82" s="9">
        <v>7.0</v>
      </c>
      <c r="AF82" s="10" t="s">
        <v>66</v>
      </c>
    </row>
    <row r="83" ht="15.75" customHeight="1">
      <c r="A83" s="6">
        <v>44995.0</v>
      </c>
      <c r="B83" s="7" t="s">
        <v>15</v>
      </c>
      <c r="C83" s="8">
        <v>24.44455</v>
      </c>
      <c r="D83" s="8">
        <v>116.0</v>
      </c>
      <c r="E83" s="8">
        <v>5819.297</v>
      </c>
      <c r="F83" s="8">
        <v>6.0</v>
      </c>
      <c r="G83" s="8">
        <v>5.0</v>
      </c>
      <c r="H83" s="8">
        <v>1045.0</v>
      </c>
      <c r="I83" s="8">
        <v>6.0</v>
      </c>
      <c r="J83" s="8">
        <v>6.0</v>
      </c>
      <c r="K83" s="8">
        <v>1208.0</v>
      </c>
      <c r="L83" s="8">
        <v>6.0</v>
      </c>
      <c r="M83" s="8">
        <v>6.0</v>
      </c>
      <c r="N83" s="8">
        <v>786.0</v>
      </c>
      <c r="O83" s="8">
        <v>4.074092</v>
      </c>
      <c r="P83" s="8">
        <v>5.568705</v>
      </c>
      <c r="Q83" s="8">
        <v>4.074092</v>
      </c>
      <c r="R83" s="8">
        <v>4.817299</v>
      </c>
      <c r="S83" s="8">
        <v>1.0</v>
      </c>
      <c r="T83" s="8">
        <v>1.536896</v>
      </c>
      <c r="U83" s="8">
        <v>619.0</v>
      </c>
      <c r="V83" s="8">
        <v>1792.0</v>
      </c>
      <c r="W83" s="8">
        <v>48.0</v>
      </c>
      <c r="X83" s="8">
        <v>62.0</v>
      </c>
      <c r="Y83" s="8">
        <v>51.0</v>
      </c>
      <c r="Z83" s="9">
        <v>1166.0</v>
      </c>
      <c r="AA83" s="9">
        <v>1166.0</v>
      </c>
      <c r="AB83" s="9">
        <v>282.0</v>
      </c>
      <c r="AC83" s="9">
        <v>3.0</v>
      </c>
      <c r="AD83" s="9">
        <v>0.0</v>
      </c>
      <c r="AE83" s="9">
        <v>0.0</v>
      </c>
      <c r="AF83" s="10" t="s">
        <v>15</v>
      </c>
    </row>
    <row r="84" ht="15.75" customHeight="1">
      <c r="A84" s="6">
        <v>44996.0</v>
      </c>
      <c r="B84" s="7" t="s">
        <v>12</v>
      </c>
      <c r="C84" s="8">
        <v>2407.439</v>
      </c>
      <c r="D84" s="8">
        <v>2784.0</v>
      </c>
      <c r="E84" s="8">
        <v>3550.543</v>
      </c>
      <c r="F84" s="8">
        <v>166.0</v>
      </c>
      <c r="G84" s="8">
        <v>110.0</v>
      </c>
      <c r="H84" s="8">
        <v>113.0</v>
      </c>
      <c r="I84" s="8">
        <v>181.0</v>
      </c>
      <c r="J84" s="8">
        <v>121.0</v>
      </c>
      <c r="K84" s="8">
        <v>137.0</v>
      </c>
      <c r="L84" s="8">
        <v>150.0</v>
      </c>
      <c r="M84" s="8">
        <v>126.0</v>
      </c>
      <c r="N84" s="8">
        <v>104.0</v>
      </c>
      <c r="O84" s="8">
        <v>14.50265</v>
      </c>
      <c r="P84" s="8">
        <v>31.42073</v>
      </c>
      <c r="Q84" s="8">
        <v>13.30077</v>
      </c>
      <c r="R84" s="8">
        <v>25.91637</v>
      </c>
      <c r="S84" s="8">
        <v>1.206667</v>
      </c>
      <c r="T84" s="8">
        <v>1.317308</v>
      </c>
      <c r="U84" s="8">
        <v>6929.0</v>
      </c>
      <c r="V84" s="8">
        <v>19577.0</v>
      </c>
      <c r="W84" s="8">
        <v>649.0</v>
      </c>
      <c r="X84" s="8">
        <v>1143.0</v>
      </c>
      <c r="Y84" s="8">
        <v>884.0</v>
      </c>
      <c r="Z84" s="9">
        <v>12253.0</v>
      </c>
      <c r="AA84" s="9">
        <v>12179.0</v>
      </c>
      <c r="AB84" s="9">
        <v>3472.0</v>
      </c>
      <c r="AC84" s="9">
        <v>137.0</v>
      </c>
      <c r="AD84" s="9">
        <v>0.0</v>
      </c>
      <c r="AE84" s="9">
        <v>0.0</v>
      </c>
      <c r="AF84" s="10" t="s">
        <v>63</v>
      </c>
    </row>
    <row r="85" ht="15.75" customHeight="1">
      <c r="A85" s="6">
        <v>44994.0</v>
      </c>
      <c r="B85" s="7" t="s">
        <v>20</v>
      </c>
      <c r="C85" s="8">
        <v>4132.873</v>
      </c>
      <c r="D85" s="8">
        <v>4850.0</v>
      </c>
      <c r="E85" s="8">
        <v>6651.421</v>
      </c>
      <c r="F85" s="8">
        <v>391.0</v>
      </c>
      <c r="G85" s="8">
        <v>411.0</v>
      </c>
      <c r="H85" s="8">
        <v>417.0</v>
      </c>
      <c r="I85" s="8">
        <v>1210.0</v>
      </c>
      <c r="J85" s="8">
        <v>1102.0</v>
      </c>
      <c r="K85" s="8">
        <v>1869.0</v>
      </c>
      <c r="L85" s="8">
        <v>366.0</v>
      </c>
      <c r="M85" s="8">
        <v>425.0</v>
      </c>
      <c r="N85" s="8">
        <v>392.0</v>
      </c>
      <c r="O85" s="8">
        <v>10.57001</v>
      </c>
      <c r="P85" s="8">
        <v>15.95065</v>
      </c>
      <c r="Q85" s="8">
        <v>3.415598</v>
      </c>
      <c r="R85" s="8">
        <v>3.558813</v>
      </c>
      <c r="S85" s="8">
        <v>3.306011</v>
      </c>
      <c r="T85" s="8">
        <v>4.767857</v>
      </c>
      <c r="U85" s="8">
        <v>11466.0</v>
      </c>
      <c r="V85" s="8">
        <v>26986.0</v>
      </c>
      <c r="W85" s="8">
        <v>1288.0</v>
      </c>
      <c r="X85" s="8">
        <v>4330.0</v>
      </c>
      <c r="Y85" s="8">
        <v>2793.0</v>
      </c>
      <c r="Z85" s="9">
        <v>23972.0</v>
      </c>
      <c r="AA85" s="9">
        <v>23277.0</v>
      </c>
      <c r="AB85" s="9">
        <v>6716.0</v>
      </c>
      <c r="AC85" s="9">
        <v>569.0</v>
      </c>
      <c r="AD85" s="9">
        <v>18.0</v>
      </c>
      <c r="AE85" s="9">
        <v>512.0</v>
      </c>
      <c r="AF85" s="10" t="s">
        <v>64</v>
      </c>
    </row>
    <row r="86" ht="15.75" customHeight="1">
      <c r="A86" s="6">
        <v>44995.0</v>
      </c>
      <c r="B86" s="7" t="s">
        <v>29</v>
      </c>
      <c r="C86" s="8">
        <v>624.3816</v>
      </c>
      <c r="D86" s="8">
        <v>913.0</v>
      </c>
      <c r="E86" s="8">
        <v>653.3664</v>
      </c>
      <c r="F86" s="8">
        <v>73.0</v>
      </c>
      <c r="G86" s="8">
        <v>77.0</v>
      </c>
      <c r="H86" s="8">
        <v>84.0</v>
      </c>
      <c r="I86" s="8">
        <v>127.0</v>
      </c>
      <c r="J86" s="8">
        <v>121.0</v>
      </c>
      <c r="K86" s="8">
        <v>129.0</v>
      </c>
      <c r="L86" s="8">
        <v>69.0</v>
      </c>
      <c r="M86" s="8">
        <v>82.0</v>
      </c>
      <c r="N86" s="8">
        <v>74.0</v>
      </c>
      <c r="O86" s="8">
        <v>8.553173</v>
      </c>
      <c r="P86" s="8">
        <v>7.778172</v>
      </c>
      <c r="Q86" s="8">
        <v>4.916391</v>
      </c>
      <c r="R86" s="8">
        <v>5.064856</v>
      </c>
      <c r="S86" s="8">
        <v>1.84058</v>
      </c>
      <c r="T86" s="8">
        <v>1.743243</v>
      </c>
      <c r="U86" s="8">
        <v>1883.0</v>
      </c>
      <c r="V86" s="8">
        <v>6266.0</v>
      </c>
      <c r="W86" s="8">
        <v>258.0</v>
      </c>
      <c r="X86" s="8">
        <v>551.0</v>
      </c>
      <c r="Y86" s="8">
        <v>393.0</v>
      </c>
      <c r="Z86" s="9">
        <v>8273.0</v>
      </c>
      <c r="AA86" s="9">
        <v>8193.0</v>
      </c>
      <c r="AB86" s="9">
        <v>2151.0</v>
      </c>
      <c r="AC86" s="9">
        <v>86.0</v>
      </c>
      <c r="AD86" s="9">
        <v>0.0</v>
      </c>
      <c r="AE86" s="9">
        <v>0.0</v>
      </c>
      <c r="AF86" s="10" t="s">
        <v>64</v>
      </c>
    </row>
    <row r="87" ht="15.75" customHeight="1">
      <c r="A87" s="6">
        <v>44993.0</v>
      </c>
      <c r="B87" s="7" t="s">
        <v>16</v>
      </c>
      <c r="C87" s="8">
        <v>4675.704</v>
      </c>
      <c r="D87" s="8">
        <v>4752.0</v>
      </c>
      <c r="E87" s="8">
        <v>3078.539</v>
      </c>
      <c r="F87" s="8">
        <v>417.0</v>
      </c>
      <c r="G87" s="8">
        <v>327.0</v>
      </c>
      <c r="H87" s="8">
        <v>262.0</v>
      </c>
      <c r="I87" s="8">
        <v>682.0</v>
      </c>
      <c r="J87" s="8">
        <v>512.0</v>
      </c>
      <c r="K87" s="8">
        <v>404.0</v>
      </c>
      <c r="L87" s="8">
        <v>375.0</v>
      </c>
      <c r="M87" s="8">
        <v>338.0</v>
      </c>
      <c r="N87" s="8">
        <v>239.0</v>
      </c>
      <c r="O87" s="8">
        <v>11.21272</v>
      </c>
      <c r="P87" s="8">
        <v>11.75015</v>
      </c>
      <c r="Q87" s="8">
        <v>6.855871</v>
      </c>
      <c r="R87" s="8">
        <v>7.620147</v>
      </c>
      <c r="S87" s="8">
        <v>1.818667</v>
      </c>
      <c r="T87" s="8">
        <v>1.690377</v>
      </c>
      <c r="U87" s="8">
        <v>7604.0</v>
      </c>
      <c r="V87" s="8">
        <v>86079.0</v>
      </c>
      <c r="W87" s="8">
        <v>1162.0</v>
      </c>
      <c r="X87" s="8">
        <v>6422.0</v>
      </c>
      <c r="Y87" s="8">
        <v>1982.0</v>
      </c>
      <c r="Z87" s="9">
        <v>34867.0</v>
      </c>
      <c r="AA87" s="9">
        <v>34585.0</v>
      </c>
      <c r="AB87" s="9">
        <v>8226.0</v>
      </c>
      <c r="AC87" s="9">
        <v>424.0</v>
      </c>
      <c r="AD87" s="9">
        <v>7.0</v>
      </c>
      <c r="AE87" s="9">
        <v>110.0</v>
      </c>
      <c r="AF87" s="10" t="s">
        <v>64</v>
      </c>
    </row>
    <row r="88" ht="15.75" customHeight="1">
      <c r="A88" s="6">
        <v>44993.0</v>
      </c>
      <c r="B88" s="7" t="s">
        <v>65</v>
      </c>
      <c r="C88" s="8">
        <v>5454.869</v>
      </c>
      <c r="D88" s="10">
        <v>7211.0</v>
      </c>
      <c r="E88" s="8">
        <v>5298.782</v>
      </c>
      <c r="F88" s="8">
        <v>487.0</v>
      </c>
      <c r="G88" s="10">
        <v>380.0</v>
      </c>
      <c r="H88" s="8">
        <v>411.0</v>
      </c>
      <c r="I88" s="8">
        <v>656.0</v>
      </c>
      <c r="J88" s="10">
        <v>506.0</v>
      </c>
      <c r="K88" s="8">
        <v>519.0</v>
      </c>
      <c r="L88" s="8">
        <v>446.0</v>
      </c>
      <c r="M88" s="10">
        <v>408.0</v>
      </c>
      <c r="N88" s="8">
        <v>367.0</v>
      </c>
      <c r="O88" s="8">
        <v>11.20096</v>
      </c>
      <c r="P88" s="8">
        <v>12.89241</v>
      </c>
      <c r="Q88" s="8">
        <v>8.31535</v>
      </c>
      <c r="R88" s="8">
        <v>10.2096</v>
      </c>
      <c r="S88" s="8">
        <v>1.470852</v>
      </c>
      <c r="T88" s="8">
        <v>1.414169</v>
      </c>
      <c r="U88" s="8">
        <v>15648.0</v>
      </c>
      <c r="V88" s="8">
        <v>71534.0</v>
      </c>
      <c r="W88" s="8">
        <v>2044.0</v>
      </c>
      <c r="X88" s="8">
        <v>5181.0</v>
      </c>
      <c r="Y88" s="8">
        <v>3113.0</v>
      </c>
      <c r="Z88" s="9">
        <v>56362.0</v>
      </c>
      <c r="AA88" s="9">
        <v>56133.0</v>
      </c>
      <c r="AB88" s="9">
        <v>12251.0</v>
      </c>
      <c r="AC88" s="9">
        <v>392.0</v>
      </c>
      <c r="AD88" s="9">
        <v>10.0</v>
      </c>
      <c r="AE88" s="9">
        <v>11.0</v>
      </c>
      <c r="AF88" s="10" t="s">
        <v>66</v>
      </c>
    </row>
    <row r="89" ht="15.75" customHeight="1">
      <c r="A89" s="6">
        <v>44992.0</v>
      </c>
      <c r="B89" s="7" t="s">
        <v>8</v>
      </c>
      <c r="C89" s="8">
        <v>2597.636</v>
      </c>
      <c r="D89" s="8">
        <v>2427.0</v>
      </c>
      <c r="E89" s="8">
        <v>2297.057</v>
      </c>
      <c r="F89" s="8">
        <v>236.0</v>
      </c>
      <c r="G89" s="8">
        <v>218.0</v>
      </c>
      <c r="H89" s="8">
        <v>209.0</v>
      </c>
      <c r="I89" s="8">
        <v>293.0</v>
      </c>
      <c r="J89" s="8">
        <v>242.0</v>
      </c>
      <c r="K89" s="8">
        <v>223.0</v>
      </c>
      <c r="L89" s="8">
        <v>212.0</v>
      </c>
      <c r="M89" s="8">
        <v>250.0</v>
      </c>
      <c r="N89" s="8">
        <v>198.0</v>
      </c>
      <c r="O89" s="8">
        <v>11.00693</v>
      </c>
      <c r="P89" s="8">
        <v>10.9907</v>
      </c>
      <c r="Q89" s="8">
        <v>8.865651</v>
      </c>
      <c r="R89" s="8">
        <v>10.3007</v>
      </c>
      <c r="S89" s="8">
        <v>1.382075</v>
      </c>
      <c r="T89" s="8">
        <v>1.126263</v>
      </c>
      <c r="U89" s="8">
        <v>8420.0</v>
      </c>
      <c r="V89" s="8">
        <v>67777.0</v>
      </c>
      <c r="W89" s="8">
        <v>955.0</v>
      </c>
      <c r="X89" s="8">
        <v>3881.0</v>
      </c>
      <c r="Y89" s="8">
        <v>1383.0</v>
      </c>
      <c r="Z89" s="9">
        <v>19602.0</v>
      </c>
      <c r="AA89" s="9">
        <v>19446.0</v>
      </c>
      <c r="AB89" s="9">
        <v>6016.0</v>
      </c>
      <c r="AC89" s="9">
        <v>206.0</v>
      </c>
      <c r="AD89" s="9">
        <v>11.0</v>
      </c>
      <c r="AE89" s="9">
        <v>5.0</v>
      </c>
      <c r="AF89" s="10" t="s">
        <v>17</v>
      </c>
    </row>
    <row r="90" ht="15.75" customHeight="1">
      <c r="A90" s="6">
        <v>44995.0</v>
      </c>
      <c r="B90" s="7" t="s">
        <v>28</v>
      </c>
      <c r="C90" s="8">
        <v>2247.126</v>
      </c>
      <c r="D90" s="8">
        <v>2968.0</v>
      </c>
      <c r="E90" s="8">
        <v>2307.292</v>
      </c>
      <c r="F90" s="8">
        <v>325.0</v>
      </c>
      <c r="G90" s="8">
        <v>342.0</v>
      </c>
      <c r="H90" s="8">
        <v>299.0</v>
      </c>
      <c r="I90" s="8">
        <v>1005.0</v>
      </c>
      <c r="J90" s="8">
        <v>1010.0</v>
      </c>
      <c r="K90" s="8">
        <v>1103.0</v>
      </c>
      <c r="L90" s="8">
        <v>270.0</v>
      </c>
      <c r="M90" s="8">
        <v>319.0</v>
      </c>
      <c r="N90" s="8">
        <v>252.0</v>
      </c>
      <c r="O90" s="8">
        <v>6.914234</v>
      </c>
      <c r="P90" s="8">
        <v>7.716695</v>
      </c>
      <c r="Q90" s="8">
        <v>2.235946</v>
      </c>
      <c r="R90" s="8">
        <v>2.091833</v>
      </c>
      <c r="S90" s="8">
        <v>3.722222</v>
      </c>
      <c r="T90" s="8">
        <v>4.376984</v>
      </c>
      <c r="U90" s="8">
        <v>7208.0</v>
      </c>
      <c r="V90" s="8">
        <v>39756.0</v>
      </c>
      <c r="W90" s="8">
        <v>971.0</v>
      </c>
      <c r="X90" s="8">
        <v>5591.0</v>
      </c>
      <c r="Y90" s="8">
        <v>2062.0</v>
      </c>
      <c r="Z90" s="9">
        <v>29186.0</v>
      </c>
      <c r="AA90" s="9">
        <v>29004.0</v>
      </c>
      <c r="AB90" s="9">
        <v>6369.0</v>
      </c>
      <c r="AC90" s="9">
        <v>287.0</v>
      </c>
      <c r="AD90" s="9">
        <v>2.0</v>
      </c>
      <c r="AE90" s="9">
        <v>660.0</v>
      </c>
      <c r="AF90" s="10" t="s">
        <v>66</v>
      </c>
    </row>
    <row r="91" ht="15.75" customHeight="1">
      <c r="A91" s="6">
        <v>44997.0</v>
      </c>
      <c r="B91" s="7" t="s">
        <v>65</v>
      </c>
      <c r="C91" s="8">
        <v>6871.128</v>
      </c>
      <c r="D91" s="10">
        <v>6655.0</v>
      </c>
      <c r="E91" s="8">
        <v>5085.709</v>
      </c>
      <c r="F91" s="8">
        <v>519.0</v>
      </c>
      <c r="G91" s="10">
        <v>372.0</v>
      </c>
      <c r="H91" s="8">
        <v>387.0</v>
      </c>
      <c r="I91" s="8">
        <v>702.0</v>
      </c>
      <c r="J91" s="10">
        <v>496.0</v>
      </c>
      <c r="K91" s="8">
        <v>505.0</v>
      </c>
      <c r="L91" s="8">
        <v>468.0</v>
      </c>
      <c r="M91" s="10">
        <v>401.0</v>
      </c>
      <c r="N91" s="8">
        <v>346.0</v>
      </c>
      <c r="O91" s="8">
        <v>13.23917</v>
      </c>
      <c r="P91" s="8">
        <v>13.14137</v>
      </c>
      <c r="Q91" s="8">
        <v>9.787932</v>
      </c>
      <c r="R91" s="8">
        <v>10.07071</v>
      </c>
      <c r="S91" s="8">
        <v>1.5</v>
      </c>
      <c r="T91" s="8">
        <v>1.459538</v>
      </c>
      <c r="U91" s="8">
        <v>15641.0</v>
      </c>
      <c r="V91" s="8">
        <v>70164.0</v>
      </c>
      <c r="W91" s="8">
        <v>1939.0</v>
      </c>
      <c r="X91" s="8">
        <v>4814.0</v>
      </c>
      <c r="Y91" s="8">
        <v>2869.0</v>
      </c>
      <c r="Z91" s="8">
        <v>56715.0</v>
      </c>
      <c r="AA91" s="8">
        <v>56450.0</v>
      </c>
      <c r="AB91" s="9">
        <v>11558.0</v>
      </c>
      <c r="AC91" s="8">
        <v>379.0</v>
      </c>
      <c r="AD91" s="8">
        <v>1.0</v>
      </c>
      <c r="AE91" s="8">
        <v>19.0</v>
      </c>
      <c r="AF91" s="10" t="s">
        <v>66</v>
      </c>
    </row>
    <row r="92" ht="15.75" customHeight="1">
      <c r="A92" s="6">
        <v>44993.0</v>
      </c>
      <c r="B92" s="7" t="s">
        <v>11</v>
      </c>
      <c r="C92" s="8">
        <v>11954.19</v>
      </c>
      <c r="D92" s="8">
        <v>11068.0</v>
      </c>
      <c r="E92" s="8">
        <v>6771.081</v>
      </c>
      <c r="F92" s="8">
        <v>662.0</v>
      </c>
      <c r="G92" s="8">
        <v>566.0</v>
      </c>
      <c r="H92" s="8">
        <v>505.0</v>
      </c>
      <c r="I92" s="8">
        <v>706.0</v>
      </c>
      <c r="J92" s="8">
        <v>616.0</v>
      </c>
      <c r="K92" s="8">
        <v>536.0</v>
      </c>
      <c r="L92" s="8">
        <v>600.0</v>
      </c>
      <c r="M92" s="8">
        <v>648.0</v>
      </c>
      <c r="N92" s="8">
        <v>464.0</v>
      </c>
      <c r="O92" s="8">
        <v>18.05769</v>
      </c>
      <c r="P92" s="8">
        <v>13.40808</v>
      </c>
      <c r="Q92" s="8">
        <v>16.93228</v>
      </c>
      <c r="R92" s="8">
        <v>12.63261</v>
      </c>
      <c r="S92" s="8">
        <v>1.176667</v>
      </c>
      <c r="T92" s="8">
        <v>1.155172</v>
      </c>
      <c r="U92" s="8">
        <v>20643.0</v>
      </c>
      <c r="V92" s="8">
        <v>102355.0</v>
      </c>
      <c r="W92" s="8">
        <v>1934.0</v>
      </c>
      <c r="X92" s="8">
        <v>5851.0</v>
      </c>
      <c r="Y92" s="8">
        <v>2800.0</v>
      </c>
      <c r="Z92" s="9">
        <v>37987.0</v>
      </c>
      <c r="AA92" s="9">
        <v>37807.0</v>
      </c>
      <c r="AB92" s="9">
        <v>10459.0</v>
      </c>
      <c r="AC92" s="9">
        <v>434.0</v>
      </c>
      <c r="AD92" s="9">
        <v>2.0</v>
      </c>
      <c r="AE92" s="9">
        <v>4.0</v>
      </c>
      <c r="AF92" s="10" t="s">
        <v>63</v>
      </c>
    </row>
    <row r="93" ht="15.75" customHeight="1">
      <c r="A93" s="6">
        <v>44995.0</v>
      </c>
      <c r="B93" s="7" t="s">
        <v>22</v>
      </c>
      <c r="C93" s="8">
        <v>19672.65</v>
      </c>
      <c r="D93" s="8">
        <v>21400.0</v>
      </c>
      <c r="E93" s="8">
        <v>14522.48</v>
      </c>
      <c r="F93" s="8">
        <v>2156.0</v>
      </c>
      <c r="G93" s="8">
        <v>1950.0</v>
      </c>
      <c r="H93" s="8">
        <v>1515.0</v>
      </c>
      <c r="I93" s="8">
        <v>3389.0</v>
      </c>
      <c r="J93" s="8">
        <v>2993.0</v>
      </c>
      <c r="K93" s="8">
        <v>2180.0</v>
      </c>
      <c r="L93" s="8">
        <v>1917.0</v>
      </c>
      <c r="M93" s="8">
        <v>1988.0</v>
      </c>
      <c r="N93" s="8">
        <v>1351.0</v>
      </c>
      <c r="O93" s="8">
        <v>9.124606</v>
      </c>
      <c r="P93" s="8">
        <v>9.585797</v>
      </c>
      <c r="Q93" s="8">
        <v>5.804854</v>
      </c>
      <c r="R93" s="8">
        <v>6.661689</v>
      </c>
      <c r="S93" s="8">
        <v>1.767866</v>
      </c>
      <c r="T93" s="8">
        <v>1.61362</v>
      </c>
      <c r="U93" s="8">
        <v>42599.0</v>
      </c>
      <c r="V93" s="8">
        <v>176185.0</v>
      </c>
      <c r="W93" s="8">
        <v>6731.0</v>
      </c>
      <c r="X93" s="8">
        <v>17682.0</v>
      </c>
      <c r="Y93" s="8">
        <v>12661.0</v>
      </c>
      <c r="Z93" s="9">
        <v>112605.0</v>
      </c>
      <c r="AA93" s="9">
        <v>111392.0</v>
      </c>
      <c r="AB93" s="9">
        <v>32371.0</v>
      </c>
      <c r="AC93" s="9">
        <v>2002.0</v>
      </c>
      <c r="AD93" s="9">
        <v>6.0</v>
      </c>
      <c r="AE93" s="9">
        <v>714.0</v>
      </c>
      <c r="AF93" s="10" t="s">
        <v>64</v>
      </c>
    </row>
    <row r="94" ht="15.75" customHeight="1">
      <c r="A94" s="6">
        <v>44991.0</v>
      </c>
      <c r="B94" s="7" t="s">
        <v>24</v>
      </c>
      <c r="C94" s="8">
        <v>1960.42</v>
      </c>
      <c r="D94" s="8">
        <v>2158.0</v>
      </c>
      <c r="E94" s="8">
        <v>2317.316</v>
      </c>
      <c r="F94" s="8">
        <v>268.0</v>
      </c>
      <c r="G94" s="8">
        <v>231.0</v>
      </c>
      <c r="H94" s="8">
        <v>278.0</v>
      </c>
      <c r="I94" s="8">
        <v>370.0</v>
      </c>
      <c r="J94" s="8">
        <v>274.0</v>
      </c>
      <c r="K94" s="8">
        <v>390.0</v>
      </c>
      <c r="L94" s="8">
        <v>251.0</v>
      </c>
      <c r="M94" s="8">
        <v>246.0</v>
      </c>
      <c r="N94" s="8">
        <v>262.0</v>
      </c>
      <c r="O94" s="8">
        <v>7.315001</v>
      </c>
      <c r="P94" s="8">
        <v>8.335667</v>
      </c>
      <c r="Q94" s="8">
        <v>5.298433</v>
      </c>
      <c r="R94" s="8">
        <v>5.941835</v>
      </c>
      <c r="S94" s="8">
        <v>1.474104</v>
      </c>
      <c r="T94" s="8">
        <v>1.48855</v>
      </c>
      <c r="U94" s="8">
        <v>9067.0</v>
      </c>
      <c r="V94" s="8">
        <v>35703.0</v>
      </c>
      <c r="W94" s="8">
        <v>1255.0</v>
      </c>
      <c r="X94" s="8">
        <v>3658.0</v>
      </c>
      <c r="Y94" s="8">
        <v>1986.0</v>
      </c>
      <c r="Z94" s="9">
        <v>39779.0</v>
      </c>
      <c r="AA94" s="9">
        <v>39617.0</v>
      </c>
      <c r="AB94" s="9">
        <v>8054.0</v>
      </c>
      <c r="AC94" s="9">
        <v>269.0</v>
      </c>
      <c r="AD94" s="9">
        <v>10.0</v>
      </c>
      <c r="AE94" s="9">
        <v>4.0</v>
      </c>
      <c r="AF94" s="10" t="s">
        <v>66</v>
      </c>
    </row>
    <row r="95" ht="15.75" customHeight="1">
      <c r="A95" s="6">
        <v>44996.0</v>
      </c>
      <c r="B95" s="7" t="s">
        <v>29</v>
      </c>
      <c r="C95" s="8">
        <v>570.6797</v>
      </c>
      <c r="D95" s="8">
        <v>898.0</v>
      </c>
      <c r="E95" s="8">
        <v>746.7428</v>
      </c>
      <c r="F95" s="8">
        <v>79.0</v>
      </c>
      <c r="G95" s="8">
        <v>77.0</v>
      </c>
      <c r="H95" s="8">
        <v>93.0</v>
      </c>
      <c r="I95" s="8">
        <v>115.0</v>
      </c>
      <c r="J95" s="8">
        <v>121.0</v>
      </c>
      <c r="K95" s="8">
        <v>149.0</v>
      </c>
      <c r="L95" s="8">
        <v>71.0</v>
      </c>
      <c r="M95" s="8">
        <v>82.0</v>
      </c>
      <c r="N95" s="8">
        <v>82.0</v>
      </c>
      <c r="O95" s="8">
        <v>7.223794</v>
      </c>
      <c r="P95" s="8">
        <v>8.029493</v>
      </c>
      <c r="Q95" s="8">
        <v>4.962432</v>
      </c>
      <c r="R95" s="8">
        <v>5.011697</v>
      </c>
      <c r="S95" s="8">
        <v>1.619718</v>
      </c>
      <c r="T95" s="8">
        <v>1.817073</v>
      </c>
      <c r="U95" s="8">
        <v>1901.0</v>
      </c>
      <c r="V95" s="8">
        <v>6938.0</v>
      </c>
      <c r="W95" s="8">
        <v>274.0</v>
      </c>
      <c r="X95" s="8">
        <v>603.0</v>
      </c>
      <c r="Y95" s="8">
        <v>428.0</v>
      </c>
      <c r="Z95" s="9">
        <v>8254.0</v>
      </c>
      <c r="AA95" s="9">
        <v>8182.0</v>
      </c>
      <c r="AB95" s="9">
        <v>2191.0</v>
      </c>
      <c r="AC95" s="9">
        <v>84.0</v>
      </c>
      <c r="AD95" s="9">
        <v>1.0</v>
      </c>
      <c r="AE95" s="9">
        <v>1.0</v>
      </c>
      <c r="AF95" s="10" t="s">
        <v>64</v>
      </c>
    </row>
    <row r="96" ht="15.75" customHeight="1">
      <c r="A96" s="6">
        <v>44992.0</v>
      </c>
      <c r="B96" s="7" t="s">
        <v>20</v>
      </c>
      <c r="C96" s="8">
        <v>4172.658</v>
      </c>
      <c r="D96" s="8">
        <v>4409.0</v>
      </c>
      <c r="E96" s="8">
        <v>2390.0</v>
      </c>
      <c r="F96" s="8">
        <v>429.0</v>
      </c>
      <c r="G96" s="8">
        <v>406.0</v>
      </c>
      <c r="H96" s="8">
        <v>245.0</v>
      </c>
      <c r="I96" s="8">
        <v>1087.0</v>
      </c>
      <c r="J96" s="8">
        <v>1097.0</v>
      </c>
      <c r="K96" s="8">
        <v>665.0</v>
      </c>
      <c r="L96" s="8">
        <v>399.0</v>
      </c>
      <c r="M96" s="8">
        <v>418.0</v>
      </c>
      <c r="N96" s="8">
        <v>226.0</v>
      </c>
      <c r="O96" s="8">
        <v>9.726476</v>
      </c>
      <c r="P96" s="8">
        <v>9.755103</v>
      </c>
      <c r="Q96" s="8">
        <v>3.838692</v>
      </c>
      <c r="R96" s="8">
        <v>3.593985</v>
      </c>
      <c r="S96" s="8">
        <v>2.724311</v>
      </c>
      <c r="T96" s="8">
        <v>2.942478</v>
      </c>
      <c r="U96" s="8">
        <v>11985.0</v>
      </c>
      <c r="V96" s="8">
        <v>28053.0</v>
      </c>
      <c r="W96" s="8">
        <v>1271.0</v>
      </c>
      <c r="X96" s="8">
        <v>3835.0</v>
      </c>
      <c r="Y96" s="8">
        <v>2626.0</v>
      </c>
      <c r="Z96" s="9">
        <v>23573.0</v>
      </c>
      <c r="AA96" s="9">
        <v>22917.0</v>
      </c>
      <c r="AB96" s="9">
        <v>6934.0</v>
      </c>
      <c r="AC96" s="9">
        <v>589.0</v>
      </c>
      <c r="AD96" s="9">
        <v>8.0</v>
      </c>
      <c r="AE96" s="9">
        <v>373.0</v>
      </c>
      <c r="AF96" s="10" t="s">
        <v>64</v>
      </c>
    </row>
    <row r="97" ht="15.75" customHeight="1">
      <c r="A97" s="6">
        <v>44996.0</v>
      </c>
      <c r="B97" s="7" t="s">
        <v>16</v>
      </c>
      <c r="C97" s="8">
        <v>4152.272</v>
      </c>
      <c r="D97" s="8">
        <v>4478.0</v>
      </c>
      <c r="E97" s="8">
        <v>3485.174</v>
      </c>
      <c r="F97" s="8">
        <v>404.0</v>
      </c>
      <c r="G97" s="8">
        <v>314.0</v>
      </c>
      <c r="H97" s="8">
        <v>314.0</v>
      </c>
      <c r="I97" s="8">
        <v>656.0</v>
      </c>
      <c r="J97" s="8">
        <v>492.0</v>
      </c>
      <c r="K97" s="8">
        <v>476.0</v>
      </c>
      <c r="L97" s="8">
        <v>360.0</v>
      </c>
      <c r="M97" s="8">
        <v>326.0</v>
      </c>
      <c r="N97" s="8">
        <v>288.0</v>
      </c>
      <c r="O97" s="8">
        <v>10.2779</v>
      </c>
      <c r="P97" s="8">
        <v>11.09928</v>
      </c>
      <c r="Q97" s="8">
        <v>6.329683</v>
      </c>
      <c r="R97" s="8">
        <v>7.321793</v>
      </c>
      <c r="S97" s="8">
        <v>1.822222</v>
      </c>
      <c r="T97" s="8">
        <v>1.652778</v>
      </c>
      <c r="U97" s="8">
        <v>7441.0</v>
      </c>
      <c r="V97" s="8">
        <v>78426.0</v>
      </c>
      <c r="W97" s="8">
        <v>1154.0</v>
      </c>
      <c r="X97" s="8">
        <v>5882.0</v>
      </c>
      <c r="Y97" s="8">
        <v>1837.0</v>
      </c>
      <c r="Z97" s="9">
        <v>34849.0</v>
      </c>
      <c r="AA97" s="9">
        <v>34539.0</v>
      </c>
      <c r="AB97" s="9">
        <v>7896.0</v>
      </c>
      <c r="AC97" s="9">
        <v>388.0</v>
      </c>
      <c r="AD97" s="9">
        <v>5.0</v>
      </c>
      <c r="AE97" s="9">
        <v>99.0</v>
      </c>
      <c r="AF97" s="10" t="s">
        <v>64</v>
      </c>
    </row>
    <row r="98" ht="15.75" customHeight="1">
      <c r="A98" s="6">
        <v>44993.0</v>
      </c>
      <c r="B98" s="7" t="s">
        <v>9</v>
      </c>
      <c r="C98" s="8">
        <v>10701.09</v>
      </c>
      <c r="D98" s="8">
        <v>11002.0</v>
      </c>
      <c r="E98" s="8">
        <v>6401.276</v>
      </c>
      <c r="F98" s="8">
        <v>498.0</v>
      </c>
      <c r="G98" s="8">
        <v>425.0</v>
      </c>
      <c r="H98" s="8">
        <v>455.0</v>
      </c>
      <c r="I98" s="8">
        <v>559.0</v>
      </c>
      <c r="J98" s="8">
        <v>491.0</v>
      </c>
      <c r="K98" s="8">
        <v>521.0</v>
      </c>
      <c r="L98" s="8">
        <v>466.0</v>
      </c>
      <c r="M98" s="8">
        <v>481.0</v>
      </c>
      <c r="N98" s="8">
        <v>422.0</v>
      </c>
      <c r="O98" s="8">
        <v>21.48813</v>
      </c>
      <c r="P98" s="8">
        <v>14.06874</v>
      </c>
      <c r="Q98" s="8">
        <v>19.14327</v>
      </c>
      <c r="R98" s="8">
        <v>12.28652</v>
      </c>
      <c r="S98" s="8">
        <v>1.199571</v>
      </c>
      <c r="T98" s="8">
        <v>1.234597</v>
      </c>
      <c r="U98" s="8">
        <v>21091.0</v>
      </c>
      <c r="V98" s="8">
        <v>218619.0</v>
      </c>
      <c r="W98" s="8">
        <v>1948.0</v>
      </c>
      <c r="X98" s="8">
        <v>8176.0</v>
      </c>
      <c r="Y98" s="8">
        <v>2790.0</v>
      </c>
      <c r="Z98" s="9">
        <v>71611.0</v>
      </c>
      <c r="AA98" s="9">
        <v>71100.0</v>
      </c>
      <c r="AB98" s="9">
        <v>13569.0</v>
      </c>
      <c r="AC98" s="9">
        <v>454.0</v>
      </c>
      <c r="AD98" s="9">
        <v>7.0</v>
      </c>
      <c r="AE98" s="9">
        <v>0.0</v>
      </c>
      <c r="AF98" s="10" t="s">
        <v>63</v>
      </c>
    </row>
    <row r="99" ht="15.75" customHeight="1">
      <c r="A99" s="6">
        <v>44997.0</v>
      </c>
      <c r="B99" s="7" t="s">
        <v>20</v>
      </c>
      <c r="C99" s="8">
        <v>4364.297</v>
      </c>
      <c r="D99" s="8">
        <v>4649.0</v>
      </c>
      <c r="E99" s="8">
        <v>5293.748</v>
      </c>
      <c r="F99" s="8">
        <v>469.0</v>
      </c>
      <c r="G99" s="8">
        <v>419.0</v>
      </c>
      <c r="H99" s="8">
        <v>288.0</v>
      </c>
      <c r="I99" s="8">
        <v>1320.0</v>
      </c>
      <c r="J99" s="8">
        <v>1122.0</v>
      </c>
      <c r="K99" s="8">
        <v>1188.0</v>
      </c>
      <c r="L99" s="8">
        <v>434.0</v>
      </c>
      <c r="M99" s="8">
        <v>433.0</v>
      </c>
      <c r="N99" s="8">
        <v>277.0</v>
      </c>
      <c r="O99" s="8">
        <v>9.305536</v>
      </c>
      <c r="P99" s="8">
        <v>18.38107</v>
      </c>
      <c r="Q99" s="8">
        <v>3.306285</v>
      </c>
      <c r="R99" s="8">
        <v>4.456017</v>
      </c>
      <c r="S99" s="8">
        <v>3.041475</v>
      </c>
      <c r="T99" s="8">
        <v>4.288809</v>
      </c>
      <c r="U99" s="8">
        <v>10990.0</v>
      </c>
      <c r="V99" s="8">
        <v>27425.0</v>
      </c>
      <c r="W99" s="8">
        <v>1377.0</v>
      </c>
      <c r="X99" s="8">
        <v>4427.0</v>
      </c>
      <c r="Y99" s="8">
        <v>2837.0</v>
      </c>
      <c r="Z99" s="9">
        <v>23147.0</v>
      </c>
      <c r="AA99" s="9">
        <v>22474.0</v>
      </c>
      <c r="AB99" s="9">
        <v>7172.0</v>
      </c>
      <c r="AC99" s="9">
        <v>662.0</v>
      </c>
      <c r="AD99" s="9">
        <v>5.0</v>
      </c>
      <c r="AE99" s="9">
        <v>571.0</v>
      </c>
      <c r="AF99" s="10" t="s">
        <v>64</v>
      </c>
    </row>
    <row r="100" ht="15.75" customHeight="1">
      <c r="A100" s="6">
        <v>44993.0</v>
      </c>
      <c r="B100" s="7" t="s">
        <v>26</v>
      </c>
      <c r="C100" s="8">
        <v>1100.707</v>
      </c>
      <c r="D100" s="8">
        <v>986.0</v>
      </c>
      <c r="E100" s="8">
        <v>959.3852</v>
      </c>
      <c r="F100" s="8">
        <v>152.0</v>
      </c>
      <c r="G100" s="8">
        <v>119.0</v>
      </c>
      <c r="H100" s="8">
        <v>128.0</v>
      </c>
      <c r="I100" s="8">
        <v>216.0</v>
      </c>
      <c r="J100" s="8">
        <v>157.0</v>
      </c>
      <c r="K100" s="8">
        <v>156.0</v>
      </c>
      <c r="L100" s="8">
        <v>150.0</v>
      </c>
      <c r="M100" s="8">
        <v>125.0</v>
      </c>
      <c r="N100" s="8">
        <v>117.0</v>
      </c>
      <c r="O100" s="8">
        <v>7.241491</v>
      </c>
      <c r="P100" s="8">
        <v>7.495197</v>
      </c>
      <c r="Q100" s="8">
        <v>5.095864</v>
      </c>
      <c r="R100" s="8">
        <v>6.149905</v>
      </c>
      <c r="S100" s="8">
        <v>1.44</v>
      </c>
      <c r="T100" s="8">
        <v>1.333333</v>
      </c>
      <c r="U100" s="8">
        <v>2716.0</v>
      </c>
      <c r="V100" s="8">
        <v>8163.0</v>
      </c>
      <c r="W100" s="8">
        <v>380.0</v>
      </c>
      <c r="X100" s="8">
        <v>756.0</v>
      </c>
      <c r="Y100" s="8">
        <v>545.0</v>
      </c>
      <c r="Z100" s="9">
        <v>8968.0</v>
      </c>
      <c r="AA100" s="9">
        <v>8915.0</v>
      </c>
      <c r="AB100" s="9">
        <v>1772.0</v>
      </c>
      <c r="AC100" s="9">
        <v>138.0</v>
      </c>
      <c r="AD100" s="9">
        <v>0.0</v>
      </c>
      <c r="AE100" s="9">
        <v>4.0</v>
      </c>
      <c r="AF100" s="10" t="s">
        <v>66</v>
      </c>
    </row>
    <row r="101" ht="15.75" customHeight="1">
      <c r="A101" s="6">
        <v>44996.0</v>
      </c>
      <c r="B101" s="7" t="s">
        <v>65</v>
      </c>
      <c r="C101" s="8">
        <v>6576.857</v>
      </c>
      <c r="D101" s="10">
        <v>6795.0</v>
      </c>
      <c r="E101" s="8">
        <v>4896.14</v>
      </c>
      <c r="F101" s="8">
        <v>464.0</v>
      </c>
      <c r="G101" s="10">
        <v>365.0</v>
      </c>
      <c r="H101" s="8">
        <v>338.0</v>
      </c>
      <c r="I101" s="8">
        <v>631.0</v>
      </c>
      <c r="J101" s="10">
        <v>487.0</v>
      </c>
      <c r="K101" s="8">
        <v>490.0</v>
      </c>
      <c r="L101" s="8">
        <v>440.0</v>
      </c>
      <c r="M101" s="10">
        <v>393.0</v>
      </c>
      <c r="N101" s="8">
        <v>301.0</v>
      </c>
      <c r="O101" s="8">
        <v>14.17426</v>
      </c>
      <c r="P101" s="8">
        <v>14.48562</v>
      </c>
      <c r="Q101" s="8">
        <v>10.42291</v>
      </c>
      <c r="R101" s="8">
        <v>9.992122</v>
      </c>
      <c r="S101" s="8">
        <v>1.434091</v>
      </c>
      <c r="T101" s="8">
        <v>1.627907</v>
      </c>
      <c r="U101" s="8">
        <v>15624.0</v>
      </c>
      <c r="V101" s="8">
        <v>73013.0</v>
      </c>
      <c r="W101" s="8">
        <v>1995.0</v>
      </c>
      <c r="X101" s="8">
        <v>5350.0</v>
      </c>
      <c r="Y101" s="8">
        <v>3153.0</v>
      </c>
      <c r="Z101" s="9">
        <v>56693.0</v>
      </c>
      <c r="AA101" s="9">
        <v>56428.0</v>
      </c>
      <c r="AB101" s="9">
        <v>12201.0</v>
      </c>
      <c r="AC101" s="9">
        <v>403.0</v>
      </c>
      <c r="AD101" s="9">
        <v>0.0</v>
      </c>
      <c r="AE101" s="9">
        <v>12.0</v>
      </c>
      <c r="AF101" s="10" t="s">
        <v>66</v>
      </c>
    </row>
    <row r="102" ht="15.75" customHeight="1">
      <c r="A102" s="6">
        <v>44992.0</v>
      </c>
      <c r="B102" s="7" t="s">
        <v>15</v>
      </c>
      <c r="C102" s="8">
        <v>28.88217</v>
      </c>
      <c r="D102" s="8">
        <v>106.0</v>
      </c>
      <c r="E102" s="8">
        <v>6153.124</v>
      </c>
      <c r="F102" s="8">
        <v>7.0</v>
      </c>
      <c r="G102" s="8">
        <v>5.0</v>
      </c>
      <c r="H102" s="8">
        <v>959.0</v>
      </c>
      <c r="I102" s="8">
        <v>7.0</v>
      </c>
      <c r="J102" s="8">
        <v>6.0</v>
      </c>
      <c r="K102" s="8">
        <v>976.0</v>
      </c>
      <c r="L102" s="8">
        <v>7.0</v>
      </c>
      <c r="M102" s="8">
        <v>6.0</v>
      </c>
      <c r="N102" s="8">
        <v>746.0</v>
      </c>
      <c r="O102" s="8">
        <v>4.126024</v>
      </c>
      <c r="P102" s="8">
        <v>6.416188</v>
      </c>
      <c r="Q102" s="8">
        <v>4.126024</v>
      </c>
      <c r="R102" s="8">
        <v>6.30443</v>
      </c>
      <c r="S102" s="8">
        <v>1.0</v>
      </c>
      <c r="T102" s="8">
        <v>1.308311</v>
      </c>
      <c r="U102" s="8">
        <v>606.0</v>
      </c>
      <c r="V102" s="8">
        <v>1461.0</v>
      </c>
      <c r="W102" s="8">
        <v>59.0</v>
      </c>
      <c r="X102" s="8">
        <v>74.0</v>
      </c>
      <c r="Y102" s="8">
        <v>65.0</v>
      </c>
      <c r="Z102" s="9">
        <v>1164.0</v>
      </c>
      <c r="AA102" s="9">
        <v>1164.0</v>
      </c>
      <c r="AB102" s="9">
        <v>329.0</v>
      </c>
      <c r="AC102" s="9">
        <v>5.0</v>
      </c>
      <c r="AD102" s="9">
        <v>0.0</v>
      </c>
      <c r="AE102" s="9">
        <v>0.0</v>
      </c>
      <c r="AF102" s="10" t="s">
        <v>15</v>
      </c>
    </row>
    <row r="103" ht="15.75" customHeight="1">
      <c r="A103" s="6">
        <v>44994.0</v>
      </c>
      <c r="B103" s="7" t="s">
        <v>21</v>
      </c>
      <c r="C103" s="8">
        <v>3046.521</v>
      </c>
      <c r="D103" s="8">
        <v>4208.0</v>
      </c>
      <c r="E103" s="8">
        <v>3465.721</v>
      </c>
      <c r="F103" s="8">
        <v>529.0</v>
      </c>
      <c r="G103" s="8">
        <v>585.0</v>
      </c>
      <c r="H103" s="8">
        <v>517.0</v>
      </c>
      <c r="I103" s="8">
        <v>697.0</v>
      </c>
      <c r="J103" s="8">
        <v>743.0</v>
      </c>
      <c r="K103" s="8">
        <v>598.0</v>
      </c>
      <c r="L103" s="8">
        <v>474.0</v>
      </c>
      <c r="M103" s="8">
        <v>639.0</v>
      </c>
      <c r="N103" s="8">
        <v>462.0</v>
      </c>
      <c r="O103" s="8">
        <v>5.759019</v>
      </c>
      <c r="P103" s="8">
        <v>6.703522</v>
      </c>
      <c r="Q103" s="8">
        <v>4.370905</v>
      </c>
      <c r="R103" s="8">
        <v>5.79552</v>
      </c>
      <c r="S103" s="8">
        <v>1.470464</v>
      </c>
      <c r="T103" s="8">
        <v>1.294372</v>
      </c>
      <c r="U103" s="8">
        <v>20170.0</v>
      </c>
      <c r="V103" s="8">
        <v>121233.0</v>
      </c>
      <c r="W103" s="8">
        <v>2351.0</v>
      </c>
      <c r="X103" s="8">
        <v>8024.0</v>
      </c>
      <c r="Y103" s="8">
        <v>4108.0</v>
      </c>
      <c r="Z103" s="9">
        <v>91259.0</v>
      </c>
      <c r="AA103" s="9">
        <v>90724.0</v>
      </c>
      <c r="AB103" s="9">
        <v>17674.0</v>
      </c>
      <c r="AC103" s="9">
        <v>491.0</v>
      </c>
      <c r="AD103" s="9">
        <v>1.0</v>
      </c>
      <c r="AE103" s="9">
        <v>74.0</v>
      </c>
      <c r="AF103" s="10" t="s">
        <v>17</v>
      </c>
    </row>
    <row r="104" ht="15.75" customHeight="1">
      <c r="A104" s="6">
        <v>44992.0</v>
      </c>
      <c r="B104" s="7" t="s">
        <v>19</v>
      </c>
      <c r="C104" s="8">
        <v>1412.858</v>
      </c>
      <c r="D104" s="8">
        <v>1998.0</v>
      </c>
      <c r="E104" s="8">
        <v>1252.978</v>
      </c>
      <c r="F104" s="8">
        <v>163.0</v>
      </c>
      <c r="G104" s="8">
        <v>176.0</v>
      </c>
      <c r="H104" s="8">
        <v>145.0</v>
      </c>
      <c r="I104" s="8">
        <v>193.0</v>
      </c>
      <c r="J104" s="8">
        <v>217.0</v>
      </c>
      <c r="K104" s="8">
        <v>171.0</v>
      </c>
      <c r="L104" s="8">
        <v>151.0</v>
      </c>
      <c r="M104" s="8">
        <v>193.0</v>
      </c>
      <c r="N104" s="8">
        <v>133.0</v>
      </c>
      <c r="O104" s="8">
        <v>8.66784</v>
      </c>
      <c r="P104" s="8">
        <v>8.641225</v>
      </c>
      <c r="Q104" s="8">
        <v>7.320507</v>
      </c>
      <c r="R104" s="8">
        <v>7.327354</v>
      </c>
      <c r="S104" s="8">
        <v>1.278146</v>
      </c>
      <c r="T104" s="8">
        <v>1.285714</v>
      </c>
      <c r="U104" s="8">
        <v>8380.0</v>
      </c>
      <c r="V104" s="8">
        <v>31817.0</v>
      </c>
      <c r="W104" s="8">
        <v>870.0</v>
      </c>
      <c r="X104" s="8">
        <v>1639.0</v>
      </c>
      <c r="Y104" s="8">
        <v>1108.0</v>
      </c>
      <c r="Z104" s="9">
        <v>24146.0</v>
      </c>
      <c r="AA104" s="9">
        <v>24027.0</v>
      </c>
      <c r="AB104" s="9">
        <v>6955.0</v>
      </c>
      <c r="AC104" s="9">
        <v>152.0</v>
      </c>
      <c r="AD104" s="9">
        <v>1.0</v>
      </c>
      <c r="AE104" s="9">
        <v>3.0</v>
      </c>
      <c r="AF104" s="11"/>
    </row>
    <row r="105" ht="15.75" customHeight="1">
      <c r="A105" s="6">
        <v>44997.0</v>
      </c>
      <c r="B105" s="7" t="s">
        <v>21</v>
      </c>
      <c r="C105" s="8">
        <v>4285.526</v>
      </c>
      <c r="D105" s="8">
        <v>4033.0</v>
      </c>
      <c r="E105" s="8">
        <v>3891.216</v>
      </c>
      <c r="F105" s="8">
        <v>566.0</v>
      </c>
      <c r="G105" s="8">
        <v>596.0</v>
      </c>
      <c r="H105" s="8">
        <v>552.0</v>
      </c>
      <c r="I105" s="8">
        <v>704.0</v>
      </c>
      <c r="J105" s="8">
        <v>756.0</v>
      </c>
      <c r="K105" s="8">
        <v>664.0</v>
      </c>
      <c r="L105" s="8">
        <v>491.0</v>
      </c>
      <c r="M105" s="8">
        <v>651.0</v>
      </c>
      <c r="N105" s="8">
        <v>475.0</v>
      </c>
      <c r="O105" s="8">
        <v>7.571601</v>
      </c>
      <c r="P105" s="8">
        <v>7.049304</v>
      </c>
      <c r="Q105" s="8">
        <v>6.087395</v>
      </c>
      <c r="R105" s="8">
        <v>5.860265</v>
      </c>
      <c r="S105" s="8">
        <v>1.433809</v>
      </c>
      <c r="T105" s="8">
        <v>1.397895</v>
      </c>
      <c r="U105" s="8">
        <v>20827.0</v>
      </c>
      <c r="V105" s="8">
        <v>135140.0</v>
      </c>
      <c r="W105" s="8">
        <v>2372.0</v>
      </c>
      <c r="X105" s="8">
        <v>7717.0</v>
      </c>
      <c r="Y105" s="8">
        <v>4113.0</v>
      </c>
      <c r="Z105" s="9">
        <v>91013.0</v>
      </c>
      <c r="AA105" s="9">
        <v>90467.0</v>
      </c>
      <c r="AB105" s="9">
        <v>18658.0</v>
      </c>
      <c r="AC105" s="9">
        <v>499.0</v>
      </c>
      <c r="AD105" s="9">
        <v>2.0</v>
      </c>
      <c r="AE105" s="9">
        <v>63.0</v>
      </c>
      <c r="AF105" s="10" t="s">
        <v>17</v>
      </c>
    </row>
    <row r="106" ht="15.75" customHeight="1">
      <c r="A106" s="6">
        <v>44992.0</v>
      </c>
      <c r="B106" s="7" t="s">
        <v>29</v>
      </c>
      <c r="C106" s="8">
        <v>686.1583</v>
      </c>
      <c r="D106" s="8">
        <v>834.0</v>
      </c>
      <c r="E106" s="8">
        <v>957.9924</v>
      </c>
      <c r="F106" s="8">
        <v>74.0</v>
      </c>
      <c r="G106" s="8">
        <v>76.0</v>
      </c>
      <c r="H106" s="8">
        <v>88.0</v>
      </c>
      <c r="I106" s="8">
        <v>126.0</v>
      </c>
      <c r="J106" s="8">
        <v>120.0</v>
      </c>
      <c r="K106" s="8">
        <v>125.0</v>
      </c>
      <c r="L106" s="8">
        <v>70.0</v>
      </c>
      <c r="M106" s="8">
        <v>81.0</v>
      </c>
      <c r="N106" s="8">
        <v>74.0</v>
      </c>
      <c r="O106" s="8">
        <v>9.272409</v>
      </c>
      <c r="P106" s="8">
        <v>10.88628</v>
      </c>
      <c r="Q106" s="8">
        <v>5.445701</v>
      </c>
      <c r="R106" s="8">
        <v>7.663939</v>
      </c>
      <c r="S106" s="8">
        <v>1.8</v>
      </c>
      <c r="T106" s="8">
        <v>1.689189</v>
      </c>
      <c r="U106" s="8">
        <v>1896.0</v>
      </c>
      <c r="V106" s="8">
        <v>6395.0</v>
      </c>
      <c r="W106" s="8">
        <v>280.0</v>
      </c>
      <c r="X106" s="8">
        <v>607.0</v>
      </c>
      <c r="Y106" s="8">
        <v>454.0</v>
      </c>
      <c r="Z106" s="9">
        <v>8304.0</v>
      </c>
      <c r="AA106" s="9">
        <v>8217.0</v>
      </c>
      <c r="AB106" s="9">
        <v>2073.0</v>
      </c>
      <c r="AC106" s="9">
        <v>94.0</v>
      </c>
      <c r="AD106" s="9">
        <v>4.0</v>
      </c>
      <c r="AE106" s="9">
        <v>3.0</v>
      </c>
      <c r="AF106" s="10" t="s">
        <v>64</v>
      </c>
    </row>
    <row r="107" ht="15.75" customHeight="1">
      <c r="A107" s="6">
        <v>44992.0</v>
      </c>
      <c r="B107" s="7" t="s">
        <v>14</v>
      </c>
      <c r="C107" s="8">
        <v>8418.152</v>
      </c>
      <c r="D107" s="8">
        <v>10360.0</v>
      </c>
      <c r="E107" s="8">
        <v>5467.728</v>
      </c>
      <c r="F107" s="8">
        <v>284.0</v>
      </c>
      <c r="G107" s="8">
        <v>256.0</v>
      </c>
      <c r="H107" s="8">
        <v>248.0</v>
      </c>
      <c r="I107" s="8">
        <v>324.0</v>
      </c>
      <c r="J107" s="8">
        <v>327.0</v>
      </c>
      <c r="K107" s="8">
        <v>312.0</v>
      </c>
      <c r="L107" s="8">
        <v>263.0</v>
      </c>
      <c r="M107" s="8">
        <v>285.0</v>
      </c>
      <c r="N107" s="8">
        <v>226.0</v>
      </c>
      <c r="O107" s="8">
        <v>29.64138</v>
      </c>
      <c r="P107" s="8">
        <v>22.04729</v>
      </c>
      <c r="Q107" s="8">
        <v>25.98195</v>
      </c>
      <c r="R107" s="8">
        <v>17.52477</v>
      </c>
      <c r="S107" s="8">
        <v>1.231939</v>
      </c>
      <c r="T107" s="8">
        <v>1.380531</v>
      </c>
      <c r="U107" s="8">
        <v>12031.0</v>
      </c>
      <c r="V107" s="8">
        <v>46173.0</v>
      </c>
      <c r="W107" s="8">
        <v>1151.0</v>
      </c>
      <c r="X107" s="8">
        <v>2461.0</v>
      </c>
      <c r="Y107" s="8">
        <v>1786.0</v>
      </c>
      <c r="Z107" s="9">
        <v>35317.0</v>
      </c>
      <c r="AA107" s="9">
        <v>35159.0</v>
      </c>
      <c r="AB107" s="9">
        <v>9097.0</v>
      </c>
      <c r="AC107" s="9">
        <v>245.0</v>
      </c>
      <c r="AD107" s="9">
        <v>2.0</v>
      </c>
      <c r="AE107" s="9">
        <v>6.0</v>
      </c>
      <c r="AF107" s="10" t="s">
        <v>63</v>
      </c>
    </row>
    <row r="108" ht="15.75" customHeight="1">
      <c r="A108" s="6">
        <v>44991.0</v>
      </c>
      <c r="B108" s="7" t="s">
        <v>15</v>
      </c>
      <c r="C108" s="8">
        <v>92.60763</v>
      </c>
      <c r="D108" s="8">
        <v>99.0</v>
      </c>
      <c r="E108" s="8">
        <v>6075.113</v>
      </c>
      <c r="F108" s="8">
        <v>9.0</v>
      </c>
      <c r="G108" s="8">
        <v>9.0</v>
      </c>
      <c r="H108" s="8">
        <v>960.0</v>
      </c>
      <c r="I108" s="8">
        <v>9.0</v>
      </c>
      <c r="J108" s="8">
        <v>8.0</v>
      </c>
      <c r="K108" s="8">
        <v>983.0</v>
      </c>
      <c r="L108" s="8">
        <v>9.0</v>
      </c>
      <c r="M108" s="8">
        <v>9.0</v>
      </c>
      <c r="N108" s="8">
        <v>740.0</v>
      </c>
      <c r="O108" s="8">
        <v>10.28974</v>
      </c>
      <c r="P108" s="8">
        <v>6.328243</v>
      </c>
      <c r="Q108" s="8">
        <v>10.28974</v>
      </c>
      <c r="R108" s="8">
        <v>6.180176</v>
      </c>
      <c r="S108" s="8">
        <v>1.0</v>
      </c>
      <c r="T108" s="8">
        <v>1.328378</v>
      </c>
      <c r="U108" s="8">
        <v>577.0</v>
      </c>
      <c r="V108" s="8">
        <v>1774.0</v>
      </c>
      <c r="W108" s="8">
        <v>54.0</v>
      </c>
      <c r="X108" s="8">
        <v>63.0</v>
      </c>
      <c r="Y108" s="8">
        <v>62.0</v>
      </c>
      <c r="Z108" s="9">
        <v>1130.0</v>
      </c>
      <c r="AA108" s="9">
        <v>1130.0</v>
      </c>
      <c r="AB108" s="9">
        <v>295.0</v>
      </c>
      <c r="AC108" s="9">
        <v>7.0</v>
      </c>
      <c r="AD108" s="9">
        <v>0.0</v>
      </c>
      <c r="AE108" s="9">
        <v>0.0</v>
      </c>
      <c r="AF108" s="10" t="s">
        <v>15</v>
      </c>
    </row>
    <row r="109" ht="15.75" customHeight="1">
      <c r="A109" s="6">
        <v>44993.0</v>
      </c>
      <c r="B109" s="7" t="s">
        <v>31</v>
      </c>
      <c r="C109" s="8">
        <v>3179.291</v>
      </c>
      <c r="D109" s="8">
        <v>3132.0</v>
      </c>
      <c r="E109" s="8">
        <v>3524.594</v>
      </c>
      <c r="F109" s="8">
        <v>423.0</v>
      </c>
      <c r="G109" s="8">
        <v>321.0</v>
      </c>
      <c r="H109" s="8">
        <v>369.0</v>
      </c>
      <c r="I109" s="8">
        <v>657.0</v>
      </c>
      <c r="J109" s="8">
        <v>492.0</v>
      </c>
      <c r="K109" s="8">
        <v>500.0</v>
      </c>
      <c r="L109" s="8">
        <v>388.0</v>
      </c>
      <c r="M109" s="8">
        <v>334.0</v>
      </c>
      <c r="N109" s="8">
        <v>336.0</v>
      </c>
      <c r="O109" s="8">
        <v>7.516055</v>
      </c>
      <c r="P109" s="8">
        <v>9.551746</v>
      </c>
      <c r="Q109" s="8">
        <v>4.839104</v>
      </c>
      <c r="R109" s="8">
        <v>7.049189</v>
      </c>
      <c r="S109" s="8">
        <v>1.693299</v>
      </c>
      <c r="T109" s="8">
        <v>1.488095</v>
      </c>
      <c r="U109" s="8">
        <v>11102.0</v>
      </c>
      <c r="V109" s="8">
        <v>41874.0</v>
      </c>
      <c r="W109" s="8">
        <v>1511.0</v>
      </c>
      <c r="X109" s="8">
        <v>3958.0</v>
      </c>
      <c r="Y109" s="8">
        <v>2409.0</v>
      </c>
      <c r="Z109" s="9">
        <v>42131.0</v>
      </c>
      <c r="AA109" s="9">
        <v>41965.0</v>
      </c>
      <c r="AB109" s="9">
        <v>9748.0</v>
      </c>
      <c r="AC109" s="9">
        <v>421.0</v>
      </c>
      <c r="AD109" s="9">
        <v>10.0</v>
      </c>
      <c r="AE109" s="9">
        <v>25.0</v>
      </c>
      <c r="AF109" s="10" t="s">
        <v>66</v>
      </c>
    </row>
    <row r="110" ht="15.75" customHeight="1">
      <c r="A110" s="6">
        <v>44992.0</v>
      </c>
      <c r="B110" s="7" t="s">
        <v>16</v>
      </c>
      <c r="C110" s="8">
        <v>3611.607</v>
      </c>
      <c r="D110" s="8">
        <v>4160.0</v>
      </c>
      <c r="E110" s="8">
        <v>3368.923</v>
      </c>
      <c r="F110" s="8">
        <v>326.0</v>
      </c>
      <c r="G110" s="8">
        <v>310.0</v>
      </c>
      <c r="H110" s="8">
        <v>310.0</v>
      </c>
      <c r="I110" s="8">
        <v>502.0</v>
      </c>
      <c r="J110" s="8">
        <v>491.0</v>
      </c>
      <c r="K110" s="8">
        <v>458.0</v>
      </c>
      <c r="L110" s="8">
        <v>296.0</v>
      </c>
      <c r="M110" s="8">
        <v>321.0</v>
      </c>
      <c r="N110" s="8">
        <v>272.0</v>
      </c>
      <c r="O110" s="8">
        <v>11.07855</v>
      </c>
      <c r="P110" s="8">
        <v>10.86749</v>
      </c>
      <c r="Q110" s="8">
        <v>7.194437</v>
      </c>
      <c r="R110" s="8">
        <v>7.355727</v>
      </c>
      <c r="S110" s="8">
        <v>1.695946</v>
      </c>
      <c r="T110" s="8">
        <v>1.683824</v>
      </c>
      <c r="U110" s="8">
        <v>6846.0</v>
      </c>
      <c r="V110" s="8">
        <v>73322.0</v>
      </c>
      <c r="W110" s="8">
        <v>1018.0</v>
      </c>
      <c r="X110" s="8">
        <v>5892.0</v>
      </c>
      <c r="Y110" s="8">
        <v>1685.0</v>
      </c>
      <c r="Z110" s="9">
        <v>34617.0</v>
      </c>
      <c r="AA110" s="9">
        <v>34336.0</v>
      </c>
      <c r="AB110" s="9">
        <v>7390.0</v>
      </c>
      <c r="AC110" s="9">
        <v>342.0</v>
      </c>
      <c r="AD110" s="9">
        <v>8.0</v>
      </c>
      <c r="AE110" s="9">
        <v>93.0</v>
      </c>
      <c r="AF110" s="10" t="s">
        <v>64</v>
      </c>
    </row>
    <row r="111" ht="15.75" customHeight="1">
      <c r="A111" s="6">
        <v>44991.0</v>
      </c>
      <c r="B111" s="7" t="s">
        <v>13</v>
      </c>
      <c r="C111" s="8">
        <v>7.59079</v>
      </c>
      <c r="D111" s="8">
        <v>103.0</v>
      </c>
      <c r="E111" s="8">
        <v>168.3431</v>
      </c>
      <c r="F111" s="8">
        <v>4.0</v>
      </c>
      <c r="G111" s="8">
        <v>82.0</v>
      </c>
      <c r="H111" s="8">
        <v>77.0</v>
      </c>
      <c r="I111" s="8">
        <v>4.0</v>
      </c>
      <c r="J111" s="8">
        <v>71.0</v>
      </c>
      <c r="K111" s="8">
        <v>77.0</v>
      </c>
      <c r="L111" s="8">
        <v>3.0</v>
      </c>
      <c r="M111" s="8">
        <v>64.0</v>
      </c>
      <c r="N111" s="8">
        <v>69.0</v>
      </c>
      <c r="O111" s="8">
        <v>1.897697</v>
      </c>
      <c r="P111" s="8">
        <v>2.186275</v>
      </c>
      <c r="Q111" s="8">
        <v>1.897697</v>
      </c>
      <c r="R111" s="8">
        <v>2.186275</v>
      </c>
      <c r="S111" s="8">
        <v>1.333333</v>
      </c>
      <c r="T111" s="8">
        <v>1.115942</v>
      </c>
      <c r="U111" s="8">
        <v>3.0</v>
      </c>
      <c r="V111" s="8">
        <v>3.0</v>
      </c>
      <c r="W111" s="12"/>
      <c r="X111" s="12"/>
      <c r="Y111" s="12"/>
      <c r="Z111" s="9">
        <v>4.0</v>
      </c>
      <c r="AA111" s="9">
        <v>4.0</v>
      </c>
      <c r="AB111" s="9">
        <v>2.0</v>
      </c>
      <c r="AC111" s="9">
        <v>4.0</v>
      </c>
      <c r="AD111" s="9">
        <v>1.0</v>
      </c>
      <c r="AE111" s="9">
        <v>0.0</v>
      </c>
      <c r="AF111" s="10" t="s">
        <v>15</v>
      </c>
    </row>
    <row r="112" ht="15.75" customHeight="1">
      <c r="A112" s="6">
        <v>44992.0</v>
      </c>
      <c r="B112" s="7" t="s">
        <v>26</v>
      </c>
      <c r="C112" s="8">
        <v>662.1644</v>
      </c>
      <c r="D112" s="8">
        <v>863.0</v>
      </c>
      <c r="E112" s="8">
        <v>986.2987</v>
      </c>
      <c r="F112" s="8">
        <v>109.0</v>
      </c>
      <c r="G112" s="8">
        <v>113.0</v>
      </c>
      <c r="H112" s="8">
        <v>143.0</v>
      </c>
      <c r="I112" s="8">
        <v>131.0</v>
      </c>
      <c r="J112" s="8">
        <v>151.0</v>
      </c>
      <c r="K112" s="8">
        <v>181.0</v>
      </c>
      <c r="L112" s="8">
        <v>104.0</v>
      </c>
      <c r="M112" s="8">
        <v>119.0</v>
      </c>
      <c r="N112" s="8">
        <v>137.0</v>
      </c>
      <c r="O112" s="8">
        <v>6.074903</v>
      </c>
      <c r="P112" s="8">
        <v>6.897194</v>
      </c>
      <c r="Q112" s="8">
        <v>5.05469</v>
      </c>
      <c r="R112" s="8">
        <v>5.449164</v>
      </c>
      <c r="S112" s="8">
        <v>1.259615</v>
      </c>
      <c r="T112" s="8">
        <v>1.321168</v>
      </c>
      <c r="U112" s="8">
        <v>2489.0</v>
      </c>
      <c r="V112" s="8">
        <v>6991.0</v>
      </c>
      <c r="W112" s="8">
        <v>326.0</v>
      </c>
      <c r="X112" s="8">
        <v>657.0</v>
      </c>
      <c r="Y112" s="8">
        <v>452.0</v>
      </c>
      <c r="Z112" s="9">
        <v>8930.0</v>
      </c>
      <c r="AA112" s="9">
        <v>8865.0</v>
      </c>
      <c r="AB112" s="9">
        <v>1570.0</v>
      </c>
      <c r="AC112" s="9">
        <v>98.0</v>
      </c>
      <c r="AD112" s="9">
        <v>0.0</v>
      </c>
      <c r="AE112" s="9">
        <v>4.0</v>
      </c>
      <c r="AF112" s="10" t="s">
        <v>66</v>
      </c>
    </row>
    <row r="113" ht="15.75" customHeight="1">
      <c r="A113" s="6">
        <v>44992.0</v>
      </c>
      <c r="B113" s="7" t="s">
        <v>17</v>
      </c>
      <c r="C113" s="8">
        <v>9306.542</v>
      </c>
      <c r="D113" s="8">
        <v>13166.0</v>
      </c>
      <c r="E113" s="8">
        <v>11427.57</v>
      </c>
      <c r="F113" s="8">
        <v>913.0</v>
      </c>
      <c r="G113" s="8">
        <v>907.0</v>
      </c>
      <c r="H113" s="8">
        <v>1029.0</v>
      </c>
      <c r="I113" s="8">
        <v>1146.0</v>
      </c>
      <c r="J113" s="8">
        <v>1184.0</v>
      </c>
      <c r="K113" s="8">
        <v>1252.0</v>
      </c>
      <c r="L113" s="8">
        <v>806.0</v>
      </c>
      <c r="M113" s="8">
        <v>985.0</v>
      </c>
      <c r="N113" s="8">
        <v>899.0</v>
      </c>
      <c r="O113" s="8">
        <v>10.19336</v>
      </c>
      <c r="P113" s="8">
        <v>11.10551</v>
      </c>
      <c r="Q113" s="8">
        <v>8.120892</v>
      </c>
      <c r="R113" s="8">
        <v>9.127455</v>
      </c>
      <c r="S113" s="8">
        <v>1.421836</v>
      </c>
      <c r="T113" s="8">
        <v>1.392659</v>
      </c>
      <c r="U113" s="8">
        <v>40503.0</v>
      </c>
      <c r="V113" s="8">
        <v>1244530.0</v>
      </c>
      <c r="W113" s="8">
        <v>4403.0</v>
      </c>
      <c r="X113" s="8">
        <v>48260.0</v>
      </c>
      <c r="Y113" s="8">
        <v>7847.0</v>
      </c>
      <c r="Z113" s="9">
        <v>119395.0</v>
      </c>
      <c r="AA113" s="9">
        <v>118594.0</v>
      </c>
      <c r="AB113" s="9">
        <v>36432.0</v>
      </c>
      <c r="AC113" s="9">
        <v>872.0</v>
      </c>
      <c r="AD113" s="9">
        <v>28.0</v>
      </c>
      <c r="AE113" s="9">
        <v>53.0</v>
      </c>
      <c r="AF113" s="10" t="s">
        <v>17</v>
      </c>
    </row>
    <row r="114" ht="15.75" customHeight="1">
      <c r="A114" s="6">
        <v>44996.0</v>
      </c>
      <c r="B114" s="7" t="s">
        <v>19</v>
      </c>
      <c r="C114" s="8">
        <v>1668.74</v>
      </c>
      <c r="D114" s="8">
        <v>2151.0</v>
      </c>
      <c r="E114" s="8">
        <v>1798.23</v>
      </c>
      <c r="F114" s="8">
        <v>206.0</v>
      </c>
      <c r="G114" s="8">
        <v>178.0</v>
      </c>
      <c r="H114" s="8">
        <v>194.0</v>
      </c>
      <c r="I114" s="8">
        <v>262.0</v>
      </c>
      <c r="J114" s="8">
        <v>218.0</v>
      </c>
      <c r="K114" s="8">
        <v>209.0</v>
      </c>
      <c r="L114" s="8">
        <v>189.0</v>
      </c>
      <c r="M114" s="8">
        <v>197.0</v>
      </c>
      <c r="N114" s="8">
        <v>178.0</v>
      </c>
      <c r="O114" s="8">
        <v>8.100678</v>
      </c>
      <c r="P114" s="8">
        <v>9.269224</v>
      </c>
      <c r="Q114" s="8">
        <v>6.369236</v>
      </c>
      <c r="R114" s="8">
        <v>8.603969</v>
      </c>
      <c r="S114" s="8">
        <v>1.386243</v>
      </c>
      <c r="T114" s="8">
        <v>1.174157</v>
      </c>
      <c r="U114" s="8">
        <v>9250.0</v>
      </c>
      <c r="V114" s="8">
        <v>36650.0</v>
      </c>
      <c r="W114" s="8">
        <v>970.0</v>
      </c>
      <c r="X114" s="8">
        <v>1935.0</v>
      </c>
      <c r="Y114" s="8">
        <v>1285.0</v>
      </c>
      <c r="Z114" s="9">
        <v>24377.0</v>
      </c>
      <c r="AA114" s="9">
        <v>24263.0</v>
      </c>
      <c r="AB114" s="9">
        <v>7341.0</v>
      </c>
      <c r="AC114" s="9">
        <v>196.0</v>
      </c>
      <c r="AD114" s="9">
        <v>1.0</v>
      </c>
      <c r="AE114" s="9">
        <v>14.0</v>
      </c>
      <c r="AF114" s="11"/>
    </row>
    <row r="115" ht="15.75" customHeight="1">
      <c r="A115" s="6">
        <v>44992.0</v>
      </c>
      <c r="B115" s="7" t="s">
        <v>25</v>
      </c>
      <c r="C115" s="8">
        <v>1865.205</v>
      </c>
      <c r="D115" s="8">
        <v>2650.0</v>
      </c>
      <c r="E115" s="8">
        <v>1821.31</v>
      </c>
      <c r="F115" s="8">
        <v>243.0</v>
      </c>
      <c r="G115" s="8">
        <v>263.0</v>
      </c>
      <c r="H115" s="8">
        <v>212.0</v>
      </c>
      <c r="I115" s="8">
        <v>285.0</v>
      </c>
      <c r="J115" s="8">
        <v>328.0</v>
      </c>
      <c r="K115" s="8">
        <v>257.0</v>
      </c>
      <c r="L115" s="8">
        <v>220.0</v>
      </c>
      <c r="M115" s="8">
        <v>296.0</v>
      </c>
      <c r="N115" s="8">
        <v>189.0</v>
      </c>
      <c r="O115" s="8">
        <v>7.675739</v>
      </c>
      <c r="P115" s="8">
        <v>8.591083</v>
      </c>
      <c r="Q115" s="8">
        <v>6.544578</v>
      </c>
      <c r="R115" s="8">
        <v>7.086808</v>
      </c>
      <c r="S115" s="8">
        <v>1.295455</v>
      </c>
      <c r="T115" s="8">
        <v>1.359788</v>
      </c>
      <c r="U115" s="8">
        <v>7785.0</v>
      </c>
      <c r="V115" s="8">
        <v>28578.0</v>
      </c>
      <c r="W115" s="8">
        <v>839.0</v>
      </c>
      <c r="X115" s="8">
        <v>1961.0</v>
      </c>
      <c r="Y115" s="8">
        <v>1214.0</v>
      </c>
      <c r="Z115" s="9">
        <v>25419.0</v>
      </c>
      <c r="AA115" s="9">
        <v>25283.0</v>
      </c>
      <c r="AB115" s="9">
        <v>5755.0</v>
      </c>
      <c r="AC115" s="9">
        <v>191.0</v>
      </c>
      <c r="AD115" s="9">
        <v>3.0</v>
      </c>
      <c r="AE115" s="9">
        <v>2.0</v>
      </c>
      <c r="AF115" s="10" t="s">
        <v>66</v>
      </c>
    </row>
    <row r="116" ht="15.75" customHeight="1">
      <c r="A116" s="6">
        <v>44993.0</v>
      </c>
      <c r="B116" s="7" t="s">
        <v>29</v>
      </c>
      <c r="C116" s="8">
        <v>753.8976</v>
      </c>
      <c r="D116" s="8">
        <v>952.0</v>
      </c>
      <c r="E116" s="8">
        <v>607.2063</v>
      </c>
      <c r="F116" s="8">
        <v>89.0</v>
      </c>
      <c r="G116" s="8">
        <v>80.0</v>
      </c>
      <c r="H116" s="8">
        <v>76.0</v>
      </c>
      <c r="I116" s="8">
        <v>150.0</v>
      </c>
      <c r="J116" s="8">
        <v>125.0</v>
      </c>
      <c r="K116" s="8">
        <v>115.0</v>
      </c>
      <c r="L116" s="8">
        <v>83.0</v>
      </c>
      <c r="M116" s="8">
        <v>86.0</v>
      </c>
      <c r="N116" s="8">
        <v>71.0</v>
      </c>
      <c r="O116" s="8">
        <v>8.47076</v>
      </c>
      <c r="P116" s="8">
        <v>7.989556</v>
      </c>
      <c r="Q116" s="8">
        <v>5.025984</v>
      </c>
      <c r="R116" s="8">
        <v>5.280055</v>
      </c>
      <c r="S116" s="8">
        <v>1.807229</v>
      </c>
      <c r="T116" s="8">
        <v>1.619718</v>
      </c>
      <c r="U116" s="8">
        <v>2120.0</v>
      </c>
      <c r="V116" s="8">
        <v>6857.0</v>
      </c>
      <c r="W116" s="8">
        <v>289.0</v>
      </c>
      <c r="X116" s="8">
        <v>800.0</v>
      </c>
      <c r="Y116" s="8">
        <v>471.0</v>
      </c>
      <c r="Z116" s="9">
        <v>8301.0</v>
      </c>
      <c r="AA116" s="9">
        <v>8228.0</v>
      </c>
      <c r="AB116" s="9">
        <v>2096.0</v>
      </c>
      <c r="AC116" s="9">
        <v>95.0</v>
      </c>
      <c r="AD116" s="9">
        <v>1.0</v>
      </c>
      <c r="AE116" s="9">
        <v>1.0</v>
      </c>
      <c r="AF116" s="10" t="s">
        <v>64</v>
      </c>
    </row>
    <row r="117" ht="15.75" customHeight="1">
      <c r="A117" s="6">
        <v>44993.0</v>
      </c>
      <c r="B117" s="7" t="s">
        <v>23</v>
      </c>
      <c r="C117" s="8">
        <v>10136.37</v>
      </c>
      <c r="D117" s="8">
        <v>7167.0</v>
      </c>
      <c r="E117" s="8">
        <v>5650.53</v>
      </c>
      <c r="F117" s="8">
        <v>273.0</v>
      </c>
      <c r="G117" s="8">
        <v>260.0</v>
      </c>
      <c r="H117" s="8">
        <v>275.0</v>
      </c>
      <c r="I117" s="8">
        <v>294.0</v>
      </c>
      <c r="J117" s="8">
        <v>294.0</v>
      </c>
      <c r="K117" s="8">
        <v>330.0</v>
      </c>
      <c r="L117" s="8">
        <v>265.0</v>
      </c>
      <c r="M117" s="8">
        <v>283.0</v>
      </c>
      <c r="N117" s="8">
        <v>261.0</v>
      </c>
      <c r="O117" s="8">
        <v>37.12957</v>
      </c>
      <c r="P117" s="8">
        <v>20.54738</v>
      </c>
      <c r="Q117" s="8">
        <v>34.47745</v>
      </c>
      <c r="R117" s="8">
        <v>17.12282</v>
      </c>
      <c r="S117" s="8">
        <v>1.109434</v>
      </c>
      <c r="T117" s="8">
        <v>1.264368</v>
      </c>
      <c r="U117" s="8">
        <v>11505.0</v>
      </c>
      <c r="V117" s="8">
        <v>33507.0</v>
      </c>
      <c r="W117" s="8">
        <v>1077.0</v>
      </c>
      <c r="X117" s="8">
        <v>1890.0</v>
      </c>
      <c r="Y117" s="8">
        <v>1494.0</v>
      </c>
      <c r="Z117" s="8">
        <v>32045.0</v>
      </c>
      <c r="AA117" s="8">
        <v>31884.0</v>
      </c>
      <c r="AB117" s="9">
        <v>8088.0</v>
      </c>
      <c r="AC117" s="8">
        <v>216.0</v>
      </c>
      <c r="AD117" s="8">
        <v>2.0</v>
      </c>
      <c r="AE117" s="8">
        <v>3.0</v>
      </c>
      <c r="AF117" s="10" t="s">
        <v>63</v>
      </c>
    </row>
    <row r="118" ht="15.75" customHeight="1">
      <c r="A118" s="6">
        <v>44997.0</v>
      </c>
      <c r="B118" s="7" t="s">
        <v>22</v>
      </c>
      <c r="C118" s="8">
        <v>21921.11</v>
      </c>
      <c r="D118" s="8">
        <v>20610.0</v>
      </c>
      <c r="E118" s="8">
        <v>12231.41</v>
      </c>
      <c r="F118" s="8">
        <v>2406.0</v>
      </c>
      <c r="G118" s="8">
        <v>1987.0</v>
      </c>
      <c r="H118" s="8">
        <v>1375.0</v>
      </c>
      <c r="I118" s="8">
        <v>3857.0</v>
      </c>
      <c r="J118" s="8">
        <v>3049.0</v>
      </c>
      <c r="K118" s="8">
        <v>2017.0</v>
      </c>
      <c r="L118" s="8">
        <v>2134.0</v>
      </c>
      <c r="M118" s="8">
        <v>2026.0</v>
      </c>
      <c r="N118" s="8">
        <v>1231.0</v>
      </c>
      <c r="O118" s="8">
        <v>9.111017</v>
      </c>
      <c r="P118" s="8">
        <v>8.895568</v>
      </c>
      <c r="Q118" s="8">
        <v>5.68346</v>
      </c>
      <c r="R118" s="8">
        <v>6.064157</v>
      </c>
      <c r="S118" s="8">
        <v>1.807404</v>
      </c>
      <c r="T118" s="8">
        <v>1.638505</v>
      </c>
      <c r="U118" s="8">
        <v>44515.0</v>
      </c>
      <c r="V118" s="8">
        <v>188781.0</v>
      </c>
      <c r="W118" s="8">
        <v>6761.0</v>
      </c>
      <c r="X118" s="8">
        <v>18183.0</v>
      </c>
      <c r="Y118" s="8">
        <v>13032.0</v>
      </c>
      <c r="Z118" s="9">
        <v>112552.0</v>
      </c>
      <c r="AA118" s="9">
        <v>111193.0</v>
      </c>
      <c r="AB118" s="9">
        <v>33114.0</v>
      </c>
      <c r="AC118" s="9">
        <v>2248.0</v>
      </c>
      <c r="AD118" s="9">
        <v>3.0</v>
      </c>
      <c r="AE118" s="9">
        <v>830.0</v>
      </c>
      <c r="AF118" s="10" t="s">
        <v>64</v>
      </c>
    </row>
    <row r="119" ht="15.75" customHeight="1">
      <c r="A119" s="6">
        <v>44996.0</v>
      </c>
      <c r="B119" s="7" t="s">
        <v>27</v>
      </c>
      <c r="C119" s="8">
        <v>2283.355</v>
      </c>
      <c r="D119" s="8">
        <v>3712.0</v>
      </c>
      <c r="E119" s="8">
        <v>3360.07</v>
      </c>
      <c r="F119" s="8">
        <v>255.0</v>
      </c>
      <c r="G119" s="8">
        <v>227.0</v>
      </c>
      <c r="H119" s="8">
        <v>220.0</v>
      </c>
      <c r="I119" s="8">
        <v>354.0</v>
      </c>
      <c r="J119" s="8">
        <v>315.0</v>
      </c>
      <c r="K119" s="8">
        <v>308.0</v>
      </c>
      <c r="L119" s="8">
        <v>226.0</v>
      </c>
      <c r="M119" s="8">
        <v>240.0</v>
      </c>
      <c r="N119" s="8">
        <v>193.0</v>
      </c>
      <c r="O119" s="8">
        <v>8.954332</v>
      </c>
      <c r="P119" s="8">
        <v>15.27305</v>
      </c>
      <c r="Q119" s="8">
        <v>6.450154</v>
      </c>
      <c r="R119" s="8">
        <v>10.90932</v>
      </c>
      <c r="S119" s="8">
        <v>1.566372</v>
      </c>
      <c r="T119" s="8">
        <v>1.595855</v>
      </c>
      <c r="U119" s="8">
        <v>7553.0</v>
      </c>
      <c r="V119" s="8">
        <v>26975.0</v>
      </c>
      <c r="W119" s="8">
        <v>1339.0</v>
      </c>
      <c r="X119" s="8">
        <v>2944.0</v>
      </c>
      <c r="Y119" s="8">
        <v>2166.0</v>
      </c>
      <c r="Z119" s="9">
        <v>68436.0</v>
      </c>
      <c r="AA119" s="9">
        <v>68060.0</v>
      </c>
      <c r="AB119" s="9">
        <v>6960.0</v>
      </c>
      <c r="AC119" s="9">
        <v>282.0</v>
      </c>
      <c r="AD119" s="9">
        <v>1.0</v>
      </c>
      <c r="AE119" s="9">
        <v>13.0</v>
      </c>
      <c r="AF119" s="10" t="s">
        <v>66</v>
      </c>
    </row>
    <row r="120" ht="15.75" customHeight="1">
      <c r="A120" s="6">
        <v>44991.0</v>
      </c>
      <c r="B120" s="7" t="s">
        <v>29</v>
      </c>
      <c r="C120" s="8">
        <v>747.169</v>
      </c>
      <c r="D120" s="8">
        <v>871.0</v>
      </c>
      <c r="E120" s="8">
        <v>718.1959</v>
      </c>
      <c r="F120" s="8">
        <v>68.0</v>
      </c>
      <c r="G120" s="8">
        <v>65.0</v>
      </c>
      <c r="H120" s="8">
        <v>67.0</v>
      </c>
      <c r="I120" s="8">
        <v>131.0</v>
      </c>
      <c r="J120" s="8">
        <v>86.0</v>
      </c>
      <c r="K120" s="8">
        <v>128.0</v>
      </c>
      <c r="L120" s="8">
        <v>61.0</v>
      </c>
      <c r="M120" s="8">
        <v>71.0</v>
      </c>
      <c r="N120" s="8">
        <v>59.0</v>
      </c>
      <c r="O120" s="8">
        <v>10.98778</v>
      </c>
      <c r="P120" s="8">
        <v>10.71934</v>
      </c>
      <c r="Q120" s="8">
        <v>5.70358</v>
      </c>
      <c r="R120" s="8">
        <v>5.610906</v>
      </c>
      <c r="S120" s="8">
        <v>2.147541</v>
      </c>
      <c r="T120" s="8">
        <v>2.169492</v>
      </c>
      <c r="U120" s="8">
        <v>1938.0</v>
      </c>
      <c r="V120" s="8">
        <v>6510.0</v>
      </c>
      <c r="W120" s="8">
        <v>280.0</v>
      </c>
      <c r="X120" s="8">
        <v>640.0</v>
      </c>
      <c r="Y120" s="8">
        <v>443.0</v>
      </c>
      <c r="Z120" s="9">
        <v>8119.0</v>
      </c>
      <c r="AA120" s="9">
        <v>8037.0</v>
      </c>
      <c r="AB120" s="9">
        <v>2040.0</v>
      </c>
      <c r="AC120" s="9">
        <v>95.0</v>
      </c>
      <c r="AD120" s="9">
        <v>2.0</v>
      </c>
      <c r="AE120" s="9">
        <v>1.0</v>
      </c>
      <c r="AF120" s="10" t="s">
        <v>64</v>
      </c>
    </row>
    <row r="121" ht="15.75" customHeight="1">
      <c r="A121" s="6">
        <v>44997.0</v>
      </c>
      <c r="B121" s="7" t="s">
        <v>10</v>
      </c>
      <c r="C121" s="8">
        <v>1223.51</v>
      </c>
      <c r="D121" s="8">
        <v>1003.0</v>
      </c>
      <c r="E121" s="8">
        <v>780.8231</v>
      </c>
      <c r="F121" s="8">
        <v>172.0</v>
      </c>
      <c r="G121" s="8">
        <v>110.0</v>
      </c>
      <c r="H121" s="8">
        <v>101.0</v>
      </c>
      <c r="I121" s="8">
        <v>242.0</v>
      </c>
      <c r="J121" s="8">
        <v>150.0</v>
      </c>
      <c r="K121" s="8">
        <v>139.0</v>
      </c>
      <c r="L121" s="8">
        <v>162.0</v>
      </c>
      <c r="M121" s="8">
        <v>113.0</v>
      </c>
      <c r="N121" s="8">
        <v>95.0</v>
      </c>
      <c r="O121" s="8">
        <v>7.113428</v>
      </c>
      <c r="P121" s="8">
        <v>7.730922</v>
      </c>
      <c r="Q121" s="8">
        <v>5.055825</v>
      </c>
      <c r="R121" s="8">
        <v>5.617433</v>
      </c>
      <c r="S121" s="8">
        <v>1.493827</v>
      </c>
      <c r="T121" s="8">
        <v>1.463158</v>
      </c>
      <c r="U121" s="8">
        <v>4209.0</v>
      </c>
      <c r="V121" s="8">
        <v>18115.0</v>
      </c>
      <c r="W121" s="8">
        <v>483.0</v>
      </c>
      <c r="X121" s="8">
        <v>1469.0</v>
      </c>
      <c r="Y121" s="8">
        <v>731.0</v>
      </c>
      <c r="Z121" s="9">
        <v>11935.0</v>
      </c>
      <c r="AA121" s="9">
        <v>11820.0</v>
      </c>
      <c r="AB121" s="9">
        <v>2470.0</v>
      </c>
      <c r="AC121" s="9">
        <v>133.0</v>
      </c>
      <c r="AD121" s="9">
        <v>0.0</v>
      </c>
      <c r="AE121" s="9">
        <v>3.0</v>
      </c>
      <c r="AF121" s="10" t="s">
        <v>66</v>
      </c>
    </row>
    <row r="122" ht="15.75" customHeight="1">
      <c r="A122" s="6">
        <v>44994.0</v>
      </c>
      <c r="B122" s="7" t="s">
        <v>30</v>
      </c>
      <c r="C122" s="8">
        <v>6639.92</v>
      </c>
      <c r="D122" s="8">
        <v>7442.0</v>
      </c>
      <c r="E122" s="8">
        <v>4816.004</v>
      </c>
      <c r="F122" s="8">
        <v>476.0</v>
      </c>
      <c r="G122" s="8">
        <v>331.0</v>
      </c>
      <c r="H122" s="8">
        <v>337.0</v>
      </c>
      <c r="I122" s="8">
        <v>558.0</v>
      </c>
      <c r="J122" s="8">
        <v>383.0</v>
      </c>
      <c r="K122" s="8">
        <v>386.0</v>
      </c>
      <c r="L122" s="8">
        <v>429.0</v>
      </c>
      <c r="M122" s="8">
        <v>373.0</v>
      </c>
      <c r="N122" s="8">
        <v>311.0</v>
      </c>
      <c r="O122" s="8">
        <v>13.94941</v>
      </c>
      <c r="P122" s="8">
        <v>14.29081</v>
      </c>
      <c r="Q122" s="8">
        <v>11.8995</v>
      </c>
      <c r="R122" s="8">
        <v>12.47669</v>
      </c>
      <c r="S122" s="8">
        <v>1.300699</v>
      </c>
      <c r="T122" s="8">
        <v>1.241158</v>
      </c>
      <c r="U122" s="8">
        <v>16230.0</v>
      </c>
      <c r="V122" s="8">
        <v>175263.0</v>
      </c>
      <c r="W122" s="8">
        <v>1553.0</v>
      </c>
      <c r="X122" s="8">
        <v>7699.0</v>
      </c>
      <c r="Y122" s="8">
        <v>2340.0</v>
      </c>
      <c r="Z122" s="9">
        <v>23065.0</v>
      </c>
      <c r="AA122" s="9">
        <v>22882.0</v>
      </c>
      <c r="AB122" s="9">
        <v>9648.0</v>
      </c>
      <c r="AC122" s="9">
        <v>370.0</v>
      </c>
      <c r="AD122" s="9">
        <v>2.0</v>
      </c>
      <c r="AE122" s="9">
        <v>91.0</v>
      </c>
      <c r="AF122" s="10" t="s">
        <v>66</v>
      </c>
    </row>
    <row r="123" ht="15.75" customHeight="1">
      <c r="A123" s="6">
        <v>44997.0</v>
      </c>
      <c r="B123" s="7" t="s">
        <v>27</v>
      </c>
      <c r="C123" s="8">
        <v>3004.981</v>
      </c>
      <c r="D123" s="8">
        <v>3636.0</v>
      </c>
      <c r="E123" s="8">
        <v>3295.517</v>
      </c>
      <c r="F123" s="8">
        <v>287.0</v>
      </c>
      <c r="G123" s="8">
        <v>231.0</v>
      </c>
      <c r="H123" s="8">
        <v>215.0</v>
      </c>
      <c r="I123" s="8">
        <v>400.0</v>
      </c>
      <c r="J123" s="8">
        <v>321.0</v>
      </c>
      <c r="K123" s="8">
        <v>264.0</v>
      </c>
      <c r="L123" s="8">
        <v>261.0</v>
      </c>
      <c r="M123" s="8">
        <v>244.0</v>
      </c>
      <c r="N123" s="8">
        <v>190.0</v>
      </c>
      <c r="O123" s="8">
        <v>10.47032</v>
      </c>
      <c r="P123" s="8">
        <v>15.32798</v>
      </c>
      <c r="Q123" s="8">
        <v>7.512452</v>
      </c>
      <c r="R123" s="8">
        <v>12.48302</v>
      </c>
      <c r="S123" s="8">
        <v>1.532567</v>
      </c>
      <c r="T123" s="8">
        <v>1.389474</v>
      </c>
      <c r="U123" s="8">
        <v>7406.0</v>
      </c>
      <c r="V123" s="8">
        <v>24475.0</v>
      </c>
      <c r="W123" s="8">
        <v>1244.0</v>
      </c>
      <c r="X123" s="8">
        <v>2898.0</v>
      </c>
      <c r="Y123" s="8">
        <v>2083.0</v>
      </c>
      <c r="Z123" s="9">
        <v>68433.0</v>
      </c>
      <c r="AA123" s="9">
        <v>68065.0</v>
      </c>
      <c r="AB123" s="9">
        <v>6629.0</v>
      </c>
      <c r="AC123" s="9">
        <v>304.0</v>
      </c>
      <c r="AD123" s="9">
        <v>0.0</v>
      </c>
      <c r="AE123" s="9">
        <v>9.0</v>
      </c>
      <c r="AF123" s="10" t="s">
        <v>66</v>
      </c>
    </row>
    <row r="124" ht="15.75" customHeight="1">
      <c r="A124" s="6">
        <v>44997.0</v>
      </c>
      <c r="B124" s="7" t="s">
        <v>9</v>
      </c>
      <c r="C124" s="8">
        <v>8083.295</v>
      </c>
      <c r="D124" s="8">
        <v>10155.0</v>
      </c>
      <c r="E124" s="8">
        <v>3694.824</v>
      </c>
      <c r="F124" s="8">
        <v>469.0</v>
      </c>
      <c r="G124" s="8">
        <v>417.0</v>
      </c>
      <c r="H124" s="8">
        <v>412.0</v>
      </c>
      <c r="I124" s="8">
        <v>523.0</v>
      </c>
      <c r="J124" s="8">
        <v>481.0</v>
      </c>
      <c r="K124" s="8">
        <v>456.0</v>
      </c>
      <c r="L124" s="8">
        <v>425.0</v>
      </c>
      <c r="M124" s="8">
        <v>472.0</v>
      </c>
      <c r="N124" s="8">
        <v>377.0</v>
      </c>
      <c r="O124" s="8">
        <v>17.23517</v>
      </c>
      <c r="P124" s="8">
        <v>8.96802</v>
      </c>
      <c r="Q124" s="8">
        <v>15.45563</v>
      </c>
      <c r="R124" s="8">
        <v>8.102685</v>
      </c>
      <c r="S124" s="8">
        <v>1.230588</v>
      </c>
      <c r="T124" s="8">
        <v>1.209549</v>
      </c>
      <c r="U124" s="8">
        <v>19525.0</v>
      </c>
      <c r="V124" s="8">
        <v>184714.0</v>
      </c>
      <c r="W124" s="8">
        <v>1959.0</v>
      </c>
      <c r="X124" s="8">
        <v>6639.0</v>
      </c>
      <c r="Y124" s="8">
        <v>2598.0</v>
      </c>
      <c r="Z124" s="9">
        <v>71200.0</v>
      </c>
      <c r="AA124" s="9">
        <v>70671.0</v>
      </c>
      <c r="AB124" s="9">
        <v>12334.0</v>
      </c>
      <c r="AC124" s="9">
        <v>431.0</v>
      </c>
      <c r="AD124" s="9">
        <v>1.0</v>
      </c>
      <c r="AE124" s="9">
        <v>1.0</v>
      </c>
      <c r="AF124" s="10" t="s">
        <v>63</v>
      </c>
    </row>
    <row r="125" ht="15.75" customHeight="1">
      <c r="A125" s="6">
        <v>44997.0</v>
      </c>
      <c r="B125" s="7" t="s">
        <v>25</v>
      </c>
      <c r="C125" s="8">
        <v>2284.284</v>
      </c>
      <c r="D125" s="8">
        <v>2794.0</v>
      </c>
      <c r="E125" s="8">
        <v>2576.115</v>
      </c>
      <c r="F125" s="8">
        <v>238.0</v>
      </c>
      <c r="G125" s="8">
        <v>272.0</v>
      </c>
      <c r="H125" s="8">
        <v>303.0</v>
      </c>
      <c r="I125" s="8">
        <v>310.0</v>
      </c>
      <c r="J125" s="8">
        <v>335.0</v>
      </c>
      <c r="K125" s="8">
        <v>374.0</v>
      </c>
      <c r="L125" s="8">
        <v>222.0</v>
      </c>
      <c r="M125" s="8">
        <v>306.0</v>
      </c>
      <c r="N125" s="8">
        <v>269.0</v>
      </c>
      <c r="O125" s="8">
        <v>9.597834</v>
      </c>
      <c r="P125" s="8">
        <v>8.50203</v>
      </c>
      <c r="Q125" s="8">
        <v>7.368659</v>
      </c>
      <c r="R125" s="8">
        <v>6.888008</v>
      </c>
      <c r="S125" s="8">
        <v>1.396396</v>
      </c>
      <c r="T125" s="8">
        <v>1.390335</v>
      </c>
      <c r="U125" s="8">
        <v>8113.0</v>
      </c>
      <c r="V125" s="8">
        <v>30730.0</v>
      </c>
      <c r="W125" s="8">
        <v>909.0</v>
      </c>
      <c r="X125" s="8">
        <v>2453.0</v>
      </c>
      <c r="Y125" s="8">
        <v>1384.0</v>
      </c>
      <c r="Z125" s="9">
        <v>25687.0</v>
      </c>
      <c r="AA125" s="9">
        <v>25527.0</v>
      </c>
      <c r="AB125" s="9">
        <v>6127.0</v>
      </c>
      <c r="AC125" s="8">
        <v>219.0</v>
      </c>
      <c r="AD125" s="8">
        <v>5.0</v>
      </c>
      <c r="AE125" s="8">
        <v>4.0</v>
      </c>
      <c r="AF125" s="10" t="s">
        <v>66</v>
      </c>
    </row>
    <row r="126" ht="15.75" customHeight="1">
      <c r="A126" s="6">
        <v>44991.0</v>
      </c>
      <c r="B126" s="7" t="s">
        <v>27</v>
      </c>
      <c r="C126" s="8">
        <v>2422.678</v>
      </c>
      <c r="D126" s="8">
        <v>2904.0</v>
      </c>
      <c r="E126" s="8">
        <v>2527.919</v>
      </c>
      <c r="F126" s="8">
        <v>214.0</v>
      </c>
      <c r="G126" s="8">
        <v>205.0</v>
      </c>
      <c r="H126" s="8">
        <v>177.0</v>
      </c>
      <c r="I126" s="8">
        <v>310.0</v>
      </c>
      <c r="J126" s="8">
        <v>271.0</v>
      </c>
      <c r="K126" s="8">
        <v>224.0</v>
      </c>
      <c r="L126" s="8">
        <v>193.0</v>
      </c>
      <c r="M126" s="8">
        <v>226.0</v>
      </c>
      <c r="N126" s="8">
        <v>158.0</v>
      </c>
      <c r="O126" s="8">
        <v>11.32093</v>
      </c>
      <c r="P126" s="8">
        <v>14.28203</v>
      </c>
      <c r="Q126" s="8">
        <v>7.815091</v>
      </c>
      <c r="R126" s="8">
        <v>11.28535</v>
      </c>
      <c r="S126" s="8">
        <v>1.606218</v>
      </c>
      <c r="T126" s="8">
        <v>1.417722</v>
      </c>
      <c r="U126" s="8">
        <v>6760.0</v>
      </c>
      <c r="V126" s="8">
        <v>24418.0</v>
      </c>
      <c r="W126" s="8">
        <v>1305.0</v>
      </c>
      <c r="X126" s="8">
        <v>3026.0</v>
      </c>
      <c r="Y126" s="8">
        <v>2114.0</v>
      </c>
      <c r="Z126" s="9">
        <v>62871.0</v>
      </c>
      <c r="AA126" s="9">
        <v>62575.0</v>
      </c>
      <c r="AB126" s="9">
        <v>6340.0</v>
      </c>
      <c r="AC126" s="9">
        <v>246.0</v>
      </c>
      <c r="AD126" s="9">
        <v>1.0</v>
      </c>
      <c r="AE126" s="9">
        <v>3.0</v>
      </c>
      <c r="AF126" s="10" t="s">
        <v>66</v>
      </c>
    </row>
    <row r="127" ht="15.75" customHeight="1">
      <c r="A127" s="6">
        <v>44995.0</v>
      </c>
      <c r="B127" s="7" t="s">
        <v>8</v>
      </c>
      <c r="C127" s="8">
        <v>2231.829</v>
      </c>
      <c r="D127" s="8">
        <v>2657.0</v>
      </c>
      <c r="E127" s="8">
        <v>2062.858</v>
      </c>
      <c r="F127" s="8">
        <v>226.0</v>
      </c>
      <c r="G127" s="8">
        <v>221.0</v>
      </c>
      <c r="H127" s="8">
        <v>197.0</v>
      </c>
      <c r="I127" s="8">
        <v>248.0</v>
      </c>
      <c r="J127" s="8">
        <v>243.0</v>
      </c>
      <c r="K127" s="8">
        <v>210.0</v>
      </c>
      <c r="L127" s="8">
        <v>211.0</v>
      </c>
      <c r="M127" s="8">
        <v>254.0</v>
      </c>
      <c r="N127" s="8">
        <v>182.0</v>
      </c>
      <c r="O127" s="8">
        <v>9.875348</v>
      </c>
      <c r="P127" s="8">
        <v>10.47136</v>
      </c>
      <c r="Q127" s="8">
        <v>8.999309</v>
      </c>
      <c r="R127" s="8">
        <v>9.823136</v>
      </c>
      <c r="S127" s="8">
        <v>1.175355</v>
      </c>
      <c r="T127" s="8">
        <v>1.153846</v>
      </c>
      <c r="U127" s="8">
        <v>9334.0</v>
      </c>
      <c r="V127" s="8">
        <v>69174.0</v>
      </c>
      <c r="W127" s="8">
        <v>1045.0</v>
      </c>
      <c r="X127" s="8">
        <v>3635.0</v>
      </c>
      <c r="Y127" s="8">
        <v>1461.0</v>
      </c>
      <c r="Z127" s="9">
        <v>19832.0</v>
      </c>
      <c r="AA127" s="9">
        <v>19673.0</v>
      </c>
      <c r="AB127" s="9">
        <v>6407.0</v>
      </c>
      <c r="AC127" s="9">
        <v>182.0</v>
      </c>
      <c r="AD127" s="9">
        <v>3.0</v>
      </c>
      <c r="AE127" s="9">
        <v>2.0</v>
      </c>
      <c r="AF127" s="10" t="s">
        <v>17</v>
      </c>
    </row>
    <row r="128" ht="15.75" customHeight="1">
      <c r="A128" s="6">
        <v>44995.0</v>
      </c>
      <c r="B128" s="7" t="s">
        <v>23</v>
      </c>
      <c r="C128" s="8">
        <v>5420.481</v>
      </c>
      <c r="D128" s="8">
        <v>6869.0</v>
      </c>
      <c r="E128" s="8">
        <v>7534.913</v>
      </c>
      <c r="F128" s="8">
        <v>243.0</v>
      </c>
      <c r="G128" s="8">
        <v>250.0</v>
      </c>
      <c r="H128" s="8">
        <v>296.0</v>
      </c>
      <c r="I128" s="8">
        <v>281.0</v>
      </c>
      <c r="J128" s="8">
        <v>283.0</v>
      </c>
      <c r="K128" s="8">
        <v>343.0</v>
      </c>
      <c r="L128" s="8">
        <v>226.0</v>
      </c>
      <c r="M128" s="8">
        <v>272.0</v>
      </c>
      <c r="N128" s="8">
        <v>282.0</v>
      </c>
      <c r="O128" s="8">
        <v>22.30651</v>
      </c>
      <c r="P128" s="8">
        <v>25.45579</v>
      </c>
      <c r="Q128" s="8">
        <v>19.28997</v>
      </c>
      <c r="R128" s="8">
        <v>21.96768</v>
      </c>
      <c r="S128" s="8">
        <v>1.243363</v>
      </c>
      <c r="T128" s="8">
        <v>1.216312</v>
      </c>
      <c r="U128" s="8">
        <v>11278.0</v>
      </c>
      <c r="V128" s="8">
        <v>31371.0</v>
      </c>
      <c r="W128" s="8">
        <v>1061.0</v>
      </c>
      <c r="X128" s="8">
        <v>1902.0</v>
      </c>
      <c r="Y128" s="8">
        <v>1425.0</v>
      </c>
      <c r="Z128" s="9">
        <v>32139.0</v>
      </c>
      <c r="AA128" s="9">
        <v>31976.0</v>
      </c>
      <c r="AB128" s="9">
        <v>7903.0</v>
      </c>
      <c r="AC128" s="9">
        <v>201.0</v>
      </c>
      <c r="AD128" s="9">
        <v>1.0</v>
      </c>
      <c r="AE128" s="9">
        <v>2.0</v>
      </c>
      <c r="AF128" s="10" t="s">
        <v>63</v>
      </c>
    </row>
    <row r="129" ht="15.75" customHeight="1">
      <c r="A129" s="6">
        <v>44997.0</v>
      </c>
      <c r="B129" s="7" t="s">
        <v>26</v>
      </c>
      <c r="C129" s="8">
        <v>811.1792</v>
      </c>
      <c r="D129" s="8">
        <v>910.0</v>
      </c>
      <c r="E129" s="8">
        <v>846.2959</v>
      </c>
      <c r="F129" s="8">
        <v>120.0</v>
      </c>
      <c r="G129" s="8">
        <v>116.0</v>
      </c>
      <c r="H129" s="8">
        <v>93.0</v>
      </c>
      <c r="I129" s="8">
        <v>161.0</v>
      </c>
      <c r="J129" s="8">
        <v>154.0</v>
      </c>
      <c r="K129" s="8">
        <v>119.0</v>
      </c>
      <c r="L129" s="8">
        <v>118.0</v>
      </c>
      <c r="M129" s="8">
        <v>123.0</v>
      </c>
      <c r="N129" s="8">
        <v>86.0</v>
      </c>
      <c r="O129" s="8">
        <v>6.759827</v>
      </c>
      <c r="P129" s="8">
        <v>9.099956</v>
      </c>
      <c r="Q129" s="8">
        <v>5.03838</v>
      </c>
      <c r="R129" s="8">
        <v>7.11173</v>
      </c>
      <c r="S129" s="8">
        <v>1.364407</v>
      </c>
      <c r="T129" s="8">
        <v>1.383721</v>
      </c>
      <c r="U129" s="8">
        <v>2576.0</v>
      </c>
      <c r="V129" s="8">
        <v>7314.0</v>
      </c>
      <c r="W129" s="8">
        <v>316.0</v>
      </c>
      <c r="X129" s="8">
        <v>689.0</v>
      </c>
      <c r="Y129" s="8">
        <v>469.0</v>
      </c>
      <c r="Z129" s="9">
        <v>8897.0</v>
      </c>
      <c r="AA129" s="9">
        <v>8845.0</v>
      </c>
      <c r="AB129" s="9">
        <v>1643.0</v>
      </c>
      <c r="AC129" s="9">
        <v>111.0</v>
      </c>
      <c r="AD129" s="9">
        <v>0.0</v>
      </c>
      <c r="AE129" s="9">
        <v>3.0</v>
      </c>
      <c r="AF129" s="10" t="s">
        <v>66</v>
      </c>
    </row>
    <row r="130" ht="15.75" customHeight="1">
      <c r="A130" s="6">
        <v>44996.0</v>
      </c>
      <c r="B130" s="7" t="s">
        <v>22</v>
      </c>
      <c r="C130" s="8">
        <v>19677.93</v>
      </c>
      <c r="D130" s="8">
        <v>21042.0</v>
      </c>
      <c r="E130" s="8">
        <v>13996.43</v>
      </c>
      <c r="F130" s="8">
        <v>2193.0</v>
      </c>
      <c r="G130" s="8">
        <v>1950.0</v>
      </c>
      <c r="H130" s="8">
        <v>1425.0</v>
      </c>
      <c r="I130" s="8">
        <v>3377.0</v>
      </c>
      <c r="J130" s="8">
        <v>2992.0</v>
      </c>
      <c r="K130" s="8">
        <v>2052.0</v>
      </c>
      <c r="L130" s="8">
        <v>1967.0</v>
      </c>
      <c r="M130" s="8">
        <v>1988.0</v>
      </c>
      <c r="N130" s="8">
        <v>1237.0</v>
      </c>
      <c r="O130" s="8">
        <v>8.973063</v>
      </c>
      <c r="P130" s="8">
        <v>9.822058</v>
      </c>
      <c r="Q130" s="8">
        <v>5.827044</v>
      </c>
      <c r="R130" s="8">
        <v>6.820874</v>
      </c>
      <c r="S130" s="8">
        <v>1.716828</v>
      </c>
      <c r="T130" s="8">
        <v>1.658852</v>
      </c>
      <c r="U130" s="8">
        <v>43610.0</v>
      </c>
      <c r="V130" s="8">
        <v>184645.0</v>
      </c>
      <c r="W130" s="8">
        <v>7177.0</v>
      </c>
      <c r="X130" s="8">
        <v>18572.0</v>
      </c>
      <c r="Y130" s="8">
        <v>13312.0</v>
      </c>
      <c r="Z130" s="9">
        <v>112448.0</v>
      </c>
      <c r="AA130" s="9">
        <v>111150.0</v>
      </c>
      <c r="AB130" s="9">
        <v>32606.0</v>
      </c>
      <c r="AC130" s="9">
        <v>1951.0</v>
      </c>
      <c r="AD130" s="9">
        <v>4.0</v>
      </c>
      <c r="AE130" s="9">
        <v>658.0</v>
      </c>
      <c r="AF130" s="10" t="s">
        <v>64</v>
      </c>
    </row>
    <row r="131" ht="15.75" customHeight="1">
      <c r="A131" s="6">
        <v>44991.0</v>
      </c>
      <c r="B131" s="7" t="s">
        <v>28</v>
      </c>
      <c r="C131" s="8">
        <v>1303.241</v>
      </c>
      <c r="D131" s="8">
        <v>2345.0</v>
      </c>
      <c r="E131" s="8">
        <v>2326.681</v>
      </c>
      <c r="F131" s="8">
        <v>235.0</v>
      </c>
      <c r="G131" s="8">
        <v>258.0</v>
      </c>
      <c r="H131" s="8">
        <v>277.0</v>
      </c>
      <c r="I131" s="8">
        <v>502.0</v>
      </c>
      <c r="J131" s="8">
        <v>646.0</v>
      </c>
      <c r="K131" s="8">
        <v>1234.0</v>
      </c>
      <c r="L131" s="8">
        <v>208.0</v>
      </c>
      <c r="M131" s="8">
        <v>255.0</v>
      </c>
      <c r="N131" s="8">
        <v>230.0</v>
      </c>
      <c r="O131" s="8">
        <v>5.545706</v>
      </c>
      <c r="P131" s="8">
        <v>8.399571</v>
      </c>
      <c r="Q131" s="8">
        <v>2.596097</v>
      </c>
      <c r="R131" s="8">
        <v>1.885479</v>
      </c>
      <c r="S131" s="8">
        <v>2.413462</v>
      </c>
      <c r="T131" s="8">
        <v>5.365217</v>
      </c>
      <c r="U131" s="8">
        <v>7817.0</v>
      </c>
      <c r="V131" s="8">
        <v>45855.0</v>
      </c>
      <c r="W131" s="8">
        <v>1036.0</v>
      </c>
      <c r="X131" s="8">
        <v>5316.0</v>
      </c>
      <c r="Y131" s="8">
        <v>1948.0</v>
      </c>
      <c r="Z131" s="9">
        <v>29188.0</v>
      </c>
      <c r="AA131" s="9">
        <v>29029.0</v>
      </c>
      <c r="AB131" s="9">
        <v>6844.0</v>
      </c>
      <c r="AC131" s="9">
        <v>276.0</v>
      </c>
      <c r="AD131" s="9">
        <v>11.0</v>
      </c>
      <c r="AE131" s="9">
        <v>177.0</v>
      </c>
      <c r="AF131" s="10" t="s">
        <v>66</v>
      </c>
    </row>
    <row r="132" ht="15.75" customHeight="1">
      <c r="A132" s="6">
        <v>44993.0</v>
      </c>
      <c r="B132" s="7" t="s">
        <v>20</v>
      </c>
      <c r="C132" s="8">
        <v>4203.161</v>
      </c>
      <c r="D132" s="8">
        <v>5037.0</v>
      </c>
      <c r="E132" s="8">
        <v>2349.837</v>
      </c>
      <c r="F132" s="8">
        <v>442.0</v>
      </c>
      <c r="G132" s="8">
        <v>427.0</v>
      </c>
      <c r="H132" s="8">
        <v>263.0</v>
      </c>
      <c r="I132" s="8">
        <v>1164.0</v>
      </c>
      <c r="J132" s="8">
        <v>1144.0</v>
      </c>
      <c r="K132" s="8">
        <v>748.0</v>
      </c>
      <c r="L132" s="8">
        <v>421.0</v>
      </c>
      <c r="M132" s="8">
        <v>442.0</v>
      </c>
      <c r="N132" s="8">
        <v>230.0</v>
      </c>
      <c r="O132" s="8">
        <v>9.509414</v>
      </c>
      <c r="P132" s="8">
        <v>8.934741</v>
      </c>
      <c r="Q132" s="8">
        <v>3.610963</v>
      </c>
      <c r="R132" s="8">
        <v>3.141493</v>
      </c>
      <c r="S132" s="8">
        <v>2.764846</v>
      </c>
      <c r="T132" s="8">
        <v>3.252174</v>
      </c>
      <c r="U132" s="8">
        <v>12088.0</v>
      </c>
      <c r="V132" s="8">
        <v>29640.0</v>
      </c>
      <c r="W132" s="8">
        <v>1364.0</v>
      </c>
      <c r="X132" s="8">
        <v>4078.0</v>
      </c>
      <c r="Y132" s="8">
        <v>2750.0</v>
      </c>
      <c r="Z132" s="9">
        <v>23492.0</v>
      </c>
      <c r="AA132" s="9">
        <v>22827.0</v>
      </c>
      <c r="AB132" s="9">
        <v>7117.0</v>
      </c>
      <c r="AC132" s="9">
        <v>648.0</v>
      </c>
      <c r="AD132" s="9">
        <v>10.0</v>
      </c>
      <c r="AE132" s="9">
        <v>452.0</v>
      </c>
      <c r="AF132" s="10" t="s">
        <v>64</v>
      </c>
    </row>
    <row r="133" ht="15.75" customHeight="1">
      <c r="A133" s="6">
        <v>44995.0</v>
      </c>
      <c r="B133" s="7" t="s">
        <v>27</v>
      </c>
      <c r="C133" s="8">
        <v>3747.769</v>
      </c>
      <c r="D133" s="8">
        <v>3775.0</v>
      </c>
      <c r="E133" s="8">
        <v>2726.601</v>
      </c>
      <c r="F133" s="8">
        <v>286.0</v>
      </c>
      <c r="G133" s="8">
        <v>227.0</v>
      </c>
      <c r="H133" s="8">
        <v>187.0</v>
      </c>
      <c r="I133" s="8">
        <v>435.0</v>
      </c>
      <c r="J133" s="8">
        <v>316.0</v>
      </c>
      <c r="K133" s="8">
        <v>272.0</v>
      </c>
      <c r="L133" s="8">
        <v>256.0</v>
      </c>
      <c r="M133" s="8">
        <v>240.0</v>
      </c>
      <c r="N133" s="8">
        <v>171.0</v>
      </c>
      <c r="O133" s="8">
        <v>13.10409</v>
      </c>
      <c r="P133" s="8">
        <v>14.58075</v>
      </c>
      <c r="Q133" s="8">
        <v>8.61556</v>
      </c>
      <c r="R133" s="8">
        <v>10.02427</v>
      </c>
      <c r="S133" s="8">
        <v>1.699219</v>
      </c>
      <c r="T133" s="8">
        <v>1.590643</v>
      </c>
      <c r="U133" s="8">
        <v>7043.0</v>
      </c>
      <c r="V133" s="8">
        <v>24097.0</v>
      </c>
      <c r="W133" s="8">
        <v>1102.0</v>
      </c>
      <c r="X133" s="8">
        <v>2450.0</v>
      </c>
      <c r="Y133" s="8">
        <v>1783.0</v>
      </c>
      <c r="Z133" s="9">
        <v>68475.0</v>
      </c>
      <c r="AA133" s="9">
        <v>68154.0</v>
      </c>
      <c r="AB133" s="9">
        <v>6639.0</v>
      </c>
      <c r="AC133" s="9">
        <v>331.0</v>
      </c>
      <c r="AD133" s="9">
        <v>1.0</v>
      </c>
      <c r="AE133" s="9">
        <v>8.0</v>
      </c>
      <c r="AF133" s="10" t="s">
        <v>66</v>
      </c>
    </row>
    <row r="134" ht="15.75" customHeight="1">
      <c r="A134" s="6">
        <v>44996.0</v>
      </c>
      <c r="B134" s="7" t="s">
        <v>14</v>
      </c>
      <c r="C134" s="8">
        <v>5810.203</v>
      </c>
      <c r="D134" s="8">
        <v>11152.0</v>
      </c>
      <c r="E134" s="8">
        <v>5281.517</v>
      </c>
      <c r="F134" s="8">
        <v>265.0</v>
      </c>
      <c r="G134" s="8">
        <v>259.0</v>
      </c>
      <c r="H134" s="8">
        <v>234.0</v>
      </c>
      <c r="I134" s="8">
        <v>354.0</v>
      </c>
      <c r="J134" s="8">
        <v>329.0</v>
      </c>
      <c r="K134" s="8">
        <v>280.0</v>
      </c>
      <c r="L134" s="8">
        <v>246.0</v>
      </c>
      <c r="M134" s="8">
        <v>289.0</v>
      </c>
      <c r="N134" s="8">
        <v>216.0</v>
      </c>
      <c r="O134" s="8">
        <v>21.9253</v>
      </c>
      <c r="P134" s="8">
        <v>22.57058</v>
      </c>
      <c r="Q134" s="8">
        <v>16.413</v>
      </c>
      <c r="R134" s="8">
        <v>18.86256</v>
      </c>
      <c r="S134" s="8">
        <v>1.439024</v>
      </c>
      <c r="T134" s="8">
        <v>1.296296</v>
      </c>
      <c r="U134" s="8">
        <v>12276.0</v>
      </c>
      <c r="V134" s="8">
        <v>47078.0</v>
      </c>
      <c r="W134" s="8">
        <v>1322.0</v>
      </c>
      <c r="X134" s="8">
        <v>3034.0</v>
      </c>
      <c r="Y134" s="8">
        <v>2196.0</v>
      </c>
      <c r="Z134" s="9">
        <v>35595.0</v>
      </c>
      <c r="AA134" s="9">
        <v>35419.0</v>
      </c>
      <c r="AB134" s="9">
        <v>8755.0</v>
      </c>
      <c r="AC134" s="9">
        <v>241.0</v>
      </c>
      <c r="AD134" s="9">
        <v>2.0</v>
      </c>
      <c r="AE134" s="9">
        <v>1.0</v>
      </c>
      <c r="AF134" s="10" t="s">
        <v>63</v>
      </c>
    </row>
    <row r="135" ht="15.75" customHeight="1">
      <c r="A135" s="6">
        <v>44993.0</v>
      </c>
      <c r="B135" s="7" t="s">
        <v>24</v>
      </c>
      <c r="C135" s="8">
        <v>2264.277</v>
      </c>
      <c r="D135" s="8">
        <v>2464.0</v>
      </c>
      <c r="E135" s="8">
        <v>2138.53</v>
      </c>
      <c r="F135" s="8">
        <v>311.0</v>
      </c>
      <c r="G135" s="8">
        <v>282.0</v>
      </c>
      <c r="H135" s="8">
        <v>282.0</v>
      </c>
      <c r="I135" s="8">
        <v>428.0</v>
      </c>
      <c r="J135" s="8">
        <v>373.0</v>
      </c>
      <c r="K135" s="8">
        <v>404.0</v>
      </c>
      <c r="L135" s="8">
        <v>296.0</v>
      </c>
      <c r="M135" s="8">
        <v>300.0</v>
      </c>
      <c r="N135" s="8">
        <v>269.0</v>
      </c>
      <c r="O135" s="8">
        <v>7.280634</v>
      </c>
      <c r="P135" s="8">
        <v>7.583441</v>
      </c>
      <c r="Q135" s="8">
        <v>5.290367</v>
      </c>
      <c r="R135" s="8">
        <v>5.293392</v>
      </c>
      <c r="S135" s="8">
        <v>1.445946</v>
      </c>
      <c r="T135" s="8">
        <v>1.501859</v>
      </c>
      <c r="U135" s="8">
        <v>9649.0</v>
      </c>
      <c r="V135" s="8">
        <v>38532.0</v>
      </c>
      <c r="W135" s="8">
        <v>1366.0</v>
      </c>
      <c r="X135" s="8">
        <v>3880.0</v>
      </c>
      <c r="Y135" s="8">
        <v>2134.0</v>
      </c>
      <c r="Z135" s="9">
        <v>39957.0</v>
      </c>
      <c r="AA135" s="9">
        <v>39769.0</v>
      </c>
      <c r="AB135" s="9">
        <v>8788.0</v>
      </c>
      <c r="AC135" s="9">
        <v>324.0</v>
      </c>
      <c r="AD135" s="9">
        <v>4.0</v>
      </c>
      <c r="AE135" s="9">
        <v>0.0</v>
      </c>
      <c r="AF135" s="10" t="s">
        <v>66</v>
      </c>
    </row>
    <row r="136" ht="15.75" customHeight="1">
      <c r="A136" s="6">
        <v>44995.0</v>
      </c>
      <c r="B136" s="7" t="s">
        <v>11</v>
      </c>
      <c r="C136" s="8">
        <v>9817.869</v>
      </c>
      <c r="D136" s="8">
        <v>10608.0</v>
      </c>
      <c r="E136" s="8">
        <v>6533.935</v>
      </c>
      <c r="F136" s="8">
        <v>570.0</v>
      </c>
      <c r="G136" s="8">
        <v>544.0</v>
      </c>
      <c r="H136" s="8">
        <v>463.0</v>
      </c>
      <c r="I136" s="8">
        <v>609.0</v>
      </c>
      <c r="J136" s="8">
        <v>593.0</v>
      </c>
      <c r="K136" s="8">
        <v>513.0</v>
      </c>
      <c r="L136" s="8">
        <v>538.0</v>
      </c>
      <c r="M136" s="8">
        <v>623.0</v>
      </c>
      <c r="N136" s="8">
        <v>421.0</v>
      </c>
      <c r="O136" s="8">
        <v>17.22433</v>
      </c>
      <c r="P136" s="8">
        <v>14.11217</v>
      </c>
      <c r="Q136" s="8">
        <v>16.1213</v>
      </c>
      <c r="R136" s="8">
        <v>12.73672</v>
      </c>
      <c r="S136" s="8">
        <v>1.13197</v>
      </c>
      <c r="T136" s="8">
        <v>1.218527</v>
      </c>
      <c r="U136" s="8">
        <v>20233.0</v>
      </c>
      <c r="V136" s="8">
        <v>92329.0</v>
      </c>
      <c r="W136" s="8">
        <v>1840.0</v>
      </c>
      <c r="X136" s="8">
        <v>4831.0</v>
      </c>
      <c r="Y136" s="8">
        <v>2548.0</v>
      </c>
      <c r="Z136" s="9">
        <v>38194.0</v>
      </c>
      <c r="AA136" s="9">
        <v>37991.0</v>
      </c>
      <c r="AB136" s="9">
        <v>10108.0</v>
      </c>
      <c r="AC136" s="9">
        <v>385.0</v>
      </c>
      <c r="AD136" s="9">
        <v>1.0</v>
      </c>
      <c r="AE136" s="9">
        <v>1.0</v>
      </c>
      <c r="AF136" s="10" t="s">
        <v>63</v>
      </c>
    </row>
    <row r="137" ht="15.75" customHeight="1">
      <c r="A137" s="6">
        <v>44997.0</v>
      </c>
      <c r="B137" s="7" t="s">
        <v>23</v>
      </c>
      <c r="C137" s="8">
        <v>6410.363</v>
      </c>
      <c r="D137" s="8">
        <v>6616.0</v>
      </c>
      <c r="E137" s="8">
        <v>4885.765</v>
      </c>
      <c r="F137" s="8">
        <v>277.0</v>
      </c>
      <c r="G137" s="8">
        <v>255.0</v>
      </c>
      <c r="H137" s="8">
        <v>234.0</v>
      </c>
      <c r="I137" s="8">
        <v>306.0</v>
      </c>
      <c r="J137" s="8">
        <v>288.0</v>
      </c>
      <c r="K137" s="8">
        <v>260.0</v>
      </c>
      <c r="L137" s="8">
        <v>265.0</v>
      </c>
      <c r="M137" s="8">
        <v>278.0</v>
      </c>
      <c r="N137" s="8">
        <v>219.0</v>
      </c>
      <c r="O137" s="8">
        <v>23.14211</v>
      </c>
      <c r="P137" s="8">
        <v>20.87934</v>
      </c>
      <c r="Q137" s="8">
        <v>20.9489</v>
      </c>
      <c r="R137" s="8">
        <v>18.79141</v>
      </c>
      <c r="S137" s="8">
        <v>1.154717</v>
      </c>
      <c r="T137" s="8">
        <v>1.187215</v>
      </c>
      <c r="U137" s="8">
        <v>11339.0</v>
      </c>
      <c r="V137" s="8">
        <v>31539.0</v>
      </c>
      <c r="W137" s="8">
        <v>1092.0</v>
      </c>
      <c r="X137" s="8">
        <v>1895.0</v>
      </c>
      <c r="Y137" s="8">
        <v>1491.0</v>
      </c>
      <c r="Z137" s="9">
        <v>31869.0</v>
      </c>
      <c r="AA137" s="9">
        <v>31708.0</v>
      </c>
      <c r="AB137" s="9">
        <v>7972.0</v>
      </c>
      <c r="AC137" s="9">
        <v>227.0</v>
      </c>
      <c r="AD137" s="9">
        <v>1.0</v>
      </c>
      <c r="AE137" s="9">
        <v>1.0</v>
      </c>
      <c r="AF137" s="10" t="s">
        <v>63</v>
      </c>
    </row>
    <row r="138" ht="15.75" customHeight="1">
      <c r="A138" s="6">
        <v>44991.0</v>
      </c>
      <c r="B138" s="7" t="s">
        <v>31</v>
      </c>
      <c r="C138" s="8">
        <v>2543.865</v>
      </c>
      <c r="D138" s="8">
        <v>2664.0</v>
      </c>
      <c r="E138" s="8">
        <v>2731.085</v>
      </c>
      <c r="F138" s="8">
        <v>359.0</v>
      </c>
      <c r="G138" s="8">
        <v>255.0</v>
      </c>
      <c r="H138" s="8">
        <v>308.0</v>
      </c>
      <c r="I138" s="8">
        <v>482.0</v>
      </c>
      <c r="J138" s="8">
        <v>336.0</v>
      </c>
      <c r="K138" s="8">
        <v>523.0</v>
      </c>
      <c r="L138" s="8">
        <v>320.0</v>
      </c>
      <c r="M138" s="8">
        <v>269.0</v>
      </c>
      <c r="N138" s="8">
        <v>269.0</v>
      </c>
      <c r="O138" s="8">
        <v>7.085976</v>
      </c>
      <c r="P138" s="8">
        <v>8.867159</v>
      </c>
      <c r="Q138" s="8">
        <v>5.277729</v>
      </c>
      <c r="R138" s="8">
        <v>5.22196</v>
      </c>
      <c r="S138" s="8">
        <v>1.50625</v>
      </c>
      <c r="T138" s="8">
        <v>1.944238</v>
      </c>
      <c r="U138" s="8">
        <v>10134.0</v>
      </c>
      <c r="V138" s="8">
        <v>38493.0</v>
      </c>
      <c r="W138" s="8">
        <v>1432.0</v>
      </c>
      <c r="X138" s="8">
        <v>3330.0</v>
      </c>
      <c r="Y138" s="8">
        <v>2184.0</v>
      </c>
      <c r="Z138" s="9">
        <v>41320.0</v>
      </c>
      <c r="AA138" s="9">
        <v>41173.0</v>
      </c>
      <c r="AB138" s="9">
        <v>8924.0</v>
      </c>
      <c r="AC138" s="9">
        <v>338.0</v>
      </c>
      <c r="AD138" s="9">
        <v>3.0</v>
      </c>
      <c r="AE138" s="9">
        <v>14.0</v>
      </c>
      <c r="AF138" s="10" t="s">
        <v>66</v>
      </c>
    </row>
    <row r="139" ht="15.75" customHeight="1">
      <c r="A139" s="6">
        <v>44996.0</v>
      </c>
      <c r="B139" s="7" t="s">
        <v>21</v>
      </c>
      <c r="C139" s="8">
        <v>3952.245</v>
      </c>
      <c r="D139" s="8">
        <v>4118.0</v>
      </c>
      <c r="E139" s="8">
        <v>3232.567</v>
      </c>
      <c r="F139" s="8">
        <v>545.0</v>
      </c>
      <c r="G139" s="8">
        <v>585.0</v>
      </c>
      <c r="H139" s="8">
        <v>528.0</v>
      </c>
      <c r="I139" s="8">
        <v>678.0</v>
      </c>
      <c r="J139" s="8">
        <v>742.0</v>
      </c>
      <c r="K139" s="8">
        <v>625.0</v>
      </c>
      <c r="L139" s="8">
        <v>484.0</v>
      </c>
      <c r="M139" s="8">
        <v>639.0</v>
      </c>
      <c r="N139" s="8">
        <v>467.0</v>
      </c>
      <c r="O139" s="8">
        <v>7.251826</v>
      </c>
      <c r="P139" s="8">
        <v>6.122287</v>
      </c>
      <c r="Q139" s="8">
        <v>5.82927</v>
      </c>
      <c r="R139" s="8">
        <v>5.172108</v>
      </c>
      <c r="S139" s="8">
        <v>1.400826</v>
      </c>
      <c r="T139" s="8">
        <v>1.33833</v>
      </c>
      <c r="U139" s="8">
        <v>22301.0</v>
      </c>
      <c r="V139" s="8">
        <v>137080.0</v>
      </c>
      <c r="W139" s="8">
        <v>2552.0</v>
      </c>
      <c r="X139" s="8">
        <v>7866.0</v>
      </c>
      <c r="Y139" s="8">
        <v>4333.0</v>
      </c>
      <c r="Z139" s="9">
        <v>91148.0</v>
      </c>
      <c r="AA139" s="9">
        <v>90612.0</v>
      </c>
      <c r="AB139" s="9">
        <v>19007.0</v>
      </c>
      <c r="AC139" s="9">
        <v>474.0</v>
      </c>
      <c r="AD139" s="9">
        <v>1.0</v>
      </c>
      <c r="AE139" s="9">
        <v>72.0</v>
      </c>
      <c r="AF139" s="10" t="s">
        <v>17</v>
      </c>
    </row>
    <row r="140" ht="15.75" customHeight="1">
      <c r="A140" s="6">
        <v>44994.0</v>
      </c>
      <c r="B140" s="7" t="s">
        <v>8</v>
      </c>
      <c r="C140" s="8">
        <v>2224.64</v>
      </c>
      <c r="D140" s="8">
        <v>2670.0</v>
      </c>
      <c r="E140" s="8">
        <v>2179.249</v>
      </c>
      <c r="F140" s="8">
        <v>213.0</v>
      </c>
      <c r="G140" s="8">
        <v>221.0</v>
      </c>
      <c r="H140" s="8">
        <v>202.0</v>
      </c>
      <c r="I140" s="8">
        <v>234.0</v>
      </c>
      <c r="J140" s="8">
        <v>243.0</v>
      </c>
      <c r="K140" s="8">
        <v>228.0</v>
      </c>
      <c r="L140" s="8">
        <v>200.0</v>
      </c>
      <c r="M140" s="8">
        <v>254.0</v>
      </c>
      <c r="N140" s="8">
        <v>196.0</v>
      </c>
      <c r="O140" s="8">
        <v>10.44432</v>
      </c>
      <c r="P140" s="8">
        <v>10.78836</v>
      </c>
      <c r="Q140" s="8">
        <v>9.507009</v>
      </c>
      <c r="R140" s="8">
        <v>9.558112</v>
      </c>
      <c r="S140" s="8">
        <v>1.17</v>
      </c>
      <c r="T140" s="8">
        <v>1.163265</v>
      </c>
      <c r="U140" s="8">
        <v>8679.0</v>
      </c>
      <c r="V140" s="8">
        <v>69466.0</v>
      </c>
      <c r="W140" s="8">
        <v>986.0</v>
      </c>
      <c r="X140" s="8">
        <v>3825.0</v>
      </c>
      <c r="Y140" s="8">
        <v>1386.0</v>
      </c>
      <c r="Z140" s="9">
        <v>19805.0</v>
      </c>
      <c r="AA140" s="9">
        <v>19647.0</v>
      </c>
      <c r="AB140" s="9">
        <v>6247.0</v>
      </c>
      <c r="AC140" s="9">
        <v>185.0</v>
      </c>
      <c r="AD140" s="9">
        <v>1.0</v>
      </c>
      <c r="AE140" s="9">
        <v>6.0</v>
      </c>
      <c r="AF140" s="10" t="s">
        <v>17</v>
      </c>
    </row>
    <row r="141" ht="15.75" customHeight="1">
      <c r="A141" s="6">
        <v>44993.0</v>
      </c>
      <c r="B141" s="7" t="s">
        <v>10</v>
      </c>
      <c r="C141" s="9">
        <v>1168.017</v>
      </c>
      <c r="D141" s="9">
        <v>1087.0</v>
      </c>
      <c r="E141" s="9">
        <v>1065.102</v>
      </c>
      <c r="F141" s="9">
        <v>145.0</v>
      </c>
      <c r="G141" s="9">
        <v>112.0</v>
      </c>
      <c r="H141" s="9">
        <v>120.0</v>
      </c>
      <c r="I141" s="9">
        <v>189.0</v>
      </c>
      <c r="J141" s="9">
        <v>153.0</v>
      </c>
      <c r="K141" s="9">
        <v>153.0</v>
      </c>
      <c r="L141" s="9">
        <v>136.0</v>
      </c>
      <c r="M141" s="9">
        <v>115.0</v>
      </c>
      <c r="N141" s="9">
        <v>110.0</v>
      </c>
      <c r="O141" s="9">
        <v>8.055289</v>
      </c>
      <c r="P141" s="9">
        <v>8.875846</v>
      </c>
      <c r="Q141" s="9">
        <v>6.179984</v>
      </c>
      <c r="R141" s="9">
        <v>6.961448</v>
      </c>
      <c r="S141" s="9">
        <v>1.389706</v>
      </c>
      <c r="T141" s="9">
        <v>1.390909</v>
      </c>
      <c r="U141" s="9">
        <v>3895.0</v>
      </c>
      <c r="V141" s="9">
        <v>18965.0</v>
      </c>
      <c r="W141" s="9">
        <v>430.0</v>
      </c>
      <c r="X141" s="9">
        <v>1535.0</v>
      </c>
      <c r="Y141" s="9">
        <v>605.0</v>
      </c>
      <c r="Z141" s="9">
        <v>12043.0</v>
      </c>
      <c r="AA141" s="9">
        <v>11931.0</v>
      </c>
      <c r="AB141" s="9">
        <v>2469.0</v>
      </c>
      <c r="AC141" s="9">
        <v>117.0</v>
      </c>
      <c r="AD141" s="9">
        <v>2.0</v>
      </c>
      <c r="AE141" s="9">
        <v>5.0</v>
      </c>
      <c r="AF141" s="10" t="s">
        <v>66</v>
      </c>
    </row>
    <row r="142" ht="15.75" customHeight="1">
      <c r="A142" s="6">
        <v>44994.0</v>
      </c>
      <c r="B142" s="7" t="s">
        <v>9</v>
      </c>
      <c r="C142" s="8">
        <v>8719.428</v>
      </c>
      <c r="D142" s="8">
        <v>10596.0</v>
      </c>
      <c r="E142" s="8">
        <v>5452.343</v>
      </c>
      <c r="F142" s="8">
        <v>479.0</v>
      </c>
      <c r="G142" s="8">
        <v>409.0</v>
      </c>
      <c r="H142" s="8">
        <v>442.0</v>
      </c>
      <c r="I142" s="8">
        <v>583.0</v>
      </c>
      <c r="J142" s="8">
        <v>472.0</v>
      </c>
      <c r="K142" s="8">
        <v>507.0</v>
      </c>
      <c r="L142" s="8">
        <v>451.0</v>
      </c>
      <c r="M142" s="8">
        <v>463.0</v>
      </c>
      <c r="N142" s="8">
        <v>404.0</v>
      </c>
      <c r="O142" s="8">
        <v>18.2034</v>
      </c>
      <c r="P142" s="8">
        <v>12.33562</v>
      </c>
      <c r="Q142" s="8">
        <v>14.95614</v>
      </c>
      <c r="R142" s="8">
        <v>10.75413</v>
      </c>
      <c r="S142" s="8">
        <v>1.292683</v>
      </c>
      <c r="T142" s="8">
        <v>1.25495</v>
      </c>
      <c r="U142" s="8">
        <v>19165.0</v>
      </c>
      <c r="V142" s="8">
        <v>182834.0</v>
      </c>
      <c r="W142" s="8">
        <v>1859.0</v>
      </c>
      <c r="X142" s="8">
        <v>6640.0</v>
      </c>
      <c r="Y142" s="8">
        <v>2603.0</v>
      </c>
      <c r="Z142" s="9">
        <v>71554.0</v>
      </c>
      <c r="AA142" s="9">
        <v>71037.0</v>
      </c>
      <c r="AB142" s="9">
        <v>12715.0</v>
      </c>
      <c r="AC142" s="8">
        <v>477.0</v>
      </c>
      <c r="AD142" s="8">
        <v>3.0</v>
      </c>
      <c r="AE142" s="8">
        <v>0.0</v>
      </c>
      <c r="AF142" s="10" t="s">
        <v>63</v>
      </c>
    </row>
    <row r="143" ht="15.75" customHeight="1">
      <c r="A143" s="6">
        <v>44997.0</v>
      </c>
      <c r="B143" s="7" t="s">
        <v>24</v>
      </c>
      <c r="C143" s="8">
        <v>2078.501</v>
      </c>
      <c r="D143" s="8">
        <v>2274.0</v>
      </c>
      <c r="E143" s="8">
        <v>2125.199</v>
      </c>
      <c r="F143" s="8">
        <v>305.0</v>
      </c>
      <c r="G143" s="8">
        <v>276.0</v>
      </c>
      <c r="H143" s="8">
        <v>248.0</v>
      </c>
      <c r="I143" s="8">
        <v>379.0</v>
      </c>
      <c r="J143" s="8">
        <v>366.0</v>
      </c>
      <c r="K143" s="8">
        <v>345.0</v>
      </c>
      <c r="L143" s="8">
        <v>288.0</v>
      </c>
      <c r="M143" s="8">
        <v>294.0</v>
      </c>
      <c r="N143" s="8">
        <v>229.0</v>
      </c>
      <c r="O143" s="8">
        <v>6.814757</v>
      </c>
      <c r="P143" s="8">
        <v>8.569349</v>
      </c>
      <c r="Q143" s="8">
        <v>5.484171</v>
      </c>
      <c r="R143" s="8">
        <v>6.159996</v>
      </c>
      <c r="S143" s="8">
        <v>1.315972</v>
      </c>
      <c r="T143" s="8">
        <v>1.50655</v>
      </c>
      <c r="U143" s="8">
        <v>10259.0</v>
      </c>
      <c r="V143" s="8">
        <v>37853.0</v>
      </c>
      <c r="W143" s="8">
        <v>1373.0</v>
      </c>
      <c r="X143" s="8">
        <v>3538.0</v>
      </c>
      <c r="Y143" s="8">
        <v>2143.0</v>
      </c>
      <c r="Z143" s="9">
        <v>39921.0</v>
      </c>
      <c r="AA143" s="9">
        <v>39689.0</v>
      </c>
      <c r="AB143" s="9">
        <v>8766.0</v>
      </c>
      <c r="AC143" s="9">
        <v>296.0</v>
      </c>
      <c r="AD143" s="9">
        <v>1.0</v>
      </c>
      <c r="AE143" s="9">
        <v>2.0</v>
      </c>
      <c r="AF143" s="10" t="s">
        <v>66</v>
      </c>
    </row>
    <row r="144" ht="15.75" customHeight="1">
      <c r="A144" s="6">
        <v>44991.0</v>
      </c>
      <c r="B144" s="7" t="s">
        <v>8</v>
      </c>
      <c r="C144" s="9">
        <v>1730.994</v>
      </c>
      <c r="D144" s="9">
        <v>2342.0</v>
      </c>
      <c r="E144" s="9">
        <v>2095.929</v>
      </c>
      <c r="F144" s="9">
        <v>181.0</v>
      </c>
      <c r="G144" s="9">
        <v>200.0</v>
      </c>
      <c r="H144" s="9">
        <v>188.0</v>
      </c>
      <c r="I144" s="9">
        <v>191.0</v>
      </c>
      <c r="J144" s="9">
        <v>194.0</v>
      </c>
      <c r="K144" s="9">
        <v>210.0</v>
      </c>
      <c r="L144" s="9">
        <v>173.0</v>
      </c>
      <c r="M144" s="9">
        <v>228.0</v>
      </c>
      <c r="N144" s="9">
        <v>180.0</v>
      </c>
      <c r="O144" s="9">
        <v>9.563502</v>
      </c>
      <c r="P144" s="9">
        <v>11.14856</v>
      </c>
      <c r="Q144" s="9">
        <v>9.062795</v>
      </c>
      <c r="R144" s="9">
        <v>9.980614</v>
      </c>
      <c r="S144" s="9">
        <v>1.104046</v>
      </c>
      <c r="T144" s="9">
        <v>1.166667</v>
      </c>
      <c r="U144" s="9">
        <v>8424.0</v>
      </c>
      <c r="V144" s="9">
        <v>67686.0</v>
      </c>
      <c r="W144" s="9">
        <v>1089.0</v>
      </c>
      <c r="X144" s="9">
        <v>4103.0</v>
      </c>
      <c r="Y144" s="9">
        <v>1527.0</v>
      </c>
      <c r="Z144" s="9">
        <v>19238.0</v>
      </c>
      <c r="AA144" s="9">
        <v>19095.0</v>
      </c>
      <c r="AB144" s="9">
        <v>5831.0</v>
      </c>
      <c r="AC144" s="9">
        <v>145.0</v>
      </c>
      <c r="AD144" s="9">
        <v>4.0</v>
      </c>
      <c r="AE144" s="9">
        <v>5.0</v>
      </c>
      <c r="AF144" s="10" t="s">
        <v>17</v>
      </c>
    </row>
    <row r="145" ht="15.75" customHeight="1">
      <c r="A145" s="6">
        <v>44996.0</v>
      </c>
      <c r="B145" s="7" t="s">
        <v>28</v>
      </c>
      <c r="C145" s="8">
        <v>2097.1</v>
      </c>
      <c r="D145" s="8">
        <v>2918.0</v>
      </c>
      <c r="E145" s="8">
        <v>2008.153</v>
      </c>
      <c r="F145" s="8">
        <v>272.0</v>
      </c>
      <c r="G145" s="8">
        <v>342.0</v>
      </c>
      <c r="H145" s="8">
        <v>277.0</v>
      </c>
      <c r="I145" s="8">
        <v>608.0</v>
      </c>
      <c r="J145" s="8">
        <v>1010.0</v>
      </c>
      <c r="K145" s="8">
        <v>942.0</v>
      </c>
      <c r="L145" s="8">
        <v>245.0</v>
      </c>
      <c r="M145" s="8">
        <v>319.0</v>
      </c>
      <c r="N145" s="8">
        <v>209.0</v>
      </c>
      <c r="O145" s="8">
        <v>7.709927</v>
      </c>
      <c r="P145" s="8">
        <v>7.249649</v>
      </c>
      <c r="Q145" s="8">
        <v>3.449178</v>
      </c>
      <c r="R145" s="8">
        <v>2.131797</v>
      </c>
      <c r="S145" s="8">
        <v>2.481633</v>
      </c>
      <c r="T145" s="8">
        <v>4.507177</v>
      </c>
      <c r="U145" s="8">
        <v>7961.0</v>
      </c>
      <c r="V145" s="8">
        <v>46944.0</v>
      </c>
      <c r="W145" s="8">
        <v>1017.0</v>
      </c>
      <c r="X145" s="8">
        <v>5128.0</v>
      </c>
      <c r="Y145" s="8">
        <v>2022.0</v>
      </c>
      <c r="Z145" s="9">
        <v>29151.0</v>
      </c>
      <c r="AA145" s="9">
        <v>28960.0</v>
      </c>
      <c r="AB145" s="9">
        <v>6805.0</v>
      </c>
      <c r="AC145" s="9">
        <v>290.0</v>
      </c>
      <c r="AD145" s="9">
        <v>1.0</v>
      </c>
      <c r="AE145" s="9">
        <v>214.0</v>
      </c>
      <c r="AF145" s="10" t="s">
        <v>66</v>
      </c>
    </row>
    <row r="146" ht="15.75" customHeight="1">
      <c r="A146" s="6">
        <v>44994.0</v>
      </c>
      <c r="B146" s="7" t="s">
        <v>10</v>
      </c>
      <c r="C146" s="9">
        <v>1182.207</v>
      </c>
      <c r="D146" s="9">
        <v>1047.0</v>
      </c>
      <c r="E146" s="9">
        <v>872.4538</v>
      </c>
      <c r="F146" s="9">
        <v>148.0</v>
      </c>
      <c r="G146" s="9">
        <v>108.0</v>
      </c>
      <c r="H146" s="9">
        <v>97.0</v>
      </c>
      <c r="I146" s="9">
        <v>180.0</v>
      </c>
      <c r="J146" s="9">
        <v>147.0</v>
      </c>
      <c r="K146" s="9">
        <v>143.0</v>
      </c>
      <c r="L146" s="9">
        <v>131.0</v>
      </c>
      <c r="M146" s="9">
        <v>110.0</v>
      </c>
      <c r="N146" s="9">
        <v>92.0</v>
      </c>
      <c r="O146" s="9">
        <v>7.987884</v>
      </c>
      <c r="P146" s="9">
        <v>8.994369</v>
      </c>
      <c r="Q146" s="9">
        <v>6.567815</v>
      </c>
      <c r="R146" s="9">
        <v>6.101076</v>
      </c>
      <c r="S146" s="9">
        <v>1.374046</v>
      </c>
      <c r="T146" s="9">
        <v>1.554348</v>
      </c>
      <c r="U146" s="9">
        <v>3440.0</v>
      </c>
      <c r="V146" s="9">
        <v>16723.0</v>
      </c>
      <c r="W146" s="9">
        <v>451.0</v>
      </c>
      <c r="X146" s="9">
        <v>1605.0</v>
      </c>
      <c r="Y146" s="9">
        <v>665.0</v>
      </c>
      <c r="Z146" s="9">
        <v>11958.0</v>
      </c>
      <c r="AA146" s="9">
        <v>11847.0</v>
      </c>
      <c r="AB146" s="9">
        <v>2323.0</v>
      </c>
      <c r="AC146" s="9">
        <v>120.0</v>
      </c>
      <c r="AD146" s="9">
        <v>2.0</v>
      </c>
      <c r="AE146" s="9">
        <v>5.0</v>
      </c>
      <c r="AF146" s="10" t="s">
        <v>66</v>
      </c>
    </row>
    <row r="147" ht="15.75" customHeight="1">
      <c r="A147" s="6">
        <v>44993.0</v>
      </c>
      <c r="B147" s="7" t="s">
        <v>12</v>
      </c>
      <c r="C147" s="9">
        <v>3101.227</v>
      </c>
      <c r="D147" s="9">
        <v>2954.0</v>
      </c>
      <c r="E147" s="9">
        <v>2580.428</v>
      </c>
      <c r="F147" s="9">
        <v>164.0</v>
      </c>
      <c r="G147" s="9">
        <v>115.0</v>
      </c>
      <c r="H147" s="9">
        <v>140.0</v>
      </c>
      <c r="I147" s="9">
        <v>181.0</v>
      </c>
      <c r="J147" s="9">
        <v>126.0</v>
      </c>
      <c r="K147" s="9">
        <v>147.0</v>
      </c>
      <c r="L147" s="9">
        <v>147.0</v>
      </c>
      <c r="M147" s="9">
        <v>131.0</v>
      </c>
      <c r="N147" s="9">
        <v>132.0</v>
      </c>
      <c r="O147" s="9">
        <v>18.90992</v>
      </c>
      <c r="P147" s="9">
        <v>18.43163</v>
      </c>
      <c r="Q147" s="9">
        <v>17.13385</v>
      </c>
      <c r="R147" s="9">
        <v>17.55393</v>
      </c>
      <c r="S147" s="9">
        <v>1.231293</v>
      </c>
      <c r="T147" s="9">
        <v>1.113636</v>
      </c>
      <c r="U147" s="9">
        <v>6517.0</v>
      </c>
      <c r="V147" s="9">
        <v>18838.0</v>
      </c>
      <c r="W147" s="9">
        <v>566.0</v>
      </c>
      <c r="X147" s="9">
        <v>1059.0</v>
      </c>
      <c r="Y147" s="9">
        <v>787.0</v>
      </c>
      <c r="Z147" s="9">
        <v>12413.0</v>
      </c>
      <c r="AA147" s="9">
        <v>12348.0</v>
      </c>
      <c r="AB147" s="9">
        <v>3588.0</v>
      </c>
      <c r="AC147" s="9">
        <v>141.0</v>
      </c>
      <c r="AD147" s="9">
        <v>1.0</v>
      </c>
      <c r="AE147" s="9">
        <v>1.0</v>
      </c>
      <c r="AF147" s="10" t="s">
        <v>63</v>
      </c>
    </row>
    <row r="148" ht="15.75" customHeight="1">
      <c r="A148" s="6">
        <v>44997.0</v>
      </c>
      <c r="B148" s="7" t="s">
        <v>30</v>
      </c>
      <c r="C148" s="9">
        <v>6280.273</v>
      </c>
      <c r="D148" s="9">
        <v>7133.0</v>
      </c>
      <c r="E148" s="9">
        <v>4815.207</v>
      </c>
      <c r="F148" s="9">
        <v>451.0</v>
      </c>
      <c r="G148" s="9">
        <v>337.0</v>
      </c>
      <c r="H148" s="9">
        <v>334.0</v>
      </c>
      <c r="I148" s="9">
        <v>530.0</v>
      </c>
      <c r="J148" s="9">
        <v>390.0</v>
      </c>
      <c r="K148" s="9">
        <v>366.0</v>
      </c>
      <c r="L148" s="9">
        <v>419.0</v>
      </c>
      <c r="M148" s="9">
        <v>380.0</v>
      </c>
      <c r="N148" s="9">
        <v>307.0</v>
      </c>
      <c r="O148" s="9">
        <v>13.92522</v>
      </c>
      <c r="P148" s="9">
        <v>14.41679</v>
      </c>
      <c r="Q148" s="9">
        <v>11.84957</v>
      </c>
      <c r="R148" s="9">
        <v>13.1563</v>
      </c>
      <c r="S148" s="9">
        <v>1.264916</v>
      </c>
      <c r="T148" s="9">
        <v>1.192182</v>
      </c>
      <c r="U148" s="9">
        <v>16972.0</v>
      </c>
      <c r="V148" s="9">
        <v>178189.0</v>
      </c>
      <c r="W148" s="9">
        <v>1519.0</v>
      </c>
      <c r="X148" s="9">
        <v>6863.0</v>
      </c>
      <c r="Y148" s="9">
        <v>2182.0</v>
      </c>
      <c r="Z148" s="9">
        <v>23306.0</v>
      </c>
      <c r="AA148" s="9">
        <v>22945.0</v>
      </c>
      <c r="AB148" s="9">
        <v>9924.0</v>
      </c>
      <c r="AC148" s="9">
        <v>350.0</v>
      </c>
      <c r="AD148" s="9">
        <v>2.0</v>
      </c>
      <c r="AE148" s="9">
        <v>70.0</v>
      </c>
      <c r="AF148" s="10" t="s">
        <v>66</v>
      </c>
    </row>
    <row r="149" ht="15.75" customHeight="1">
      <c r="A149" s="6">
        <v>44995.0</v>
      </c>
      <c r="B149" s="7" t="s">
        <v>14</v>
      </c>
      <c r="C149" s="9">
        <v>11236.35</v>
      </c>
      <c r="D149" s="9">
        <v>11342.0</v>
      </c>
      <c r="E149" s="9">
        <v>8150.657</v>
      </c>
      <c r="F149" s="9">
        <v>296.0</v>
      </c>
      <c r="G149" s="9">
        <v>259.0</v>
      </c>
      <c r="H149" s="9">
        <v>257.0</v>
      </c>
      <c r="I149" s="9">
        <v>368.0</v>
      </c>
      <c r="J149" s="9">
        <v>329.0</v>
      </c>
      <c r="K149" s="9">
        <v>346.0</v>
      </c>
      <c r="L149" s="9">
        <v>269.0</v>
      </c>
      <c r="M149" s="9">
        <v>289.0</v>
      </c>
      <c r="N149" s="9">
        <v>235.0</v>
      </c>
      <c r="O149" s="9">
        <v>37.96063</v>
      </c>
      <c r="P149" s="9">
        <v>31.71462</v>
      </c>
      <c r="Q149" s="9">
        <v>30.53355</v>
      </c>
      <c r="R149" s="9">
        <v>23.55681</v>
      </c>
      <c r="S149" s="9">
        <v>1.36803</v>
      </c>
      <c r="T149" s="9">
        <v>1.47234</v>
      </c>
      <c r="U149" s="9">
        <v>12181.0</v>
      </c>
      <c r="V149" s="9">
        <v>45160.0</v>
      </c>
      <c r="W149" s="9">
        <v>1168.0</v>
      </c>
      <c r="X149" s="9">
        <v>2773.0</v>
      </c>
      <c r="Y149" s="9">
        <v>1885.0</v>
      </c>
      <c r="Z149" s="9">
        <v>35556.0</v>
      </c>
      <c r="AA149" s="9">
        <v>35387.0</v>
      </c>
      <c r="AB149" s="9">
        <v>8985.0</v>
      </c>
      <c r="AC149" s="9">
        <v>258.0</v>
      </c>
      <c r="AD149" s="9">
        <v>3.0</v>
      </c>
      <c r="AE149" s="9">
        <v>4.0</v>
      </c>
      <c r="AF149" s="10" t="s">
        <v>63</v>
      </c>
    </row>
    <row r="150" ht="15.75" customHeight="1">
      <c r="A150" s="6">
        <v>44993.0</v>
      </c>
      <c r="B150" s="7" t="s">
        <v>27</v>
      </c>
      <c r="C150" s="9">
        <v>2817.892</v>
      </c>
      <c r="D150" s="9">
        <v>3939.0</v>
      </c>
      <c r="E150" s="9">
        <v>2508.414</v>
      </c>
      <c r="F150" s="9">
        <v>276.0</v>
      </c>
      <c r="G150" s="9">
        <v>236.0</v>
      </c>
      <c r="H150" s="9">
        <v>195.0</v>
      </c>
      <c r="I150" s="9">
        <v>371.0</v>
      </c>
      <c r="J150" s="9">
        <v>328.0</v>
      </c>
      <c r="K150" s="9">
        <v>243.0</v>
      </c>
      <c r="L150" s="9">
        <v>243.0</v>
      </c>
      <c r="M150" s="9">
        <v>249.0</v>
      </c>
      <c r="N150" s="9">
        <v>176.0</v>
      </c>
      <c r="O150" s="9">
        <v>10.20975</v>
      </c>
      <c r="P150" s="9">
        <v>12.86366</v>
      </c>
      <c r="Q150" s="9">
        <v>7.595397</v>
      </c>
      <c r="R150" s="9">
        <v>10.32269</v>
      </c>
      <c r="S150" s="9">
        <v>1.526749</v>
      </c>
      <c r="T150" s="9">
        <v>1.380682</v>
      </c>
      <c r="U150" s="9">
        <v>7718.0</v>
      </c>
      <c r="V150" s="9">
        <v>27826.0</v>
      </c>
      <c r="W150" s="9">
        <v>1325.0</v>
      </c>
      <c r="X150" s="9">
        <v>2951.0</v>
      </c>
      <c r="Y150" s="9">
        <v>2083.0</v>
      </c>
      <c r="Z150" s="9">
        <v>68080.0</v>
      </c>
      <c r="AA150" s="9">
        <v>67779.0</v>
      </c>
      <c r="AB150" s="9">
        <v>7154.0</v>
      </c>
      <c r="AC150" s="9">
        <v>283.0</v>
      </c>
      <c r="AD150" s="9">
        <v>2.0</v>
      </c>
      <c r="AE150" s="9">
        <v>6.0</v>
      </c>
      <c r="AF150" s="10" t="s">
        <v>66</v>
      </c>
    </row>
    <row r="151" ht="15.75" customHeight="1">
      <c r="A151" s="6">
        <v>44992.0</v>
      </c>
      <c r="B151" s="7" t="s">
        <v>23</v>
      </c>
      <c r="C151" s="9">
        <v>7235.925</v>
      </c>
      <c r="D151" s="9">
        <v>6275.0</v>
      </c>
      <c r="E151" s="9">
        <v>3372.592</v>
      </c>
      <c r="F151" s="9">
        <v>255.0</v>
      </c>
      <c r="G151" s="9">
        <v>247.0</v>
      </c>
      <c r="H151" s="9">
        <v>260.0</v>
      </c>
      <c r="I151" s="9">
        <v>269.0</v>
      </c>
      <c r="J151" s="9">
        <v>282.0</v>
      </c>
      <c r="K151" s="9">
        <v>289.0</v>
      </c>
      <c r="L151" s="9">
        <v>248.0</v>
      </c>
      <c r="M151" s="9">
        <v>268.0</v>
      </c>
      <c r="N151" s="9">
        <v>247.0</v>
      </c>
      <c r="O151" s="9">
        <v>28.37618</v>
      </c>
      <c r="P151" s="9">
        <v>12.97151</v>
      </c>
      <c r="Q151" s="9">
        <v>26.89935</v>
      </c>
      <c r="R151" s="9">
        <v>11.66987</v>
      </c>
      <c r="S151" s="9">
        <v>1.084677</v>
      </c>
      <c r="T151" s="9">
        <v>1.17004</v>
      </c>
      <c r="U151" s="9">
        <v>10805.0</v>
      </c>
      <c r="V151" s="9">
        <v>31276.0</v>
      </c>
      <c r="W151" s="9">
        <v>1030.0</v>
      </c>
      <c r="X151" s="9">
        <v>1778.0</v>
      </c>
      <c r="Y151" s="9">
        <v>1380.0</v>
      </c>
      <c r="Z151" s="9">
        <v>32044.0</v>
      </c>
      <c r="AA151" s="9">
        <v>31889.0</v>
      </c>
      <c r="AB151" s="9">
        <v>7831.0</v>
      </c>
      <c r="AC151" s="9">
        <v>187.0</v>
      </c>
      <c r="AD151" s="9">
        <v>4.0</v>
      </c>
      <c r="AE151" s="9">
        <v>3.0</v>
      </c>
      <c r="AF151" s="10" t="s">
        <v>63</v>
      </c>
    </row>
    <row r="152" ht="15.75" customHeight="1">
      <c r="A152" s="6">
        <v>44992.0</v>
      </c>
      <c r="B152" s="7" t="s">
        <v>65</v>
      </c>
      <c r="C152" s="9">
        <v>6789.729</v>
      </c>
      <c r="D152" s="10">
        <v>6312.0</v>
      </c>
      <c r="E152" s="9">
        <v>4730.811</v>
      </c>
      <c r="F152" s="9">
        <v>459.0</v>
      </c>
      <c r="G152" s="10">
        <v>361.0</v>
      </c>
      <c r="H152" s="9">
        <v>407.0</v>
      </c>
      <c r="I152" s="9">
        <v>634.0</v>
      </c>
      <c r="J152" s="10">
        <v>485.0</v>
      </c>
      <c r="K152" s="9">
        <v>536.0</v>
      </c>
      <c r="L152" s="9">
        <v>414.0</v>
      </c>
      <c r="M152" s="10">
        <v>387.0</v>
      </c>
      <c r="N152" s="9">
        <v>362.0</v>
      </c>
      <c r="O152" s="9">
        <v>14.79244</v>
      </c>
      <c r="P152" s="9">
        <v>11.62361</v>
      </c>
      <c r="Q152" s="9">
        <v>10.70935</v>
      </c>
      <c r="R152" s="9">
        <v>8.826139</v>
      </c>
      <c r="S152" s="9">
        <v>1.531401</v>
      </c>
      <c r="T152" s="9">
        <v>1.480663</v>
      </c>
      <c r="U152" s="9">
        <v>14407.0</v>
      </c>
      <c r="V152" s="9">
        <v>64271.0</v>
      </c>
      <c r="W152" s="9">
        <v>1862.0</v>
      </c>
      <c r="X152" s="9">
        <v>5236.0</v>
      </c>
      <c r="Y152" s="9">
        <v>2808.0</v>
      </c>
      <c r="Z152" s="9">
        <v>55838.0</v>
      </c>
      <c r="AA152" s="9">
        <v>55616.0</v>
      </c>
      <c r="AB152" s="9">
        <v>11169.0</v>
      </c>
      <c r="AC152" s="9">
        <v>364.0</v>
      </c>
      <c r="AD152" s="9">
        <v>16.0</v>
      </c>
      <c r="AE152" s="9">
        <v>8.0</v>
      </c>
      <c r="AF152" s="10" t="s">
        <v>66</v>
      </c>
    </row>
    <row r="153" ht="15.75" customHeight="1">
      <c r="A153" s="6">
        <v>44994.0</v>
      </c>
      <c r="B153" s="7" t="s">
        <v>22</v>
      </c>
      <c r="C153" s="9">
        <v>18900.97</v>
      </c>
      <c r="D153" s="9">
        <v>21504.0</v>
      </c>
      <c r="E153" s="9">
        <v>13408.12</v>
      </c>
      <c r="F153" s="9">
        <v>2171.0</v>
      </c>
      <c r="G153" s="9">
        <v>1951.0</v>
      </c>
      <c r="H153" s="9">
        <v>1490.0</v>
      </c>
      <c r="I153" s="9">
        <v>3352.0</v>
      </c>
      <c r="J153" s="9">
        <v>2993.0</v>
      </c>
      <c r="K153" s="9">
        <v>2160.0</v>
      </c>
      <c r="L153" s="9">
        <v>1915.0</v>
      </c>
      <c r="M153" s="9">
        <v>1989.0</v>
      </c>
      <c r="N153" s="9">
        <v>1345.0</v>
      </c>
      <c r="O153" s="9">
        <v>8.706113</v>
      </c>
      <c r="P153" s="9">
        <v>8.998739</v>
      </c>
      <c r="Q153" s="9">
        <v>5.638714</v>
      </c>
      <c r="R153" s="9">
        <v>6.207464</v>
      </c>
      <c r="S153" s="9">
        <v>1.750392</v>
      </c>
      <c r="T153" s="9">
        <v>1.605948</v>
      </c>
      <c r="U153" s="9">
        <v>40965.0</v>
      </c>
      <c r="V153" s="9">
        <v>167348.0</v>
      </c>
      <c r="W153" s="9">
        <v>6549.0</v>
      </c>
      <c r="X153" s="9">
        <v>17084.0</v>
      </c>
      <c r="Y153" s="9">
        <v>12054.0</v>
      </c>
      <c r="Z153" s="9">
        <v>112366.0</v>
      </c>
      <c r="AA153" s="9">
        <v>111210.0</v>
      </c>
      <c r="AB153" s="9">
        <v>31210.0</v>
      </c>
      <c r="AC153" s="9">
        <v>1962.0</v>
      </c>
      <c r="AD153" s="9">
        <v>19.0</v>
      </c>
      <c r="AE153" s="9">
        <v>701.0</v>
      </c>
      <c r="AF153" s="10" t="s">
        <v>64</v>
      </c>
    </row>
    <row r="154" ht="15.75" customHeight="1">
      <c r="A154" s="6">
        <v>44997.0</v>
      </c>
      <c r="B154" s="7" t="s">
        <v>8</v>
      </c>
      <c r="C154" s="8">
        <v>2427.146</v>
      </c>
      <c r="D154" s="8">
        <v>2559.0</v>
      </c>
      <c r="E154" s="8">
        <v>1759.101</v>
      </c>
      <c r="F154" s="8">
        <v>254.0</v>
      </c>
      <c r="G154" s="8">
        <v>225.0</v>
      </c>
      <c r="H154" s="8">
        <v>186.0</v>
      </c>
      <c r="I154" s="8">
        <v>287.0</v>
      </c>
      <c r="J154" s="8">
        <v>248.0</v>
      </c>
      <c r="K154" s="8">
        <v>199.0</v>
      </c>
      <c r="L154" s="8">
        <v>224.0</v>
      </c>
      <c r="M154" s="8">
        <v>258.0</v>
      </c>
      <c r="N154" s="8">
        <v>173.0</v>
      </c>
      <c r="O154" s="8">
        <v>9.555694</v>
      </c>
      <c r="P154" s="8">
        <v>9.457534</v>
      </c>
      <c r="Q154" s="8">
        <v>8.456956</v>
      </c>
      <c r="R154" s="8">
        <v>8.839705</v>
      </c>
      <c r="S154" s="8">
        <v>1.28125</v>
      </c>
      <c r="T154" s="8">
        <v>1.150289</v>
      </c>
      <c r="U154" s="8">
        <v>9731.0</v>
      </c>
      <c r="V154" s="8">
        <v>71870.0</v>
      </c>
      <c r="W154" s="8">
        <v>1040.0</v>
      </c>
      <c r="X154" s="8">
        <v>3864.0</v>
      </c>
      <c r="Y154" s="8">
        <v>1452.0</v>
      </c>
      <c r="Z154" s="9">
        <v>19716.0</v>
      </c>
      <c r="AA154" s="9">
        <v>19554.0</v>
      </c>
      <c r="AB154" s="9">
        <v>6037.0</v>
      </c>
      <c r="AC154" s="9">
        <v>213.0</v>
      </c>
      <c r="AD154" s="9">
        <v>2.0</v>
      </c>
      <c r="AE154" s="9">
        <v>5.0</v>
      </c>
      <c r="AF154" s="10" t="s">
        <v>17</v>
      </c>
    </row>
    <row r="155" ht="15.75" customHeight="1">
      <c r="A155" s="6">
        <v>44996.0</v>
      </c>
      <c r="B155" s="7" t="s">
        <v>23</v>
      </c>
      <c r="C155" s="9">
        <v>7064.416</v>
      </c>
      <c r="D155" s="9">
        <v>6754.0</v>
      </c>
      <c r="E155" s="9">
        <v>3848.324</v>
      </c>
      <c r="F155" s="9">
        <v>263.0</v>
      </c>
      <c r="G155" s="9">
        <v>250.0</v>
      </c>
      <c r="H155" s="9">
        <v>223.0</v>
      </c>
      <c r="I155" s="9">
        <v>287.0</v>
      </c>
      <c r="J155" s="9">
        <v>283.0</v>
      </c>
      <c r="K155" s="9">
        <v>250.0</v>
      </c>
      <c r="L155" s="9">
        <v>250.0</v>
      </c>
      <c r="M155" s="9">
        <v>272.0</v>
      </c>
      <c r="N155" s="9">
        <v>212.0</v>
      </c>
      <c r="O155" s="9">
        <v>26.8609</v>
      </c>
      <c r="P155" s="9">
        <v>17.25706</v>
      </c>
      <c r="Q155" s="9">
        <v>24.61469</v>
      </c>
      <c r="R155" s="9">
        <v>15.3933</v>
      </c>
      <c r="S155" s="9">
        <v>1.148</v>
      </c>
      <c r="T155" s="9">
        <v>1.179245</v>
      </c>
      <c r="U155" s="9">
        <v>11603.0</v>
      </c>
      <c r="V155" s="9">
        <v>32345.0</v>
      </c>
      <c r="W155" s="9">
        <v>1080.0</v>
      </c>
      <c r="X155" s="9">
        <v>1841.0</v>
      </c>
      <c r="Y155" s="9">
        <v>1448.0</v>
      </c>
      <c r="Z155" s="9">
        <v>31992.0</v>
      </c>
      <c r="AA155" s="9">
        <v>31819.0</v>
      </c>
      <c r="AB155" s="9">
        <v>8029.0</v>
      </c>
      <c r="AC155" s="9">
        <v>202.0</v>
      </c>
      <c r="AD155" s="9">
        <v>3.0</v>
      </c>
      <c r="AE155" s="9">
        <v>2.0</v>
      </c>
      <c r="AF155" s="10" t="s">
        <v>63</v>
      </c>
    </row>
    <row r="156" ht="15.75" customHeight="1">
      <c r="A156" s="6">
        <v>44993.0</v>
      </c>
      <c r="B156" s="7" t="s">
        <v>14</v>
      </c>
      <c r="C156" s="9">
        <v>15054.18</v>
      </c>
      <c r="D156" s="9">
        <v>11834.0</v>
      </c>
      <c r="E156" s="9">
        <v>4940.856</v>
      </c>
      <c r="F156" s="9">
        <v>301.0</v>
      </c>
      <c r="G156" s="9">
        <v>269.0</v>
      </c>
      <c r="H156" s="9">
        <v>281.0</v>
      </c>
      <c r="I156" s="9">
        <v>369.0</v>
      </c>
      <c r="J156" s="9">
        <v>341.0</v>
      </c>
      <c r="K156" s="9">
        <v>368.0</v>
      </c>
      <c r="L156" s="9">
        <v>275.0</v>
      </c>
      <c r="M156" s="9">
        <v>300.0</v>
      </c>
      <c r="N156" s="9">
        <v>261.0</v>
      </c>
      <c r="O156" s="9">
        <v>50.01387</v>
      </c>
      <c r="P156" s="9">
        <v>17.58312</v>
      </c>
      <c r="Q156" s="9">
        <v>40.79722</v>
      </c>
      <c r="R156" s="9">
        <v>13.42624</v>
      </c>
      <c r="S156" s="9">
        <v>1.341818</v>
      </c>
      <c r="T156" s="9">
        <v>1.409962</v>
      </c>
      <c r="U156" s="9">
        <v>12954.0</v>
      </c>
      <c r="V156" s="9">
        <v>50167.0</v>
      </c>
      <c r="W156" s="9">
        <v>1231.0</v>
      </c>
      <c r="X156" s="9">
        <v>2937.0</v>
      </c>
      <c r="Y156" s="9">
        <v>2026.0</v>
      </c>
      <c r="Z156" s="9">
        <v>35424.0</v>
      </c>
      <c r="AA156" s="9">
        <v>35259.0</v>
      </c>
      <c r="AB156" s="9">
        <v>9301.0</v>
      </c>
      <c r="AC156" s="9">
        <v>250.0</v>
      </c>
      <c r="AD156" s="9">
        <v>6.0</v>
      </c>
      <c r="AE156" s="9">
        <v>2.0</v>
      </c>
      <c r="AF156" s="10" t="s">
        <v>63</v>
      </c>
    </row>
    <row r="157" ht="15.75" customHeight="1">
      <c r="A157" s="6">
        <v>44995.0</v>
      </c>
      <c r="B157" s="7" t="s">
        <v>24</v>
      </c>
      <c r="C157" s="9">
        <v>1892.722</v>
      </c>
      <c r="D157" s="9">
        <v>2362.0</v>
      </c>
      <c r="E157" s="9">
        <v>1762.502</v>
      </c>
      <c r="F157" s="9">
        <v>266.0</v>
      </c>
      <c r="G157" s="9">
        <v>271.0</v>
      </c>
      <c r="H157" s="9">
        <v>287.0</v>
      </c>
      <c r="I157" s="9">
        <v>346.0</v>
      </c>
      <c r="J157" s="9">
        <v>359.0</v>
      </c>
      <c r="K157" s="9">
        <v>331.0</v>
      </c>
      <c r="L157" s="9">
        <v>256.0</v>
      </c>
      <c r="M157" s="9">
        <v>288.0</v>
      </c>
      <c r="N157" s="9">
        <v>263.0</v>
      </c>
      <c r="O157" s="9">
        <v>7.115497</v>
      </c>
      <c r="P157" s="9">
        <v>6.14112</v>
      </c>
      <c r="Q157" s="9">
        <v>5.470295</v>
      </c>
      <c r="R157" s="9">
        <v>5.324778</v>
      </c>
      <c r="S157" s="9">
        <v>1.351563</v>
      </c>
      <c r="T157" s="9">
        <v>1.258555</v>
      </c>
      <c r="U157" s="9">
        <v>9655.0</v>
      </c>
      <c r="V157" s="9">
        <v>35104.0</v>
      </c>
      <c r="W157" s="9">
        <v>1308.0</v>
      </c>
      <c r="X157" s="9">
        <v>3299.0</v>
      </c>
      <c r="Y157" s="9">
        <v>1947.0</v>
      </c>
      <c r="Z157" s="9">
        <v>40336.0</v>
      </c>
      <c r="AA157" s="9">
        <v>40107.0</v>
      </c>
      <c r="AB157" s="9">
        <v>8400.0</v>
      </c>
      <c r="AC157" s="9">
        <v>249.0</v>
      </c>
      <c r="AD157" s="9">
        <v>2.0</v>
      </c>
      <c r="AE157" s="9">
        <v>4.0</v>
      </c>
      <c r="AF157" s="10" t="s">
        <v>66</v>
      </c>
    </row>
    <row r="158" ht="15.75" customHeight="1">
      <c r="A158" s="6">
        <v>44992.0</v>
      </c>
      <c r="B158" s="7" t="s">
        <v>21</v>
      </c>
      <c r="C158" s="9">
        <v>3405.077</v>
      </c>
      <c r="D158" s="9">
        <v>3825.0</v>
      </c>
      <c r="E158" s="9">
        <v>3396.746</v>
      </c>
      <c r="F158" s="9">
        <v>539.0</v>
      </c>
      <c r="G158" s="9">
        <v>578.0</v>
      </c>
      <c r="H158" s="9">
        <v>515.0</v>
      </c>
      <c r="I158" s="9">
        <v>678.0</v>
      </c>
      <c r="J158" s="9">
        <v>740.0</v>
      </c>
      <c r="K158" s="9">
        <v>610.0</v>
      </c>
      <c r="L158" s="9">
        <v>476.0</v>
      </c>
      <c r="M158" s="9">
        <v>629.0</v>
      </c>
      <c r="N158" s="9">
        <v>448.0</v>
      </c>
      <c r="O158" s="9">
        <v>6.317396</v>
      </c>
      <c r="P158" s="9">
        <v>6.595623</v>
      </c>
      <c r="Q158" s="9">
        <v>5.022237</v>
      </c>
      <c r="R158" s="9">
        <v>5.568436</v>
      </c>
      <c r="S158" s="9">
        <v>1.42437</v>
      </c>
      <c r="T158" s="9">
        <v>1.361607</v>
      </c>
      <c r="U158" s="9">
        <v>19309.0</v>
      </c>
      <c r="V158" s="9">
        <v>120488.0</v>
      </c>
      <c r="W158" s="9">
        <v>2363.0</v>
      </c>
      <c r="X158" s="9">
        <v>7223.0</v>
      </c>
      <c r="Y158" s="9">
        <v>4143.0</v>
      </c>
      <c r="Z158" s="9">
        <v>90877.0</v>
      </c>
      <c r="AA158" s="9">
        <v>90404.0</v>
      </c>
      <c r="AB158" s="9">
        <v>18020.0</v>
      </c>
      <c r="AC158" s="9">
        <v>495.0</v>
      </c>
      <c r="AD158" s="9">
        <v>3.0</v>
      </c>
      <c r="AE158" s="9">
        <v>95.0</v>
      </c>
      <c r="AF158" s="10" t="s">
        <v>17</v>
      </c>
    </row>
    <row r="159" ht="15.75" customHeight="1">
      <c r="A159" s="6">
        <v>44996.0</v>
      </c>
      <c r="B159" s="7" t="s">
        <v>8</v>
      </c>
      <c r="C159" s="9">
        <v>2322.096</v>
      </c>
      <c r="D159" s="9">
        <v>2613.0</v>
      </c>
      <c r="E159" s="9">
        <v>2111.653</v>
      </c>
      <c r="F159" s="9">
        <v>200.0</v>
      </c>
      <c r="G159" s="9">
        <v>221.0</v>
      </c>
      <c r="H159" s="9">
        <v>183.0</v>
      </c>
      <c r="I159" s="9">
        <v>220.0</v>
      </c>
      <c r="J159" s="9">
        <v>243.0</v>
      </c>
      <c r="K159" s="9">
        <v>201.0</v>
      </c>
      <c r="L159" s="9">
        <v>193.0</v>
      </c>
      <c r="M159" s="9">
        <v>254.0</v>
      </c>
      <c r="N159" s="9">
        <v>176.0</v>
      </c>
      <c r="O159" s="9">
        <v>11.61048</v>
      </c>
      <c r="P159" s="9">
        <v>11.53909</v>
      </c>
      <c r="Q159" s="9">
        <v>10.55498</v>
      </c>
      <c r="R159" s="9">
        <v>10.50574</v>
      </c>
      <c r="S159" s="9">
        <v>1.139896</v>
      </c>
      <c r="T159" s="9">
        <v>1.142045</v>
      </c>
      <c r="U159" s="9">
        <v>9651.0</v>
      </c>
      <c r="V159" s="9">
        <v>74978.0</v>
      </c>
      <c r="W159" s="9">
        <v>1046.0</v>
      </c>
      <c r="X159" s="9">
        <v>3667.0</v>
      </c>
      <c r="Y159" s="9">
        <v>1415.0</v>
      </c>
      <c r="Z159" s="9">
        <v>19760.0</v>
      </c>
      <c r="AA159" s="9">
        <v>19597.0</v>
      </c>
      <c r="AB159" s="9">
        <v>6409.0</v>
      </c>
      <c r="AC159" s="9">
        <v>175.0</v>
      </c>
      <c r="AD159" s="9">
        <v>3.0</v>
      </c>
      <c r="AE159" s="9">
        <v>3.0</v>
      </c>
      <c r="AF159" s="10" t="s">
        <v>17</v>
      </c>
    </row>
    <row r="160" ht="15.75" customHeight="1">
      <c r="A160" s="6">
        <v>44994.0</v>
      </c>
      <c r="B160" s="7" t="s">
        <v>28</v>
      </c>
      <c r="C160" s="9">
        <v>2469.961</v>
      </c>
      <c r="D160" s="9">
        <v>2982.0</v>
      </c>
      <c r="E160" s="9">
        <v>2652.742</v>
      </c>
      <c r="F160" s="9">
        <v>343.0</v>
      </c>
      <c r="G160" s="9">
        <v>342.0</v>
      </c>
      <c r="H160" s="9">
        <v>321.0</v>
      </c>
      <c r="I160" s="9">
        <v>1035.0</v>
      </c>
      <c r="J160" s="9">
        <v>1010.0</v>
      </c>
      <c r="K160" s="9">
        <v>1473.0</v>
      </c>
      <c r="L160" s="9">
        <v>289.0</v>
      </c>
      <c r="M160" s="9">
        <v>319.0</v>
      </c>
      <c r="N160" s="9">
        <v>239.0</v>
      </c>
      <c r="O160" s="9">
        <v>7.201052</v>
      </c>
      <c r="P160" s="9">
        <v>8.263993</v>
      </c>
      <c r="Q160" s="9">
        <v>2.386435</v>
      </c>
      <c r="R160" s="9">
        <v>1.800911</v>
      </c>
      <c r="S160" s="9">
        <v>3.581315</v>
      </c>
      <c r="T160" s="9">
        <v>6.16318</v>
      </c>
      <c r="U160" s="9">
        <v>6906.0</v>
      </c>
      <c r="V160" s="9">
        <v>37744.0</v>
      </c>
      <c r="W160" s="9">
        <v>941.0</v>
      </c>
      <c r="X160" s="9">
        <v>4244.0</v>
      </c>
      <c r="Y160" s="9">
        <v>1774.0</v>
      </c>
      <c r="Z160" s="9">
        <v>28899.0</v>
      </c>
      <c r="AA160" s="9">
        <v>28725.0</v>
      </c>
      <c r="AB160" s="9">
        <v>6321.0</v>
      </c>
      <c r="AC160" s="9">
        <v>315.0</v>
      </c>
      <c r="AD160" s="9">
        <v>5.0</v>
      </c>
      <c r="AE160" s="9">
        <v>635.0</v>
      </c>
      <c r="AF160" s="10" t="s">
        <v>66</v>
      </c>
    </row>
    <row r="161" ht="15.75" customHeight="1">
      <c r="A161" s="6">
        <v>44996.0</v>
      </c>
      <c r="B161" s="7" t="s">
        <v>31</v>
      </c>
      <c r="C161" s="9">
        <v>3069.985</v>
      </c>
      <c r="D161" s="9">
        <v>2951.0</v>
      </c>
      <c r="E161" s="9">
        <v>3184.967</v>
      </c>
      <c r="F161" s="9">
        <v>391.0</v>
      </c>
      <c r="G161" s="9">
        <v>309.0</v>
      </c>
      <c r="H161" s="9">
        <v>338.0</v>
      </c>
      <c r="I161" s="9">
        <v>620.0</v>
      </c>
      <c r="J161" s="9">
        <v>474.0</v>
      </c>
      <c r="K161" s="9">
        <v>501.0</v>
      </c>
      <c r="L161" s="9">
        <v>354.0</v>
      </c>
      <c r="M161" s="9">
        <v>321.0</v>
      </c>
      <c r="N161" s="9">
        <v>305.0</v>
      </c>
      <c r="O161" s="9">
        <v>7.851623</v>
      </c>
      <c r="P161" s="9">
        <v>9.422979</v>
      </c>
      <c r="Q161" s="9">
        <v>4.951588</v>
      </c>
      <c r="R161" s="9">
        <v>6.357219</v>
      </c>
      <c r="S161" s="9">
        <v>1.751412</v>
      </c>
      <c r="T161" s="9">
        <v>1.642623</v>
      </c>
      <c r="U161" s="9">
        <v>11649.0</v>
      </c>
      <c r="V161" s="9">
        <v>43290.0</v>
      </c>
      <c r="W161" s="9">
        <v>1560.0</v>
      </c>
      <c r="X161" s="9">
        <v>4048.0</v>
      </c>
      <c r="Y161" s="9">
        <v>2477.0</v>
      </c>
      <c r="Z161" s="9">
        <v>41580.0</v>
      </c>
      <c r="AA161" s="9">
        <v>41392.0</v>
      </c>
      <c r="AB161" s="9">
        <v>9585.0</v>
      </c>
      <c r="AC161" s="9">
        <v>395.0</v>
      </c>
      <c r="AD161" s="9">
        <v>4.0</v>
      </c>
      <c r="AE161" s="9">
        <v>16.0</v>
      </c>
      <c r="AF161" s="10" t="s">
        <v>66</v>
      </c>
    </row>
    <row r="162" ht="15.75" customHeight="1">
      <c r="A162" s="6">
        <v>44996.0</v>
      </c>
      <c r="B162" s="7" t="s">
        <v>11</v>
      </c>
      <c r="C162" s="9">
        <v>9621.942</v>
      </c>
      <c r="D162" s="9">
        <v>10430.0</v>
      </c>
      <c r="E162" s="9">
        <v>6871.982</v>
      </c>
      <c r="F162" s="9">
        <v>652.0</v>
      </c>
      <c r="G162" s="9">
        <v>544.0</v>
      </c>
      <c r="H162" s="9">
        <v>433.0</v>
      </c>
      <c r="I162" s="9">
        <v>703.0</v>
      </c>
      <c r="J162" s="9">
        <v>592.0</v>
      </c>
      <c r="K162" s="9">
        <v>472.0</v>
      </c>
      <c r="L162" s="9">
        <v>580.0</v>
      </c>
      <c r="M162" s="9">
        <v>623.0</v>
      </c>
      <c r="N162" s="9">
        <v>402.0</v>
      </c>
      <c r="O162" s="9">
        <v>14.75758</v>
      </c>
      <c r="P162" s="9">
        <v>15.87063</v>
      </c>
      <c r="Q162" s="9">
        <v>13.68697</v>
      </c>
      <c r="R162" s="9">
        <v>14.55928</v>
      </c>
      <c r="S162" s="9">
        <v>1.212069</v>
      </c>
      <c r="T162" s="9">
        <v>1.174129</v>
      </c>
      <c r="U162" s="9">
        <v>20662.0</v>
      </c>
      <c r="V162" s="9">
        <v>98360.0</v>
      </c>
      <c r="W162" s="9">
        <v>1959.0</v>
      </c>
      <c r="X162" s="9">
        <v>5344.0</v>
      </c>
      <c r="Y162" s="9">
        <v>2851.0</v>
      </c>
      <c r="Z162" s="9">
        <v>38114.0</v>
      </c>
      <c r="AA162" s="9">
        <v>37906.0</v>
      </c>
      <c r="AB162" s="9">
        <v>10528.0</v>
      </c>
      <c r="AC162" s="9">
        <v>429.0</v>
      </c>
      <c r="AD162" s="9">
        <v>0.0</v>
      </c>
      <c r="AE162" s="9">
        <v>3.0</v>
      </c>
      <c r="AF162" s="10" t="s">
        <v>63</v>
      </c>
    </row>
    <row r="163" ht="15.75" customHeight="1">
      <c r="A163" s="6">
        <v>44994.0</v>
      </c>
      <c r="B163" s="7" t="s">
        <v>13</v>
      </c>
      <c r="C163" s="9">
        <v>18.36958</v>
      </c>
      <c r="D163" s="9">
        <v>78.0</v>
      </c>
      <c r="E163" s="9">
        <v>76.54318</v>
      </c>
      <c r="F163" s="9">
        <v>9.0</v>
      </c>
      <c r="G163" s="9">
        <v>190.0</v>
      </c>
      <c r="H163" s="9">
        <v>36.0</v>
      </c>
      <c r="I163" s="9">
        <v>9.0</v>
      </c>
      <c r="J163" s="9">
        <v>192.0</v>
      </c>
      <c r="K163" s="9">
        <v>36.0</v>
      </c>
      <c r="L163" s="9">
        <v>8.0</v>
      </c>
      <c r="M163" s="9">
        <v>147.0</v>
      </c>
      <c r="N163" s="9">
        <v>31.0</v>
      </c>
      <c r="O163" s="9">
        <v>2.041064</v>
      </c>
      <c r="P163" s="9">
        <v>2.126199</v>
      </c>
      <c r="Q163" s="9">
        <v>2.041064</v>
      </c>
      <c r="R163" s="9">
        <v>2.126199</v>
      </c>
      <c r="S163" s="9">
        <v>1.125</v>
      </c>
      <c r="T163" s="9">
        <v>1.16129</v>
      </c>
      <c r="U163" s="9">
        <v>1.0</v>
      </c>
      <c r="V163" s="9">
        <v>1.0</v>
      </c>
      <c r="W163" s="7"/>
      <c r="X163" s="7"/>
      <c r="Y163" s="7"/>
      <c r="Z163" s="9">
        <v>4.0</v>
      </c>
      <c r="AA163" s="9">
        <v>4.0</v>
      </c>
      <c r="AB163" s="9">
        <v>1.0</v>
      </c>
      <c r="AC163" s="9">
        <v>5.0</v>
      </c>
      <c r="AD163" s="9">
        <v>3.0</v>
      </c>
      <c r="AE163" s="9">
        <v>0.0</v>
      </c>
      <c r="AF163" s="10" t="s">
        <v>15</v>
      </c>
    </row>
    <row r="164" ht="15.75" customHeight="1">
      <c r="A164" s="13">
        <v>44996.0</v>
      </c>
      <c r="B164" s="14" t="s">
        <v>9</v>
      </c>
      <c r="C164" s="15">
        <v>6590.714</v>
      </c>
      <c r="D164" s="15">
        <v>10368.0</v>
      </c>
      <c r="E164" s="15">
        <v>3210.279</v>
      </c>
      <c r="F164" s="15">
        <v>505.0</v>
      </c>
      <c r="G164" s="15">
        <v>409.0</v>
      </c>
      <c r="H164" s="15">
        <v>404.0</v>
      </c>
      <c r="I164" s="15">
        <v>575.0</v>
      </c>
      <c r="J164" s="15">
        <v>472.0</v>
      </c>
      <c r="K164" s="15">
        <v>436.0</v>
      </c>
      <c r="L164" s="15">
        <v>469.0</v>
      </c>
      <c r="M164" s="15">
        <v>463.0</v>
      </c>
      <c r="N164" s="15">
        <v>375.0</v>
      </c>
      <c r="O164" s="15">
        <v>13.05092</v>
      </c>
      <c r="P164" s="15">
        <v>7.946235</v>
      </c>
      <c r="Q164" s="15">
        <v>11.46211</v>
      </c>
      <c r="R164" s="15">
        <v>7.363025</v>
      </c>
      <c r="S164" s="15">
        <v>1.226013</v>
      </c>
      <c r="T164" s="15">
        <v>1.162667</v>
      </c>
      <c r="U164" s="15">
        <v>20820.0</v>
      </c>
      <c r="V164" s="15">
        <v>205032.0</v>
      </c>
      <c r="W164" s="15">
        <v>1922.0</v>
      </c>
      <c r="X164" s="15">
        <v>7039.0</v>
      </c>
      <c r="Y164" s="15">
        <v>2651.0</v>
      </c>
      <c r="Z164" s="16">
        <v>71239.0</v>
      </c>
      <c r="AA164" s="16">
        <v>70708.0</v>
      </c>
      <c r="AB164" s="16">
        <v>13132.0</v>
      </c>
      <c r="AC164" s="16">
        <v>456.0</v>
      </c>
      <c r="AD164" s="16">
        <v>1.0</v>
      </c>
      <c r="AE164" s="16">
        <v>0.0</v>
      </c>
      <c r="AF164" s="1" t="s">
        <v>63</v>
      </c>
    </row>
    <row r="165" ht="15.75" customHeight="1">
      <c r="A165" s="17"/>
    </row>
    <row r="166" ht="15.75" customHeight="1">
      <c r="A166" s="17"/>
    </row>
    <row r="167" ht="15.75" customHeight="1">
      <c r="A167" s="17"/>
    </row>
    <row r="168" ht="15.75" customHeight="1">
      <c r="A168" s="17"/>
    </row>
    <row r="169" ht="15.75" customHeight="1">
      <c r="A169" s="17"/>
    </row>
    <row r="170" ht="15.75" customHeight="1">
      <c r="A170" s="17"/>
    </row>
    <row r="171" ht="15.75" customHeight="1">
      <c r="A171" s="17"/>
    </row>
    <row r="172" ht="15.75" customHeight="1">
      <c r="A172" s="17"/>
    </row>
    <row r="173" ht="15.75" customHeight="1">
      <c r="A173" s="17"/>
    </row>
    <row r="174" ht="15.75" customHeight="1">
      <c r="A174" s="17"/>
    </row>
    <row r="175" ht="15.75" customHeight="1">
      <c r="A175" s="17"/>
    </row>
    <row r="176" ht="15.75" customHeight="1">
      <c r="A176" s="17"/>
    </row>
    <row r="177" ht="15.75" customHeight="1">
      <c r="A177" s="17"/>
    </row>
    <row r="178" ht="15.75" customHeight="1">
      <c r="A178" s="17"/>
    </row>
    <row r="179" ht="15.75" customHeight="1">
      <c r="A179" s="17"/>
    </row>
    <row r="180" ht="15.75" customHeight="1">
      <c r="A180" s="17"/>
    </row>
    <row r="181" ht="15.75" customHeight="1">
      <c r="A181" s="17"/>
    </row>
    <row r="182" ht="15.75" customHeight="1">
      <c r="A182" s="17"/>
    </row>
    <row r="183" ht="15.75" customHeight="1">
      <c r="A183" s="17"/>
    </row>
    <row r="184" ht="15.75" customHeight="1">
      <c r="A184" s="17"/>
    </row>
    <row r="185" ht="15.75" customHeight="1">
      <c r="A185" s="17"/>
    </row>
    <row r="186" ht="15.75" customHeight="1">
      <c r="A186" s="17"/>
    </row>
    <row r="187" ht="15.75" customHeight="1">
      <c r="A187" s="17"/>
    </row>
    <row r="188" ht="15.75" customHeight="1">
      <c r="A188" s="17"/>
    </row>
    <row r="189" ht="15.75" customHeight="1">
      <c r="A189" s="17"/>
    </row>
    <row r="190" ht="15.75" customHeight="1">
      <c r="A190" s="17"/>
    </row>
    <row r="191" ht="15.75" customHeight="1">
      <c r="A191" s="17"/>
    </row>
    <row r="192" ht="15.75" customHeight="1">
      <c r="A192" s="17"/>
    </row>
    <row r="193" ht="15.75" customHeight="1">
      <c r="A193" s="17"/>
    </row>
    <row r="194" ht="15.75" customHeight="1">
      <c r="A194" s="17"/>
    </row>
    <row r="195" ht="15.75" customHeight="1">
      <c r="A195" s="17"/>
    </row>
    <row r="196" ht="15.75" customHeight="1">
      <c r="A196" s="17"/>
    </row>
    <row r="197" ht="15.75" customHeight="1">
      <c r="A197" s="17"/>
    </row>
    <row r="198" ht="15.75" customHeight="1">
      <c r="A198" s="17"/>
    </row>
    <row r="199" ht="15.75" customHeight="1">
      <c r="A199" s="17"/>
    </row>
    <row r="200" ht="15.75" customHeight="1">
      <c r="A200" s="17"/>
    </row>
    <row r="201" ht="15.75" customHeight="1">
      <c r="A201" s="17"/>
    </row>
    <row r="202" ht="15.75" customHeight="1">
      <c r="A202" s="17"/>
    </row>
    <row r="203" ht="15.75" customHeight="1">
      <c r="A203" s="17"/>
    </row>
    <row r="204" ht="15.75" customHeight="1">
      <c r="A204" s="17"/>
    </row>
    <row r="205" ht="15.75" customHeight="1">
      <c r="A205" s="17"/>
    </row>
    <row r="206" ht="15.75" customHeight="1">
      <c r="A206" s="17"/>
    </row>
    <row r="207" ht="15.75" customHeight="1">
      <c r="A207" s="17"/>
    </row>
    <row r="208" ht="15.75" customHeight="1">
      <c r="A208" s="17"/>
    </row>
    <row r="209" ht="15.75" customHeight="1">
      <c r="A209" s="17"/>
    </row>
    <row r="210" ht="15.75" customHeight="1">
      <c r="A210" s="17"/>
    </row>
    <row r="211" ht="15.75" customHeight="1">
      <c r="A211" s="17"/>
    </row>
    <row r="212" ht="15.75" customHeight="1">
      <c r="A212" s="17"/>
    </row>
    <row r="213" ht="15.75" customHeight="1">
      <c r="A213" s="17"/>
    </row>
    <row r="214" ht="15.75" customHeight="1">
      <c r="A214" s="17"/>
    </row>
    <row r="215" ht="15.75" customHeight="1">
      <c r="A215" s="17"/>
    </row>
    <row r="216" ht="15.75" customHeight="1">
      <c r="A216" s="17"/>
    </row>
    <row r="217" ht="15.75" customHeight="1">
      <c r="A217" s="17"/>
    </row>
    <row r="218" ht="15.75" customHeight="1">
      <c r="A218" s="17"/>
    </row>
    <row r="219" ht="15.75" customHeight="1">
      <c r="A219" s="17"/>
    </row>
    <row r="220" ht="15.75" customHeight="1">
      <c r="A220" s="17"/>
    </row>
    <row r="221" ht="15.75" customHeight="1">
      <c r="A221" s="17"/>
    </row>
    <row r="222" ht="15.75" customHeight="1">
      <c r="A222" s="17"/>
    </row>
    <row r="223" ht="15.75" customHeight="1">
      <c r="A223" s="17"/>
    </row>
    <row r="224" ht="15.75" customHeight="1">
      <c r="A224" s="17"/>
    </row>
    <row r="225" ht="15.75" customHeight="1">
      <c r="A225" s="17"/>
    </row>
    <row r="226" ht="15.75" customHeight="1">
      <c r="A226" s="17"/>
    </row>
    <row r="227" ht="15.75" customHeight="1">
      <c r="A227" s="17"/>
    </row>
    <row r="228" ht="15.75" customHeight="1">
      <c r="A228" s="17"/>
    </row>
    <row r="229" ht="15.75" customHeight="1">
      <c r="A229" s="17"/>
    </row>
    <row r="230" ht="15.75" customHeight="1">
      <c r="A230" s="17"/>
    </row>
    <row r="231" ht="15.75" customHeight="1">
      <c r="A231" s="17"/>
    </row>
    <row r="232" ht="15.75" customHeight="1">
      <c r="A232" s="17"/>
    </row>
    <row r="233" ht="15.75" customHeight="1">
      <c r="A233" s="17"/>
    </row>
    <row r="234" ht="15.75" customHeight="1">
      <c r="A234" s="17"/>
    </row>
    <row r="235" ht="15.75" customHeight="1">
      <c r="A235" s="17"/>
    </row>
    <row r="236" ht="15.75" customHeight="1">
      <c r="A236" s="17"/>
    </row>
    <row r="237" ht="15.75" customHeight="1">
      <c r="A237" s="17"/>
    </row>
    <row r="238" ht="15.75" customHeight="1">
      <c r="A238" s="17"/>
    </row>
    <row r="239" ht="15.75" customHeight="1">
      <c r="A239" s="17"/>
    </row>
    <row r="240" ht="15.75" customHeight="1">
      <c r="A240" s="17"/>
    </row>
    <row r="241" ht="15.75" customHeight="1">
      <c r="A241" s="17"/>
    </row>
    <row r="242" ht="15.75" customHeight="1">
      <c r="A242" s="17"/>
    </row>
    <row r="243" ht="15.75" customHeight="1">
      <c r="A243" s="17"/>
    </row>
    <row r="244" ht="15.75" customHeight="1">
      <c r="A244" s="17"/>
    </row>
    <row r="245" ht="15.75" customHeight="1">
      <c r="A245" s="17"/>
    </row>
    <row r="246" ht="15.75" customHeight="1">
      <c r="A246" s="17"/>
    </row>
    <row r="247" ht="15.75" customHeight="1">
      <c r="A247" s="17"/>
    </row>
    <row r="248" ht="15.75" customHeight="1">
      <c r="A248" s="17"/>
    </row>
    <row r="249" ht="15.75" customHeight="1">
      <c r="A249" s="17"/>
    </row>
    <row r="250" ht="15.75" customHeight="1">
      <c r="A250" s="17"/>
    </row>
    <row r="251" ht="15.75" customHeight="1">
      <c r="A251" s="17"/>
    </row>
    <row r="252" ht="15.75" customHeight="1">
      <c r="A252" s="17"/>
    </row>
    <row r="253" ht="15.75" customHeight="1">
      <c r="A253" s="17"/>
    </row>
    <row r="254" ht="15.75" customHeight="1">
      <c r="A254" s="17"/>
    </row>
    <row r="255" ht="15.75" customHeight="1">
      <c r="A255" s="17"/>
    </row>
    <row r="256" ht="15.75" customHeight="1">
      <c r="A256" s="17"/>
    </row>
    <row r="257" ht="15.75" customHeight="1">
      <c r="A257" s="17"/>
    </row>
    <row r="258" ht="15.75" customHeight="1">
      <c r="A258" s="17"/>
    </row>
    <row r="259" ht="15.75" customHeight="1">
      <c r="A259" s="17"/>
    </row>
    <row r="260" ht="15.75" customHeight="1">
      <c r="A260" s="17"/>
    </row>
    <row r="261" ht="15.75" customHeight="1">
      <c r="A261" s="17"/>
    </row>
    <row r="262" ht="15.75" customHeight="1">
      <c r="A262" s="17"/>
    </row>
    <row r="263" ht="15.75" customHeight="1">
      <c r="A263" s="17"/>
    </row>
    <row r="264" ht="15.75" customHeight="1">
      <c r="A264" s="17"/>
    </row>
    <row r="265" ht="15.75" customHeight="1">
      <c r="A265" s="17"/>
    </row>
    <row r="266" ht="15.75" customHeight="1">
      <c r="A266" s="17"/>
    </row>
    <row r="267" ht="15.75" customHeight="1">
      <c r="A267" s="17"/>
    </row>
    <row r="268" ht="15.75" customHeight="1">
      <c r="A268" s="17"/>
    </row>
    <row r="269" ht="15.75" customHeight="1">
      <c r="A269" s="17"/>
    </row>
    <row r="270" ht="15.75" customHeight="1">
      <c r="A270" s="17"/>
    </row>
    <row r="271" ht="15.75" customHeight="1">
      <c r="A271" s="17"/>
    </row>
    <row r="272" ht="15.75" customHeight="1">
      <c r="A272" s="17"/>
    </row>
    <row r="273" ht="15.75" customHeight="1">
      <c r="A273" s="17"/>
    </row>
    <row r="274" ht="15.75" customHeight="1">
      <c r="A274" s="17"/>
    </row>
    <row r="275" ht="15.75" customHeight="1">
      <c r="A275" s="17"/>
    </row>
    <row r="276" ht="15.75" customHeight="1">
      <c r="A276" s="17"/>
    </row>
    <row r="277" ht="15.75" customHeight="1">
      <c r="A277" s="17"/>
    </row>
    <row r="278" ht="15.75" customHeight="1">
      <c r="A278" s="17"/>
    </row>
    <row r="279" ht="15.75" customHeight="1">
      <c r="A279" s="17"/>
    </row>
    <row r="280" ht="15.75" customHeight="1">
      <c r="A280" s="17"/>
    </row>
    <row r="281" ht="15.75" customHeight="1">
      <c r="A281" s="17"/>
    </row>
    <row r="282" ht="15.75" customHeight="1">
      <c r="A282" s="17"/>
    </row>
    <row r="283" ht="15.75" customHeight="1">
      <c r="A283" s="17"/>
    </row>
    <row r="284" ht="15.75" customHeight="1">
      <c r="A284" s="17"/>
    </row>
    <row r="285" ht="15.75" customHeight="1">
      <c r="A285" s="17"/>
    </row>
    <row r="286" ht="15.75" customHeight="1">
      <c r="A286" s="17"/>
    </row>
    <row r="287" ht="15.75" customHeight="1">
      <c r="A287" s="17"/>
    </row>
    <row r="288" ht="15.75" customHeight="1">
      <c r="A288" s="17"/>
    </row>
    <row r="289" ht="15.75" customHeight="1">
      <c r="A289" s="17"/>
    </row>
    <row r="290" ht="15.75" customHeight="1">
      <c r="A290" s="17"/>
    </row>
    <row r="291" ht="15.75" customHeight="1">
      <c r="A291" s="17"/>
    </row>
    <row r="292" ht="15.75" customHeight="1">
      <c r="A292" s="17"/>
    </row>
    <row r="293" ht="15.75" customHeight="1">
      <c r="A293" s="17"/>
    </row>
    <row r="294" ht="15.75" customHeight="1">
      <c r="A294" s="17"/>
    </row>
    <row r="295" ht="15.75" customHeight="1">
      <c r="A295" s="17"/>
    </row>
    <row r="296" ht="15.75" customHeight="1">
      <c r="A296" s="17"/>
    </row>
    <row r="297" ht="15.75" customHeight="1">
      <c r="A297" s="17"/>
    </row>
    <row r="298" ht="15.75" customHeight="1">
      <c r="A298" s="17"/>
    </row>
    <row r="299" ht="15.75" customHeight="1">
      <c r="A299" s="17"/>
    </row>
    <row r="300" ht="15.75" customHeight="1">
      <c r="A300" s="17"/>
    </row>
    <row r="301" ht="15.75" customHeight="1">
      <c r="A301" s="17"/>
    </row>
    <row r="302" ht="15.75" customHeight="1">
      <c r="A302" s="17"/>
    </row>
    <row r="303" ht="15.75" customHeight="1">
      <c r="A303" s="17"/>
    </row>
    <row r="304" ht="15.75" customHeight="1">
      <c r="A304" s="17"/>
    </row>
    <row r="305" ht="15.75" customHeight="1">
      <c r="A305" s="17"/>
    </row>
    <row r="306" ht="15.75" customHeight="1">
      <c r="A306" s="17"/>
    </row>
    <row r="307" ht="15.75" customHeight="1">
      <c r="A307" s="17"/>
    </row>
    <row r="308" ht="15.75" customHeight="1">
      <c r="A308" s="17"/>
    </row>
    <row r="309" ht="15.75" customHeight="1">
      <c r="A309" s="17"/>
    </row>
    <row r="310" ht="15.75" customHeight="1">
      <c r="A310" s="17"/>
    </row>
    <row r="311" ht="15.75" customHeight="1">
      <c r="A311" s="17"/>
    </row>
    <row r="312" ht="15.75" customHeight="1">
      <c r="A312" s="17"/>
    </row>
    <row r="313" ht="15.75" customHeight="1">
      <c r="A313" s="17"/>
    </row>
    <row r="314" ht="15.75" customHeight="1">
      <c r="A314" s="17"/>
    </row>
    <row r="315" ht="15.75" customHeight="1">
      <c r="A315" s="17"/>
    </row>
    <row r="316" ht="15.75" customHeight="1">
      <c r="A316" s="17"/>
    </row>
    <row r="317" ht="15.75" customHeight="1">
      <c r="A317" s="17"/>
    </row>
    <row r="318" ht="15.75" customHeight="1">
      <c r="A318" s="17"/>
    </row>
    <row r="319" ht="15.75" customHeight="1">
      <c r="A319" s="17"/>
    </row>
    <row r="320" ht="15.75" customHeight="1">
      <c r="A320" s="17"/>
    </row>
    <row r="321" ht="15.75" customHeight="1">
      <c r="A321" s="17"/>
    </row>
    <row r="322" ht="15.75" customHeight="1">
      <c r="A322" s="17"/>
    </row>
    <row r="323" ht="15.75" customHeight="1">
      <c r="A323" s="17"/>
    </row>
    <row r="324" ht="15.75" customHeight="1">
      <c r="A324" s="17"/>
    </row>
    <row r="325" ht="15.75" customHeight="1">
      <c r="A325" s="17"/>
    </row>
    <row r="326" ht="15.75" customHeight="1">
      <c r="A326" s="17"/>
    </row>
    <row r="327" ht="15.75" customHeight="1">
      <c r="A327" s="17"/>
    </row>
    <row r="328" ht="15.75" customHeight="1">
      <c r="A328" s="17"/>
    </row>
    <row r="329" ht="15.75" customHeight="1">
      <c r="A329" s="17"/>
    </row>
    <row r="330" ht="15.75" customHeight="1">
      <c r="A330" s="17"/>
    </row>
    <row r="331" ht="15.75" customHeight="1">
      <c r="A331" s="17"/>
    </row>
    <row r="332" ht="15.75" customHeight="1">
      <c r="A332" s="17"/>
    </row>
    <row r="333" ht="15.75" customHeight="1">
      <c r="A333" s="17"/>
    </row>
    <row r="334" ht="15.75" customHeight="1">
      <c r="A334" s="17"/>
    </row>
    <row r="335" ht="15.75" customHeight="1">
      <c r="A335" s="17"/>
    </row>
    <row r="336" ht="15.75" customHeight="1">
      <c r="A336" s="17"/>
    </row>
    <row r="337" ht="15.75" customHeight="1">
      <c r="A337" s="17"/>
    </row>
    <row r="338" ht="15.75" customHeight="1">
      <c r="A338" s="17"/>
    </row>
    <row r="339" ht="15.75" customHeight="1">
      <c r="A339" s="17"/>
    </row>
    <row r="340" ht="15.75" customHeight="1">
      <c r="A340" s="17"/>
    </row>
    <row r="341" ht="15.75" customHeight="1">
      <c r="A341" s="17"/>
    </row>
    <row r="342" ht="15.75" customHeight="1">
      <c r="A342" s="17"/>
    </row>
    <row r="343" ht="15.75" customHeight="1">
      <c r="A343" s="17"/>
    </row>
    <row r="344" ht="15.75" customHeight="1">
      <c r="A344" s="17"/>
    </row>
    <row r="345" ht="15.75" customHeight="1">
      <c r="A345" s="17"/>
    </row>
    <row r="346" ht="15.75" customHeight="1">
      <c r="A346" s="17"/>
    </row>
    <row r="347" ht="15.75" customHeight="1">
      <c r="A347" s="17"/>
    </row>
    <row r="348" ht="15.75" customHeight="1">
      <c r="A348" s="17"/>
    </row>
    <row r="349" ht="15.75" customHeight="1">
      <c r="A349" s="17"/>
    </row>
    <row r="350" ht="15.75" customHeight="1">
      <c r="A350" s="17"/>
    </row>
    <row r="351" ht="15.75" customHeight="1">
      <c r="A351" s="17"/>
    </row>
    <row r="352" ht="15.75" customHeight="1">
      <c r="A352" s="17"/>
    </row>
    <row r="353" ht="15.75" customHeight="1">
      <c r="A353" s="17"/>
    </row>
    <row r="354" ht="15.75" customHeight="1">
      <c r="A354" s="17"/>
    </row>
    <row r="355" ht="15.75" customHeight="1">
      <c r="A355" s="17"/>
    </row>
    <row r="356" ht="15.75" customHeight="1">
      <c r="A356" s="17"/>
    </row>
    <row r="357" ht="15.75" customHeight="1">
      <c r="A357" s="17"/>
    </row>
    <row r="358" ht="15.75" customHeight="1">
      <c r="A358" s="17"/>
    </row>
    <row r="359" ht="15.75" customHeight="1">
      <c r="A359" s="17"/>
    </row>
    <row r="360" ht="15.75" customHeight="1">
      <c r="A360" s="17"/>
    </row>
    <row r="361" ht="15.75" customHeight="1">
      <c r="A361" s="17"/>
    </row>
    <row r="362" ht="15.75" customHeight="1">
      <c r="A362" s="17"/>
    </row>
    <row r="363" ht="15.75" customHeight="1">
      <c r="A363" s="17"/>
    </row>
    <row r="364" ht="15.75" customHeight="1">
      <c r="A364" s="17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2A79D08-62F4-44E4-AF0C-4052E6044C74}" filter="1" showAutoFilter="1">
      <autoFilter ref="$A$1:$AE$163"/>
      <extLst>
        <ext uri="GoogleSheetsCustomDataVersion1">
          <go:sheetsCustomData xmlns:go="http://customooxmlschemas.google.com/" filterViewId="1034732707"/>
        </ext>
      </extLst>
    </customSheetView>
    <customSheetView guid="{AC1572AF-0235-403E-8493-8DA6912AA1DD}" filter="1" showAutoFilter="1">
      <autoFilter ref="$A$1:$AF$164">
        <filterColumn colId="1">
          <filters>
            <filter val="Motors"/>
          </filters>
        </filterColumn>
      </autoFilter>
      <extLst>
        <ext uri="GoogleSheetsCustomDataVersion1">
          <go:sheetsCustomData xmlns:go="http://customooxmlschemas.google.com/" filterViewId="1990417008"/>
        </ext>
      </extLst>
    </customSheetView>
  </customSheetView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63"/>
    <col customWidth="1" min="2" max="3" width="31.0"/>
    <col customWidth="1" min="4" max="6" width="12.63"/>
  </cols>
  <sheetData>
    <row r="1" ht="15.75" customHeight="1">
      <c r="A1" s="1"/>
    </row>
    <row r="2" ht="15.75" customHeight="1">
      <c r="A2" s="1" t="s">
        <v>63</v>
      </c>
      <c r="B2" s="1" t="s">
        <v>9</v>
      </c>
    </row>
    <row r="3" ht="15.75" customHeight="1">
      <c r="A3" s="1" t="s">
        <v>63</v>
      </c>
      <c r="B3" s="1" t="s">
        <v>11</v>
      </c>
    </row>
    <row r="4" ht="15.75" customHeight="1">
      <c r="A4" s="1" t="s">
        <v>15</v>
      </c>
      <c r="B4" s="1" t="s">
        <v>13</v>
      </c>
    </row>
    <row r="5" ht="15.75" customHeight="1">
      <c r="A5" s="1" t="s">
        <v>63</v>
      </c>
      <c r="B5" s="1" t="s">
        <v>12</v>
      </c>
    </row>
    <row r="6" ht="15.75" customHeight="1">
      <c r="A6" s="1" t="s">
        <v>64</v>
      </c>
      <c r="B6" s="1" t="s">
        <v>16</v>
      </c>
    </row>
    <row r="7" ht="15.75" customHeight="1">
      <c r="A7" s="1" t="s">
        <v>15</v>
      </c>
      <c r="B7" s="1" t="s">
        <v>15</v>
      </c>
    </row>
    <row r="8" ht="15.75" customHeight="1">
      <c r="A8" s="1" t="s">
        <v>19</v>
      </c>
      <c r="B8" s="1" t="s">
        <v>19</v>
      </c>
    </row>
    <row r="9" ht="15.75" customHeight="1">
      <c r="A9" s="1" t="s">
        <v>17</v>
      </c>
      <c r="B9" s="1" t="s">
        <v>21</v>
      </c>
    </row>
    <row r="10" ht="15.75" customHeight="1">
      <c r="A10" s="1" t="s">
        <v>66</v>
      </c>
      <c r="B10" s="1" t="s">
        <v>65</v>
      </c>
    </row>
    <row r="11" ht="15.75" customHeight="1">
      <c r="A11" s="1" t="s">
        <v>64</v>
      </c>
      <c r="B11" s="1" t="s">
        <v>20</v>
      </c>
    </row>
    <row r="12" ht="15.75" customHeight="1">
      <c r="A12" s="1" t="s">
        <v>66</v>
      </c>
      <c r="B12" s="1" t="s">
        <v>25</v>
      </c>
    </row>
    <row r="13" ht="15.75" customHeight="1">
      <c r="A13" s="1" t="s">
        <v>64</v>
      </c>
      <c r="B13" s="1" t="s">
        <v>22</v>
      </c>
    </row>
    <row r="14" ht="15.75" customHeight="1">
      <c r="A14" s="1" t="s">
        <v>66</v>
      </c>
      <c r="B14" s="1" t="s">
        <v>10</v>
      </c>
    </row>
    <row r="15" ht="15.75" customHeight="1">
      <c r="A15" s="1" t="s">
        <v>66</v>
      </c>
      <c r="B15" s="1" t="s">
        <v>28</v>
      </c>
    </row>
    <row r="16" ht="15.75" customHeight="1">
      <c r="A16" s="1" t="s">
        <v>63</v>
      </c>
      <c r="B16" s="1" t="s">
        <v>11</v>
      </c>
    </row>
    <row r="17" ht="15.75" customHeight="1">
      <c r="A17" s="1" t="s">
        <v>66</v>
      </c>
      <c r="B17" s="1" t="s">
        <v>10</v>
      </c>
    </row>
    <row r="18" ht="15.75" customHeight="1">
      <c r="A18" s="1" t="s">
        <v>66</v>
      </c>
      <c r="B18" s="1" t="s">
        <v>26</v>
      </c>
    </row>
    <row r="19" ht="15.75" customHeight="1">
      <c r="A19" s="1" t="s">
        <v>64</v>
      </c>
      <c r="B19" s="1" t="s">
        <v>22</v>
      </c>
    </row>
    <row r="20" ht="15.75" customHeight="1">
      <c r="A20" s="1" t="s">
        <v>66</v>
      </c>
      <c r="B20" s="1" t="s">
        <v>28</v>
      </c>
    </row>
    <row r="21" ht="15.75" customHeight="1">
      <c r="A21" s="1" t="s">
        <v>63</v>
      </c>
      <c r="B21" s="1" t="s">
        <v>12</v>
      </c>
    </row>
    <row r="22" ht="15.75" customHeight="1">
      <c r="A22" s="1" t="s">
        <v>15</v>
      </c>
      <c r="B22" s="1" t="s">
        <v>15</v>
      </c>
    </row>
    <row r="23" ht="15.75" customHeight="1">
      <c r="A23" s="1" t="s">
        <v>63</v>
      </c>
      <c r="B23" s="1" t="s">
        <v>11</v>
      </c>
    </row>
    <row r="24" ht="15.75" customHeight="1">
      <c r="A24" s="1" t="s">
        <v>66</v>
      </c>
      <c r="B24" s="1" t="s">
        <v>27</v>
      </c>
    </row>
    <row r="25" ht="15.75" customHeight="1">
      <c r="A25" s="1" t="s">
        <v>15</v>
      </c>
      <c r="B25" s="1" t="s">
        <v>13</v>
      </c>
    </row>
    <row r="26" ht="15.75" customHeight="1">
      <c r="A26" s="1" t="s">
        <v>66</v>
      </c>
      <c r="B26" s="1" t="s">
        <v>27</v>
      </c>
    </row>
    <row r="27" ht="15.75" customHeight="1">
      <c r="A27" s="1" t="s">
        <v>17</v>
      </c>
      <c r="B27" s="1" t="s">
        <v>17</v>
      </c>
    </row>
    <row r="28" ht="15.75" customHeight="1">
      <c r="A28" s="1" t="s">
        <v>19</v>
      </c>
      <c r="B28" s="1" t="s">
        <v>19</v>
      </c>
    </row>
    <row r="29" ht="15.75" customHeight="1">
      <c r="A29" s="1" t="s">
        <v>66</v>
      </c>
      <c r="B29" s="1" t="s">
        <v>26</v>
      </c>
    </row>
    <row r="30" ht="15.75" customHeight="1">
      <c r="A30" s="1" t="s">
        <v>17</v>
      </c>
      <c r="B30" s="1" t="s">
        <v>21</v>
      </c>
    </row>
    <row r="31" ht="15.75" customHeight="1">
      <c r="A31" s="1" t="s">
        <v>66</v>
      </c>
      <c r="B31" s="1" t="s">
        <v>30</v>
      </c>
    </row>
    <row r="32" ht="15.75" customHeight="1">
      <c r="A32" s="1" t="s">
        <v>64</v>
      </c>
      <c r="B32" s="1" t="s">
        <v>29</v>
      </c>
    </row>
    <row r="33" ht="15.75" customHeight="1">
      <c r="A33" s="1" t="s">
        <v>66</v>
      </c>
      <c r="B33" s="1" t="s">
        <v>25</v>
      </c>
    </row>
    <row r="34" ht="15.75" customHeight="1">
      <c r="A34" s="1" t="s">
        <v>66</v>
      </c>
      <c r="B34" s="1" t="s">
        <v>10</v>
      </c>
    </row>
    <row r="35" ht="15.75" customHeight="1">
      <c r="A35" s="1" t="s">
        <v>17</v>
      </c>
      <c r="B35" s="1" t="s">
        <v>17</v>
      </c>
    </row>
    <row r="36" ht="15.75" customHeight="1">
      <c r="A36" s="1" t="s">
        <v>63</v>
      </c>
      <c r="B36" s="1" t="s">
        <v>14</v>
      </c>
    </row>
    <row r="37" ht="15.75" customHeight="1">
      <c r="A37" s="1" t="s">
        <v>64</v>
      </c>
      <c r="B37" s="1" t="s">
        <v>20</v>
      </c>
    </row>
    <row r="38" ht="15.75" customHeight="1">
      <c r="A38" s="1" t="s">
        <v>66</v>
      </c>
      <c r="B38" s="1" t="s">
        <v>25</v>
      </c>
    </row>
    <row r="39" ht="15.75" customHeight="1">
      <c r="A39" s="1" t="s">
        <v>66</v>
      </c>
      <c r="B39" s="1" t="s">
        <v>25</v>
      </c>
    </row>
    <row r="40" ht="15.75" customHeight="1">
      <c r="A40" s="1" t="s">
        <v>66</v>
      </c>
      <c r="B40" s="1" t="s">
        <v>65</v>
      </c>
    </row>
    <row r="41" ht="15.75" customHeight="1">
      <c r="A41" s="1" t="s">
        <v>63</v>
      </c>
      <c r="B41" s="1" t="s">
        <v>14</v>
      </c>
    </row>
    <row r="42" ht="15.75" customHeight="1">
      <c r="A42" s="1" t="s">
        <v>15</v>
      </c>
      <c r="B42" s="1" t="s">
        <v>15</v>
      </c>
    </row>
    <row r="43" ht="15.75" customHeight="1">
      <c r="A43" s="1" t="s">
        <v>63</v>
      </c>
      <c r="B43" s="1" t="s">
        <v>23</v>
      </c>
    </row>
    <row r="44" ht="15.75" customHeight="1">
      <c r="A44" s="1" t="s">
        <v>63</v>
      </c>
      <c r="B44" s="1" t="s">
        <v>12</v>
      </c>
    </row>
    <row r="45" ht="15.75" customHeight="1">
      <c r="A45" s="1" t="s">
        <v>15</v>
      </c>
      <c r="B45" s="1" t="s">
        <v>13</v>
      </c>
    </row>
    <row r="46" ht="15.75" customHeight="1">
      <c r="A46" s="1" t="s">
        <v>15</v>
      </c>
      <c r="B46" s="1" t="s">
        <v>13</v>
      </c>
    </row>
    <row r="47" ht="15.75" customHeight="1">
      <c r="A47" s="1" t="s">
        <v>66</v>
      </c>
      <c r="B47" s="1" t="s">
        <v>65</v>
      </c>
    </row>
    <row r="48" ht="15.75" customHeight="1">
      <c r="A48" s="1" t="s">
        <v>66</v>
      </c>
      <c r="B48" s="1" t="s">
        <v>28</v>
      </c>
    </row>
    <row r="49" ht="15.75" customHeight="1">
      <c r="A49" s="1" t="s">
        <v>17</v>
      </c>
      <c r="B49" s="1" t="s">
        <v>17</v>
      </c>
    </row>
    <row r="50" ht="15.75" customHeight="1">
      <c r="A50" s="1" t="s">
        <v>66</v>
      </c>
      <c r="B50" s="1" t="s">
        <v>31</v>
      </c>
    </row>
    <row r="51" ht="15.75" customHeight="1">
      <c r="A51" s="1" t="s">
        <v>64</v>
      </c>
      <c r="B51" s="1" t="s">
        <v>16</v>
      </c>
    </row>
    <row r="52" ht="15.75" customHeight="1">
      <c r="A52" s="1" t="s">
        <v>63</v>
      </c>
      <c r="B52" s="1" t="s">
        <v>9</v>
      </c>
    </row>
    <row r="53" ht="15.75" customHeight="1">
      <c r="A53" s="1" t="s">
        <v>17</v>
      </c>
      <c r="B53" s="1" t="s">
        <v>17</v>
      </c>
    </row>
    <row r="54" ht="15.75" customHeight="1">
      <c r="A54" s="1" t="s">
        <v>63</v>
      </c>
      <c r="B54" s="1" t="s">
        <v>12</v>
      </c>
    </row>
    <row r="55" ht="15.75" customHeight="1">
      <c r="A55" s="1" t="s">
        <v>63</v>
      </c>
      <c r="B55" s="1" t="s">
        <v>9</v>
      </c>
    </row>
    <row r="56" ht="15.75" customHeight="1">
      <c r="A56" s="1" t="s">
        <v>63</v>
      </c>
      <c r="B56" s="1" t="s">
        <v>12</v>
      </c>
    </row>
    <row r="57" ht="15.75" customHeight="1">
      <c r="A57" s="1" t="s">
        <v>19</v>
      </c>
      <c r="B57" s="1" t="s">
        <v>19</v>
      </c>
    </row>
    <row r="58" ht="15.75" customHeight="1">
      <c r="A58" s="1" t="s">
        <v>17</v>
      </c>
      <c r="B58" s="1" t="s">
        <v>17</v>
      </c>
    </row>
    <row r="59" ht="15.75" customHeight="1">
      <c r="A59" s="1" t="s">
        <v>66</v>
      </c>
      <c r="B59" s="1" t="s">
        <v>24</v>
      </c>
    </row>
    <row r="60" ht="15.75" customHeight="1">
      <c r="A60" s="1" t="s">
        <v>64</v>
      </c>
      <c r="B60" s="1" t="s">
        <v>29</v>
      </c>
    </row>
    <row r="61" ht="15.75" customHeight="1">
      <c r="A61" s="1" t="s">
        <v>63</v>
      </c>
      <c r="B61" s="1" t="s">
        <v>11</v>
      </c>
    </row>
    <row r="62" ht="15.75" customHeight="1">
      <c r="A62" s="1" t="s">
        <v>17</v>
      </c>
      <c r="B62" s="1" t="s">
        <v>8</v>
      </c>
    </row>
    <row r="63" ht="15.75" customHeight="1">
      <c r="A63" s="1" t="s">
        <v>15</v>
      </c>
      <c r="B63" s="1" t="s">
        <v>13</v>
      </c>
    </row>
    <row r="64" ht="15.75" customHeight="1">
      <c r="A64" s="1" t="s">
        <v>19</v>
      </c>
      <c r="B64" s="1" t="s">
        <v>19</v>
      </c>
    </row>
    <row r="65" ht="15.75" customHeight="1">
      <c r="A65" s="1" t="s">
        <v>63</v>
      </c>
      <c r="B65" s="1" t="s">
        <v>23</v>
      </c>
    </row>
    <row r="66" ht="15.75" customHeight="1">
      <c r="A66" s="1" t="s">
        <v>66</v>
      </c>
      <c r="B66" s="1" t="s">
        <v>26</v>
      </c>
    </row>
    <row r="67" ht="15.75" customHeight="1">
      <c r="A67" s="1" t="s">
        <v>66</v>
      </c>
      <c r="B67" s="1" t="s">
        <v>31</v>
      </c>
    </row>
    <row r="68" ht="15.75" customHeight="1">
      <c r="A68" s="1" t="s">
        <v>66</v>
      </c>
      <c r="B68" s="1" t="s">
        <v>30</v>
      </c>
    </row>
    <row r="69" ht="15.75" customHeight="1">
      <c r="A69" s="1" t="s">
        <v>66</v>
      </c>
      <c r="B69" s="1" t="s">
        <v>10</v>
      </c>
    </row>
    <row r="70" ht="15.75" customHeight="1">
      <c r="A70" s="1" t="s">
        <v>66</v>
      </c>
      <c r="B70" s="1" t="s">
        <v>25</v>
      </c>
    </row>
    <row r="71" ht="15.75" customHeight="1">
      <c r="A71" s="1" t="s">
        <v>17</v>
      </c>
      <c r="B71" s="1" t="s">
        <v>21</v>
      </c>
    </row>
    <row r="72" ht="15.75" customHeight="1">
      <c r="A72" s="1" t="s">
        <v>66</v>
      </c>
      <c r="B72" s="1" t="s">
        <v>31</v>
      </c>
    </row>
    <row r="73" ht="15.75" customHeight="1">
      <c r="A73" s="1" t="s">
        <v>66</v>
      </c>
      <c r="B73" s="1" t="s">
        <v>24</v>
      </c>
    </row>
    <row r="74" ht="15.75" customHeight="1">
      <c r="A74" s="1" t="s">
        <v>66</v>
      </c>
      <c r="B74" s="1" t="s">
        <v>30</v>
      </c>
    </row>
    <row r="75" ht="15.75" customHeight="1">
      <c r="A75" s="1" t="s">
        <v>15</v>
      </c>
      <c r="B75" s="1" t="s">
        <v>15</v>
      </c>
    </row>
    <row r="76" ht="15.75" customHeight="1">
      <c r="A76" s="1" t="s">
        <v>66</v>
      </c>
      <c r="B76" s="1" t="s">
        <v>31</v>
      </c>
    </row>
    <row r="77" ht="15.75" customHeight="1">
      <c r="A77" s="1" t="s">
        <v>63</v>
      </c>
      <c r="B77" s="1" t="s">
        <v>14</v>
      </c>
    </row>
    <row r="78" ht="15.75" customHeight="1">
      <c r="A78" s="1" t="s">
        <v>64</v>
      </c>
      <c r="B78" s="1" t="s">
        <v>20</v>
      </c>
    </row>
    <row r="79" ht="15.75" customHeight="1">
      <c r="A79" s="1" t="s">
        <v>64</v>
      </c>
      <c r="B79" s="1" t="s">
        <v>22</v>
      </c>
    </row>
    <row r="80" ht="15.75" customHeight="1">
      <c r="A80" s="1" t="s">
        <v>19</v>
      </c>
      <c r="B80" s="1" t="s">
        <v>19</v>
      </c>
    </row>
    <row r="81" ht="15.75" customHeight="1">
      <c r="A81" s="1" t="s">
        <v>66</v>
      </c>
      <c r="B81" s="1" t="s">
        <v>30</v>
      </c>
    </row>
    <row r="82" ht="15.75" customHeight="1">
      <c r="A82" s="1" t="s">
        <v>66</v>
      </c>
      <c r="B82" s="1" t="s">
        <v>24</v>
      </c>
    </row>
    <row r="83" ht="15.75" customHeight="1">
      <c r="A83" s="1" t="s">
        <v>15</v>
      </c>
      <c r="B83" s="1" t="s">
        <v>15</v>
      </c>
    </row>
    <row r="84" ht="15.75" customHeight="1">
      <c r="A84" s="1" t="s">
        <v>63</v>
      </c>
      <c r="B84" s="1" t="s">
        <v>12</v>
      </c>
    </row>
    <row r="85" ht="15.75" customHeight="1">
      <c r="A85" s="1" t="s">
        <v>64</v>
      </c>
      <c r="B85" s="1" t="s">
        <v>20</v>
      </c>
    </row>
    <row r="86" ht="15.75" customHeight="1">
      <c r="A86" s="1" t="s">
        <v>64</v>
      </c>
      <c r="B86" s="1" t="s">
        <v>29</v>
      </c>
    </row>
    <row r="87" ht="15.75" customHeight="1">
      <c r="A87" s="1" t="s">
        <v>64</v>
      </c>
      <c r="B87" s="1" t="s">
        <v>16</v>
      </c>
    </row>
    <row r="88" ht="15.75" customHeight="1">
      <c r="A88" s="1" t="s">
        <v>67</v>
      </c>
      <c r="B88" s="1" t="s">
        <v>67</v>
      </c>
    </row>
    <row r="89" ht="15.75" customHeight="1">
      <c r="A89" s="1" t="s">
        <v>66</v>
      </c>
      <c r="B89" s="1" t="s">
        <v>65</v>
      </c>
    </row>
    <row r="90" ht="15.75" customHeight="1">
      <c r="A90" s="1" t="s">
        <v>17</v>
      </c>
      <c r="B90" s="1" t="s">
        <v>8</v>
      </c>
    </row>
    <row r="91" ht="15.75" customHeight="1">
      <c r="A91" s="1" t="s">
        <v>66</v>
      </c>
      <c r="B91" s="1" t="s">
        <v>28</v>
      </c>
    </row>
    <row r="92" ht="15.75" customHeight="1">
      <c r="A92" s="1" t="s">
        <v>66</v>
      </c>
      <c r="B92" s="1" t="s">
        <v>65</v>
      </c>
    </row>
    <row r="93" ht="15.75" customHeight="1">
      <c r="A93" s="1" t="s">
        <v>63</v>
      </c>
      <c r="B93" s="1" t="s">
        <v>11</v>
      </c>
    </row>
    <row r="94" ht="15.75" customHeight="1">
      <c r="A94" s="1" t="s">
        <v>64</v>
      </c>
      <c r="B94" s="1" t="s">
        <v>22</v>
      </c>
    </row>
    <row r="95" ht="15.75" customHeight="1">
      <c r="A95" s="1" t="s">
        <v>66</v>
      </c>
      <c r="B95" s="1" t="s">
        <v>24</v>
      </c>
    </row>
    <row r="96" ht="15.75" customHeight="1">
      <c r="A96" s="1" t="s">
        <v>64</v>
      </c>
      <c r="B96" s="1" t="s">
        <v>29</v>
      </c>
    </row>
    <row r="97" ht="15.75" customHeight="1">
      <c r="A97" s="1" t="s">
        <v>64</v>
      </c>
      <c r="B97" s="1" t="s">
        <v>20</v>
      </c>
    </row>
    <row r="98" ht="15.75" customHeight="1">
      <c r="A98" s="1" t="s">
        <v>64</v>
      </c>
      <c r="B98" s="1" t="s">
        <v>16</v>
      </c>
    </row>
    <row r="99" ht="15.75" customHeight="1">
      <c r="A99" s="1" t="s">
        <v>63</v>
      </c>
      <c r="B99" s="1" t="s">
        <v>9</v>
      </c>
    </row>
    <row r="100" ht="15.75" customHeight="1">
      <c r="A100" s="1" t="s">
        <v>64</v>
      </c>
      <c r="B100" s="1" t="s">
        <v>20</v>
      </c>
    </row>
    <row r="101" ht="15.75" customHeight="1">
      <c r="A101" s="1" t="s">
        <v>66</v>
      </c>
      <c r="B101" s="1" t="s">
        <v>26</v>
      </c>
    </row>
    <row r="102" ht="15.75" customHeight="1">
      <c r="A102" s="1" t="s">
        <v>66</v>
      </c>
      <c r="B102" s="1" t="s">
        <v>65</v>
      </c>
    </row>
    <row r="103" ht="15.75" customHeight="1">
      <c r="A103" s="1" t="s">
        <v>15</v>
      </c>
      <c r="B103" s="1" t="s">
        <v>15</v>
      </c>
    </row>
    <row r="104" ht="15.75" customHeight="1">
      <c r="A104" s="1" t="s">
        <v>17</v>
      </c>
      <c r="B104" s="1" t="s">
        <v>21</v>
      </c>
    </row>
    <row r="105" ht="15.75" customHeight="1">
      <c r="A105" s="1" t="s">
        <v>19</v>
      </c>
      <c r="B105" s="1" t="s">
        <v>19</v>
      </c>
    </row>
    <row r="106" ht="15.75" customHeight="1">
      <c r="A106" s="1" t="s">
        <v>17</v>
      </c>
      <c r="B106" s="1" t="s">
        <v>21</v>
      </c>
    </row>
    <row r="107" ht="15.75" customHeight="1">
      <c r="A107" s="1" t="s">
        <v>64</v>
      </c>
      <c r="B107" s="1" t="s">
        <v>29</v>
      </c>
    </row>
    <row r="108" ht="15.75" customHeight="1">
      <c r="A108" s="1" t="s">
        <v>63</v>
      </c>
      <c r="B108" s="1" t="s">
        <v>14</v>
      </c>
    </row>
    <row r="109" ht="15.75" customHeight="1">
      <c r="A109" s="1" t="s">
        <v>15</v>
      </c>
      <c r="B109" s="1" t="s">
        <v>15</v>
      </c>
    </row>
    <row r="110" ht="15.75" customHeight="1">
      <c r="A110" s="1" t="s">
        <v>66</v>
      </c>
      <c r="B110" s="1" t="s">
        <v>31</v>
      </c>
    </row>
    <row r="111" ht="15.75" customHeight="1">
      <c r="A111" s="1" t="s">
        <v>64</v>
      </c>
      <c r="B111" s="1" t="s">
        <v>16</v>
      </c>
    </row>
    <row r="112" ht="15.75" customHeight="1">
      <c r="A112" s="1" t="s">
        <v>15</v>
      </c>
      <c r="B112" s="1" t="s">
        <v>13</v>
      </c>
    </row>
    <row r="113" ht="15.75" customHeight="1">
      <c r="A113" s="1" t="s">
        <v>66</v>
      </c>
      <c r="B113" s="1" t="s">
        <v>26</v>
      </c>
    </row>
    <row r="114" ht="15.75" customHeight="1">
      <c r="A114" s="1" t="s">
        <v>17</v>
      </c>
      <c r="B114" s="1" t="s">
        <v>17</v>
      </c>
    </row>
    <row r="115" ht="15.75" customHeight="1">
      <c r="A115" s="1" t="s">
        <v>67</v>
      </c>
      <c r="B115" s="1" t="s">
        <v>67</v>
      </c>
    </row>
    <row r="116" ht="15.75" customHeight="1">
      <c r="A116" s="1" t="s">
        <v>19</v>
      </c>
      <c r="B116" s="1" t="s">
        <v>19</v>
      </c>
    </row>
    <row r="117" ht="15.75" customHeight="1">
      <c r="A117" s="1" t="s">
        <v>66</v>
      </c>
      <c r="B117" s="1" t="s">
        <v>25</v>
      </c>
    </row>
    <row r="118" ht="15.75" customHeight="1">
      <c r="A118" s="1" t="s">
        <v>64</v>
      </c>
      <c r="B118" s="1" t="s">
        <v>29</v>
      </c>
    </row>
    <row r="119" ht="15.75" customHeight="1">
      <c r="A119" s="1" t="s">
        <v>63</v>
      </c>
      <c r="B119" s="1" t="s">
        <v>23</v>
      </c>
    </row>
    <row r="120" ht="15.75" customHeight="1">
      <c r="A120" s="1" t="s">
        <v>64</v>
      </c>
      <c r="B120" s="1" t="s">
        <v>22</v>
      </c>
    </row>
    <row r="121" ht="15.75" customHeight="1">
      <c r="A121" s="1" t="s">
        <v>66</v>
      </c>
      <c r="B121" s="1" t="s">
        <v>27</v>
      </c>
    </row>
    <row r="122" ht="15.75" customHeight="1">
      <c r="A122" s="1" t="s">
        <v>64</v>
      </c>
      <c r="B122" s="1" t="s">
        <v>29</v>
      </c>
    </row>
    <row r="123" ht="15.75" customHeight="1">
      <c r="A123" s="1" t="s">
        <v>66</v>
      </c>
      <c r="B123" s="1" t="s">
        <v>10</v>
      </c>
    </row>
    <row r="124" ht="15.75" customHeight="1">
      <c r="A124" s="1" t="s">
        <v>66</v>
      </c>
      <c r="B124" s="1" t="s">
        <v>30</v>
      </c>
    </row>
    <row r="125" ht="15.75" customHeight="1">
      <c r="A125" s="1" t="s">
        <v>66</v>
      </c>
      <c r="B125" s="1" t="s">
        <v>27</v>
      </c>
    </row>
    <row r="126" ht="15.75" customHeight="1">
      <c r="A126" s="1" t="s">
        <v>63</v>
      </c>
      <c r="B126" s="1" t="s">
        <v>9</v>
      </c>
    </row>
    <row r="127" ht="15.75" customHeight="1">
      <c r="A127" s="1" t="s">
        <v>66</v>
      </c>
      <c r="B127" s="1" t="s">
        <v>25</v>
      </c>
    </row>
    <row r="128" ht="15.75" customHeight="1">
      <c r="A128" s="1" t="s">
        <v>66</v>
      </c>
      <c r="B128" s="1" t="s">
        <v>27</v>
      </c>
    </row>
    <row r="129" ht="15.75" customHeight="1">
      <c r="A129" s="1" t="s">
        <v>17</v>
      </c>
      <c r="B129" s="1" t="s">
        <v>8</v>
      </c>
    </row>
    <row r="130" ht="15.75" customHeight="1">
      <c r="A130" s="1" t="s">
        <v>63</v>
      </c>
      <c r="B130" s="1" t="s">
        <v>23</v>
      </c>
    </row>
    <row r="131" ht="15.75" customHeight="1">
      <c r="A131" s="1" t="s">
        <v>66</v>
      </c>
      <c r="B131" s="1" t="s">
        <v>26</v>
      </c>
    </row>
    <row r="132" ht="15.75" customHeight="1">
      <c r="A132" s="1" t="s">
        <v>64</v>
      </c>
      <c r="B132" s="1" t="s">
        <v>22</v>
      </c>
    </row>
    <row r="133" ht="15.75" customHeight="1">
      <c r="A133" s="1" t="s">
        <v>66</v>
      </c>
      <c r="B133" s="1" t="s">
        <v>28</v>
      </c>
    </row>
    <row r="134" ht="15.75" customHeight="1">
      <c r="A134" s="1" t="s">
        <v>64</v>
      </c>
      <c r="B134" s="1" t="s">
        <v>20</v>
      </c>
    </row>
    <row r="135" ht="15.75" customHeight="1">
      <c r="A135" s="1" t="s">
        <v>66</v>
      </c>
      <c r="B135" s="1" t="s">
        <v>27</v>
      </c>
    </row>
    <row r="136" ht="15.75" customHeight="1">
      <c r="A136" s="1" t="s">
        <v>63</v>
      </c>
      <c r="B136" s="1" t="s">
        <v>14</v>
      </c>
    </row>
    <row r="137" ht="15.75" customHeight="1">
      <c r="A137" s="1" t="s">
        <v>66</v>
      </c>
      <c r="B137" s="1" t="s">
        <v>24</v>
      </c>
    </row>
    <row r="138" ht="15.75" customHeight="1">
      <c r="A138" s="1" t="s">
        <v>63</v>
      </c>
      <c r="B138" s="1" t="s">
        <v>11</v>
      </c>
    </row>
    <row r="139" ht="15.75" customHeight="1">
      <c r="A139" s="1" t="s">
        <v>63</v>
      </c>
      <c r="B139" s="1" t="s">
        <v>23</v>
      </c>
    </row>
    <row r="140" ht="15.75" customHeight="1">
      <c r="A140" s="1" t="s">
        <v>66</v>
      </c>
      <c r="B140" s="1" t="s">
        <v>31</v>
      </c>
    </row>
    <row r="141" ht="15.75" customHeight="1">
      <c r="A141" s="1" t="s">
        <v>17</v>
      </c>
      <c r="B141" s="1" t="s">
        <v>21</v>
      </c>
    </row>
    <row r="142" ht="15.75" customHeight="1">
      <c r="A142" s="1" t="s">
        <v>17</v>
      </c>
      <c r="B142" s="1" t="s">
        <v>8</v>
      </c>
    </row>
    <row r="143" ht="15.75" customHeight="1">
      <c r="A143" s="1" t="s">
        <v>66</v>
      </c>
      <c r="B143" s="1" t="s">
        <v>10</v>
      </c>
    </row>
    <row r="144" ht="15.75" customHeight="1">
      <c r="A144" s="1" t="s">
        <v>63</v>
      </c>
      <c r="B144" s="1" t="s">
        <v>9</v>
      </c>
    </row>
    <row r="145" ht="15.75" customHeight="1">
      <c r="A145" s="1" t="s">
        <v>66</v>
      </c>
      <c r="B145" s="1" t="s">
        <v>24</v>
      </c>
    </row>
    <row r="146" ht="15.75" customHeight="1">
      <c r="A146" s="1" t="s">
        <v>17</v>
      </c>
      <c r="B146" s="1" t="s">
        <v>8</v>
      </c>
    </row>
    <row r="147" ht="15.75" customHeight="1">
      <c r="A147" s="1" t="s">
        <v>66</v>
      </c>
      <c r="B147" s="1" t="s">
        <v>28</v>
      </c>
    </row>
    <row r="148" ht="15.75" customHeight="1">
      <c r="A148" s="1" t="s">
        <v>66</v>
      </c>
      <c r="B148" s="1" t="s">
        <v>10</v>
      </c>
    </row>
    <row r="149" ht="15.75" customHeight="1">
      <c r="A149" s="1" t="s">
        <v>63</v>
      </c>
      <c r="B149" s="1" t="s">
        <v>12</v>
      </c>
    </row>
    <row r="150" ht="15.75" customHeight="1">
      <c r="A150" s="1" t="s">
        <v>66</v>
      </c>
      <c r="B150" s="1" t="s">
        <v>30</v>
      </c>
    </row>
    <row r="151" ht="15.75" customHeight="1">
      <c r="A151" s="1" t="s">
        <v>63</v>
      </c>
      <c r="B151" s="1" t="s">
        <v>14</v>
      </c>
    </row>
    <row r="152" ht="15.75" customHeight="1">
      <c r="A152" s="1" t="s">
        <v>66</v>
      </c>
      <c r="B152" s="1" t="s">
        <v>27</v>
      </c>
    </row>
    <row r="153" ht="15.75" customHeight="1">
      <c r="A153" s="1" t="s">
        <v>63</v>
      </c>
      <c r="B153" s="1" t="s">
        <v>23</v>
      </c>
    </row>
    <row r="154" ht="15.75" customHeight="1">
      <c r="A154" s="1" t="s">
        <v>66</v>
      </c>
      <c r="B154" s="1" t="s">
        <v>65</v>
      </c>
    </row>
    <row r="155" ht="15.75" customHeight="1">
      <c r="A155" s="1" t="s">
        <v>64</v>
      </c>
      <c r="B155" s="1" t="s">
        <v>22</v>
      </c>
    </row>
    <row r="156" ht="15.75" customHeight="1">
      <c r="A156" s="1" t="s">
        <v>17</v>
      </c>
      <c r="B156" s="1" t="s">
        <v>8</v>
      </c>
    </row>
    <row r="157" ht="15.75" customHeight="1">
      <c r="A157" s="1" t="s">
        <v>63</v>
      </c>
      <c r="B157" s="1" t="s">
        <v>23</v>
      </c>
    </row>
    <row r="158" ht="15.75" customHeight="1">
      <c r="A158" s="1" t="s">
        <v>63</v>
      </c>
      <c r="B158" s="1" t="s">
        <v>14</v>
      </c>
    </row>
    <row r="159" ht="15.75" customHeight="1">
      <c r="A159" s="1" t="s">
        <v>66</v>
      </c>
      <c r="B159" s="1" t="s">
        <v>24</v>
      </c>
    </row>
    <row r="160" ht="15.75" customHeight="1">
      <c r="A160" s="1" t="s">
        <v>17</v>
      </c>
      <c r="B160" s="1" t="s">
        <v>21</v>
      </c>
    </row>
    <row r="161" ht="15.75" customHeight="1">
      <c r="A161" s="1" t="s">
        <v>17</v>
      </c>
      <c r="B161" s="1" t="s">
        <v>8</v>
      </c>
    </row>
    <row r="162" ht="15.75" customHeight="1">
      <c r="A162" s="1" t="s">
        <v>66</v>
      </c>
      <c r="B162" s="1" t="s">
        <v>28</v>
      </c>
    </row>
    <row r="163" ht="15.75" customHeight="1">
      <c r="A163" s="1" t="s">
        <v>66</v>
      </c>
      <c r="B163" s="1" t="s">
        <v>31</v>
      </c>
    </row>
    <row r="164" ht="15.75" customHeight="1">
      <c r="A164" s="1" t="s">
        <v>63</v>
      </c>
      <c r="B164" s="1" t="s">
        <v>11</v>
      </c>
    </row>
    <row r="165" ht="15.75" customHeight="1">
      <c r="A165" s="1" t="s">
        <v>15</v>
      </c>
      <c r="B165" s="1" t="s">
        <v>13</v>
      </c>
    </row>
    <row r="166" ht="15.75" customHeight="1">
      <c r="A166" s="1" t="s">
        <v>63</v>
      </c>
      <c r="B166" s="1" t="s">
        <v>9</v>
      </c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5.5"/>
    <col customWidth="1" min="8" max="8" width="13.0"/>
  </cols>
  <sheetData>
    <row r="1" ht="15.75" customHeight="1">
      <c r="A1" s="18"/>
      <c r="G1" s="19" t="s">
        <v>68</v>
      </c>
      <c r="J1" s="20"/>
    </row>
    <row r="2" ht="15.75" customHeight="1">
      <c r="E2" s="21"/>
      <c r="F2" s="22"/>
      <c r="G2" s="23" t="s">
        <v>69</v>
      </c>
      <c r="H2" s="24" t="s">
        <v>15</v>
      </c>
      <c r="J2" s="25" t="s">
        <v>70</v>
      </c>
      <c r="K2" s="26"/>
      <c r="L2" s="25"/>
    </row>
    <row r="3" ht="15.75" customHeight="1">
      <c r="E3" s="27"/>
      <c r="F3" s="27"/>
    </row>
    <row r="4" ht="15.75" customHeight="1"/>
    <row r="5" ht="15.75" customHeight="1"/>
    <row r="6" ht="15.75" customHeight="1">
      <c r="C6" s="2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29" t="str">
        <f>IFERROR(__xludf.DUMMYFUNCTION("QUERY(campaign_dataDump!$A$1:$AF$196,""SELECT A,SUM(C),SUM(E),SUM(D) WHERE B= """"""&amp;H2&amp;""""""  GROUP BY A  LABEL SUM(C) 'GMV_2023', SUM(E) 'GMV_2022',SUM(D) 'Targets' "")"),"Date")</f>
        <v>Date</v>
      </c>
      <c r="B19" s="29" t="str">
        <f>IFERROR(__xludf.DUMMYFUNCTION("""COMPUTED_VALUE"""),"GMV_2023")</f>
        <v>GMV_2023</v>
      </c>
      <c r="C19" s="29" t="str">
        <f>IFERROR(__xludf.DUMMYFUNCTION("""COMPUTED_VALUE"""),"GMV_2022")</f>
        <v>GMV_2022</v>
      </c>
      <c r="D19" s="29" t="str">
        <f>IFERROR(__xludf.DUMMYFUNCTION("""COMPUTED_VALUE"""),"Targets")</f>
        <v>Targets</v>
      </c>
      <c r="K19" s="29" t="str">
        <f>IFERROR(__xludf.DUMMYFUNCTION("QUERY(campaign_dataDump!$A$1:$Y$196,""SELECT A,SUM(F),SUM(H),SUM(G) WHERE B= """"""&amp;H2&amp;"""""" GROUP BY A  LABEL SUM(F) 'Orders_2023', SUM(H) 'Orders_2022',SUM(G) 'Targets' "")"),"Date")</f>
        <v>Date</v>
      </c>
      <c r="L19" s="29" t="str">
        <f>IFERROR(__xludf.DUMMYFUNCTION("""COMPUTED_VALUE"""),"Orders_2023")</f>
        <v>Orders_2023</v>
      </c>
      <c r="M19" s="29" t="str">
        <f>IFERROR(__xludf.DUMMYFUNCTION("""COMPUTED_VALUE"""),"Orders_2022")</f>
        <v>Orders_2022</v>
      </c>
      <c r="N19" s="29" t="str">
        <f>IFERROR(__xludf.DUMMYFUNCTION("""COMPUTED_VALUE"""),"Targets")</f>
        <v>Targets</v>
      </c>
    </row>
    <row r="20" ht="15.75" customHeight="1">
      <c r="A20" s="30">
        <f>IFERROR(__xludf.DUMMYFUNCTION("""COMPUTED_VALUE"""),44991.0)</f>
        <v>44991</v>
      </c>
      <c r="B20" s="31">
        <f>IFERROR(__xludf.DUMMYFUNCTION("""COMPUTED_VALUE"""),92.60763)</f>
        <v>92.60763</v>
      </c>
      <c r="C20" s="31">
        <f>IFERROR(__xludf.DUMMYFUNCTION("""COMPUTED_VALUE"""),6075.113)</f>
        <v>6075.113</v>
      </c>
      <c r="D20" s="10">
        <f>IFERROR(__xludf.DUMMYFUNCTION("""COMPUTED_VALUE"""),99.0)</f>
        <v>99</v>
      </c>
      <c r="F20" s="32" t="str">
        <f>IFERROR(__xludf.DUMMYFUNCTION("QUERY(campaign_dataDump!$A$1:$Y$196,""SELECT AVG(U) WHERE B= """"""&amp;H2&amp;""""""  LABEL AVG(U) 'Average UV 2023'"")"),"Average UV 2023")</f>
        <v>Average UV 2023</v>
      </c>
      <c r="G20" s="33"/>
      <c r="H20" s="32" t="str">
        <f>IFERROR(__xludf.DUMMYFUNCTION("QUERY(campaign_dataDump!$A$1:$Y$196,""SELECT AVG(V) WHERE B= """"""&amp;H2&amp;"""""" LABEL AVG(V) 'Average pdpUV 2023'"")"),"Average pdpUV 2023")</f>
        <v>Average pdpUV 2023</v>
      </c>
      <c r="K20" s="34">
        <f>IFERROR(__xludf.DUMMYFUNCTION("""COMPUTED_VALUE"""),44991.0)</f>
        <v>44991</v>
      </c>
      <c r="L20" s="31">
        <f>IFERROR(__xludf.DUMMYFUNCTION("""COMPUTED_VALUE"""),9.0)</f>
        <v>9</v>
      </c>
      <c r="M20" s="31">
        <f>IFERROR(__xludf.DUMMYFUNCTION("""COMPUTED_VALUE"""),960.0)</f>
        <v>960</v>
      </c>
      <c r="N20" s="10">
        <f>IFERROR(__xludf.DUMMYFUNCTION("""COMPUTED_VALUE"""),9.0)</f>
        <v>9</v>
      </c>
    </row>
    <row r="21" ht="15.75" customHeight="1">
      <c r="A21" s="30">
        <f>IFERROR(__xludf.DUMMYFUNCTION("""COMPUTED_VALUE"""),44992.0)</f>
        <v>44992</v>
      </c>
      <c r="B21" s="31">
        <f>IFERROR(__xludf.DUMMYFUNCTION("""COMPUTED_VALUE"""),28.88217)</f>
        <v>28.88217</v>
      </c>
      <c r="C21" s="31">
        <f>IFERROR(__xludf.DUMMYFUNCTION("""COMPUTED_VALUE"""),6153.124)</f>
        <v>6153.124</v>
      </c>
      <c r="D21" s="10">
        <f>IFERROR(__xludf.DUMMYFUNCTION("""COMPUTED_VALUE"""),106.0)</f>
        <v>106</v>
      </c>
      <c r="F21" s="35">
        <f>IFERROR(__xludf.DUMMYFUNCTION("""COMPUTED_VALUE"""),621.2857142857143)</f>
        <v>621.2857143</v>
      </c>
      <c r="G21" s="33"/>
      <c r="H21" s="35">
        <f>IFERROR(__xludf.DUMMYFUNCTION("""COMPUTED_VALUE"""),1688.5714285714287)</f>
        <v>1688.571429</v>
      </c>
      <c r="K21" s="34">
        <f>IFERROR(__xludf.DUMMYFUNCTION("""COMPUTED_VALUE"""),44992.0)</f>
        <v>44992</v>
      </c>
      <c r="L21" s="31">
        <f>IFERROR(__xludf.DUMMYFUNCTION("""COMPUTED_VALUE"""),7.0)</f>
        <v>7</v>
      </c>
      <c r="M21" s="31">
        <f>IFERROR(__xludf.DUMMYFUNCTION("""COMPUTED_VALUE"""),959.0)</f>
        <v>959</v>
      </c>
      <c r="N21" s="10">
        <f>IFERROR(__xludf.DUMMYFUNCTION("""COMPUTED_VALUE"""),5.0)</f>
        <v>5</v>
      </c>
    </row>
    <row r="22" ht="15.75" customHeight="1">
      <c r="A22" s="30">
        <f>IFERROR(__xludf.DUMMYFUNCTION("""COMPUTED_VALUE"""),44993.0)</f>
        <v>44993</v>
      </c>
      <c r="B22" s="31"/>
      <c r="C22" s="31">
        <f>IFERROR(__xludf.DUMMYFUNCTION("""COMPUTED_VALUE"""),5866.655)</f>
        <v>5866.655</v>
      </c>
      <c r="D22" s="10">
        <f>IFERROR(__xludf.DUMMYFUNCTION("""COMPUTED_VALUE"""),121.0)</f>
        <v>121</v>
      </c>
      <c r="K22" s="34">
        <f>IFERROR(__xludf.DUMMYFUNCTION("""COMPUTED_VALUE"""),44993.0)</f>
        <v>44993</v>
      </c>
      <c r="L22" s="31">
        <f>IFERROR(__xludf.DUMMYFUNCTION("""COMPUTED_VALUE"""),5.0)</f>
        <v>5</v>
      </c>
      <c r="M22" s="31">
        <f>IFERROR(__xludf.DUMMYFUNCTION("""COMPUTED_VALUE"""),1056.0)</f>
        <v>1056</v>
      </c>
      <c r="N22" s="10">
        <f>IFERROR(__xludf.DUMMYFUNCTION("""COMPUTED_VALUE"""),5.0)</f>
        <v>5</v>
      </c>
    </row>
    <row r="23" ht="15.75" customHeight="1">
      <c r="A23" s="30">
        <f>IFERROR(__xludf.DUMMYFUNCTION("""COMPUTED_VALUE"""),44994.0)</f>
        <v>44994</v>
      </c>
      <c r="B23" s="31">
        <f>IFERROR(__xludf.DUMMYFUNCTION("""COMPUTED_VALUE"""),2.296197)</f>
        <v>2.296197</v>
      </c>
      <c r="C23" s="31">
        <f>IFERROR(__xludf.DUMMYFUNCTION("""COMPUTED_VALUE"""),6070.379)</f>
        <v>6070.379</v>
      </c>
      <c r="D23" s="10">
        <f>IFERROR(__xludf.DUMMYFUNCTION("""COMPUTED_VALUE"""),117.0)</f>
        <v>117</v>
      </c>
      <c r="K23" s="34">
        <f>IFERROR(__xludf.DUMMYFUNCTION("""COMPUTED_VALUE"""),44994.0)</f>
        <v>44994</v>
      </c>
      <c r="L23" s="31">
        <f>IFERROR(__xludf.DUMMYFUNCTION("""COMPUTED_VALUE"""),2.0)</f>
        <v>2</v>
      </c>
      <c r="M23" s="31">
        <f>IFERROR(__xludf.DUMMYFUNCTION("""COMPUTED_VALUE"""),999.0)</f>
        <v>999</v>
      </c>
      <c r="N23" s="10">
        <f>IFERROR(__xludf.DUMMYFUNCTION("""COMPUTED_VALUE"""),5.0)</f>
        <v>5</v>
      </c>
    </row>
    <row r="24" ht="15.75" customHeight="1">
      <c r="A24" s="30">
        <f>IFERROR(__xludf.DUMMYFUNCTION("""COMPUTED_VALUE"""),44995.0)</f>
        <v>44995</v>
      </c>
      <c r="B24" s="31">
        <f>IFERROR(__xludf.DUMMYFUNCTION("""COMPUTED_VALUE"""),24.44455)</f>
        <v>24.44455</v>
      </c>
      <c r="C24" s="31">
        <f>IFERROR(__xludf.DUMMYFUNCTION("""COMPUTED_VALUE"""),5819.297)</f>
        <v>5819.297</v>
      </c>
      <c r="D24" s="10">
        <f>IFERROR(__xludf.DUMMYFUNCTION("""COMPUTED_VALUE"""),116.0)</f>
        <v>116</v>
      </c>
      <c r="K24" s="34">
        <f>IFERROR(__xludf.DUMMYFUNCTION("""COMPUTED_VALUE"""),44995.0)</f>
        <v>44995</v>
      </c>
      <c r="L24" s="31">
        <f>IFERROR(__xludf.DUMMYFUNCTION("""COMPUTED_VALUE"""),6.0)</f>
        <v>6</v>
      </c>
      <c r="M24" s="31">
        <f>IFERROR(__xludf.DUMMYFUNCTION("""COMPUTED_VALUE"""),1045.0)</f>
        <v>1045</v>
      </c>
      <c r="N24" s="10">
        <f>IFERROR(__xludf.DUMMYFUNCTION("""COMPUTED_VALUE"""),5.0)</f>
        <v>5</v>
      </c>
    </row>
    <row r="25" ht="15.75" customHeight="1">
      <c r="A25" s="30">
        <f>IFERROR(__xludf.DUMMYFUNCTION("""COMPUTED_VALUE"""),44996.0)</f>
        <v>44996</v>
      </c>
      <c r="B25" s="31">
        <f>IFERROR(__xludf.DUMMYFUNCTION("""COMPUTED_VALUE"""),37.0891)</f>
        <v>37.0891</v>
      </c>
      <c r="C25" s="31">
        <f>IFERROR(__xludf.DUMMYFUNCTION("""COMPUTED_VALUE"""),6947.861)</f>
        <v>6947.861</v>
      </c>
      <c r="D25" s="10">
        <f>IFERROR(__xludf.DUMMYFUNCTION("""COMPUTED_VALUE"""),114.0)</f>
        <v>114</v>
      </c>
      <c r="K25" s="34">
        <f>IFERROR(__xludf.DUMMYFUNCTION("""COMPUTED_VALUE"""),44996.0)</f>
        <v>44996</v>
      </c>
      <c r="L25" s="31">
        <f>IFERROR(__xludf.DUMMYFUNCTION("""COMPUTED_VALUE"""),10.0)</f>
        <v>10</v>
      </c>
      <c r="M25" s="31">
        <f>IFERROR(__xludf.DUMMYFUNCTION("""COMPUTED_VALUE"""),1011.0)</f>
        <v>1011</v>
      </c>
      <c r="N25" s="10">
        <f>IFERROR(__xludf.DUMMYFUNCTION("""COMPUTED_VALUE"""),5.0)</f>
        <v>5</v>
      </c>
    </row>
    <row r="26" ht="15.75" customHeight="1">
      <c r="A26" s="30">
        <f>IFERROR(__xludf.DUMMYFUNCTION("""COMPUTED_VALUE"""),44997.0)</f>
        <v>44997</v>
      </c>
      <c r="B26" s="31">
        <f>IFERROR(__xludf.DUMMYFUNCTION("""COMPUTED_VALUE"""),54.22233)</f>
        <v>54.22233</v>
      </c>
      <c r="C26" s="31">
        <f>IFERROR(__xludf.DUMMYFUNCTION("""COMPUTED_VALUE"""),8328.09)</f>
        <v>8328.09</v>
      </c>
      <c r="D26" s="10">
        <f>IFERROR(__xludf.DUMMYFUNCTION("""COMPUTED_VALUE"""),112.0)</f>
        <v>112</v>
      </c>
      <c r="K26" s="34">
        <f>IFERROR(__xludf.DUMMYFUNCTION("""COMPUTED_VALUE"""),44997.0)</f>
        <v>44997</v>
      </c>
      <c r="L26" s="31">
        <f>IFERROR(__xludf.DUMMYFUNCTION("""COMPUTED_VALUE"""),4.0)</f>
        <v>4</v>
      </c>
      <c r="M26" s="31">
        <f>IFERROR(__xludf.DUMMYFUNCTION("""COMPUTED_VALUE"""),1752.0)</f>
        <v>1752</v>
      </c>
      <c r="N26" s="10">
        <f>IFERROR(__xludf.DUMMYFUNCTION("""COMPUTED_VALUE"""),5.0)</f>
        <v>5</v>
      </c>
    </row>
    <row r="27" ht="15.75" customHeight="1">
      <c r="A27" s="10"/>
      <c r="B27" s="31"/>
      <c r="C27" s="31"/>
      <c r="D27" s="10"/>
      <c r="F27" s="32" t="str">
        <f>IFERROR(__xludf.DUMMYFUNCTION("QUERY(campaign_dataDump!$A$1:$Y$196,""SELECT AVG(W) WHERE B= """"""&amp;H2&amp;""""""  LABEL AVG(W) 'Average a2cUV 2023'"")"),"Average a2cUV 2023")</f>
        <v>Average a2cUV 2023</v>
      </c>
      <c r="G27" s="33"/>
      <c r="H27" s="36" t="str">
        <f>IFERROR(__xludf.DUMMYFUNCTION("QUERY(campaign_dataDump!$A$1:$Y$196,""SELECT AVG(X) WHERE B= """"""&amp;H2&amp;""""""  LABEL AVG(X) 'Average A2C Quantity'"")"),"Average A2C Quantity")</f>
        <v>Average A2C Quantity</v>
      </c>
      <c r="K27" s="34"/>
      <c r="L27" s="31"/>
      <c r="M27" s="31"/>
      <c r="N27" s="10"/>
    </row>
    <row r="28" ht="15.75" customHeight="1">
      <c r="A28" s="10"/>
      <c r="B28" s="31"/>
      <c r="C28" s="31"/>
      <c r="D28" s="10"/>
      <c r="F28" s="35">
        <f>IFERROR(__xludf.DUMMYFUNCTION("""COMPUTED_VALUE"""),57.142857142857146)</f>
        <v>57.14285714</v>
      </c>
      <c r="G28" s="33"/>
      <c r="H28" s="37">
        <f>IFERROR(__xludf.DUMMYFUNCTION("""COMPUTED_VALUE"""),70.28571428571429)</f>
        <v>70.28571429</v>
      </c>
      <c r="K28" s="34"/>
      <c r="L28" s="31"/>
      <c r="M28" s="31"/>
      <c r="N28" s="10"/>
    </row>
    <row r="29" ht="15.75" customHeight="1">
      <c r="A29" s="10"/>
      <c r="B29" s="31"/>
      <c r="C29" s="31"/>
      <c r="D29" s="10"/>
      <c r="K29" s="34"/>
      <c r="L29" s="31"/>
      <c r="M29" s="31"/>
      <c r="N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A48" s="29" t="str">
        <f>IFERROR(__xludf.DUMMYFUNCTION("QUERY(campaign_dataDump!$A$1:$Y$196,""SELECT A,SUM(I),SUM(K),SUM(J) WHERE B= """"""&amp;H2&amp;"""""" GROUP BY A LABEL SUM(I) 'Items_2023', SUM(K) 'Items_2022',SUM(J) 'Targets' "")"),"Date")</f>
        <v>Date</v>
      </c>
      <c r="B48" s="29" t="str">
        <f>IFERROR(__xludf.DUMMYFUNCTION("""COMPUTED_VALUE"""),"Items_2023")</f>
        <v>Items_2023</v>
      </c>
      <c r="C48" s="29" t="str">
        <f>IFERROR(__xludf.DUMMYFUNCTION("""COMPUTED_VALUE"""),"Items_2022")</f>
        <v>Items_2022</v>
      </c>
      <c r="D48" s="29" t="str">
        <f>IFERROR(__xludf.DUMMYFUNCTION("""COMPUTED_VALUE"""),"Targets")</f>
        <v>Targets</v>
      </c>
      <c r="K48" s="29" t="str">
        <f>IFERROR(__xludf.DUMMYFUNCTION("QUERY(campaign_dataDump!$A$1:$Y$196,""SELECT A,SUM(L),SUM(N),SUM(M) WHERE B= """"""&amp;H2&amp;"""""" GROUP BY A  LABEL SUM(L) 'Buyers_2023', SUM(N) 'Buyers_2022',SUM(M) 'Targets' "")"),"Date")</f>
        <v>Date</v>
      </c>
      <c r="L48" s="29" t="str">
        <f>IFERROR(__xludf.DUMMYFUNCTION("""COMPUTED_VALUE"""),"Buyers_2023")</f>
        <v>Buyers_2023</v>
      </c>
      <c r="M48" s="29" t="str">
        <f>IFERROR(__xludf.DUMMYFUNCTION("""COMPUTED_VALUE"""),"Buyers_2022")</f>
        <v>Buyers_2022</v>
      </c>
      <c r="N48" s="29" t="str">
        <f>IFERROR(__xludf.DUMMYFUNCTION("""COMPUTED_VALUE"""),"Targets")</f>
        <v>Targets</v>
      </c>
    </row>
    <row r="49" ht="15.75" customHeight="1">
      <c r="A49" s="34">
        <f>IFERROR(__xludf.DUMMYFUNCTION("""COMPUTED_VALUE"""),44991.0)</f>
        <v>44991</v>
      </c>
      <c r="B49" s="31">
        <f>IFERROR(__xludf.DUMMYFUNCTION("""COMPUTED_VALUE"""),9.0)</f>
        <v>9</v>
      </c>
      <c r="C49" s="31">
        <f>IFERROR(__xludf.DUMMYFUNCTION("""COMPUTED_VALUE"""),983.0)</f>
        <v>983</v>
      </c>
      <c r="D49" s="10">
        <f>IFERROR(__xludf.DUMMYFUNCTION("""COMPUTED_VALUE"""),8.0)</f>
        <v>8</v>
      </c>
      <c r="F49" s="32" t="str">
        <f>IFERROR(__xludf.DUMMYFUNCTION("QUERY(campaign_dataDump!$A$1:$AE$196,""SELECT SUM(AC) WHERE B= """"""&amp;H2&amp;""""""  LABEL SUM(AC) 'Total Product Sold 2023'"")"),"Total Product Sold 2023")</f>
        <v>Total Product Sold 2023</v>
      </c>
      <c r="G49" s="33"/>
      <c r="H49" s="32" t="str">
        <f>IFERROR(__xludf.DUMMYFUNCTION("QUERY(campaign_dataDump!$A$1:$AE$196,""SELECT SUM(AD) WHERE B= """"""&amp;H2&amp;""""""  LABEL SUM(AD) 'Total OOS Product 2023'"")"),"Total OOS Product 2023")</f>
        <v>Total OOS Product 2023</v>
      </c>
      <c r="I49" s="33"/>
      <c r="K49" s="34">
        <f>IFERROR(__xludf.DUMMYFUNCTION("""COMPUTED_VALUE"""),44991.0)</f>
        <v>44991</v>
      </c>
      <c r="L49" s="31">
        <f>IFERROR(__xludf.DUMMYFUNCTION("""COMPUTED_VALUE"""),9.0)</f>
        <v>9</v>
      </c>
      <c r="M49" s="31">
        <f>IFERROR(__xludf.DUMMYFUNCTION("""COMPUTED_VALUE"""),740.0)</f>
        <v>740</v>
      </c>
      <c r="N49" s="10">
        <f>IFERROR(__xludf.DUMMYFUNCTION("""COMPUTED_VALUE"""),9.0)</f>
        <v>9</v>
      </c>
    </row>
    <row r="50" ht="15.75" customHeight="1">
      <c r="A50" s="34">
        <f>IFERROR(__xludf.DUMMYFUNCTION("""COMPUTED_VALUE"""),44992.0)</f>
        <v>44992</v>
      </c>
      <c r="B50" s="31">
        <f>IFERROR(__xludf.DUMMYFUNCTION("""COMPUTED_VALUE"""),7.0)</f>
        <v>7</v>
      </c>
      <c r="C50" s="31">
        <f>IFERROR(__xludf.DUMMYFUNCTION("""COMPUTED_VALUE"""),976.0)</f>
        <v>976</v>
      </c>
      <c r="D50" s="10">
        <f>IFERROR(__xludf.DUMMYFUNCTION("""COMPUTED_VALUE"""),6.0)</f>
        <v>6</v>
      </c>
      <c r="F50" s="35">
        <f>IFERROR(__xludf.DUMMYFUNCTION("""COMPUTED_VALUE"""),27.0)</f>
        <v>27</v>
      </c>
      <c r="G50" s="33"/>
      <c r="H50" s="35">
        <f>IFERROR(__xludf.DUMMYFUNCTION("""COMPUTED_VALUE"""),0.0)</f>
        <v>0</v>
      </c>
      <c r="I50" s="33"/>
      <c r="K50" s="34">
        <f>IFERROR(__xludf.DUMMYFUNCTION("""COMPUTED_VALUE"""),44992.0)</f>
        <v>44992</v>
      </c>
      <c r="L50" s="31">
        <f>IFERROR(__xludf.DUMMYFUNCTION("""COMPUTED_VALUE"""),7.0)</f>
        <v>7</v>
      </c>
      <c r="M50" s="31">
        <f>IFERROR(__xludf.DUMMYFUNCTION("""COMPUTED_VALUE"""),746.0)</f>
        <v>746</v>
      </c>
      <c r="N50" s="10">
        <f>IFERROR(__xludf.DUMMYFUNCTION("""COMPUTED_VALUE"""),6.0)</f>
        <v>6</v>
      </c>
    </row>
    <row r="51" ht="15.75" customHeight="1">
      <c r="A51" s="34">
        <f>IFERROR(__xludf.DUMMYFUNCTION("""COMPUTED_VALUE"""),44993.0)</f>
        <v>44993</v>
      </c>
      <c r="B51" s="31">
        <f>IFERROR(__xludf.DUMMYFUNCTION("""COMPUTED_VALUE"""),5.0)</f>
        <v>5</v>
      </c>
      <c r="C51" s="31">
        <f>IFERROR(__xludf.DUMMYFUNCTION("""COMPUTED_VALUE"""),1094.0)</f>
        <v>1094</v>
      </c>
      <c r="D51" s="10">
        <f>IFERROR(__xludf.DUMMYFUNCTION("""COMPUTED_VALUE"""),6.0)</f>
        <v>6</v>
      </c>
      <c r="K51" s="34">
        <f>IFERROR(__xludf.DUMMYFUNCTION("""COMPUTED_VALUE"""),44993.0)</f>
        <v>44993</v>
      </c>
      <c r="L51" s="31">
        <f>IFERROR(__xludf.DUMMYFUNCTION("""COMPUTED_VALUE"""),5.0)</f>
        <v>5</v>
      </c>
      <c r="M51" s="31">
        <f>IFERROR(__xludf.DUMMYFUNCTION("""COMPUTED_VALUE"""),841.0)</f>
        <v>841</v>
      </c>
      <c r="N51" s="10">
        <f>IFERROR(__xludf.DUMMYFUNCTION("""COMPUTED_VALUE"""),6.0)</f>
        <v>6</v>
      </c>
    </row>
    <row r="52" ht="15.75" customHeight="1">
      <c r="A52" s="34">
        <f>IFERROR(__xludf.DUMMYFUNCTION("""COMPUTED_VALUE"""),44994.0)</f>
        <v>44994</v>
      </c>
      <c r="B52" s="31">
        <f>IFERROR(__xludf.DUMMYFUNCTION("""COMPUTED_VALUE"""),2.0)</f>
        <v>2</v>
      </c>
      <c r="C52" s="31">
        <f>IFERROR(__xludf.DUMMYFUNCTION("""COMPUTED_VALUE"""),1034.0)</f>
        <v>1034</v>
      </c>
      <c r="D52" s="10">
        <f>IFERROR(__xludf.DUMMYFUNCTION("""COMPUTED_VALUE"""),6.0)</f>
        <v>6</v>
      </c>
      <c r="G52" s="32" t="str">
        <f>IFERROR(__xludf.DUMMYFUNCTION("QUERY(campaign_dataDump!$A$1:$AE$196,""SELECT SUM(Z) WHERE B= """"""&amp;H2&amp;""""""  LABEL SUM(Z) 'Total Visible Products 2023'"")"),"Total Visible Products 2023")</f>
        <v>Total Visible Products 2023</v>
      </c>
      <c r="H52" s="33"/>
      <c r="K52" s="34">
        <f>IFERROR(__xludf.DUMMYFUNCTION("""COMPUTED_VALUE"""),44994.0)</f>
        <v>44994</v>
      </c>
      <c r="L52" s="31">
        <f>IFERROR(__xludf.DUMMYFUNCTION("""COMPUTED_VALUE"""),2.0)</f>
        <v>2</v>
      </c>
      <c r="M52" s="31">
        <f>IFERROR(__xludf.DUMMYFUNCTION("""COMPUTED_VALUE"""),775.0)</f>
        <v>775</v>
      </c>
      <c r="N52" s="10">
        <f>IFERROR(__xludf.DUMMYFUNCTION("""COMPUTED_VALUE"""),6.0)</f>
        <v>6</v>
      </c>
    </row>
    <row r="53" ht="15.75" customHeight="1">
      <c r="A53" s="34">
        <f>IFERROR(__xludf.DUMMYFUNCTION("""COMPUTED_VALUE"""),44995.0)</f>
        <v>44995</v>
      </c>
      <c r="B53" s="31">
        <f>IFERROR(__xludf.DUMMYFUNCTION("""COMPUTED_VALUE"""),6.0)</f>
        <v>6</v>
      </c>
      <c r="C53" s="31">
        <f>IFERROR(__xludf.DUMMYFUNCTION("""COMPUTED_VALUE"""),1208.0)</f>
        <v>1208</v>
      </c>
      <c r="D53" s="10">
        <f>IFERROR(__xludf.DUMMYFUNCTION("""COMPUTED_VALUE"""),6.0)</f>
        <v>6</v>
      </c>
      <c r="G53" s="35">
        <f>IFERROR(__xludf.DUMMYFUNCTION("""COMPUTED_VALUE"""),8103.0)</f>
        <v>8103</v>
      </c>
      <c r="H53" s="33"/>
      <c r="K53" s="34">
        <f>IFERROR(__xludf.DUMMYFUNCTION("""COMPUTED_VALUE"""),44995.0)</f>
        <v>44995</v>
      </c>
      <c r="L53" s="31">
        <f>IFERROR(__xludf.DUMMYFUNCTION("""COMPUTED_VALUE"""),6.0)</f>
        <v>6</v>
      </c>
      <c r="M53" s="31">
        <f>IFERROR(__xludf.DUMMYFUNCTION("""COMPUTED_VALUE"""),786.0)</f>
        <v>786</v>
      </c>
      <c r="N53" s="10">
        <f>IFERROR(__xludf.DUMMYFUNCTION("""COMPUTED_VALUE"""),6.0)</f>
        <v>6</v>
      </c>
    </row>
    <row r="54" ht="15.75" customHeight="1">
      <c r="A54" s="34">
        <f>IFERROR(__xludf.DUMMYFUNCTION("""COMPUTED_VALUE"""),44996.0)</f>
        <v>44996</v>
      </c>
      <c r="B54" s="31">
        <f>IFERROR(__xludf.DUMMYFUNCTION("""COMPUTED_VALUE"""),10.0)</f>
        <v>10</v>
      </c>
      <c r="C54" s="31">
        <f>IFERROR(__xludf.DUMMYFUNCTION("""COMPUTED_VALUE"""),1036.0)</f>
        <v>1036</v>
      </c>
      <c r="D54" s="10">
        <f>IFERROR(__xludf.DUMMYFUNCTION("""COMPUTED_VALUE"""),6.0)</f>
        <v>6</v>
      </c>
      <c r="K54" s="34">
        <f>IFERROR(__xludf.DUMMYFUNCTION("""COMPUTED_VALUE"""),44996.0)</f>
        <v>44996</v>
      </c>
      <c r="L54" s="31">
        <f>IFERROR(__xludf.DUMMYFUNCTION("""COMPUTED_VALUE"""),8.0)</f>
        <v>8</v>
      </c>
      <c r="M54" s="31">
        <f>IFERROR(__xludf.DUMMYFUNCTION("""COMPUTED_VALUE"""),764.0)</f>
        <v>764</v>
      </c>
      <c r="N54" s="10">
        <f>IFERROR(__xludf.DUMMYFUNCTION("""COMPUTED_VALUE"""),6.0)</f>
        <v>6</v>
      </c>
    </row>
    <row r="55" ht="15.75" customHeight="1">
      <c r="A55" s="34">
        <f>IFERROR(__xludf.DUMMYFUNCTION("""COMPUTED_VALUE"""),44997.0)</f>
        <v>44997</v>
      </c>
      <c r="B55" s="31">
        <f>IFERROR(__xludf.DUMMYFUNCTION("""COMPUTED_VALUE"""),4.0)</f>
        <v>4</v>
      </c>
      <c r="C55" s="31">
        <f>IFERROR(__xludf.DUMMYFUNCTION("""COMPUTED_VALUE"""),1764.0)</f>
        <v>1764</v>
      </c>
      <c r="D55" s="10">
        <f>IFERROR(__xludf.DUMMYFUNCTION("""COMPUTED_VALUE"""),6.0)</f>
        <v>6</v>
      </c>
      <c r="F55" s="32" t="str">
        <f>IFERROR(__xludf.DUMMYFUNCTION("QUERY(campaign_dataDump!$A$1:$AE$196,""SELECT SUM(AA) WHERE B= """"""&amp;H2&amp;""""""  LABEL SUM(AA) 'Total Purchasable Products 2023'"")"),"Total Purchasable Products 2023")</f>
        <v>Total Purchasable Products 2023</v>
      </c>
      <c r="G55" s="33"/>
      <c r="H55" s="32" t="str">
        <f>IFERROR(__xludf.DUMMYFUNCTION("QUERY(campaign_dataDump!$A$1:$AE$196,""SELECT SUM(AE) WHERE B= """"""&amp;H2&amp;""""""  LABEL SUM(AE) 'Total SOLD FBD PRODUCTS 2023'"")"),"Total SOLD FBD PRODUCTS 2023")</f>
        <v>Total SOLD FBD PRODUCTS 2023</v>
      </c>
      <c r="I55" s="33"/>
      <c r="K55" s="34">
        <f>IFERROR(__xludf.DUMMYFUNCTION("""COMPUTED_VALUE"""),44997.0)</f>
        <v>44997</v>
      </c>
      <c r="L55" s="31">
        <f>IFERROR(__xludf.DUMMYFUNCTION("""COMPUTED_VALUE"""),4.0)</f>
        <v>4</v>
      </c>
      <c r="M55" s="31">
        <f>IFERROR(__xludf.DUMMYFUNCTION("""COMPUTED_VALUE"""),1294.0)</f>
        <v>1294</v>
      </c>
      <c r="N55" s="10">
        <f>IFERROR(__xludf.DUMMYFUNCTION("""COMPUTED_VALUE"""),6.0)</f>
        <v>6</v>
      </c>
    </row>
    <row r="56" ht="15.75" customHeight="1">
      <c r="A56" s="34"/>
      <c r="B56" s="31"/>
      <c r="C56" s="31"/>
      <c r="D56" s="10"/>
      <c r="F56" s="35">
        <f>IFERROR(__xludf.DUMMYFUNCTION("""COMPUTED_VALUE"""),8101.0)</f>
        <v>8101</v>
      </c>
      <c r="G56" s="33"/>
      <c r="H56" s="35">
        <f>IFERROR(__xludf.DUMMYFUNCTION("""COMPUTED_VALUE"""),0.0)</f>
        <v>0</v>
      </c>
      <c r="I56" s="33"/>
      <c r="K56" s="34"/>
      <c r="L56" s="31"/>
      <c r="M56" s="31"/>
      <c r="N56" s="10"/>
    </row>
    <row r="57" ht="15.75" customHeight="1">
      <c r="A57" s="34"/>
      <c r="B57" s="31"/>
      <c r="C57" s="31"/>
      <c r="D57" s="10"/>
      <c r="K57" s="34"/>
      <c r="L57" s="31"/>
      <c r="M57" s="31"/>
      <c r="N57" s="10"/>
    </row>
    <row r="58" ht="15.75" customHeight="1">
      <c r="A58" s="34"/>
      <c r="B58" s="31"/>
      <c r="C58" s="31"/>
      <c r="D58" s="10"/>
      <c r="K58" s="34"/>
      <c r="L58" s="31"/>
      <c r="M58" s="31"/>
      <c r="N58" s="1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>
      <c r="B126" s="28" t="str">
        <f>IFERROR(__xludf.DUMMYFUNCTION("QUERY(campaign_dataDump!$A$1:$Y$142,""SELECT A,AVG(Q),AVG(R) WHERE B= """"""&amp;H2&amp;"""""" GROUP BY A LABEL AVG(Q) 'AIV_2023', AVG(R) 'AIV_2022' "")"),"Date")</f>
        <v>Date</v>
      </c>
      <c r="C126" s="1" t="str">
        <f>IFERROR(__xludf.DUMMYFUNCTION("""COMPUTED_VALUE"""),"AIV_2023")</f>
        <v>AIV_2023</v>
      </c>
      <c r="D126" s="1" t="str">
        <f>IFERROR(__xludf.DUMMYFUNCTION("""COMPUTED_VALUE"""),"AIV_2022")</f>
        <v>AIV_2022</v>
      </c>
    </row>
    <row r="127" ht="15.75" customHeight="1">
      <c r="B127" s="2">
        <f>IFERROR(__xludf.DUMMYFUNCTION("""COMPUTED_VALUE"""),44991.0)</f>
        <v>44991</v>
      </c>
      <c r="C127" s="1">
        <f>IFERROR(__xludf.DUMMYFUNCTION("""COMPUTED_VALUE"""),10.28974)</f>
        <v>10.28974</v>
      </c>
      <c r="D127" s="1">
        <f>IFERROR(__xludf.DUMMYFUNCTION("""COMPUTED_VALUE"""),6.180176)</f>
        <v>6.180176</v>
      </c>
    </row>
    <row r="128" ht="15.75" customHeight="1">
      <c r="B128" s="2">
        <f>IFERROR(__xludf.DUMMYFUNCTION("""COMPUTED_VALUE"""),44992.0)</f>
        <v>44992</v>
      </c>
      <c r="C128" s="1">
        <f>IFERROR(__xludf.DUMMYFUNCTION("""COMPUTED_VALUE"""),4.126024)</f>
        <v>4.126024</v>
      </c>
      <c r="D128" s="1">
        <f>IFERROR(__xludf.DUMMYFUNCTION("""COMPUTED_VALUE"""),6.30443)</f>
        <v>6.30443</v>
      </c>
    </row>
    <row r="129" ht="15.75" customHeight="1">
      <c r="B129" s="2">
        <f>IFERROR(__xludf.DUMMYFUNCTION("""COMPUTED_VALUE"""),44993.0)</f>
        <v>44993</v>
      </c>
      <c r="C129" s="1">
        <f>IFERROR(__xludf.DUMMYFUNCTION("""COMPUTED_VALUE"""),33.0106)</f>
        <v>33.0106</v>
      </c>
      <c r="D129" s="1">
        <f>IFERROR(__xludf.DUMMYFUNCTION("""COMPUTED_VALUE"""),5.362573)</f>
        <v>5.362573</v>
      </c>
    </row>
    <row r="130" ht="15.75" customHeight="1">
      <c r="B130" s="2">
        <f>IFERROR(__xludf.DUMMYFUNCTION("""COMPUTED_VALUE"""),44994.0)</f>
        <v>44994</v>
      </c>
      <c r="C130" s="1">
        <f>IFERROR(__xludf.DUMMYFUNCTION("""COMPUTED_VALUE"""),1.148099)</f>
        <v>1.148099</v>
      </c>
      <c r="D130" s="1">
        <f>IFERROR(__xludf.DUMMYFUNCTION("""COMPUTED_VALUE"""),5.870773)</f>
        <v>5.870773</v>
      </c>
    </row>
    <row r="131" ht="15.75" customHeight="1">
      <c r="B131" s="2">
        <f>IFERROR(__xludf.DUMMYFUNCTION("""COMPUTED_VALUE"""),44995.0)</f>
        <v>44995</v>
      </c>
      <c r="C131" s="1">
        <f>IFERROR(__xludf.DUMMYFUNCTION("""COMPUTED_VALUE"""),4.074092)</f>
        <v>4.074092</v>
      </c>
      <c r="D131" s="1">
        <f>IFERROR(__xludf.DUMMYFUNCTION("""COMPUTED_VALUE"""),4.817299)</f>
        <v>4.817299</v>
      </c>
    </row>
    <row r="132" ht="15.75" customHeight="1">
      <c r="B132" s="2">
        <f>IFERROR(__xludf.DUMMYFUNCTION("""COMPUTED_VALUE"""),44996.0)</f>
        <v>44996</v>
      </c>
      <c r="C132" s="1">
        <f>IFERROR(__xludf.DUMMYFUNCTION("""COMPUTED_VALUE"""),3.70891)</f>
        <v>3.70891</v>
      </c>
      <c r="D132" s="1">
        <f>IFERROR(__xludf.DUMMYFUNCTION("""COMPUTED_VALUE"""),6.706429)</f>
        <v>6.706429</v>
      </c>
    </row>
    <row r="133" ht="15.75" customHeight="1">
      <c r="B133" s="2">
        <f>IFERROR(__xludf.DUMMYFUNCTION("""COMPUTED_VALUE"""),44997.0)</f>
        <v>44997</v>
      </c>
      <c r="C133" s="1">
        <f>IFERROR(__xludf.DUMMYFUNCTION("""COMPUTED_VALUE"""),13.55558)</f>
        <v>13.55558</v>
      </c>
      <c r="D133" s="1">
        <f>IFERROR(__xludf.DUMMYFUNCTION("""COMPUTED_VALUE"""),4.72114)</f>
        <v>4.72114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>
      <c r="A987" s="1" t="str">
        <f>IFERROR(__xludf.DUMMYFUNCTION("QUERY(campaign_dataDump!$A$1:$Y$142,""SELECT A,AVG(O),AVG(P) WHERE B= """"""&amp;H2&amp;"""""" GROUP BY A  LABEL AVG(O) 'AOV_2023', AVG(P) 'AOV_2022' "")"),"Date")</f>
        <v>Date</v>
      </c>
      <c r="B987" s="1" t="str">
        <f>IFERROR(__xludf.DUMMYFUNCTION("""COMPUTED_VALUE"""),"AOV_2023")</f>
        <v>AOV_2023</v>
      </c>
      <c r="C987" s="1" t="str">
        <f>IFERROR(__xludf.DUMMYFUNCTION("""COMPUTED_VALUE"""),"AOV_2022")</f>
        <v>AOV_2022</v>
      </c>
    </row>
    <row r="988" ht="15.75" customHeight="1">
      <c r="A988" s="2">
        <f>IFERROR(__xludf.DUMMYFUNCTION("""COMPUTED_VALUE"""),44991.0)</f>
        <v>44991</v>
      </c>
      <c r="B988" s="38">
        <f>IFERROR(__xludf.DUMMYFUNCTION("""COMPUTED_VALUE"""),10.28974)</f>
        <v>10.28974</v>
      </c>
      <c r="C988" s="38">
        <f>IFERROR(__xludf.DUMMYFUNCTION("""COMPUTED_VALUE"""),6.328243)</f>
        <v>6.328243</v>
      </c>
    </row>
    <row r="989" ht="15.75" customHeight="1">
      <c r="A989" s="2">
        <f>IFERROR(__xludf.DUMMYFUNCTION("""COMPUTED_VALUE"""),44992.0)</f>
        <v>44992</v>
      </c>
      <c r="B989" s="38">
        <f>IFERROR(__xludf.DUMMYFUNCTION("""COMPUTED_VALUE"""),4.126024)</f>
        <v>4.126024</v>
      </c>
      <c r="C989" s="38">
        <f>IFERROR(__xludf.DUMMYFUNCTION("""COMPUTED_VALUE"""),6.416188)</f>
        <v>6.416188</v>
      </c>
    </row>
    <row r="990" ht="15.75" customHeight="1">
      <c r="A990" s="2">
        <f>IFERROR(__xludf.DUMMYFUNCTION("""COMPUTED_VALUE"""),44993.0)</f>
        <v>44993</v>
      </c>
      <c r="B990" s="38">
        <f>IFERROR(__xludf.DUMMYFUNCTION("""COMPUTED_VALUE"""),33.0106)</f>
        <v>33.0106</v>
      </c>
      <c r="C990" s="38">
        <f>IFERROR(__xludf.DUMMYFUNCTION("""COMPUTED_VALUE"""),5.555544)</f>
        <v>5.555544</v>
      </c>
    </row>
    <row r="991" ht="15.75" customHeight="1">
      <c r="A991" s="2">
        <f>IFERROR(__xludf.DUMMYFUNCTION("""COMPUTED_VALUE"""),44994.0)</f>
        <v>44994</v>
      </c>
      <c r="B991" s="38">
        <f>IFERROR(__xludf.DUMMYFUNCTION("""COMPUTED_VALUE"""),1.148099)</f>
        <v>1.148099</v>
      </c>
      <c r="C991" s="38">
        <f>IFERROR(__xludf.DUMMYFUNCTION("""COMPUTED_VALUE"""),6.076455)</f>
        <v>6.076455</v>
      </c>
    </row>
    <row r="992" ht="15.75" customHeight="1">
      <c r="A992" s="2">
        <f>IFERROR(__xludf.DUMMYFUNCTION("""COMPUTED_VALUE"""),44995.0)</f>
        <v>44995</v>
      </c>
      <c r="B992" s="38">
        <f>IFERROR(__xludf.DUMMYFUNCTION("""COMPUTED_VALUE"""),4.074092)</f>
        <v>4.074092</v>
      </c>
      <c r="C992" s="38">
        <f>IFERROR(__xludf.DUMMYFUNCTION("""COMPUTED_VALUE"""),5.568705)</f>
        <v>5.568705</v>
      </c>
    </row>
    <row r="993" ht="15.75" customHeight="1">
      <c r="A993" s="2">
        <f>IFERROR(__xludf.DUMMYFUNCTION("""COMPUTED_VALUE"""),44996.0)</f>
        <v>44996</v>
      </c>
      <c r="B993" s="38">
        <f>IFERROR(__xludf.DUMMYFUNCTION("""COMPUTED_VALUE"""),3.70891)</f>
        <v>3.70891</v>
      </c>
      <c r="C993" s="38">
        <f>IFERROR(__xludf.DUMMYFUNCTION("""COMPUTED_VALUE"""),6.872266)</f>
        <v>6.872266</v>
      </c>
    </row>
    <row r="994" ht="15.75" customHeight="1">
      <c r="A994" s="2">
        <f>IFERROR(__xludf.DUMMYFUNCTION("""COMPUTED_VALUE"""),44997.0)</f>
        <v>44997</v>
      </c>
      <c r="B994" s="38">
        <f>IFERROR(__xludf.DUMMYFUNCTION("""COMPUTED_VALUE"""),13.55558)</f>
        <v>13.55558</v>
      </c>
      <c r="C994" s="38">
        <f>IFERROR(__xludf.DUMMYFUNCTION("""COMPUTED_VALUE"""),4.753476)</f>
        <v>4.753476</v>
      </c>
    </row>
    <row r="995" ht="15.75" customHeight="1">
      <c r="B995" s="38"/>
      <c r="C995" s="38"/>
    </row>
    <row r="996" ht="15.75" customHeight="1">
      <c r="B996" s="38"/>
      <c r="C996" s="38"/>
    </row>
    <row r="997" ht="15.75" customHeight="1">
      <c r="B997" s="38"/>
      <c r="C997" s="38"/>
    </row>
    <row r="998" ht="15.75" customHeight="1"/>
    <row r="999" ht="15.75" customHeight="1"/>
    <row r="1000" ht="15.75" customHeight="1"/>
  </sheetData>
  <mergeCells count="21">
    <mergeCell ref="A1:D3"/>
    <mergeCell ref="G1:H1"/>
    <mergeCell ref="J1:K1"/>
    <mergeCell ref="F20:G20"/>
    <mergeCell ref="H20:I20"/>
    <mergeCell ref="F21:G21"/>
    <mergeCell ref="H21:I21"/>
    <mergeCell ref="H50:I50"/>
    <mergeCell ref="G52:H52"/>
    <mergeCell ref="G53:H53"/>
    <mergeCell ref="F55:G55"/>
    <mergeCell ref="H55:I55"/>
    <mergeCell ref="F56:G56"/>
    <mergeCell ref="H56:I56"/>
    <mergeCell ref="F27:G27"/>
    <mergeCell ref="H27:I27"/>
    <mergeCell ref="F28:G28"/>
    <mergeCell ref="H28:I28"/>
    <mergeCell ref="F49:G49"/>
    <mergeCell ref="H49:I49"/>
    <mergeCell ref="F50:G50"/>
  </mergeCells>
  <dataValidations>
    <dataValidation type="list" allowBlank="1" sqref="H2">
      <formula1>DropDowns!$A$2:$A$24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5.5"/>
    <col customWidth="1" min="8" max="8" width="13.0"/>
  </cols>
  <sheetData>
    <row r="1" ht="15.75" customHeight="1">
      <c r="A1" s="18"/>
      <c r="G1" s="20"/>
      <c r="J1" s="19" t="s">
        <v>71</v>
      </c>
    </row>
    <row r="2" ht="15.75" customHeight="1">
      <c r="E2" s="21"/>
      <c r="F2" s="22"/>
      <c r="G2" s="21"/>
      <c r="H2" s="22"/>
      <c r="J2" s="23" t="s">
        <v>62</v>
      </c>
      <c r="K2" s="24" t="s">
        <v>66</v>
      </c>
      <c r="L2" s="1" t="s">
        <v>72</v>
      </c>
      <c r="M2" s="25" t="s">
        <v>73</v>
      </c>
      <c r="N2" s="25"/>
    </row>
    <row r="3" ht="15.75" customHeight="1">
      <c r="E3" s="27"/>
      <c r="F3" s="27"/>
    </row>
    <row r="4" ht="15.75" customHeight="1"/>
    <row r="5" ht="15.75" customHeight="1"/>
    <row r="6" ht="15.75" customHeight="1">
      <c r="C6" s="2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29" t="str">
        <f>IFERROR(__xludf.DUMMYFUNCTION("QUERY(campaign_dataDump!$A$1:$AF$200,""SELECT A,SUM(C),SUM(E),SUM(D) WHERE AF= """"""&amp;K2&amp;"""""" GROUP BY A  LABEL SUM(C) 'GMV_2023', SUM(E) 'GMV_2022',SUM(D) 'Targets' "")"),"Date")</f>
        <v>Date</v>
      </c>
      <c r="B19" s="29" t="str">
        <f>IFERROR(__xludf.DUMMYFUNCTION("""COMPUTED_VALUE"""),"GMV_2023")</f>
        <v>GMV_2023</v>
      </c>
      <c r="C19" s="29" t="str">
        <f>IFERROR(__xludf.DUMMYFUNCTION("""COMPUTED_VALUE"""),"GMV_2022")</f>
        <v>GMV_2022</v>
      </c>
      <c r="D19" s="29" t="str">
        <f>IFERROR(__xludf.DUMMYFUNCTION("""COMPUTED_VALUE"""),"Targets")</f>
        <v>Targets</v>
      </c>
      <c r="K19" s="29" t="str">
        <f>IFERROR(__xludf.DUMMYFUNCTION("QUERY(campaign_dataDump!$A$1:$AF$200,""SELECT A,SUM(F),SUM(H),SUM(G) WHERE AF= """"""&amp;K2&amp;"""""" GROUP BY A  LABEL SUM(F) 'Orders_2023', SUM(H) 'Orders_2022',SUM(G) 'Targets' "")"),"Date")</f>
        <v>Date</v>
      </c>
      <c r="L19" s="29" t="str">
        <f>IFERROR(__xludf.DUMMYFUNCTION("""COMPUTED_VALUE"""),"Orders_2023")</f>
        <v>Orders_2023</v>
      </c>
      <c r="M19" s="29" t="str">
        <f>IFERROR(__xludf.DUMMYFUNCTION("""COMPUTED_VALUE"""),"Orders_2022")</f>
        <v>Orders_2022</v>
      </c>
      <c r="N19" s="29" t="str">
        <f>IFERROR(__xludf.DUMMYFUNCTION("""COMPUTED_VALUE"""),"Targets")</f>
        <v>Targets</v>
      </c>
    </row>
    <row r="20" ht="15.75" customHeight="1">
      <c r="A20" s="30">
        <f>IFERROR(__xludf.DUMMYFUNCTION("""COMPUTED_VALUE"""),44991.0)</f>
        <v>44991</v>
      </c>
      <c r="B20" s="31">
        <f>IFERROR(__xludf.DUMMYFUNCTION("""COMPUTED_VALUE"""),24628.3516)</f>
        <v>24628.3516</v>
      </c>
      <c r="C20" s="31">
        <f>IFERROR(__xludf.DUMMYFUNCTION("""COMPUTED_VALUE"""),22531.0813)</f>
        <v>22531.0813</v>
      </c>
      <c r="D20" s="10">
        <f>IFERROR(__xludf.DUMMYFUNCTION("""COMPUTED_VALUE"""),24619.0)</f>
        <v>24619</v>
      </c>
      <c r="F20" s="32" t="str">
        <f>IFERROR(__xludf.DUMMYFUNCTION("QUERY(campaign_dataDump!$A$1:$AF$200,""SELECT AVG(U) WHERE AF= """"""&amp;K2&amp;""""""  LABEL AVG(U) 'Average UV 2023'"")"),"Average UV 2023")</f>
        <v>Average UV 2023</v>
      </c>
      <c r="G20" s="33"/>
      <c r="H20" s="32" t="str">
        <f>IFERROR(__xludf.DUMMYFUNCTION("QUERY(campaign_dataDump!$A$1:$AF$196,""SELECT AVG(V) WHERE AF= """"""&amp;K2&amp;"""""" LABEL AVG(V) 'Average pdpUV 2023'"")"),"Average pdpUV 2023")</f>
        <v>Average pdpUV 2023</v>
      </c>
      <c r="K20" s="34">
        <f>IFERROR(__xludf.DUMMYFUNCTION("""COMPUTED_VALUE"""),44991.0)</f>
        <v>44991</v>
      </c>
      <c r="L20" s="31">
        <f>IFERROR(__xludf.DUMMYFUNCTION("""COMPUTED_VALUE"""),2350.0)</f>
        <v>2350</v>
      </c>
      <c r="M20" s="31">
        <f>IFERROR(__xludf.DUMMYFUNCTION("""COMPUTED_VALUE"""),2077.0)</f>
        <v>2077</v>
      </c>
      <c r="N20" s="10">
        <f>IFERROR(__xludf.DUMMYFUNCTION("""COMPUTED_VALUE"""),1975.0)</f>
        <v>1975</v>
      </c>
    </row>
    <row r="21" ht="15.75" customHeight="1">
      <c r="A21" s="30">
        <f>IFERROR(__xludf.DUMMYFUNCTION("""COMPUTED_VALUE"""),44992.0)</f>
        <v>44992</v>
      </c>
      <c r="B21" s="31">
        <f>IFERROR(__xludf.DUMMYFUNCTION("""COMPUTED_VALUE"""),26822.538400000005)</f>
        <v>26822.5384</v>
      </c>
      <c r="C21" s="31">
        <f>IFERROR(__xludf.DUMMYFUNCTION("""COMPUTED_VALUE"""),22356.976799999997)</f>
        <v>22356.9768</v>
      </c>
      <c r="D21" s="10">
        <f>IFERROR(__xludf.DUMMYFUNCTION("""COMPUTED_VALUE"""),28600.0)</f>
        <v>28600</v>
      </c>
      <c r="F21" s="35">
        <f>IFERROR(__xludf.DUMMYFUNCTION("""COMPUTED_VALUE"""),9052.245901639344)</f>
        <v>9052.245902</v>
      </c>
      <c r="G21" s="33"/>
      <c r="H21" s="35">
        <f>IFERROR(__xludf.DUMMYFUNCTION("""COMPUTED_VALUE"""),48414.42622950819)</f>
        <v>48414.42623</v>
      </c>
      <c r="K21" s="34">
        <f>IFERROR(__xludf.DUMMYFUNCTION("""COMPUTED_VALUE"""),44992.0)</f>
        <v>44992</v>
      </c>
      <c r="L21" s="31">
        <f>IFERROR(__xludf.DUMMYFUNCTION("""COMPUTED_VALUE"""),2522.0)</f>
        <v>2522</v>
      </c>
      <c r="M21" s="31">
        <f>IFERROR(__xludf.DUMMYFUNCTION("""COMPUTED_VALUE"""),2239.0)</f>
        <v>2239</v>
      </c>
      <c r="N21" s="10">
        <f>IFERROR(__xludf.DUMMYFUNCTION("""COMPUTED_VALUE"""),2304.0)</f>
        <v>2304</v>
      </c>
    </row>
    <row r="22" ht="15.75" customHeight="1">
      <c r="A22" s="30">
        <f>IFERROR(__xludf.DUMMYFUNCTION("""COMPUTED_VALUE"""),44993.0)</f>
        <v>44993</v>
      </c>
      <c r="B22" s="31">
        <f>IFERROR(__xludf.DUMMYFUNCTION("""COMPUTED_VALUE"""),27605.403999999995)</f>
        <v>27605.404</v>
      </c>
      <c r="C22" s="31">
        <f>IFERROR(__xludf.DUMMYFUNCTION("""COMPUTED_VALUE"""),25402.4902)</f>
        <v>25402.4902</v>
      </c>
      <c r="D22" s="10">
        <f>IFERROR(__xludf.DUMMYFUNCTION("""COMPUTED_VALUE"""),32671.0)</f>
        <v>32671</v>
      </c>
      <c r="K22" s="34">
        <f>IFERROR(__xludf.DUMMYFUNCTION("""COMPUTED_VALUE"""),44993.0)</f>
        <v>44993</v>
      </c>
      <c r="L22" s="31">
        <f>IFERROR(__xludf.DUMMYFUNCTION("""COMPUTED_VALUE"""),2899.0)</f>
        <v>2899</v>
      </c>
      <c r="M22" s="31">
        <f>IFERROR(__xludf.DUMMYFUNCTION("""COMPUTED_VALUE"""),2398.0)</f>
        <v>2398</v>
      </c>
      <c r="N22" s="10">
        <f>IFERROR(__xludf.DUMMYFUNCTION("""COMPUTED_VALUE"""),2426.0)</f>
        <v>2426</v>
      </c>
    </row>
    <row r="23" ht="15.75" customHeight="1">
      <c r="A23" s="30">
        <f>IFERROR(__xludf.DUMMYFUNCTION("""COMPUTED_VALUE"""),44994.0)</f>
        <v>44994</v>
      </c>
      <c r="B23" s="31">
        <f>IFERROR(__xludf.DUMMYFUNCTION("""COMPUTED_VALUE"""),26180.085)</f>
        <v>26180.085</v>
      </c>
      <c r="C23" s="31">
        <f>IFERROR(__xludf.DUMMYFUNCTION("""COMPUTED_VALUE"""),23044.4239)</f>
        <v>23044.4239</v>
      </c>
      <c r="D23" s="10">
        <f>IFERROR(__xludf.DUMMYFUNCTION("""COMPUTED_VALUE"""),31462.0)</f>
        <v>31462</v>
      </c>
      <c r="K23" s="34">
        <f>IFERROR(__xludf.DUMMYFUNCTION("""COMPUTED_VALUE"""),44994.0)</f>
        <v>44994</v>
      </c>
      <c r="L23" s="31">
        <f>IFERROR(__xludf.DUMMYFUNCTION("""COMPUTED_VALUE"""),2707.0)</f>
        <v>2707</v>
      </c>
      <c r="M23" s="31">
        <f>IFERROR(__xludf.DUMMYFUNCTION("""COMPUTED_VALUE"""),2290.0)</f>
        <v>2290</v>
      </c>
      <c r="N23" s="10">
        <f>IFERROR(__xludf.DUMMYFUNCTION("""COMPUTED_VALUE"""),2335.0)</f>
        <v>2335</v>
      </c>
    </row>
    <row r="24" ht="15.75" customHeight="1">
      <c r="A24" s="30">
        <f>IFERROR(__xludf.DUMMYFUNCTION("""COMPUTED_VALUE"""),44995.0)</f>
        <v>44995</v>
      </c>
      <c r="B24" s="31">
        <f>IFERROR(__xludf.DUMMYFUNCTION("""COMPUTED_VALUE"""),26213.007)</f>
        <v>26213.007</v>
      </c>
      <c r="C24" s="31">
        <f>IFERROR(__xludf.DUMMYFUNCTION("""COMPUTED_VALUE"""),32724.986900000004)</f>
        <v>32724.9869</v>
      </c>
      <c r="D24" s="10">
        <f>IFERROR(__xludf.DUMMYFUNCTION("""COMPUTED_VALUE"""),30366.0)</f>
        <v>30366</v>
      </c>
      <c r="K24" s="34">
        <f>IFERROR(__xludf.DUMMYFUNCTION("""COMPUTED_VALUE"""),44995.0)</f>
        <v>44995</v>
      </c>
      <c r="L24" s="31">
        <f>IFERROR(__xludf.DUMMYFUNCTION("""COMPUTED_VALUE"""),2514.0)</f>
        <v>2514</v>
      </c>
      <c r="M24" s="31">
        <f>IFERROR(__xludf.DUMMYFUNCTION("""COMPUTED_VALUE"""),2551.0)</f>
        <v>2551</v>
      </c>
      <c r="N24" s="10">
        <f>IFERROR(__xludf.DUMMYFUNCTION("""COMPUTED_VALUE"""),2221.0)</f>
        <v>2221</v>
      </c>
    </row>
    <row r="25" ht="15.75" customHeight="1">
      <c r="A25" s="30">
        <f>IFERROR(__xludf.DUMMYFUNCTION("""COMPUTED_VALUE"""),44996.0)</f>
        <v>44996</v>
      </c>
      <c r="B25" s="31">
        <f>IFERROR(__xludf.DUMMYFUNCTION("""COMPUTED_VALUE"""),19820.537099999998)</f>
        <v>19820.5371</v>
      </c>
      <c r="C25" s="31">
        <f>IFERROR(__xludf.DUMMYFUNCTION("""COMPUTED_VALUE"""),18851.0892)</f>
        <v>18851.0892</v>
      </c>
      <c r="D25" s="10">
        <f>IFERROR(__xludf.DUMMYFUNCTION("""COMPUTED_VALUE"""),23503.0)</f>
        <v>23503</v>
      </c>
      <c r="K25" s="34">
        <f>IFERROR(__xludf.DUMMYFUNCTION("""COMPUTED_VALUE"""),44996.0)</f>
        <v>44996</v>
      </c>
      <c r="L25" s="31">
        <f>IFERROR(__xludf.DUMMYFUNCTION("""COMPUTED_VALUE"""),2129.0)</f>
        <v>2129</v>
      </c>
      <c r="M25" s="31">
        <f>IFERROR(__xludf.DUMMYFUNCTION("""COMPUTED_VALUE"""),1840.0)</f>
        <v>1840</v>
      </c>
      <c r="N25" s="10">
        <f>IFERROR(__xludf.DUMMYFUNCTION("""COMPUTED_VALUE"""),2003.0)</f>
        <v>2003</v>
      </c>
    </row>
    <row r="26" ht="15.75" customHeight="1">
      <c r="A26" s="30">
        <f>IFERROR(__xludf.DUMMYFUNCTION("""COMPUTED_VALUE"""),44997.0)</f>
        <v>44997</v>
      </c>
      <c r="B26" s="31">
        <f>IFERROR(__xludf.DUMMYFUNCTION("""COMPUTED_VALUE"""),25847.6862)</f>
        <v>25847.6862</v>
      </c>
      <c r="C26" s="31">
        <f>IFERROR(__xludf.DUMMYFUNCTION("""COMPUTED_VALUE"""),23761.162000000004)</f>
        <v>23761.162</v>
      </c>
      <c r="D26" s="10">
        <f>IFERROR(__xludf.DUMMYFUNCTION("""COMPUTED_VALUE"""),30154.0)</f>
        <v>30154</v>
      </c>
      <c r="K26" s="34">
        <f>IFERROR(__xludf.DUMMYFUNCTION("""COMPUTED_VALUE"""),44997.0)</f>
        <v>44997</v>
      </c>
      <c r="L26" s="31">
        <f>IFERROR(__xludf.DUMMYFUNCTION("""COMPUTED_VALUE"""),2853.0)</f>
        <v>2853</v>
      </c>
      <c r="M26" s="31">
        <f>IFERROR(__xludf.DUMMYFUNCTION("""COMPUTED_VALUE"""),2257.0)</f>
        <v>2257</v>
      </c>
      <c r="N26" s="10">
        <f>IFERROR(__xludf.DUMMYFUNCTION("""COMPUTED_VALUE"""),2377.0)</f>
        <v>2377</v>
      </c>
    </row>
    <row r="27" ht="15.75" customHeight="1">
      <c r="A27" s="10"/>
      <c r="B27" s="31"/>
      <c r="C27" s="31"/>
      <c r="D27" s="10"/>
      <c r="F27" s="32" t="str">
        <f>IFERROR(__xludf.DUMMYFUNCTION("QUERY(campaign_dataDump!$A$1:$AF$196,""SELECT AVG(W) WHERE AF= """"""&amp;K2&amp;""""""  LABEL AVG(W) 'Average a2cUV 2023'"")"),"Average a2cUV 2023")</f>
        <v>Average a2cUV 2023</v>
      </c>
      <c r="G27" s="33"/>
      <c r="H27" s="36" t="str">
        <f>IFERROR(__xludf.DUMMYFUNCTION("QUERY(campaign_dataDump!$A$1:$AF$196,""SELECT AVG(X) WHERE AF= """"""&amp;K2&amp;""""""  LABEL AVG(X) 'Average A2C Quantity'"")"),"Average A2C Quantity")</f>
        <v>Average A2C Quantity</v>
      </c>
      <c r="K27" s="34"/>
      <c r="L27" s="31"/>
      <c r="M27" s="31"/>
      <c r="N27" s="10"/>
    </row>
    <row r="28" ht="15.75" customHeight="1">
      <c r="A28" s="10"/>
      <c r="B28" s="31"/>
      <c r="C28" s="31"/>
      <c r="D28" s="10"/>
      <c r="F28" s="35">
        <f>IFERROR(__xludf.DUMMYFUNCTION("""COMPUTED_VALUE"""),1141.672131147541)</f>
        <v>1141.672131</v>
      </c>
      <c r="G28" s="33"/>
      <c r="H28" s="37">
        <f>IFERROR(__xludf.DUMMYFUNCTION("""COMPUTED_VALUE"""),3607.2950819672133)</f>
        <v>3607.295082</v>
      </c>
      <c r="K28" s="34"/>
      <c r="L28" s="31"/>
      <c r="M28" s="31"/>
      <c r="N28" s="10"/>
    </row>
    <row r="29" ht="15.75" customHeight="1">
      <c r="A29" s="10"/>
      <c r="B29" s="31"/>
      <c r="C29" s="31"/>
      <c r="D29" s="10"/>
      <c r="K29" s="34"/>
      <c r="L29" s="31"/>
      <c r="M29" s="31"/>
      <c r="N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A48" s="29" t="str">
        <f>IFERROR(__xludf.DUMMYFUNCTION("QUERY(campaign_dataDump!$A$1:$AF$200,""SELECT A,SUM(I),SUM(K),SUM(J) WHERE AF= """"""&amp;K2&amp;"""""" GROUP BY A LABEL SUM(I) 'Items_2023', SUM(K) 'Items_2022',SUM(J) 'Targets' "")"),"Date")</f>
        <v>Date</v>
      </c>
      <c r="B48" s="29" t="str">
        <f>IFERROR(__xludf.DUMMYFUNCTION("""COMPUTED_VALUE"""),"Items_2023")</f>
        <v>Items_2023</v>
      </c>
      <c r="C48" s="29" t="str">
        <f>IFERROR(__xludf.DUMMYFUNCTION("""COMPUTED_VALUE"""),"Items_2022")</f>
        <v>Items_2022</v>
      </c>
      <c r="D48" s="29" t="str">
        <f>IFERROR(__xludf.DUMMYFUNCTION("""COMPUTED_VALUE"""),"Targets")</f>
        <v>Targets</v>
      </c>
      <c r="K48" s="29" t="str">
        <f>IFERROR(__xludf.DUMMYFUNCTION("QUERY(campaign_dataDump!$A$1:$AF$200,""SELECT A,SUM(L),SUM(N),SUM(M) WHERE AF= """"""&amp;K2&amp;"""""" GROUP BY A  LABEL SUM(L) 'Buyers_2023', SUM(N) 'Buyers_2022',SUM(M) 'Targets' "")"),"Date")</f>
        <v>Date</v>
      </c>
      <c r="L48" s="29" t="str">
        <f>IFERROR(__xludf.DUMMYFUNCTION("""COMPUTED_VALUE"""),"Buyers_2023")</f>
        <v>Buyers_2023</v>
      </c>
      <c r="M48" s="29" t="str">
        <f>IFERROR(__xludf.DUMMYFUNCTION("""COMPUTED_VALUE"""),"Buyers_2022")</f>
        <v>Buyers_2022</v>
      </c>
      <c r="N48" s="29" t="str">
        <f>IFERROR(__xludf.DUMMYFUNCTION("""COMPUTED_VALUE"""),"Targets")</f>
        <v>Targets</v>
      </c>
    </row>
    <row r="49" ht="15.75" customHeight="1">
      <c r="A49" s="34">
        <f>IFERROR(__xludf.DUMMYFUNCTION("""COMPUTED_VALUE"""),44991.0)</f>
        <v>44991</v>
      </c>
      <c r="B49" s="31">
        <f>IFERROR(__xludf.DUMMYFUNCTION("""COMPUTED_VALUE"""),3315.0)</f>
        <v>3315</v>
      </c>
      <c r="C49" s="31">
        <f>IFERROR(__xludf.DUMMYFUNCTION("""COMPUTED_VALUE"""),3732.0)</f>
        <v>3732</v>
      </c>
      <c r="D49" s="10">
        <f>IFERROR(__xludf.DUMMYFUNCTION("""COMPUTED_VALUE"""),2650.0)</f>
        <v>2650</v>
      </c>
      <c r="F49" s="32" t="str">
        <f>IFERROR(__xludf.DUMMYFUNCTION("QUERY(campaign_dataDump!$A$1:$AF$200,""SELECT SUM(AC) WHERE AF= """"""&amp;K2&amp;""""""  LABEL SUM(AC) 'Total Product Sold 2023'"")"),"Total Product Sold 2023")</f>
        <v>Total Product Sold 2023</v>
      </c>
      <c r="G49" s="33"/>
      <c r="H49" s="32" t="str">
        <f>IFERROR(__xludf.DUMMYFUNCTION("QUERY(campaign_dataDump!$A$1:$AF$196,""SELECT SUM(AD) WHERE AF= """"""&amp;K2&amp;""""""  LABEL SUM(AD) 'Total OOS Product 2023'"")"),"Total OOS Product 2023")</f>
        <v>Total OOS Product 2023</v>
      </c>
      <c r="I49" s="33"/>
      <c r="K49" s="34">
        <f>IFERROR(__xludf.DUMMYFUNCTION("""COMPUTED_VALUE"""),44991.0)</f>
        <v>44991</v>
      </c>
      <c r="L49" s="31">
        <f>IFERROR(__xludf.DUMMYFUNCTION("""COMPUTED_VALUE"""),2129.0)</f>
        <v>2129</v>
      </c>
      <c r="M49" s="31">
        <f>IFERROR(__xludf.DUMMYFUNCTION("""COMPUTED_VALUE"""),1875.0)</f>
        <v>1875</v>
      </c>
      <c r="N49" s="10">
        <f>IFERROR(__xludf.DUMMYFUNCTION("""COMPUTED_VALUE"""),2114.0)</f>
        <v>2114</v>
      </c>
    </row>
    <row r="50" ht="15.75" customHeight="1">
      <c r="A50" s="34">
        <f>IFERROR(__xludf.DUMMYFUNCTION("""COMPUTED_VALUE"""),44992.0)</f>
        <v>44992</v>
      </c>
      <c r="B50" s="31">
        <f>IFERROR(__xludf.DUMMYFUNCTION("""COMPUTED_VALUE"""),3820.0)</f>
        <v>3820</v>
      </c>
      <c r="C50" s="31">
        <f>IFERROR(__xludf.DUMMYFUNCTION("""COMPUTED_VALUE"""),3886.0)</f>
        <v>3886</v>
      </c>
      <c r="D50" s="10">
        <f>IFERROR(__xludf.DUMMYFUNCTION("""COMPUTED_VALUE"""),3641.0)</f>
        <v>3641</v>
      </c>
      <c r="F50" s="35">
        <f>IFERROR(__xludf.DUMMYFUNCTION("""COMPUTED_VALUE"""),16277.0)</f>
        <v>16277</v>
      </c>
      <c r="G50" s="33"/>
      <c r="H50" s="35">
        <f>IFERROR(__xludf.DUMMYFUNCTION("""COMPUTED_VALUE"""),210.0)</f>
        <v>210</v>
      </c>
      <c r="I50" s="33"/>
      <c r="K50" s="34">
        <f>IFERROR(__xludf.DUMMYFUNCTION("""COMPUTED_VALUE"""),44992.0)</f>
        <v>44992</v>
      </c>
      <c r="L50" s="31">
        <f>IFERROR(__xludf.DUMMYFUNCTION("""COMPUTED_VALUE"""),2277.0)</f>
        <v>2277</v>
      </c>
      <c r="M50" s="31">
        <f>IFERROR(__xludf.DUMMYFUNCTION("""COMPUTED_VALUE"""),2021.0)</f>
        <v>2021</v>
      </c>
      <c r="N50" s="10">
        <f>IFERROR(__xludf.DUMMYFUNCTION("""COMPUTED_VALUE"""),2428.0)</f>
        <v>2428</v>
      </c>
    </row>
    <row r="51" ht="15.75" customHeight="1">
      <c r="A51" s="34">
        <f>IFERROR(__xludf.DUMMYFUNCTION("""COMPUTED_VALUE"""),44993.0)</f>
        <v>44993</v>
      </c>
      <c r="B51" s="31">
        <f>IFERROR(__xludf.DUMMYFUNCTION("""COMPUTED_VALUE"""),4592.0)</f>
        <v>4592</v>
      </c>
      <c r="C51" s="31">
        <f>IFERROR(__xludf.DUMMYFUNCTION("""COMPUTED_VALUE"""),4417.0)</f>
        <v>4417</v>
      </c>
      <c r="D51" s="10">
        <f>IFERROR(__xludf.DUMMYFUNCTION("""COMPUTED_VALUE"""),3798.0)</f>
        <v>3798</v>
      </c>
      <c r="K51" s="34">
        <f>IFERROR(__xludf.DUMMYFUNCTION("""COMPUTED_VALUE"""),44993.0)</f>
        <v>44993</v>
      </c>
      <c r="L51" s="31">
        <f>IFERROR(__xludf.DUMMYFUNCTION("""COMPUTED_VALUE"""),2591.0)</f>
        <v>2591</v>
      </c>
      <c r="M51" s="31">
        <f>IFERROR(__xludf.DUMMYFUNCTION("""COMPUTED_VALUE"""),2148.0)</f>
        <v>2148</v>
      </c>
      <c r="N51" s="10">
        <f>IFERROR(__xludf.DUMMYFUNCTION("""COMPUTED_VALUE"""),2562.0)</f>
        <v>2562</v>
      </c>
    </row>
    <row r="52" ht="15.75" customHeight="1">
      <c r="A52" s="34">
        <f>IFERROR(__xludf.DUMMYFUNCTION("""COMPUTED_VALUE"""),44994.0)</f>
        <v>44994</v>
      </c>
      <c r="B52" s="31">
        <f>IFERROR(__xludf.DUMMYFUNCTION("""COMPUTED_VALUE"""),4202.0)</f>
        <v>4202</v>
      </c>
      <c r="C52" s="31">
        <f>IFERROR(__xludf.DUMMYFUNCTION("""COMPUTED_VALUE"""),4152.0)</f>
        <v>4152</v>
      </c>
      <c r="D52" s="10">
        <f>IFERROR(__xludf.DUMMYFUNCTION("""COMPUTED_VALUE"""),3656.0)</f>
        <v>3656</v>
      </c>
      <c r="G52" s="32" t="str">
        <f>IFERROR(__xludf.DUMMYFUNCTION("QUERY(campaign_dataDump!$A$1:$AF$196,""SELECT SUM(Z) WHERE AF= """"""&amp;K2&amp;""""""  LABEL SUM(Z) 'Total Visible Products 2023'"")"),"Total Visible Products 2023")</f>
        <v>Total Visible Products 2023</v>
      </c>
      <c r="H52" s="33"/>
      <c r="K52" s="34">
        <f>IFERROR(__xludf.DUMMYFUNCTION("""COMPUTED_VALUE"""),44994.0)</f>
        <v>44994</v>
      </c>
      <c r="L52" s="31">
        <f>IFERROR(__xludf.DUMMYFUNCTION("""COMPUTED_VALUE"""),2435.0)</f>
        <v>2435</v>
      </c>
      <c r="M52" s="31">
        <f>IFERROR(__xludf.DUMMYFUNCTION("""COMPUTED_VALUE"""),2065.0)</f>
        <v>2065</v>
      </c>
      <c r="N52" s="10">
        <f>IFERROR(__xludf.DUMMYFUNCTION("""COMPUTED_VALUE"""),2466.0)</f>
        <v>2466</v>
      </c>
    </row>
    <row r="53" ht="15.75" customHeight="1">
      <c r="A53" s="34">
        <f>IFERROR(__xludf.DUMMYFUNCTION("""COMPUTED_VALUE"""),44995.0)</f>
        <v>44995</v>
      </c>
      <c r="B53" s="31">
        <f>IFERROR(__xludf.DUMMYFUNCTION("""COMPUTED_VALUE"""),4003.0)</f>
        <v>4003</v>
      </c>
      <c r="C53" s="31">
        <f>IFERROR(__xludf.DUMMYFUNCTION("""COMPUTED_VALUE"""),4036.0)</f>
        <v>4036</v>
      </c>
      <c r="D53" s="10">
        <f>IFERROR(__xludf.DUMMYFUNCTION("""COMPUTED_VALUE"""),3505.0)</f>
        <v>3505</v>
      </c>
      <c r="G53" s="35">
        <f>IFERROR(__xludf.DUMMYFUNCTION("""COMPUTED_VALUE"""),2100337.0)</f>
        <v>2100337</v>
      </c>
      <c r="H53" s="33"/>
      <c r="K53" s="34">
        <f>IFERROR(__xludf.DUMMYFUNCTION("""COMPUTED_VALUE"""),44995.0)</f>
        <v>44995</v>
      </c>
      <c r="L53" s="31">
        <f>IFERROR(__xludf.DUMMYFUNCTION("""COMPUTED_VALUE"""),2307.0)</f>
        <v>2307</v>
      </c>
      <c r="M53" s="31">
        <f>IFERROR(__xludf.DUMMYFUNCTION("""COMPUTED_VALUE"""),2244.0)</f>
        <v>2244</v>
      </c>
      <c r="N53" s="10">
        <f>IFERROR(__xludf.DUMMYFUNCTION("""COMPUTED_VALUE"""),2344.0)</f>
        <v>2344</v>
      </c>
    </row>
    <row r="54" ht="15.75" customHeight="1">
      <c r="A54" s="34">
        <f>IFERROR(__xludf.DUMMYFUNCTION("""COMPUTED_VALUE"""),44996.0)</f>
        <v>44996</v>
      </c>
      <c r="B54" s="31">
        <f>IFERROR(__xludf.DUMMYFUNCTION("""COMPUTED_VALUE"""),3219.0)</f>
        <v>3219</v>
      </c>
      <c r="C54" s="31">
        <f>IFERROR(__xludf.DUMMYFUNCTION("""COMPUTED_VALUE"""),3103.0)</f>
        <v>3103</v>
      </c>
      <c r="D54" s="10">
        <f>IFERROR(__xludf.DUMMYFUNCTION("""COMPUTED_VALUE"""),3272.0)</f>
        <v>3272</v>
      </c>
      <c r="K54" s="34">
        <f>IFERROR(__xludf.DUMMYFUNCTION("""COMPUTED_VALUE"""),44996.0)</f>
        <v>44996</v>
      </c>
      <c r="L54" s="31">
        <f>IFERROR(__xludf.DUMMYFUNCTION("""COMPUTED_VALUE"""),1961.0)</f>
        <v>1961</v>
      </c>
      <c r="M54" s="31">
        <f>IFERROR(__xludf.DUMMYFUNCTION("""COMPUTED_VALUE"""),1620.0)</f>
        <v>1620</v>
      </c>
      <c r="N54" s="10">
        <f>IFERROR(__xludf.DUMMYFUNCTION("""COMPUTED_VALUE"""),2092.0)</f>
        <v>2092</v>
      </c>
    </row>
    <row r="55" ht="15.75" customHeight="1">
      <c r="A55" s="34">
        <f>IFERROR(__xludf.DUMMYFUNCTION("""COMPUTED_VALUE"""),44997.0)</f>
        <v>44997</v>
      </c>
      <c r="B55" s="31">
        <f>IFERROR(__xludf.DUMMYFUNCTION("""COMPUTED_VALUE"""),4513.0)</f>
        <v>4513</v>
      </c>
      <c r="C55" s="31">
        <f>IFERROR(__xludf.DUMMYFUNCTION("""COMPUTED_VALUE"""),2964.0)</f>
        <v>2964</v>
      </c>
      <c r="D55" s="10">
        <f>IFERROR(__xludf.DUMMYFUNCTION("""COMPUTED_VALUE"""),3724.0)</f>
        <v>3724</v>
      </c>
      <c r="F55" s="32" t="str">
        <f>IFERROR(__xludf.DUMMYFUNCTION("QUERY(campaign_dataDump!$A$1:$AF$196,""SELECT SUM(AA) WHERE AF= """"""&amp;K2&amp;""""""  LABEL SUM(AA) 'Total Purchasable Products 2023'"")"),"Total Purchasable Products 2023")</f>
        <v>Total Purchasable Products 2023</v>
      </c>
      <c r="G55" s="33"/>
      <c r="H55" s="32" t="str">
        <f>IFERROR(__xludf.DUMMYFUNCTION("QUERY(campaign_dataDump!$A$1:$AF$196,""SELECT SUM(AE) WHERE AF= """"""&amp;K2&amp;""""""  LABEL SUM(AE) 'Total SOLD FBD PRODUCTS 2023'"")"),"Total SOLD FBD PRODUCTS 2023")</f>
        <v>Total SOLD FBD PRODUCTS 2023</v>
      </c>
      <c r="I55" s="33"/>
      <c r="K55" s="34">
        <f>IFERROR(__xludf.DUMMYFUNCTION("""COMPUTED_VALUE"""),44997.0)</f>
        <v>44997</v>
      </c>
      <c r="L55" s="31">
        <f>IFERROR(__xludf.DUMMYFUNCTION("""COMPUTED_VALUE"""),2627.0)</f>
        <v>2627</v>
      </c>
      <c r="M55" s="31">
        <f>IFERROR(__xludf.DUMMYFUNCTION("""COMPUTED_VALUE"""),2010.0)</f>
        <v>2010</v>
      </c>
      <c r="N55" s="10">
        <f>IFERROR(__xludf.DUMMYFUNCTION("""COMPUTED_VALUE"""),2513.0)</f>
        <v>2513</v>
      </c>
    </row>
    <row r="56" ht="15.75" customHeight="1">
      <c r="A56" s="34"/>
      <c r="B56" s="31"/>
      <c r="C56" s="31"/>
      <c r="D56" s="10"/>
      <c r="F56" s="35">
        <f>IFERROR(__xludf.DUMMYFUNCTION("""COMPUTED_VALUE"""),2089039.0)</f>
        <v>2089039</v>
      </c>
      <c r="G56" s="33"/>
      <c r="H56" s="35">
        <f>IFERROR(__xludf.DUMMYFUNCTION("""COMPUTED_VALUE"""),4674.0)</f>
        <v>4674</v>
      </c>
      <c r="I56" s="33"/>
      <c r="K56" s="34"/>
      <c r="L56" s="31"/>
      <c r="M56" s="31"/>
      <c r="N56" s="10"/>
    </row>
    <row r="57" ht="15.75" customHeight="1">
      <c r="A57" s="34"/>
      <c r="B57" s="31"/>
      <c r="C57" s="31"/>
      <c r="D57" s="10"/>
      <c r="K57" s="34"/>
      <c r="L57" s="31"/>
      <c r="M57" s="31"/>
      <c r="N57" s="10"/>
    </row>
    <row r="58" ht="15.75" customHeight="1">
      <c r="A58" s="34"/>
      <c r="B58" s="31"/>
      <c r="C58" s="31"/>
      <c r="D58" s="10"/>
      <c r="K58" s="34"/>
      <c r="L58" s="31"/>
      <c r="M58" s="31"/>
      <c r="N58" s="1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>
      <c r="B126" s="28" t="str">
        <f>IFERROR(__xludf.DUMMYFUNCTION("QUERY(campaign_dataDump!$A$1:$AF$200,""SELECT A,AVG(Q),AVG(R) WHERE AF= """"""&amp;K2&amp;"""""" GROUP BY A LABEL AVG(Q) 'AIV_2023', AVG(R) 'AIV_2022' "")"),"Date")</f>
        <v>Date</v>
      </c>
      <c r="C126" s="1" t="str">
        <f>IFERROR(__xludf.DUMMYFUNCTION("""COMPUTED_VALUE"""),"AIV_2023")</f>
        <v>AIV_2023</v>
      </c>
      <c r="D126" s="1" t="str">
        <f>IFERROR(__xludf.DUMMYFUNCTION("""COMPUTED_VALUE"""),"AIV_2022")</f>
        <v>AIV_2022</v>
      </c>
    </row>
    <row r="127" ht="15.75" customHeight="1">
      <c r="B127" s="2">
        <f>IFERROR(__xludf.DUMMYFUNCTION("""COMPUTED_VALUE"""),44991.0)</f>
        <v>44991</v>
      </c>
      <c r="C127" s="1">
        <f>IFERROR(__xludf.DUMMYFUNCTION("""COMPUTED_VALUE"""),6.950872)</f>
        <v>6.950872</v>
      </c>
      <c r="D127" s="1">
        <f>IFERROR(__xludf.DUMMYFUNCTION("""COMPUTED_VALUE"""),7.219946666666666)</f>
        <v>7.219946667</v>
      </c>
    </row>
    <row r="128" ht="15.75" customHeight="1">
      <c r="B128" s="2">
        <f>IFERROR(__xludf.DUMMYFUNCTION("""COMPUTED_VALUE"""),44992.0)</f>
        <v>44992</v>
      </c>
      <c r="C128" s="1">
        <f>IFERROR(__xludf.DUMMYFUNCTION("""COMPUTED_VALUE"""),7.266954444444445)</f>
        <v>7.266954444</v>
      </c>
      <c r="D128" s="1">
        <f>IFERROR(__xludf.DUMMYFUNCTION("""COMPUTED_VALUE"""),7.2005302222222225)</f>
        <v>7.200530222</v>
      </c>
    </row>
    <row r="129" ht="15.75" customHeight="1">
      <c r="B129" s="2">
        <f>IFERROR(__xludf.DUMMYFUNCTION("""COMPUTED_VALUE"""),44993.0)</f>
        <v>44993</v>
      </c>
      <c r="C129" s="1">
        <f>IFERROR(__xludf.DUMMYFUNCTION("""COMPUTED_VALUE"""),6.598538555555554)</f>
        <v>6.598538556</v>
      </c>
      <c r="D129" s="1">
        <f>IFERROR(__xludf.DUMMYFUNCTION("""COMPUTED_VALUE"""),7.53618911111111)</f>
        <v>7.536189111</v>
      </c>
    </row>
    <row r="130" ht="15.75" customHeight="1">
      <c r="B130" s="2">
        <f>IFERROR(__xludf.DUMMYFUNCTION("""COMPUTED_VALUE"""),44994.0)</f>
        <v>44994</v>
      </c>
      <c r="C130" s="1">
        <f>IFERROR(__xludf.DUMMYFUNCTION("""COMPUTED_VALUE"""),6.564555666666667)</f>
        <v>6.564555667</v>
      </c>
      <c r="D130" s="1">
        <f>IFERROR(__xludf.DUMMYFUNCTION("""COMPUTED_VALUE"""),6.762046555555555)</f>
        <v>6.762046556</v>
      </c>
    </row>
    <row r="131" ht="15.75" customHeight="1">
      <c r="B131" s="2">
        <f>IFERROR(__xludf.DUMMYFUNCTION("""COMPUTED_VALUE"""),44995.0)</f>
        <v>44995</v>
      </c>
      <c r="C131" s="1">
        <f>IFERROR(__xludf.DUMMYFUNCTION("""COMPUTED_VALUE"""),6.81072475)</f>
        <v>6.81072475</v>
      </c>
      <c r="D131" s="1">
        <f>IFERROR(__xludf.DUMMYFUNCTION("""COMPUTED_VALUE"""),7.9298378750000005)</f>
        <v>7.929837875</v>
      </c>
    </row>
    <row r="132" ht="15.75" customHeight="1">
      <c r="B132" s="2">
        <f>IFERROR(__xludf.DUMMYFUNCTION("""COMPUTED_VALUE"""),44996.0)</f>
        <v>44996</v>
      </c>
      <c r="C132" s="1">
        <f>IFERROR(__xludf.DUMMYFUNCTION("""COMPUTED_VALUE"""),5.975704)</f>
        <v>5.975704</v>
      </c>
      <c r="D132" s="1">
        <f>IFERROR(__xludf.DUMMYFUNCTION("""COMPUTED_VALUE"""),6.816478)</f>
        <v>6.816478</v>
      </c>
    </row>
    <row r="133" ht="15.75" customHeight="1">
      <c r="B133" s="2">
        <f>IFERROR(__xludf.DUMMYFUNCTION("""COMPUTED_VALUE"""),44997.0)</f>
        <v>44997</v>
      </c>
      <c r="C133" s="1">
        <f>IFERROR(__xludf.DUMMYFUNCTION("""COMPUTED_VALUE"""),6.583944555555555)</f>
        <v>6.583944556</v>
      </c>
      <c r="D133" s="1">
        <f>IFERROR(__xludf.DUMMYFUNCTION("""COMPUTED_VALUE"""),7.874676444444445)</f>
        <v>7.874676444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>
      <c r="A987" s="1" t="str">
        <f>IFERROR(__xludf.DUMMYFUNCTION("QUERY(campaign_dataDump!$A$1:$AF$200,""SELECT A,AVG(O),AVG(P) WHERE AF= """"""&amp;K2&amp;"""""" GROUP BY A LABEL AVG(O) 'AIV_2023', AVG(P) 'AIV_2022' "")"),"Date")</f>
        <v>Date</v>
      </c>
      <c r="B987" s="1" t="str">
        <f>IFERROR(__xludf.DUMMYFUNCTION("""COMPUTED_VALUE"""),"AIV_2023")</f>
        <v>AIV_2023</v>
      </c>
      <c r="C987" s="1" t="str">
        <f>IFERROR(__xludf.DUMMYFUNCTION("""COMPUTED_VALUE"""),"AIV_2022")</f>
        <v>AIV_2022</v>
      </c>
    </row>
    <row r="988" ht="15.75" customHeight="1">
      <c r="A988" s="2">
        <f>IFERROR(__xludf.DUMMYFUNCTION("""COMPUTED_VALUE"""),44991.0)</f>
        <v>44991</v>
      </c>
      <c r="B988" s="38">
        <f>IFERROR(__xludf.DUMMYFUNCTION("""COMPUTED_VALUE"""),9.405124444444445)</f>
        <v>9.405124444</v>
      </c>
      <c r="C988" s="38">
        <f>IFERROR(__xludf.DUMMYFUNCTION("""COMPUTED_VALUE"""),10.270909666666666)</f>
        <v>10.27090967</v>
      </c>
    </row>
    <row r="989" ht="15.75" customHeight="1">
      <c r="A989" s="2">
        <f>IFERROR(__xludf.DUMMYFUNCTION("""COMPUTED_VALUE"""),44992.0)</f>
        <v>44992</v>
      </c>
      <c r="B989" s="38">
        <f>IFERROR(__xludf.DUMMYFUNCTION("""COMPUTED_VALUE"""),9.704607333333334)</f>
        <v>9.704607333</v>
      </c>
      <c r="C989" s="38">
        <f>IFERROR(__xludf.DUMMYFUNCTION("""COMPUTED_VALUE"""),9.788366888888888)</f>
        <v>9.788366889</v>
      </c>
    </row>
    <row r="990" ht="15.75" customHeight="1">
      <c r="A990" s="2">
        <f>IFERROR(__xludf.DUMMYFUNCTION("""COMPUTED_VALUE"""),44993.0)</f>
        <v>44993</v>
      </c>
      <c r="B990" s="38">
        <f>IFERROR(__xludf.DUMMYFUNCTION("""COMPUTED_VALUE"""),9.090428888888889)</f>
        <v>9.090428889</v>
      </c>
      <c r="C990" s="38">
        <f>IFERROR(__xludf.DUMMYFUNCTION("""COMPUTED_VALUE"""),10.15634811111111)</f>
        <v>10.15634811</v>
      </c>
    </row>
    <row r="991" ht="15.75" customHeight="1">
      <c r="A991" s="2">
        <f>IFERROR(__xludf.DUMMYFUNCTION("""COMPUTED_VALUE"""),44994.0)</f>
        <v>44994</v>
      </c>
      <c r="B991" s="38">
        <f>IFERROR(__xludf.DUMMYFUNCTION("""COMPUTED_VALUE"""),9.173951111111112)</f>
        <v>9.173951111</v>
      </c>
      <c r="C991" s="38">
        <f>IFERROR(__xludf.DUMMYFUNCTION("""COMPUTED_VALUE"""),9.802364777777777)</f>
        <v>9.802364778</v>
      </c>
    </row>
    <row r="992" ht="15.75" customHeight="1">
      <c r="A992" s="2">
        <f>IFERROR(__xludf.DUMMYFUNCTION("""COMPUTED_VALUE"""),44995.0)</f>
        <v>44995</v>
      </c>
      <c r="B992" s="38">
        <f>IFERROR(__xludf.DUMMYFUNCTION("""COMPUTED_VALUE"""),9.772716124999999)</f>
        <v>9.772716125</v>
      </c>
      <c r="C992" s="38">
        <f>IFERROR(__xludf.DUMMYFUNCTION("""COMPUTED_VALUE"""),11.128406374999999)</f>
        <v>11.12840638</v>
      </c>
    </row>
    <row r="993" ht="15.75" customHeight="1">
      <c r="A993" s="2">
        <f>IFERROR(__xludf.DUMMYFUNCTION("""COMPUTED_VALUE"""),44996.0)</f>
        <v>44996</v>
      </c>
      <c r="B993" s="38">
        <f>IFERROR(__xludf.DUMMYFUNCTION("""COMPUTED_VALUE"""),8.664958875)</f>
        <v>8.664958875</v>
      </c>
      <c r="C993" s="38">
        <f>IFERROR(__xludf.DUMMYFUNCTION("""COMPUTED_VALUE"""),9.88064625)</f>
        <v>9.88064625</v>
      </c>
    </row>
    <row r="994" ht="15.75" customHeight="1">
      <c r="A994" s="2">
        <f>IFERROR(__xludf.DUMMYFUNCTION("""COMPUTED_VALUE"""),44997.0)</f>
        <v>44997</v>
      </c>
      <c r="B994" s="38">
        <f>IFERROR(__xludf.DUMMYFUNCTION("""COMPUTED_VALUE"""),9.182682)</f>
        <v>9.182682</v>
      </c>
      <c r="C994" s="38">
        <f>IFERROR(__xludf.DUMMYFUNCTION("""COMPUTED_VALUE"""),10.074896222222224)</f>
        <v>10.07489622</v>
      </c>
    </row>
    <row r="995" ht="15.75" customHeight="1">
      <c r="B995" s="38"/>
      <c r="C995" s="38"/>
    </row>
    <row r="996" ht="15.75" customHeight="1">
      <c r="B996" s="38"/>
      <c r="C996" s="38"/>
    </row>
    <row r="997" ht="15.75" customHeight="1">
      <c r="B997" s="38"/>
      <c r="C997" s="38"/>
    </row>
    <row r="998" ht="15.75" customHeight="1"/>
    <row r="999" ht="15.75" customHeight="1"/>
    <row r="1000" ht="15.75" customHeight="1"/>
  </sheetData>
  <mergeCells count="21">
    <mergeCell ref="A1:D3"/>
    <mergeCell ref="G1:H1"/>
    <mergeCell ref="J1:K1"/>
    <mergeCell ref="F20:G20"/>
    <mergeCell ref="H20:I20"/>
    <mergeCell ref="F21:G21"/>
    <mergeCell ref="H21:I21"/>
    <mergeCell ref="H50:I50"/>
    <mergeCell ref="G52:H52"/>
    <mergeCell ref="G53:H53"/>
    <mergeCell ref="F55:G55"/>
    <mergeCell ref="H55:I55"/>
    <mergeCell ref="F56:G56"/>
    <mergeCell ref="H56:I56"/>
    <mergeCell ref="F27:G27"/>
    <mergeCell ref="H27:I27"/>
    <mergeCell ref="F28:G28"/>
    <mergeCell ref="H28:I28"/>
    <mergeCell ref="F49:G49"/>
    <mergeCell ref="H49:I49"/>
    <mergeCell ref="F50:G50"/>
  </mergeCells>
  <dataValidations>
    <dataValidation type="list" allowBlank="1" showErrorMessage="1" sqref="K2">
      <formula1>DropDowns!$E$2:$E$6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6" width="12.63"/>
  </cols>
  <sheetData>
    <row r="1" ht="15.75" customHeight="1">
      <c r="A1" s="39" t="s">
        <v>69</v>
      </c>
      <c r="C1" s="39" t="s">
        <v>32</v>
      </c>
      <c r="E1" s="39" t="s">
        <v>62</v>
      </c>
    </row>
    <row r="2" ht="15.75" customHeight="1">
      <c r="A2" s="1" t="s">
        <v>9</v>
      </c>
      <c r="C2" s="34">
        <v>44962.0</v>
      </c>
      <c r="E2" s="1" t="s">
        <v>63</v>
      </c>
    </row>
    <row r="3" ht="15.75" customHeight="1">
      <c r="A3" s="1" t="s">
        <v>19</v>
      </c>
      <c r="C3" s="34">
        <v>44963.0</v>
      </c>
      <c r="E3" s="1" t="s">
        <v>15</v>
      </c>
    </row>
    <row r="4" ht="15.75" customHeight="1">
      <c r="A4" s="1" t="s">
        <v>10</v>
      </c>
      <c r="C4" s="34">
        <v>44964.0</v>
      </c>
      <c r="E4" s="1" t="s">
        <v>66</v>
      </c>
    </row>
    <row r="5" ht="15.75" customHeight="1">
      <c r="A5" s="1" t="s">
        <v>31</v>
      </c>
      <c r="C5" s="34">
        <v>44965.0</v>
      </c>
      <c r="E5" s="1" t="s">
        <v>17</v>
      </c>
    </row>
    <row r="6" ht="15.75" customHeight="1">
      <c r="A6" s="1" t="s">
        <v>17</v>
      </c>
      <c r="C6" s="34">
        <v>44966.0</v>
      </c>
      <c r="E6" s="1" t="s">
        <v>64</v>
      </c>
    </row>
    <row r="7" ht="15.75" customHeight="1">
      <c r="A7" s="1" t="s">
        <v>12</v>
      </c>
      <c r="C7" s="34">
        <v>44967.0</v>
      </c>
    </row>
    <row r="8" ht="15.75" customHeight="1">
      <c r="A8" s="1" t="s">
        <v>30</v>
      </c>
      <c r="C8" s="34">
        <v>44968.0</v>
      </c>
    </row>
    <row r="9" ht="15.75" customHeight="1">
      <c r="A9" s="1" t="s">
        <v>74</v>
      </c>
      <c r="C9" s="34">
        <v>44969.0</v>
      </c>
    </row>
    <row r="10" ht="15.75" customHeight="1">
      <c r="A10" s="1" t="s">
        <v>28</v>
      </c>
      <c r="C10" s="34">
        <v>44970.0</v>
      </c>
    </row>
    <row r="11" ht="15.75" customHeight="1">
      <c r="A11" s="1" t="s">
        <v>27</v>
      </c>
      <c r="C11" s="34">
        <v>44971.0</v>
      </c>
    </row>
    <row r="12" ht="15.75" customHeight="1">
      <c r="A12" s="1" t="s">
        <v>20</v>
      </c>
    </row>
    <row r="13" ht="15.75" customHeight="1">
      <c r="A13" s="1" t="s">
        <v>25</v>
      </c>
    </row>
    <row r="14" ht="15.75" customHeight="1">
      <c r="A14" s="1" t="s">
        <v>15</v>
      </c>
    </row>
    <row r="15" ht="15.75" customHeight="1">
      <c r="A15" s="1" t="s">
        <v>16</v>
      </c>
    </row>
    <row r="16" ht="15.75" customHeight="1">
      <c r="A16" s="1" t="s">
        <v>14</v>
      </c>
    </row>
    <row r="17" ht="15.75" customHeight="1">
      <c r="A17" s="1" t="s">
        <v>24</v>
      </c>
    </row>
    <row r="18" ht="15.75" customHeight="1">
      <c r="A18" s="1" t="s">
        <v>21</v>
      </c>
    </row>
    <row r="19" ht="15.75" customHeight="1">
      <c r="A19" s="1" t="s">
        <v>22</v>
      </c>
    </row>
    <row r="20" ht="15.75" customHeight="1">
      <c r="A20" s="1" t="s">
        <v>8</v>
      </c>
    </row>
    <row r="21" ht="15.75" customHeight="1">
      <c r="A21" s="1" t="s">
        <v>11</v>
      </c>
    </row>
    <row r="22" ht="15.75" customHeight="1">
      <c r="A22" s="1" t="s">
        <v>23</v>
      </c>
    </row>
    <row r="23" ht="15.75" customHeight="1">
      <c r="A23" s="1" t="s">
        <v>26</v>
      </c>
    </row>
    <row r="24" ht="15.75" customHeight="1">
      <c r="A24" s="1" t="s">
        <v>29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69</v>
      </c>
      <c r="B1" s="1" t="s">
        <v>10</v>
      </c>
    </row>
    <row r="2" ht="15.75" customHeight="1"/>
    <row r="3" ht="15.75" customHeight="1"/>
    <row r="4" ht="15.75" customHeight="1"/>
    <row r="5" ht="15.75" customHeight="1">
      <c r="J5" s="40" t="s">
        <v>75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5:J8"/>
  </mergeCells>
  <dataValidations>
    <dataValidation type="list" allowBlank="1" showErrorMessage="1" sqref="B1">
      <formula1>DropDowns!$A$2:$A$24</formula1>
    </dataValidation>
  </dataValidations>
  <drawing r:id="rId1"/>
</worksheet>
</file>