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240" yWindow="90" windowWidth="18060" windowHeight="10875" activeTab="5"/>
  </bookViews>
  <sheets>
    <sheet name="Итоги" sheetId="13" r:id="rId1"/>
    <sheet name="Январь" sheetId="1" r:id="rId2"/>
    <sheet name="Сентябрь" sheetId="5" r:id="rId3"/>
    <sheet name="Октябрь" sheetId="4" r:id="rId4"/>
    <sheet name="Ноябрь" sheetId="2" r:id="rId5"/>
    <sheet name="Декабрь" sheetId="3" r:id="rId6"/>
  </sheets>
  <calcPr calcId="125725"/>
</workbook>
</file>

<file path=xl/calcChain.xml><?xml version="1.0" encoding="utf-8"?>
<calcChain xmlns="http://schemas.openxmlformats.org/spreadsheetml/2006/main">
  <c r="M20" i="3"/>
  <c r="G19"/>
  <c r="B19"/>
  <c r="C19"/>
  <c r="C20"/>
  <c r="B20"/>
  <c r="C13"/>
  <c r="C15"/>
  <c r="B15"/>
  <c r="G13"/>
  <c r="N13"/>
  <c r="P12"/>
  <c r="F12"/>
  <c r="B12"/>
  <c r="C12"/>
  <c r="F10"/>
  <c r="C11"/>
  <c r="C9"/>
  <c r="C10"/>
  <c r="N9"/>
  <c r="N33" s="1"/>
  <c r="C8"/>
  <c r="B7"/>
  <c r="N7"/>
  <c r="P7"/>
  <c r="C7"/>
  <c r="G7"/>
  <c r="F7"/>
  <c r="C6"/>
  <c r="N6"/>
  <c r="G6"/>
  <c r="K6"/>
  <c r="O5"/>
  <c r="C3"/>
  <c r="C5"/>
  <c r="L4"/>
  <c r="H4"/>
  <c r="C4"/>
  <c r="F3"/>
  <c r="P2"/>
  <c r="C2"/>
  <c r="H33"/>
  <c r="E33"/>
  <c r="F33"/>
  <c r="Q33"/>
  <c r="P33"/>
  <c r="L33"/>
  <c r="K33"/>
  <c r="O33"/>
  <c r="G33"/>
  <c r="B33"/>
  <c r="M31" i="2"/>
  <c r="F31"/>
  <c r="C31"/>
  <c r="L31"/>
  <c r="C28"/>
  <c r="F29"/>
  <c r="B29"/>
  <c r="M27"/>
  <c r="G28"/>
  <c r="K28"/>
  <c r="J28"/>
  <c r="F28"/>
  <c r="B28"/>
  <c r="C27"/>
  <c r="C26"/>
  <c r="N25"/>
  <c r="G25"/>
  <c r="F25"/>
  <c r="C25"/>
  <c r="B24"/>
  <c r="C23"/>
  <c r="M21"/>
  <c r="C21"/>
  <c r="B21"/>
  <c r="C19"/>
  <c r="N19"/>
  <c r="L20"/>
  <c r="C18"/>
  <c r="N18"/>
  <c r="O17"/>
  <c r="B17"/>
  <c r="N16"/>
  <c r="C16"/>
  <c r="B15"/>
  <c r="O15"/>
  <c r="Q14"/>
  <c r="P14"/>
  <c r="G14"/>
  <c r="C14"/>
  <c r="B14"/>
  <c r="C11"/>
  <c r="C10"/>
  <c r="C7"/>
  <c r="G7"/>
  <c r="O4"/>
  <c r="B5"/>
  <c r="O7"/>
  <c r="L7"/>
  <c r="K7"/>
  <c r="B7"/>
  <c r="B4"/>
  <c r="C6"/>
  <c r="C33" i="5"/>
  <c r="C4" i="2"/>
  <c r="G4"/>
  <c r="C5"/>
  <c r="G5"/>
  <c r="M3"/>
  <c r="N3"/>
  <c r="B3"/>
  <c r="O33"/>
  <c r="P33"/>
  <c r="H33"/>
  <c r="K33"/>
  <c r="Q33"/>
  <c r="L33"/>
  <c r="N33"/>
  <c r="G33"/>
  <c r="E33"/>
  <c r="F33"/>
  <c r="C33"/>
  <c r="C24" i="4"/>
  <c r="O32"/>
  <c r="M29"/>
  <c r="Q29"/>
  <c r="F29"/>
  <c r="G29"/>
  <c r="E29"/>
  <c r="B29"/>
  <c r="C27"/>
  <c r="C28"/>
  <c r="Q28"/>
  <c r="L28"/>
  <c r="B28"/>
  <c r="N26"/>
  <c r="O24"/>
  <c r="P24"/>
  <c r="B24"/>
  <c r="C23"/>
  <c r="B23"/>
  <c r="L15"/>
  <c r="Q21"/>
  <c r="L21"/>
  <c r="C22"/>
  <c r="F22"/>
  <c r="B22"/>
  <c r="G21"/>
  <c r="C21"/>
  <c r="B21"/>
  <c r="N21"/>
  <c r="F21"/>
  <c r="B33"/>
  <c r="Q20"/>
  <c r="K20"/>
  <c r="C20"/>
  <c r="C33" s="1"/>
  <c r="C19"/>
  <c r="P17"/>
  <c r="P18"/>
  <c r="H12"/>
  <c r="O18"/>
  <c r="M18"/>
  <c r="F18"/>
  <c r="C18"/>
  <c r="B18"/>
  <c r="F17"/>
  <c r="C17"/>
  <c r="C16"/>
  <c r="C15"/>
  <c r="N11"/>
  <c r="C11"/>
  <c r="G10"/>
  <c r="C10"/>
  <c r="K9"/>
  <c r="C9"/>
  <c r="Q8"/>
  <c r="B8"/>
  <c r="N7"/>
  <c r="C8"/>
  <c r="E33"/>
  <c r="F33"/>
  <c r="G33"/>
  <c r="H33"/>
  <c r="K33"/>
  <c r="L33"/>
  <c r="N33"/>
  <c r="O33"/>
  <c r="P33"/>
  <c r="Q33"/>
  <c r="L6"/>
  <c r="C6"/>
  <c r="N5"/>
  <c r="G4"/>
  <c r="E4"/>
  <c r="C4"/>
  <c r="B3"/>
  <c r="C3"/>
  <c r="C2"/>
  <c r="F2"/>
  <c r="B33" i="5"/>
  <c r="B32"/>
  <c r="C32"/>
  <c r="E32"/>
  <c r="F32"/>
  <c r="G32"/>
  <c r="H32"/>
  <c r="I32"/>
  <c r="L32"/>
  <c r="M32"/>
  <c r="N32"/>
  <c r="O32"/>
  <c r="P32"/>
  <c r="Q32"/>
  <c r="C31"/>
  <c r="C30"/>
  <c r="C29"/>
  <c r="B27"/>
  <c r="O27"/>
  <c r="C28"/>
  <c r="C25"/>
  <c r="C24"/>
  <c r="B24"/>
  <c r="C23"/>
  <c r="M21"/>
  <c r="C22"/>
  <c r="O20"/>
  <c r="C20"/>
  <c r="L19"/>
  <c r="Q18"/>
  <c r="M18"/>
  <c r="C18"/>
  <c r="B18"/>
  <c r="C17"/>
  <c r="C15"/>
  <c r="B12"/>
  <c r="O12"/>
  <c r="C12"/>
  <c r="C11"/>
  <c r="B10"/>
  <c r="B2"/>
  <c r="C10"/>
  <c r="Q9"/>
  <c r="C9"/>
  <c r="C8"/>
  <c r="Q5"/>
  <c r="C7"/>
  <c r="C6"/>
  <c r="L5"/>
  <c r="F4"/>
  <c r="L4"/>
  <c r="B3"/>
  <c r="Q2"/>
  <c r="F2"/>
  <c r="C2"/>
  <c r="G25" i="1"/>
  <c r="C25"/>
  <c r="C24"/>
  <c r="B37"/>
  <c r="I21"/>
  <c r="G23"/>
  <c r="E23"/>
  <c r="B22"/>
  <c r="G22"/>
  <c r="C22"/>
  <c r="G18"/>
  <c r="E18"/>
  <c r="C18"/>
  <c r="G17"/>
  <c r="L17"/>
  <c r="B17"/>
  <c r="C16"/>
  <c r="G16"/>
  <c r="G14"/>
  <c r="C14"/>
  <c r="G12"/>
  <c r="C11"/>
  <c r="E11"/>
  <c r="G9"/>
  <c r="G8"/>
  <c r="C8"/>
  <c r="M6"/>
  <c r="B35"/>
  <c r="D35"/>
  <c r="F35"/>
  <c r="G35"/>
  <c r="E35"/>
  <c r="C35"/>
  <c r="J35"/>
  <c r="I35"/>
  <c r="M35"/>
  <c r="N35"/>
  <c r="O35"/>
  <c r="L35"/>
  <c r="P35"/>
  <c r="H35"/>
  <c r="Q35"/>
  <c r="K35"/>
  <c r="R35"/>
  <c r="S35"/>
  <c r="T35"/>
  <c r="U35"/>
  <c r="V35"/>
  <c r="W35"/>
  <c r="X35"/>
  <c r="Y35"/>
  <c r="B36"/>
  <c r="B38"/>
  <c r="C33" i="3" l="1"/>
  <c r="B34" s="1"/>
  <c r="C34" s="1"/>
  <c r="B33" i="2"/>
  <c r="B34" s="1"/>
  <c r="C34" s="1"/>
  <c r="B34" i="4"/>
  <c r="C34" s="1"/>
</calcChain>
</file>

<file path=xl/comments1.xml><?xml version="1.0" encoding="utf-8"?>
<comments xmlns="http://schemas.openxmlformats.org/spreadsheetml/2006/main">
  <authors>
    <author>Gennadiy Alpaev</author>
  </authors>
  <commentList>
    <comment ref="I6" authorId="0">
      <text>
        <r>
          <rPr>
            <sz val="8"/>
            <color indexed="81"/>
            <rFont val="Tahoma"/>
            <charset val="204"/>
          </rPr>
          <t>DVD-RW</t>
        </r>
      </text>
    </comment>
    <comment ref="E9" authorId="0">
      <text>
        <r>
          <rPr>
            <sz val="8"/>
            <color indexed="81"/>
            <rFont val="Tahoma"/>
            <family val="2"/>
            <charset val="204"/>
          </rPr>
          <t>Слюни: лечение+такси</t>
        </r>
      </text>
    </comment>
    <comment ref="N9" authorId="0">
      <text>
        <r>
          <rPr>
            <b/>
            <sz val="8"/>
            <color indexed="81"/>
            <rFont val="Tahoma"/>
            <charset val="204"/>
          </rPr>
          <t>Блокнот</t>
        </r>
      </text>
    </comment>
    <comment ref="O10" authorId="0">
      <text>
        <r>
          <rPr>
            <sz val="8"/>
            <color indexed="81"/>
            <rFont val="Tahoma"/>
            <family val="2"/>
            <charset val="204"/>
          </rPr>
          <t>Пьянка с Инфоартом</t>
        </r>
      </text>
    </comment>
    <comment ref="P10" authorId="0">
      <text>
        <r>
          <rPr>
            <b/>
            <sz val="8"/>
            <color indexed="81"/>
            <rFont val="Tahoma"/>
            <charset val="204"/>
          </rPr>
          <t>Ciklum ДРы</t>
        </r>
      </text>
    </comment>
    <comment ref="P16" authorId="0">
      <text>
        <r>
          <rPr>
            <sz val="8"/>
            <color indexed="81"/>
            <rFont val="Tahoma"/>
            <charset val="204"/>
          </rPr>
          <t>Harry Potter books</t>
        </r>
      </text>
    </comment>
    <comment ref="I23" authorId="0">
      <text>
        <r>
          <rPr>
            <b/>
            <sz val="8"/>
            <color indexed="81"/>
            <rFont val="Tahoma"/>
            <charset val="204"/>
          </rPr>
          <t>пакет life+пополнение</t>
        </r>
      </text>
    </comment>
    <comment ref="I24" authorId="0">
      <text>
        <r>
          <rPr>
            <b/>
            <sz val="8"/>
            <color indexed="81"/>
            <rFont val="Tahoma"/>
            <charset val="204"/>
          </rPr>
          <t>пополнение счета лайф, утел</t>
        </r>
      </text>
    </comment>
  </commentList>
</comments>
</file>

<file path=xl/comments2.xml><?xml version="1.0" encoding="utf-8"?>
<comments xmlns="http://schemas.openxmlformats.org/spreadsheetml/2006/main">
  <authors>
    <author>genka</author>
  </authors>
  <commentList>
    <comment ref="B2" authorId="0">
      <text>
        <r>
          <rPr>
            <b/>
            <sz val="8"/>
            <color indexed="81"/>
            <rFont val="Tahoma"/>
            <charset val="1"/>
          </rPr>
          <t>парковочный талон</t>
        </r>
      </text>
    </comment>
    <comment ref="O2" authorId="0">
      <text>
        <r>
          <rPr>
            <b/>
            <sz val="8"/>
            <color indexed="81"/>
            <rFont val="Tahoma"/>
            <charset val="1"/>
          </rPr>
          <t>Отмечание свадьбы на работе</t>
        </r>
      </text>
    </comment>
    <comment ref="B5" authorId="0">
      <text>
        <r>
          <rPr>
            <b/>
            <sz val="8"/>
            <color indexed="81"/>
            <rFont val="Tahoma"/>
            <charset val="1"/>
          </rPr>
          <t>105 - бензин на вождение</t>
        </r>
      </text>
    </comment>
    <comment ref="L5" authorId="0">
      <text>
        <r>
          <rPr>
            <b/>
            <sz val="8"/>
            <color indexed="81"/>
            <rFont val="Tahoma"/>
            <charset val="1"/>
          </rPr>
          <t>50 - утел, 200 - инфоарт</t>
        </r>
      </text>
    </comment>
    <comment ref="O5" authorId="0">
      <text>
        <r>
          <rPr>
            <b/>
            <sz val="8"/>
            <color indexed="81"/>
            <rFont val="Tahoma"/>
            <charset val="1"/>
          </rPr>
          <t>Инфоарт</t>
        </r>
      </text>
    </comment>
    <comment ref="Q5" authorId="0">
      <text>
        <r>
          <rPr>
            <b/>
            <sz val="8"/>
            <color indexed="81"/>
            <rFont val="Tahoma"/>
            <charset val="1"/>
          </rPr>
          <t>вождение</t>
        </r>
      </text>
    </comment>
    <comment ref="Q7" authorId="0">
      <text>
        <r>
          <rPr>
            <b/>
            <sz val="8"/>
            <color indexed="81"/>
            <rFont val="Tahoma"/>
            <charset val="1"/>
          </rPr>
          <t>пианино</t>
        </r>
      </text>
    </comment>
    <comment ref="H9" authorId="0">
      <text>
        <r>
          <rPr>
            <b/>
            <sz val="8"/>
            <color indexed="81"/>
            <rFont val="Tahoma"/>
            <charset val="1"/>
          </rPr>
          <t>квартплата, т.Аня (нотариус)</t>
        </r>
      </text>
    </comment>
    <comment ref="Q9" authorId="0">
      <text>
        <r>
          <rPr>
            <b/>
            <sz val="8"/>
            <color indexed="81"/>
            <rFont val="Tahoma"/>
            <charset val="1"/>
          </rPr>
          <t>настройка пианино, школа</t>
        </r>
      </text>
    </comment>
    <comment ref="B10" authorId="0">
      <text>
        <r>
          <rPr>
            <b/>
            <sz val="8"/>
            <color indexed="81"/>
            <rFont val="Tahoma"/>
            <charset val="1"/>
          </rPr>
          <t>фонд фиеста клуба</t>
        </r>
      </text>
    </comment>
    <comment ref="N10" authorId="0">
      <text>
        <r>
          <rPr>
            <b/>
            <sz val="8"/>
            <color indexed="81"/>
            <rFont val="Tahoma"/>
            <charset val="1"/>
          </rPr>
          <t>против моли</t>
        </r>
      </text>
    </comment>
    <comment ref="P13" authorId="0">
      <text>
        <r>
          <rPr>
            <b/>
            <sz val="8"/>
            <color indexed="81"/>
            <rFont val="Tahoma"/>
            <charset val="1"/>
          </rPr>
          <t>картина (корзина, картонка и маленькая собачонка)</t>
        </r>
      </text>
    </comment>
    <comment ref="O16" authorId="0">
      <text>
        <r>
          <rPr>
            <b/>
            <sz val="8"/>
            <color indexed="81"/>
            <rFont val="Tahoma"/>
            <charset val="1"/>
          </rPr>
          <t>кони</t>
        </r>
      </text>
    </comment>
    <comment ref="L19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200 - интернет на корее, 36 - телефон</t>
        </r>
      </text>
    </comment>
    <comment ref="N19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лотерейки</t>
        </r>
      </text>
    </comment>
    <comment ref="O20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лошади+фиеста клуб</t>
        </r>
      </text>
    </comment>
    <comment ref="B27" authorId="0">
      <text>
        <r>
          <rPr>
            <b/>
            <sz val="8"/>
            <color indexed="81"/>
            <rFont val="Tahoma"/>
            <family val="2"/>
            <charset val="204"/>
          </rPr>
          <t>genka:</t>
        </r>
        <r>
          <rPr>
            <sz val="8"/>
            <color indexed="81"/>
            <rFont val="Tahoma"/>
            <family val="2"/>
            <charset val="204"/>
          </rPr>
          <t xml:space="preserve">
такси от Соколянских</t>
        </r>
      </text>
    </comment>
    <comment ref="N30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перевыпуск карточки</t>
        </r>
      </text>
    </comment>
    <comment ref="O30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тим-билдинг</t>
        </r>
      </text>
    </comment>
    <comment ref="Q30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лошади</t>
        </r>
      </text>
    </comment>
  </commentList>
</comments>
</file>

<file path=xl/comments3.xml><?xml version="1.0" encoding="utf-8"?>
<comments xmlns="http://schemas.openxmlformats.org/spreadsheetml/2006/main">
  <authors>
    <author>genka</author>
  </authors>
  <commentList>
    <comment ref="K2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сумочки</t>
        </r>
      </text>
    </comment>
    <comment ref="N2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стрижки</t>
        </r>
      </text>
    </comment>
    <comment ref="P2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на работе ДР</t>
        </r>
      </text>
    </comment>
    <comment ref="E4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филе+папе за котервин и т.п.</t>
        </r>
      </text>
    </comment>
    <comment ref="L4" authorId="0">
      <text>
        <r>
          <rPr>
            <b/>
            <sz val="8"/>
            <color indexed="81"/>
            <rFont val="Tahoma"/>
            <family val="2"/>
            <charset val="204"/>
          </rPr>
          <t>genka:</t>
        </r>
        <r>
          <rPr>
            <sz val="8"/>
            <color indexed="81"/>
            <rFont val="Tahoma"/>
            <family val="2"/>
            <charset val="204"/>
          </rPr>
          <t xml:space="preserve">
интернет корея</t>
        </r>
      </text>
    </comment>
    <comment ref="N5" authorId="0">
      <text>
        <r>
          <rPr>
            <b/>
            <sz val="8"/>
            <color indexed="81"/>
            <rFont val="Tahoma"/>
            <family val="2"/>
            <charset val="204"/>
          </rPr>
          <t>genka:</t>
        </r>
        <r>
          <rPr>
            <sz val="8"/>
            <color indexed="81"/>
            <rFont val="Tahoma"/>
            <family val="2"/>
            <charset val="204"/>
          </rPr>
          <t xml:space="preserve">
село</t>
        </r>
      </text>
    </comment>
    <comment ref="L6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утел+интернет</t>
        </r>
      </text>
    </comment>
    <comment ref="N7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ворота, замок, лампа</t>
        </r>
      </text>
    </comment>
    <comment ref="Q7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вождение</t>
        </r>
      </text>
    </comment>
    <comment ref="Q8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лошади+вождение</t>
        </r>
      </text>
    </comment>
    <comment ref="K9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носки+лифчики+шляпа+колготы+косметика</t>
        </r>
      </text>
    </comment>
    <comment ref="N11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ворота</t>
        </r>
      </text>
    </comment>
    <comment ref="J14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бп + наушники</t>
        </r>
      </text>
    </comment>
    <comment ref="P18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Юле на подарок</t>
        </r>
      </text>
    </comment>
    <comment ref="K20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носки+маникюрные принодлежнасти</t>
        </r>
      </text>
    </comment>
    <comment ref="Q20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вождение+внутр экзамен</t>
        </r>
      </text>
    </comment>
    <comment ref="Q21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лошади</t>
        </r>
      </text>
    </comment>
    <comment ref="B25" authorId="0">
      <text>
        <r>
          <rPr>
            <b/>
            <sz val="8"/>
            <color indexed="81"/>
            <rFont val="Tahoma"/>
            <family val="2"/>
            <charset val="204"/>
          </rPr>
          <t>genka:</t>
        </r>
        <r>
          <rPr>
            <sz val="8"/>
            <color indexed="81"/>
            <rFont val="Tahoma"/>
            <family val="2"/>
            <charset val="204"/>
          </rPr>
          <t xml:space="preserve">
ТО</t>
        </r>
      </text>
    </comment>
    <comment ref="N26" authorId="0">
      <text>
        <r>
          <rPr>
            <b/>
            <sz val="8"/>
            <color indexed="81"/>
            <rFont val="Tahoma"/>
            <family val="2"/>
            <charset val="204"/>
          </rPr>
          <t>genka:</t>
        </r>
        <r>
          <rPr>
            <sz val="8"/>
            <color indexed="81"/>
            <rFont val="Tahoma"/>
            <family val="2"/>
            <charset val="204"/>
          </rPr>
          <t xml:space="preserve">
Шурику на сайты</t>
        </r>
      </text>
    </comment>
    <comment ref="Q28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экзамен по вождению </t>
        </r>
      </text>
    </comment>
    <comment ref="B29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смена шин</t>
        </r>
      </text>
    </comment>
    <comment ref="Q29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пересдача экзамена</t>
        </r>
      </text>
    </comment>
    <comment ref="O32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ДР Нади</t>
        </r>
      </text>
    </comment>
  </commentList>
</comments>
</file>

<file path=xl/comments4.xml><?xml version="1.0" encoding="utf-8"?>
<comments xmlns="http://schemas.openxmlformats.org/spreadsheetml/2006/main">
  <authors>
    <author>genka</author>
  </authors>
  <commentList>
    <comment ref="P2" authorId="0">
      <text>
        <r>
          <rPr>
            <b/>
            <sz val="8"/>
            <color indexed="81"/>
            <rFont val="Tahoma"/>
            <family val="2"/>
            <charset val="204"/>
          </rPr>
          <t>genka:</t>
        </r>
        <r>
          <rPr>
            <sz val="8"/>
            <color indexed="81"/>
            <rFont val="Tahoma"/>
            <family val="2"/>
            <charset val="204"/>
          </rPr>
          <t xml:space="preserve">
цветочки Наде</t>
        </r>
      </text>
    </comment>
    <comment ref="N3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стиральный порошок</t>
        </r>
      </text>
    </comment>
    <comment ref="O4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Надя выставлялась за ДР на работе</t>
        </r>
      </text>
    </comment>
    <comment ref="Q5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благодарность инструктору</t>
        </r>
      </text>
    </comment>
    <comment ref="L7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утел+интернет+мобильные</t>
        </r>
      </text>
    </comment>
    <comment ref="O7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обмыв прав на работе</t>
        </r>
      </text>
    </comment>
    <comment ref="K8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обужда Алине</t>
        </r>
      </text>
    </comment>
    <comment ref="O9" authorId="0">
      <text>
        <r>
          <rPr>
            <b/>
            <sz val="8"/>
            <color indexed="81"/>
            <rFont val="Tahoma"/>
            <family val="2"/>
            <charset val="204"/>
          </rPr>
          <t>genka:</t>
        </r>
        <r>
          <rPr>
            <sz val="8"/>
            <color indexed="81"/>
            <rFont val="Tahoma"/>
            <family val="2"/>
            <charset val="204"/>
          </rPr>
          <t xml:space="preserve">
кино</t>
        </r>
      </text>
    </comment>
    <comment ref="N12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лотерейки</t>
        </r>
      </text>
    </comment>
    <comment ref="P14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др у гены на работе</t>
        </r>
      </text>
    </comment>
    <comment ref="Q14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лошади</t>
        </r>
      </text>
    </comment>
    <comment ref="J15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монитор 19"</t>
        </r>
      </text>
    </comment>
    <comment ref="O15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приезд Шурика, поход в кино</t>
        </r>
      </text>
    </comment>
    <comment ref="N16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бритв. Принадл.+мультик двд</t>
        </r>
      </text>
    </comment>
    <comment ref="O17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тим-билдинг у Нади</t>
        </r>
      </text>
    </comment>
    <comment ref="N18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книжка</t>
        </r>
      </text>
    </comment>
    <comment ref="M21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Алина в больнице</t>
        </r>
      </text>
    </comment>
    <comment ref="N22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стир порошок</t>
        </r>
      </text>
    </comment>
    <comment ref="N25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стрижка</t>
        </r>
      </text>
    </comment>
    <comment ref="J28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зарядное в машину</t>
        </r>
      </text>
    </comment>
  </commentList>
</comments>
</file>

<file path=xl/comments5.xml><?xml version="1.0" encoding="utf-8"?>
<comments xmlns="http://schemas.openxmlformats.org/spreadsheetml/2006/main">
  <authors>
    <author>genka</author>
  </authors>
  <commentList>
    <comment ref="B2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доверенность</t>
        </r>
      </text>
    </comment>
    <comment ref="P2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на работе</t>
        </r>
      </text>
    </comment>
    <comment ref="P3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дм</t>
        </r>
      </text>
    </comment>
    <comment ref="L4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телефон на корее</t>
        </r>
      </text>
    </comment>
    <comment ref="K6" authorId="0">
      <text>
        <r>
          <rPr>
            <b/>
            <sz val="8"/>
            <color indexed="81"/>
            <rFont val="Tahoma"/>
            <family val="2"/>
            <charset val="204"/>
          </rPr>
          <t>genka:</t>
        </r>
        <r>
          <rPr>
            <sz val="8"/>
            <color indexed="81"/>
            <rFont val="Tahoma"/>
            <family val="2"/>
            <charset val="204"/>
          </rPr>
          <t xml:space="preserve">
ботинки, штаны, кофта, тапки, юбка и др.</t>
        </r>
      </text>
    </comment>
    <comment ref="C7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metro</t>
        </r>
      </text>
    </comment>
    <comment ref="P7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машинка Диньке</t>
        </r>
      </text>
    </comment>
    <comment ref="N9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краска д/волос</t>
        </r>
      </text>
    </comment>
    <comment ref="B12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страховка</t>
        </r>
      </text>
    </comment>
    <comment ref="P12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билеты на ранеток</t>
        </r>
      </text>
    </comment>
    <comment ref="N13" authorId="0">
      <text>
        <r>
          <rPr>
            <b/>
            <sz val="8"/>
            <color indexed="81"/>
            <rFont val="Tahoma"/>
            <charset val="1"/>
          </rPr>
          <t>genka:</t>
        </r>
        <r>
          <rPr>
            <sz val="8"/>
            <color indexed="81"/>
            <rFont val="Tahoma"/>
            <charset val="1"/>
          </rPr>
          <t xml:space="preserve">
ГАИ 200
эвакуатор 850</t>
        </r>
      </text>
    </comment>
  </commentList>
</comments>
</file>

<file path=xl/sharedStrings.xml><?xml version="1.0" encoding="utf-8"?>
<sst xmlns="http://schemas.openxmlformats.org/spreadsheetml/2006/main" count="120" uniqueCount="49">
  <si>
    <t>Проезд</t>
  </si>
  <si>
    <t>Еда</t>
  </si>
  <si>
    <t>Английский</t>
  </si>
  <si>
    <t>Кот</t>
  </si>
  <si>
    <t>Сигареты</t>
  </si>
  <si>
    <t>Алкоголь</t>
  </si>
  <si>
    <t>Итого:</t>
  </si>
  <si>
    <t>Папе</t>
  </si>
  <si>
    <t>Итого всего:</t>
  </si>
  <si>
    <t>Одежда/Обувь</t>
  </si>
  <si>
    <t>Январь</t>
  </si>
  <si>
    <t>Бюджет:</t>
  </si>
  <si>
    <t>Остаток:</t>
  </si>
  <si>
    <t>Депозит</t>
  </si>
  <si>
    <t>Шурику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</si>
  <si>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</si>
  <si>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</si>
  <si>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</si>
  <si>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</si>
  <si>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</si>
  <si>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</si>
  <si>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</si>
  <si>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</si>
  <si>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</si>
  <si>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</si>
  <si>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</si>
  <si>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ИТОГО:</t>
  </si>
  <si>
    <t>Потрачено</t>
  </si>
  <si>
    <t>Остаток</t>
  </si>
  <si>
    <t>Лечение</t>
  </si>
  <si>
    <t>Быт.техника</t>
  </si>
  <si>
    <t>Мелочи</t>
  </si>
  <si>
    <t>Гульки</t>
  </si>
  <si>
    <t>Подарки</t>
  </si>
  <si>
    <t>З/п</t>
  </si>
  <si>
    <t>Курс доллара</t>
  </si>
  <si>
    <t>Родители</t>
  </si>
  <si>
    <t>Англ</t>
  </si>
  <si>
    <t>Коты</t>
  </si>
  <si>
    <t>Учеба</t>
  </si>
  <si>
    <t>Кваритира</t>
  </si>
  <si>
    <t>Разное</t>
  </si>
  <si>
    <t>Обужда</t>
  </si>
  <si>
    <t>Интерфон</t>
  </si>
  <si>
    <t>Курс $</t>
  </si>
  <si>
    <t>Лошади - 3 занятия (на 29/11)</t>
  </si>
  <si>
    <t>Лошади</t>
  </si>
  <si>
    <t>Квартира</t>
  </si>
  <si>
    <t>5 из 8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</si>
</sst>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2">
    <font>
      <sz val="10"/>
      <name val="Arial Cyr"/>
    </font>
    <font>
      <sz val="8"/>
      <name val="Arial Cyr"/>
    </font>
    <font>
      <b/>
      <sz val="10"/>
      <color indexed="8"/>
      <name val="Arial Cyr"/>
    </font>
    <font>
      <b/>
      <sz val="10"/>
      <color indexed="10"/>
      <name val="Arial Cyr"/>
    </font>
    <font>
      <b/>
      <sz val="10"/>
      <name val="Arial Cyr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10"/>
      <name val="Arial Cyr"/>
      <charset val="204"/>
    </font>
    <font>
      <b/>
      <sz val="8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ill="1"/>
    <xf numFmtId="0" fontId="4" fillId="0" borderId="0" xfId="0" applyFont="1"/>
    <xf numFmtId="2" fontId="0" fillId="0" borderId="0" xfId="0" applyNumberFormat="1"/>
    <xf numFmtId="2" fontId="0" fillId="3" borderId="0" xfId="0" applyNumberFormat="1" applyFill="1"/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0" fillId="4" borderId="0" xfId="0" applyFill="1"/>
    <xf numFmtId="2" fontId="0" fillId="4" borderId="0" xfId="0" applyNumberFormat="1" applyFill="1"/>
    <xf numFmtId="0" fontId="10" fillId="0" borderId="0" xfId="0" applyFont="1"/>
    <xf numFmtId="2" fontId="10" fillId="0" borderId="0" xfId="0" applyNumberFormat="1" applyFont="1"/>
    <xf numFmtId="164" fontId="4" fillId="0" borderId="0" xfId="0" applyNumberFormat="1" applyFont="1"/>
    <xf numFmtId="0" fontId="0" fillId="4" borderId="0" xfId="0" applyFont="1" applyFill="1"/>
    <xf numFmtId="0" fontId="0" fillId="0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C4" sqref="C4"/>
    </sheetView>
  </sheetViews>
  <sheetFormatPr defaultRowHeight="12.75"/>
  <cols>
    <col min="2" max="2" width="9" bestFit="1" customWidth="1"/>
    <col min="3" max="3" width="11.140625" bestFit="1" customWidth="1"/>
    <col min="4" max="4" width="11.7109375" customWidth="1"/>
  </cols>
  <sheetData>
    <row r="2" spans="2:4" s="1" customFormat="1">
      <c r="B2" s="8"/>
      <c r="C2" s="9" t="s">
        <v>27</v>
      </c>
      <c r="D2" s="9" t="s">
        <v>28</v>
      </c>
    </row>
    <row r="3" spans="2:4">
      <c r="B3" t="s">
        <v>10</v>
      </c>
    </row>
    <row r="4" spans="2:4">
      <c r="B4" t="s">
        <v>15</v>
      </c>
    </row>
    <row r="5" spans="2:4">
      <c r="B5" t="s">
        <v>16</v>
      </c>
    </row>
    <row r="6" spans="2:4">
      <c r="B6" t="s">
        <v>17</v>
      </c>
    </row>
    <row r="7" spans="2:4">
      <c r="B7" t="s">
        <v>18</v>
      </c>
    </row>
    <row r="8" spans="2:4">
      <c r="B8" t="s">
        <v>19</v>
      </c>
    </row>
    <row r="9" spans="2:4">
      <c r="B9" t="s">
        <v>20</v>
      </c>
    </row>
    <row r="10" spans="2:4">
      <c r="B10" t="s">
        <v>21</v>
      </c>
    </row>
    <row r="11" spans="2:4">
      <c r="B11" t="s">
        <v>22</v>
      </c>
    </row>
    <row r="12" spans="2:4">
      <c r="B12" t="s">
        <v>23</v>
      </c>
    </row>
    <row r="13" spans="2:4">
      <c r="B13" t="s">
        <v>24</v>
      </c>
    </row>
    <row r="14" spans="2:4">
      <c r="B14" t="s">
        <v>25</v>
      </c>
    </row>
    <row r="16" spans="2:4" s="5" customFormat="1">
      <c r="B16" s="5" t="s">
        <v>26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1"/>
  <dimension ref="A1:Y38"/>
  <sheetViews>
    <sheetView workbookViewId="0">
      <selection activeCell="G8" sqref="G8:G25"/>
    </sheetView>
  </sheetViews>
  <sheetFormatPr defaultRowHeight="12.75"/>
  <cols>
    <col min="1" max="1" width="11.5703125" bestFit="1" customWidth="1"/>
    <col min="2" max="2" width="8" bestFit="1" customWidth="1"/>
    <col min="3" max="3" width="7" bestFit="1" customWidth="1"/>
    <col min="4" max="4" width="11.85546875" bestFit="1" customWidth="1"/>
    <col min="5" max="5" width="7" bestFit="1" customWidth="1"/>
    <col min="6" max="7" width="10.140625" customWidth="1"/>
    <col min="8" max="8" width="6.5703125" bestFit="1" customWidth="1"/>
    <col min="9" max="9" width="12.85546875" bestFit="1" customWidth="1"/>
    <col min="10" max="10" width="15" bestFit="1" customWidth="1"/>
    <col min="11" max="11" width="8.7109375" bestFit="1" customWidth="1"/>
    <col min="12" max="12" width="8" bestFit="1" customWidth="1"/>
    <col min="14" max="14" width="8.28515625" bestFit="1" customWidth="1"/>
    <col min="15" max="15" width="7.42578125" bestFit="1" customWidth="1"/>
    <col min="16" max="16" width="9" bestFit="1" customWidth="1"/>
  </cols>
  <sheetData>
    <row r="1" spans="1:25" s="9" customFormat="1">
      <c r="A1" s="2" t="s">
        <v>10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7</v>
      </c>
      <c r="I1" s="9" t="s">
        <v>30</v>
      </c>
      <c r="J1" s="9" t="s">
        <v>9</v>
      </c>
      <c r="K1" s="9" t="s">
        <v>13</v>
      </c>
      <c r="L1" s="9" t="s">
        <v>14</v>
      </c>
      <c r="M1" s="9" t="s">
        <v>29</v>
      </c>
      <c r="N1" s="9" t="s">
        <v>31</v>
      </c>
      <c r="O1" s="9" t="s">
        <v>32</v>
      </c>
      <c r="P1" s="9" t="s">
        <v>33</v>
      </c>
    </row>
    <row r="2" spans="1:25">
      <c r="A2">
        <v>1</v>
      </c>
      <c r="B2" s="6">
        <v>50</v>
      </c>
      <c r="C2" s="6"/>
      <c r="D2" s="6"/>
      <c r="E2" s="6"/>
      <c r="F2" s="6">
        <v>5</v>
      </c>
      <c r="G2" s="6">
        <v>16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>
        <v>2</v>
      </c>
      <c r="B3" s="6">
        <v>3.5</v>
      </c>
      <c r="C3" s="6"/>
      <c r="D3" s="6"/>
      <c r="E3" s="6">
        <v>35</v>
      </c>
      <c r="F3" s="6">
        <v>10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5" s="4" customFormat="1">
      <c r="A4" s="4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5" s="4" customFormat="1">
      <c r="A5" s="4">
        <v>4</v>
      </c>
      <c r="B5" s="7"/>
      <c r="C5" s="7">
        <v>65</v>
      </c>
      <c r="D5" s="7"/>
      <c r="E5" s="7"/>
      <c r="F5" s="7">
        <v>39</v>
      </c>
      <c r="G5" s="7"/>
      <c r="H5" s="7"/>
      <c r="I5" s="7"/>
      <c r="J5" s="7">
        <v>10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5">
      <c r="A6">
        <v>5</v>
      </c>
      <c r="B6" s="6">
        <v>3</v>
      </c>
      <c r="C6" s="6">
        <v>31</v>
      </c>
      <c r="D6" s="6"/>
      <c r="E6" s="6"/>
      <c r="F6" s="6"/>
      <c r="G6" s="6"/>
      <c r="H6" s="6"/>
      <c r="I6" s="6">
        <v>255</v>
      </c>
      <c r="J6" s="6"/>
      <c r="K6" s="6"/>
      <c r="L6" s="6"/>
      <c r="M6" s="6">
        <f>60+18.65+22.6</f>
        <v>101.25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5">
      <c r="A7">
        <v>6</v>
      </c>
      <c r="B7" s="6"/>
      <c r="C7" s="6">
        <v>30</v>
      </c>
      <c r="D7" s="6"/>
      <c r="E7" s="6">
        <v>30</v>
      </c>
      <c r="F7" s="6"/>
      <c r="G7" s="6"/>
      <c r="H7" s="6"/>
      <c r="I7" s="6">
        <v>10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5">
      <c r="A8">
        <v>7</v>
      </c>
      <c r="B8" s="6"/>
      <c r="C8" s="6">
        <f>72-G8</f>
        <v>35.85</v>
      </c>
      <c r="D8" s="6"/>
      <c r="E8" s="6"/>
      <c r="F8" s="6"/>
      <c r="G8" s="6">
        <f>22.5+13.65</f>
        <v>36.15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5">
      <c r="A9">
        <v>8</v>
      </c>
      <c r="B9" s="6"/>
      <c r="C9" s="6">
        <v>42.85</v>
      </c>
      <c r="D9" s="6"/>
      <c r="E9" s="6">
        <v>95</v>
      </c>
      <c r="F9" s="6"/>
      <c r="G9" s="6">
        <f>1.15+25.95</f>
        <v>27.099999999999998</v>
      </c>
      <c r="H9" s="6"/>
      <c r="I9" s="6"/>
      <c r="J9" s="6"/>
      <c r="K9" s="6"/>
      <c r="L9" s="6"/>
      <c r="M9" s="6"/>
      <c r="N9" s="6">
        <v>5.55</v>
      </c>
      <c r="O9" s="6"/>
      <c r="P9" s="6"/>
      <c r="Q9" s="6"/>
      <c r="R9" s="6"/>
      <c r="S9" s="6"/>
      <c r="T9" s="6"/>
      <c r="U9" s="6"/>
      <c r="V9" s="6"/>
      <c r="W9" s="6"/>
      <c r="X9" s="6"/>
    </row>
    <row r="10" spans="1:25">
      <c r="A10">
        <v>9</v>
      </c>
      <c r="B10" s="6">
        <v>7.5</v>
      </c>
      <c r="C10" s="6">
        <v>10</v>
      </c>
      <c r="D10" s="6"/>
      <c r="E10" s="6"/>
      <c r="F10" s="6"/>
      <c r="G10" s="6">
        <v>45</v>
      </c>
      <c r="H10" s="6"/>
      <c r="I10" s="6"/>
      <c r="J10" s="6"/>
      <c r="K10" s="6"/>
      <c r="L10" s="6">
        <v>50</v>
      </c>
      <c r="M10" s="6">
        <v>8.5</v>
      </c>
      <c r="N10" s="6"/>
      <c r="O10" s="6">
        <v>250</v>
      </c>
      <c r="P10" s="6">
        <v>100</v>
      </c>
      <c r="Q10" s="6"/>
      <c r="R10" s="6"/>
      <c r="S10" s="6"/>
      <c r="T10" s="6"/>
      <c r="U10" s="6"/>
      <c r="V10" s="6"/>
      <c r="W10" s="6"/>
      <c r="X10" s="6"/>
    </row>
    <row r="11" spans="1:25" s="4" customFormat="1">
      <c r="A11" s="4">
        <v>10</v>
      </c>
      <c r="B11" s="7">
        <v>3.5</v>
      </c>
      <c r="C11" s="7">
        <f>16+23.5+14</f>
        <v>53.5</v>
      </c>
      <c r="D11" s="7"/>
      <c r="E11" s="7">
        <f>14+17.5</f>
        <v>31.5</v>
      </c>
      <c r="F11" s="7"/>
      <c r="G11" s="7">
        <v>39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5" s="4" customFormat="1">
      <c r="A12" s="4">
        <v>11</v>
      </c>
      <c r="B12" s="7"/>
      <c r="C12" s="7">
        <v>10.75</v>
      </c>
      <c r="D12" s="7"/>
      <c r="E12" s="7"/>
      <c r="F12" s="7"/>
      <c r="G12" s="7">
        <f>58.51-10.75</f>
        <v>47.76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5">
      <c r="A13">
        <v>12</v>
      </c>
      <c r="B13" s="6">
        <v>3.5</v>
      </c>
      <c r="C13" s="6">
        <v>113.65</v>
      </c>
      <c r="D13" s="6"/>
      <c r="E13" s="6">
        <v>2.35</v>
      </c>
      <c r="F13" s="6">
        <v>39</v>
      </c>
      <c r="G13" s="6">
        <v>55.13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5">
      <c r="A14">
        <v>13</v>
      </c>
      <c r="B14" s="6">
        <v>3.5</v>
      </c>
      <c r="C14" s="6">
        <f>18.69+3.94+15.44</f>
        <v>38.07</v>
      </c>
      <c r="D14" s="6"/>
      <c r="E14" s="6">
        <v>2.85</v>
      </c>
      <c r="F14" s="6"/>
      <c r="G14" s="6">
        <f>11.55+20.36+1.15</f>
        <v>33.06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5">
      <c r="A15">
        <v>14</v>
      </c>
      <c r="B15" s="6">
        <v>3</v>
      </c>
      <c r="C15" s="6"/>
      <c r="D15" s="6"/>
      <c r="E15" s="6">
        <v>23</v>
      </c>
      <c r="F15" s="6"/>
      <c r="G15" s="6">
        <v>23.4</v>
      </c>
      <c r="H15" s="6">
        <v>200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5">
      <c r="A16">
        <v>15</v>
      </c>
      <c r="B16" s="6">
        <v>3</v>
      </c>
      <c r="C16" s="6">
        <f>3.77+9</f>
        <v>12.77</v>
      </c>
      <c r="D16" s="6"/>
      <c r="E16" s="6"/>
      <c r="F16" s="6"/>
      <c r="G16" s="6">
        <f>22.25+17.57+10.11+1.15</f>
        <v>51.08</v>
      </c>
      <c r="H16" s="6"/>
      <c r="I16" s="6"/>
      <c r="J16" s="6"/>
      <c r="K16" s="6"/>
      <c r="L16" s="6"/>
      <c r="M16" s="6"/>
      <c r="N16" s="6"/>
      <c r="O16" s="6"/>
      <c r="P16" s="6">
        <v>720</v>
      </c>
      <c r="Q16" s="6"/>
      <c r="R16" s="6"/>
      <c r="S16" s="6"/>
      <c r="T16" s="6"/>
      <c r="U16" s="6"/>
      <c r="V16" s="6"/>
      <c r="W16" s="6"/>
      <c r="X16" s="6"/>
    </row>
    <row r="17" spans="1:24">
      <c r="A17">
        <v>16</v>
      </c>
      <c r="B17" s="6">
        <f>1.5+6</f>
        <v>7.5</v>
      </c>
      <c r="C17" s="6">
        <v>5</v>
      </c>
      <c r="D17" s="6"/>
      <c r="E17" s="6">
        <v>2.35</v>
      </c>
      <c r="F17" s="6"/>
      <c r="G17" s="6">
        <f>22.25+1.2+19</f>
        <v>42.45</v>
      </c>
      <c r="H17" s="6"/>
      <c r="I17" s="6"/>
      <c r="J17" s="6"/>
      <c r="K17" s="6"/>
      <c r="L17" s="6">
        <f>10+3.3+13.8</f>
        <v>27.1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s="4" customFormat="1">
      <c r="A18" s="4">
        <v>17</v>
      </c>
      <c r="B18" s="7"/>
      <c r="C18" s="7">
        <f>2.3+2+5.3+7.4+5+16</f>
        <v>38</v>
      </c>
      <c r="D18" s="7"/>
      <c r="E18" s="7">
        <f>12.9+2.9</f>
        <v>15.8</v>
      </c>
      <c r="F18" s="7"/>
      <c r="G18" s="7">
        <f>26.7+1.2+16</f>
        <v>43.9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s="4" customFormat="1">
      <c r="A19" s="4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>
      <c r="A20">
        <v>19</v>
      </c>
      <c r="B20" s="6">
        <v>3.5</v>
      </c>
      <c r="C20" s="6">
        <v>131</v>
      </c>
      <c r="D20" s="6"/>
      <c r="E20" s="6"/>
      <c r="F20" s="6">
        <v>5</v>
      </c>
      <c r="G20" s="6">
        <v>36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>
      <c r="A21">
        <v>20</v>
      </c>
      <c r="B21" s="6">
        <v>3.5</v>
      </c>
      <c r="C21" s="6">
        <v>51</v>
      </c>
      <c r="D21" s="6"/>
      <c r="E21" s="6">
        <v>2.5</v>
      </c>
      <c r="F21" s="6">
        <v>4</v>
      </c>
      <c r="G21" s="6"/>
      <c r="H21" s="6"/>
      <c r="I21" s="6">
        <f>3559+269</f>
        <v>3828</v>
      </c>
      <c r="J21" s="6"/>
      <c r="K21" s="6"/>
      <c r="L21" s="6"/>
      <c r="M21" s="6">
        <v>13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>
        <v>21</v>
      </c>
      <c r="B22" s="6">
        <f>3.5+65</f>
        <v>68.5</v>
      </c>
      <c r="C22" s="6">
        <f>5</f>
        <v>5</v>
      </c>
      <c r="D22" s="6"/>
      <c r="E22" s="6">
        <v>25</v>
      </c>
      <c r="F22" s="6">
        <v>4</v>
      </c>
      <c r="G22" s="6">
        <f>36+8</f>
        <v>44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>
        <v>22</v>
      </c>
      <c r="B23" s="6">
        <v>3</v>
      </c>
      <c r="C23" s="6">
        <v>7.5</v>
      </c>
      <c r="D23" s="6"/>
      <c r="E23" s="6">
        <f>13+24+4.5</f>
        <v>41.5</v>
      </c>
      <c r="F23" s="6">
        <v>39</v>
      </c>
      <c r="G23" s="6">
        <f>32+17+1</f>
        <v>50</v>
      </c>
      <c r="H23" s="6"/>
      <c r="I23" s="6">
        <v>125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A24">
        <v>23</v>
      </c>
      <c r="B24" s="6">
        <v>4.5</v>
      </c>
      <c r="C24" s="6">
        <f>5+20</f>
        <v>25</v>
      </c>
      <c r="D24" s="6"/>
      <c r="E24" s="6"/>
      <c r="F24" s="6"/>
      <c r="G24" s="6">
        <v>50</v>
      </c>
      <c r="H24" s="6"/>
      <c r="I24" s="6">
        <v>225</v>
      </c>
      <c r="J24" s="6"/>
      <c r="K24" s="6"/>
      <c r="L24" s="6">
        <v>50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s="4" customFormat="1">
      <c r="A25" s="4">
        <v>24</v>
      </c>
      <c r="B25" s="7"/>
      <c r="C25" s="7">
        <f>5.3+3.5+18+1.75+1.75+1+6</f>
        <v>37.299999999999997</v>
      </c>
      <c r="D25" s="7"/>
      <c r="E25" s="7"/>
      <c r="F25" s="7"/>
      <c r="G25" s="7">
        <f>32+4.5+1</f>
        <v>37.5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s="4" customFormat="1">
      <c r="A26" s="4">
        <v>25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>
      <c r="A27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>
      <c r="A28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>
      <c r="A29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>
      <c r="A30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>
      <c r="A31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s="4" customFormat="1">
      <c r="A32" s="4">
        <v>31</v>
      </c>
    </row>
    <row r="35" spans="1:25">
      <c r="A35" t="s">
        <v>6</v>
      </c>
      <c r="B35">
        <f>SUM(B2:B32)</f>
        <v>171</v>
      </c>
      <c r="C35">
        <f t="shared" ref="C35:Y35" si="0">SUM(C2:C32)</f>
        <v>743.24</v>
      </c>
      <c r="D35">
        <f t="shared" si="0"/>
        <v>0</v>
      </c>
      <c r="E35">
        <f t="shared" si="0"/>
        <v>306.85000000000002</v>
      </c>
      <c r="F35">
        <f t="shared" si="0"/>
        <v>145</v>
      </c>
      <c r="G35">
        <f t="shared" si="0"/>
        <v>677.53</v>
      </c>
      <c r="H35">
        <f t="shared" si="0"/>
        <v>200</v>
      </c>
      <c r="I35">
        <f t="shared" si="0"/>
        <v>4443</v>
      </c>
      <c r="J35">
        <f t="shared" si="0"/>
        <v>10</v>
      </c>
      <c r="K35">
        <f t="shared" si="0"/>
        <v>0</v>
      </c>
      <c r="L35">
        <f t="shared" si="0"/>
        <v>127.1</v>
      </c>
      <c r="M35">
        <f t="shared" si="0"/>
        <v>122.75</v>
      </c>
      <c r="N35">
        <f t="shared" si="0"/>
        <v>5.55</v>
      </c>
      <c r="O35">
        <f t="shared" si="0"/>
        <v>250</v>
      </c>
      <c r="P35">
        <f t="shared" si="0"/>
        <v>820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</row>
    <row r="36" spans="1:25">
      <c r="A36" t="s">
        <v>8</v>
      </c>
      <c r="B36" s="3">
        <f>SUM(B35:Y35)</f>
        <v>8022.02</v>
      </c>
    </row>
    <row r="37" spans="1:25">
      <c r="A37" t="s">
        <v>11</v>
      </c>
      <c r="B37" s="5">
        <f>I37*K37</f>
        <v>10832.25</v>
      </c>
      <c r="H37" s="5" t="s">
        <v>34</v>
      </c>
      <c r="I37" s="10">
        <v>1313</v>
      </c>
      <c r="J37" s="5" t="s">
        <v>35</v>
      </c>
      <c r="K37" s="10">
        <v>8.25</v>
      </c>
    </row>
    <row r="38" spans="1:25">
      <c r="A38" t="s">
        <v>12</v>
      </c>
      <c r="B38" s="5">
        <f>B37-B36</f>
        <v>2810.2299999999996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2"/>
  <dimension ref="A1:R34"/>
  <sheetViews>
    <sheetView workbookViewId="0">
      <selection activeCell="O32" sqref="O32"/>
    </sheetView>
  </sheetViews>
  <sheetFormatPr defaultRowHeight="12.75"/>
  <cols>
    <col min="1" max="1" width="10" bestFit="1" customWidth="1"/>
    <col min="4" max="4" width="5.28515625" bestFit="1" customWidth="1"/>
    <col min="5" max="5" width="5.7109375" bestFit="1" customWidth="1"/>
    <col min="6" max="6" width="10" bestFit="1" customWidth="1"/>
    <col min="8" max="8" width="10" bestFit="1" customWidth="1"/>
    <col min="9" max="9" width="11" bestFit="1" customWidth="1"/>
    <col min="10" max="10" width="12.85546875" bestFit="1" customWidth="1"/>
    <col min="11" max="11" width="8.28515625" bestFit="1" customWidth="1"/>
    <col min="12" max="12" width="10.5703125" bestFit="1" customWidth="1"/>
  </cols>
  <sheetData>
    <row r="1" spans="1:18">
      <c r="A1" s="2" t="s">
        <v>22</v>
      </c>
      <c r="B1" s="9" t="s">
        <v>0</v>
      </c>
      <c r="C1" s="9" t="s">
        <v>1</v>
      </c>
      <c r="D1" s="9" t="s">
        <v>37</v>
      </c>
      <c r="E1" s="9" t="s">
        <v>38</v>
      </c>
      <c r="F1" s="9" t="s">
        <v>4</v>
      </c>
      <c r="G1" s="9" t="s">
        <v>5</v>
      </c>
      <c r="H1" s="9" t="s">
        <v>36</v>
      </c>
      <c r="I1" s="9" t="s">
        <v>40</v>
      </c>
      <c r="J1" s="9" t="s">
        <v>30</v>
      </c>
      <c r="K1" s="9" t="s">
        <v>42</v>
      </c>
      <c r="L1" s="9" t="s">
        <v>43</v>
      </c>
      <c r="M1" s="9" t="s">
        <v>29</v>
      </c>
      <c r="N1" s="9" t="s">
        <v>41</v>
      </c>
      <c r="O1" s="9" t="s">
        <v>32</v>
      </c>
      <c r="P1" s="9" t="s">
        <v>33</v>
      </c>
      <c r="Q1" s="9" t="s">
        <v>39</v>
      </c>
    </row>
    <row r="2" spans="1:18">
      <c r="A2">
        <v>1</v>
      </c>
      <c r="B2" s="6">
        <f>71</f>
        <v>71</v>
      </c>
      <c r="C2" s="6">
        <f>100+4</f>
        <v>104</v>
      </c>
      <c r="D2" s="6"/>
      <c r="E2" s="6"/>
      <c r="F2" s="6">
        <f>7+8</f>
        <v>15</v>
      </c>
      <c r="G2" s="6"/>
      <c r="H2" s="6"/>
      <c r="I2" s="6"/>
      <c r="J2" s="6"/>
      <c r="K2" s="6"/>
      <c r="L2" s="6"/>
      <c r="M2" s="6"/>
      <c r="N2" s="6"/>
      <c r="O2" s="6">
        <v>270</v>
      </c>
      <c r="P2" s="6"/>
      <c r="Q2" s="6">
        <f>20+25+10</f>
        <v>55</v>
      </c>
      <c r="R2" s="6"/>
    </row>
    <row r="3" spans="1:18">
      <c r="A3">
        <v>2</v>
      </c>
      <c r="B3" s="6">
        <f>285+3</f>
        <v>288</v>
      </c>
      <c r="C3" s="6">
        <v>39</v>
      </c>
      <c r="D3" s="6"/>
      <c r="E3" s="6">
        <v>20</v>
      </c>
      <c r="F3" s="6">
        <v>13</v>
      </c>
      <c r="G3" s="6"/>
      <c r="H3" s="6"/>
      <c r="I3" s="6"/>
      <c r="J3" s="6"/>
      <c r="K3" s="6"/>
      <c r="L3" s="6">
        <v>25</v>
      </c>
      <c r="M3" s="6"/>
      <c r="N3" s="6"/>
      <c r="O3" s="6"/>
      <c r="P3" s="6"/>
      <c r="Q3" s="6"/>
      <c r="R3" s="6"/>
    </row>
    <row r="4" spans="1:18">
      <c r="A4" s="11">
        <v>3</v>
      </c>
      <c r="B4" s="12">
        <v>6</v>
      </c>
      <c r="C4" s="12">
        <v>37</v>
      </c>
      <c r="D4" s="12"/>
      <c r="E4" s="12"/>
      <c r="F4" s="12">
        <f>7+8</f>
        <v>15</v>
      </c>
      <c r="G4" s="12"/>
      <c r="H4" s="12"/>
      <c r="I4" s="12"/>
      <c r="J4" s="12"/>
      <c r="K4" s="12"/>
      <c r="L4" s="12">
        <f>168+120</f>
        <v>288</v>
      </c>
      <c r="M4" s="12"/>
      <c r="N4" s="12"/>
      <c r="O4" s="12"/>
      <c r="P4" s="12"/>
      <c r="Q4" s="12"/>
      <c r="R4" s="6"/>
    </row>
    <row r="5" spans="1:18">
      <c r="A5" s="11">
        <v>4</v>
      </c>
      <c r="B5" s="12">
        <v>12</v>
      </c>
      <c r="C5" s="12">
        <v>4</v>
      </c>
      <c r="D5" s="12"/>
      <c r="E5" s="12"/>
      <c r="F5" s="12">
        <v>7</v>
      </c>
      <c r="G5" s="12"/>
      <c r="H5" s="12"/>
      <c r="I5" s="12"/>
      <c r="J5" s="12"/>
      <c r="K5" s="12"/>
      <c r="L5" s="12">
        <f>50+200</f>
        <v>250</v>
      </c>
      <c r="M5" s="12"/>
      <c r="N5" s="12"/>
      <c r="O5" s="12">
        <v>160</v>
      </c>
      <c r="P5" s="12"/>
      <c r="Q5" s="12">
        <f>46+105</f>
        <v>151</v>
      </c>
      <c r="R5" s="6"/>
    </row>
    <row r="6" spans="1:18" s="13" customFormat="1">
      <c r="A6" s="13">
        <v>5</v>
      </c>
      <c r="B6" s="14"/>
      <c r="C6" s="14">
        <f>25+53+55+15+10+8+24+22+6+10</f>
        <v>228</v>
      </c>
      <c r="D6" s="14"/>
      <c r="E6" s="14"/>
      <c r="F6" s="14"/>
      <c r="G6" s="14"/>
      <c r="H6" s="14"/>
      <c r="I6" s="14"/>
      <c r="J6" s="14"/>
      <c r="K6" s="14"/>
      <c r="L6" s="14"/>
      <c r="M6" s="14">
        <v>7</v>
      </c>
      <c r="N6" s="14"/>
      <c r="O6" s="14"/>
      <c r="P6" s="14"/>
      <c r="Q6" s="14"/>
      <c r="R6" s="14"/>
    </row>
    <row r="7" spans="1:18" s="13" customFormat="1">
      <c r="A7" s="13">
        <v>6</v>
      </c>
      <c r="B7" s="14"/>
      <c r="C7" s="14">
        <f>30+60</f>
        <v>90</v>
      </c>
      <c r="D7" s="14"/>
      <c r="E7" s="14"/>
      <c r="F7" s="14">
        <v>13</v>
      </c>
      <c r="G7" s="14"/>
      <c r="H7" s="14">
        <v>400</v>
      </c>
      <c r="I7" s="14"/>
      <c r="J7" s="14"/>
      <c r="K7" s="14"/>
      <c r="L7" s="14"/>
      <c r="M7" s="14"/>
      <c r="N7" s="14"/>
      <c r="O7" s="14"/>
      <c r="P7" s="14"/>
      <c r="Q7" s="14">
        <v>575</v>
      </c>
      <c r="R7" s="14"/>
    </row>
    <row r="8" spans="1:18">
      <c r="A8" s="11">
        <v>7</v>
      </c>
      <c r="B8" s="12"/>
      <c r="C8" s="12">
        <f>32+100+12</f>
        <v>144</v>
      </c>
      <c r="D8" s="12"/>
      <c r="E8" s="12"/>
      <c r="F8" s="12"/>
      <c r="G8" s="12"/>
      <c r="H8" s="12">
        <v>200</v>
      </c>
      <c r="I8" s="12"/>
      <c r="J8" s="12"/>
      <c r="K8" s="12"/>
      <c r="L8" s="12"/>
      <c r="M8" s="12"/>
      <c r="N8" s="12"/>
      <c r="O8" s="12"/>
      <c r="P8" s="12"/>
      <c r="Q8" s="12"/>
      <c r="R8" s="6"/>
    </row>
    <row r="9" spans="1:18">
      <c r="A9" s="11">
        <v>8</v>
      </c>
      <c r="B9" s="12"/>
      <c r="C9" s="12">
        <f>28+8</f>
        <v>36</v>
      </c>
      <c r="D9" s="12"/>
      <c r="E9" s="12"/>
      <c r="F9" s="12"/>
      <c r="G9" s="12"/>
      <c r="H9" s="12">
        <v>220</v>
      </c>
      <c r="I9" s="12">
        <v>430</v>
      </c>
      <c r="J9" s="12"/>
      <c r="K9" s="12"/>
      <c r="L9" s="12"/>
      <c r="M9" s="12"/>
      <c r="N9" s="12"/>
      <c r="O9" s="12"/>
      <c r="P9" s="12"/>
      <c r="Q9" s="12">
        <f>200+10+200+40</f>
        <v>450</v>
      </c>
      <c r="R9" s="6"/>
    </row>
    <row r="10" spans="1:18">
      <c r="A10" s="11">
        <v>9</v>
      </c>
      <c r="B10" s="12">
        <f>38+120+18+8</f>
        <v>184</v>
      </c>
      <c r="C10" s="12">
        <f>2+36+4</f>
        <v>42</v>
      </c>
      <c r="D10" s="12"/>
      <c r="E10" s="12"/>
      <c r="F10" s="12">
        <v>70</v>
      </c>
      <c r="G10" s="12">
        <v>23</v>
      </c>
      <c r="H10" s="12"/>
      <c r="I10" s="12"/>
      <c r="J10" s="12"/>
      <c r="K10" s="12"/>
      <c r="L10" s="12"/>
      <c r="M10" s="12"/>
      <c r="N10" s="12">
        <v>66</v>
      </c>
      <c r="O10" s="12"/>
      <c r="P10" s="12"/>
      <c r="Q10" s="12">
        <v>77</v>
      </c>
      <c r="R10" s="6"/>
    </row>
    <row r="11" spans="1:18">
      <c r="A11" s="11">
        <v>10</v>
      </c>
      <c r="B11" s="12"/>
      <c r="C11" s="12">
        <f>22+300+26+16</f>
        <v>364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6"/>
    </row>
    <row r="12" spans="1:18">
      <c r="A12" s="11">
        <v>11</v>
      </c>
      <c r="B12" s="12">
        <f>2+4</f>
        <v>6</v>
      </c>
      <c r="C12" s="12">
        <f>27+77</f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>
        <f>70</f>
        <v>70</v>
      </c>
      <c r="P12" s="12"/>
      <c r="Q12" s="12"/>
      <c r="R12" s="6"/>
    </row>
    <row r="13" spans="1:18" s="13" customFormat="1">
      <c r="A13" s="13">
        <v>12</v>
      </c>
      <c r="B13" s="14"/>
      <c r="C13" s="14"/>
      <c r="D13" s="14"/>
      <c r="E13" s="14"/>
      <c r="F13" s="14">
        <v>13</v>
      </c>
      <c r="G13" s="14">
        <v>21</v>
      </c>
      <c r="H13" s="14"/>
      <c r="I13" s="14"/>
      <c r="J13" s="14"/>
      <c r="K13" s="14"/>
      <c r="L13" s="14"/>
      <c r="M13" s="14"/>
      <c r="N13" s="14"/>
      <c r="O13" s="14">
        <v>61</v>
      </c>
      <c r="P13" s="14">
        <v>1000</v>
      </c>
      <c r="Q13" s="14"/>
      <c r="R13" s="14"/>
    </row>
    <row r="14" spans="1:18" s="13" customFormat="1">
      <c r="A14" s="13">
        <v>13</v>
      </c>
      <c r="B14" s="14"/>
      <c r="C14" s="14">
        <v>17</v>
      </c>
      <c r="D14" s="14"/>
      <c r="E14" s="14"/>
      <c r="F14" s="14">
        <v>13</v>
      </c>
      <c r="G14" s="14">
        <v>11</v>
      </c>
      <c r="H14" s="14"/>
      <c r="I14" s="14"/>
      <c r="J14" s="14"/>
      <c r="K14" s="14"/>
      <c r="L14" s="14"/>
      <c r="M14" s="14"/>
      <c r="N14" s="14"/>
      <c r="O14" s="14"/>
      <c r="P14" s="14">
        <v>70</v>
      </c>
      <c r="Q14" s="14"/>
      <c r="R14" s="14"/>
    </row>
    <row r="15" spans="1:18">
      <c r="A15" s="11">
        <v>14</v>
      </c>
      <c r="B15" s="12"/>
      <c r="C15" s="12">
        <f>40+4+100</f>
        <v>144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6"/>
    </row>
    <row r="16" spans="1:18">
      <c r="A16" s="11">
        <v>15</v>
      </c>
      <c r="B16" s="12"/>
      <c r="C16" s="12">
        <v>37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>
        <v>100</v>
      </c>
      <c r="P16" s="12">
        <v>20</v>
      </c>
      <c r="Q16" s="12"/>
      <c r="R16" s="6"/>
    </row>
    <row r="17" spans="1:18">
      <c r="A17" s="11">
        <v>16</v>
      </c>
      <c r="B17" s="12">
        <v>2</v>
      </c>
      <c r="C17" s="12">
        <f>41</f>
        <v>41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6"/>
    </row>
    <row r="18" spans="1:18">
      <c r="A18" s="11">
        <v>17</v>
      </c>
      <c r="B18" s="12">
        <f>2</f>
        <v>2</v>
      </c>
      <c r="C18" s="12">
        <f>5+41</f>
        <v>46</v>
      </c>
      <c r="D18" s="12"/>
      <c r="E18" s="12"/>
      <c r="F18" s="12">
        <v>8</v>
      </c>
      <c r="G18" s="12"/>
      <c r="H18" s="12"/>
      <c r="I18" s="12"/>
      <c r="J18" s="12"/>
      <c r="K18" s="12"/>
      <c r="L18" s="12"/>
      <c r="M18" s="12">
        <f>78</f>
        <v>78</v>
      </c>
      <c r="N18" s="12"/>
      <c r="O18" s="12"/>
      <c r="P18" s="12"/>
      <c r="Q18" s="12">
        <f>15+105</f>
        <v>120</v>
      </c>
      <c r="R18" s="6"/>
    </row>
    <row r="19" spans="1:18">
      <c r="A19" s="11">
        <v>18</v>
      </c>
      <c r="B19" s="12">
        <v>3</v>
      </c>
      <c r="C19" s="12">
        <v>28</v>
      </c>
      <c r="D19" s="12"/>
      <c r="E19" s="12"/>
      <c r="F19" s="12"/>
      <c r="G19" s="12">
        <v>30</v>
      </c>
      <c r="H19" s="12"/>
      <c r="I19" s="12"/>
      <c r="J19" s="12"/>
      <c r="K19" s="12"/>
      <c r="L19" s="12">
        <f>200+36</f>
        <v>236</v>
      </c>
      <c r="M19" s="12"/>
      <c r="N19" s="12">
        <v>96</v>
      </c>
      <c r="O19" s="12"/>
      <c r="P19" s="12"/>
      <c r="Q19" s="12"/>
      <c r="R19" s="6"/>
    </row>
    <row r="20" spans="1:18" s="13" customFormat="1">
      <c r="A20" s="13">
        <v>19</v>
      </c>
      <c r="B20" s="14">
        <v>200</v>
      </c>
      <c r="C20" s="14">
        <f>10+12</f>
        <v>22</v>
      </c>
      <c r="D20" s="14"/>
      <c r="E20" s="14"/>
      <c r="F20" s="14"/>
      <c r="G20" s="14"/>
      <c r="H20" s="14">
        <v>200</v>
      </c>
      <c r="I20" s="14"/>
      <c r="J20" s="14"/>
      <c r="K20" s="14"/>
      <c r="L20" s="14"/>
      <c r="M20" s="14"/>
      <c r="N20" s="14"/>
      <c r="O20" s="14">
        <f>70+9</f>
        <v>79</v>
      </c>
      <c r="P20" s="14"/>
      <c r="Q20" s="14"/>
      <c r="R20" s="14"/>
    </row>
    <row r="21" spans="1:18" s="13" customFormat="1">
      <c r="A21" s="13">
        <v>20</v>
      </c>
      <c r="B21" s="14"/>
      <c r="C21" s="14"/>
      <c r="D21" s="14"/>
      <c r="E21" s="14"/>
      <c r="F21" s="14">
        <v>13</v>
      </c>
      <c r="G21" s="14"/>
      <c r="H21" s="14"/>
      <c r="I21" s="14"/>
      <c r="J21" s="14"/>
      <c r="K21" s="14"/>
      <c r="L21" s="14"/>
      <c r="M21" s="14">
        <f>77</f>
        <v>77</v>
      </c>
      <c r="N21" s="14"/>
      <c r="O21" s="14"/>
      <c r="P21" s="14"/>
      <c r="Q21" s="14"/>
      <c r="R21" s="14"/>
    </row>
    <row r="22" spans="1:18">
      <c r="A22" s="11">
        <v>21</v>
      </c>
      <c r="B22" s="12">
        <v>3</v>
      </c>
      <c r="C22" s="12">
        <f>100+2+6</f>
        <v>108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6"/>
    </row>
    <row r="23" spans="1:18">
      <c r="A23" s="11">
        <v>22</v>
      </c>
      <c r="B23" s="12">
        <v>2</v>
      </c>
      <c r="C23" s="12">
        <f>15+11+2</f>
        <v>28</v>
      </c>
      <c r="D23" s="12"/>
      <c r="E23" s="12"/>
      <c r="F23" s="12">
        <v>13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6"/>
    </row>
    <row r="24" spans="1:18">
      <c r="A24" s="11">
        <v>23</v>
      </c>
      <c r="B24" s="12">
        <f>2</f>
        <v>2</v>
      </c>
      <c r="C24" s="12">
        <f>22+3</f>
        <v>25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6"/>
    </row>
    <row r="25" spans="1:18">
      <c r="A25" s="11">
        <v>24</v>
      </c>
      <c r="B25" s="12"/>
      <c r="C25" s="12">
        <f>10+35</f>
        <v>45</v>
      </c>
      <c r="D25" s="12"/>
      <c r="E25" s="12"/>
      <c r="F25" s="12">
        <v>8</v>
      </c>
      <c r="G25" s="12"/>
      <c r="H25" s="12"/>
      <c r="I25" s="12"/>
      <c r="J25" s="12"/>
      <c r="K25" s="12"/>
      <c r="L25" s="12"/>
      <c r="M25" s="12"/>
      <c r="N25" s="12"/>
      <c r="O25" s="12">
        <v>60</v>
      </c>
      <c r="P25" s="12"/>
      <c r="Q25" s="12">
        <v>105</v>
      </c>
      <c r="R25" s="6"/>
    </row>
    <row r="26" spans="1:18">
      <c r="A26" s="11">
        <v>25</v>
      </c>
      <c r="B26" s="12">
        <v>2</v>
      </c>
      <c r="C26" s="12">
        <v>36</v>
      </c>
      <c r="D26" s="12"/>
      <c r="E26" s="12"/>
      <c r="F26" s="12">
        <v>20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6"/>
    </row>
    <row r="27" spans="1:18" s="13" customFormat="1">
      <c r="A27" s="13">
        <v>26</v>
      </c>
      <c r="B27" s="14">
        <f>7+30</f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79</v>
      </c>
      <c r="N27" s="14"/>
      <c r="O27" s="14">
        <f>50+15+12+23</f>
        <v>100</v>
      </c>
      <c r="P27" s="14"/>
      <c r="R27" s="14"/>
    </row>
    <row r="28" spans="1:18" s="13" customFormat="1">
      <c r="A28" s="13">
        <v>27</v>
      </c>
      <c r="B28" s="14"/>
      <c r="C28" s="14">
        <f>5+12</f>
        <v>17</v>
      </c>
      <c r="D28" s="14"/>
      <c r="E28" s="14"/>
      <c r="F28" s="14">
        <v>13</v>
      </c>
      <c r="G28" s="14"/>
      <c r="H28" s="14"/>
      <c r="I28" s="14"/>
      <c r="J28" s="14"/>
      <c r="K28" s="14"/>
      <c r="L28" s="14"/>
      <c r="M28" s="14">
        <v>7</v>
      </c>
      <c r="N28" s="14"/>
      <c r="O28" s="14"/>
      <c r="P28" s="14"/>
      <c r="R28" s="14"/>
    </row>
    <row r="29" spans="1:18">
      <c r="A29" s="11">
        <v>28</v>
      </c>
      <c r="B29" s="12">
        <v>2</v>
      </c>
      <c r="C29" s="12">
        <f>22+100</f>
        <v>122</v>
      </c>
      <c r="D29" s="12"/>
      <c r="E29" s="12"/>
      <c r="F29" s="12">
        <v>7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1"/>
      <c r="R29" s="6"/>
    </row>
    <row r="30" spans="1:18">
      <c r="A30" s="11">
        <v>29</v>
      </c>
      <c r="B30" s="12">
        <v>2</v>
      </c>
      <c r="C30" s="12">
        <f>25+25</f>
        <v>50</v>
      </c>
      <c r="D30" s="12"/>
      <c r="E30" s="12"/>
      <c r="F30" s="12">
        <v>13</v>
      </c>
      <c r="G30" s="12"/>
      <c r="H30" s="12"/>
      <c r="I30" s="12"/>
      <c r="J30" s="12"/>
      <c r="K30" s="12"/>
      <c r="L30" s="12"/>
      <c r="M30" s="12"/>
      <c r="N30" s="12">
        <v>30</v>
      </c>
      <c r="O30" s="12">
        <v>85</v>
      </c>
      <c r="P30" s="12"/>
      <c r="Q30" s="11">
        <v>120</v>
      </c>
      <c r="R30" s="6"/>
    </row>
    <row r="31" spans="1:18">
      <c r="A31" s="11">
        <v>30</v>
      </c>
      <c r="B31" s="12">
        <v>2</v>
      </c>
      <c r="C31" s="12">
        <f>28+6</f>
        <v>34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1">
        <v>10</v>
      </c>
      <c r="R31" s="6"/>
    </row>
    <row r="32" spans="1:18">
      <c r="A32" s="11" t="s">
        <v>6</v>
      </c>
      <c r="B32" s="12">
        <f>SUM(B2:B31)</f>
        <v>826</v>
      </c>
      <c r="C32" s="12">
        <f>SUM(C2:C31)</f>
        <v>1992</v>
      </c>
      <c r="D32" s="11"/>
      <c r="E32" s="12">
        <f>SUM(E2:E31)</f>
        <v>20</v>
      </c>
      <c r="F32" s="12">
        <f>SUM(F2:F31)</f>
        <v>254</v>
      </c>
      <c r="G32" s="12">
        <f>SUM(G2:G31)</f>
        <v>85</v>
      </c>
      <c r="H32" s="12">
        <f>SUM(H2:H31)</f>
        <v>1020</v>
      </c>
      <c r="I32" s="12">
        <f>SUM(I2:I31)</f>
        <v>430</v>
      </c>
      <c r="J32" s="11"/>
      <c r="K32" s="11"/>
      <c r="L32" s="12">
        <f t="shared" ref="L32:Q32" si="0">SUM(L2:L31)</f>
        <v>799</v>
      </c>
      <c r="M32" s="12">
        <f t="shared" si="0"/>
        <v>248</v>
      </c>
      <c r="N32" s="12">
        <f t="shared" si="0"/>
        <v>192</v>
      </c>
      <c r="O32" s="12">
        <f t="shared" si="0"/>
        <v>985</v>
      </c>
      <c r="P32" s="12">
        <f t="shared" si="0"/>
        <v>1090</v>
      </c>
      <c r="Q32" s="12">
        <f t="shared" si="0"/>
        <v>1663</v>
      </c>
      <c r="R32" s="6"/>
    </row>
    <row r="33" spans="1:3">
      <c r="A33" s="15" t="s">
        <v>6</v>
      </c>
      <c r="B33" s="16">
        <f>SUM(B2:R30)</f>
        <v>9558</v>
      </c>
      <c r="C33" s="17">
        <f>B33/B34</f>
        <v>1155.7436517533254</v>
      </c>
    </row>
    <row r="34" spans="1:3">
      <c r="A34" t="s">
        <v>44</v>
      </c>
      <c r="B34">
        <v>8.27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3"/>
  <dimension ref="A1:Q35"/>
  <sheetViews>
    <sheetView zoomScaleNormal="100" workbookViewId="0">
      <selection activeCell="N33" sqref="N33"/>
    </sheetView>
  </sheetViews>
  <sheetFormatPr defaultRowHeight="12.75"/>
  <cols>
    <col min="6" max="6" width="10" bestFit="1" customWidth="1"/>
    <col min="9" max="9" width="11" bestFit="1" customWidth="1"/>
    <col min="10" max="10" width="12.85546875" bestFit="1" customWidth="1"/>
    <col min="11" max="11" width="8.28515625" bestFit="1" customWidth="1"/>
    <col min="12" max="12" width="10.5703125" bestFit="1" customWidth="1"/>
  </cols>
  <sheetData>
    <row r="1" spans="1:17">
      <c r="A1" s="2" t="s">
        <v>23</v>
      </c>
      <c r="B1" s="9" t="s">
        <v>0</v>
      </c>
      <c r="C1" s="9" t="s">
        <v>1</v>
      </c>
      <c r="D1" s="9" t="s">
        <v>37</v>
      </c>
      <c r="E1" s="9" t="s">
        <v>38</v>
      </c>
      <c r="F1" s="9" t="s">
        <v>4</v>
      </c>
      <c r="G1" s="9" t="s">
        <v>5</v>
      </c>
      <c r="H1" s="9" t="s">
        <v>36</v>
      </c>
      <c r="I1" s="9" t="s">
        <v>40</v>
      </c>
      <c r="J1" s="9" t="s">
        <v>30</v>
      </c>
      <c r="K1" s="9" t="s">
        <v>42</v>
      </c>
      <c r="L1" s="9" t="s">
        <v>43</v>
      </c>
      <c r="M1" s="9" t="s">
        <v>29</v>
      </c>
      <c r="N1" s="9" t="s">
        <v>41</v>
      </c>
      <c r="O1" s="9" t="s">
        <v>32</v>
      </c>
      <c r="P1" s="9" t="s">
        <v>33</v>
      </c>
      <c r="Q1" s="9" t="s">
        <v>39</v>
      </c>
    </row>
    <row r="2" spans="1:17">
      <c r="A2">
        <v>1</v>
      </c>
      <c r="C2">
        <f>29+23+3</f>
        <v>55</v>
      </c>
      <c r="F2">
        <f>16+7</f>
        <v>23</v>
      </c>
      <c r="K2">
        <v>150</v>
      </c>
      <c r="N2">
        <v>75</v>
      </c>
      <c r="P2">
        <v>50</v>
      </c>
      <c r="Q2">
        <v>30</v>
      </c>
    </row>
    <row r="3" spans="1:17">
      <c r="A3">
        <v>2</v>
      </c>
      <c r="B3">
        <f>2+280+10</f>
        <v>292</v>
      </c>
      <c r="C3">
        <f>8+27</f>
        <v>35</v>
      </c>
      <c r="F3">
        <v>8</v>
      </c>
      <c r="O3">
        <v>27</v>
      </c>
    </row>
    <row r="4" spans="1:17" s="13" customFormat="1">
      <c r="A4" s="13">
        <v>3</v>
      </c>
      <c r="B4" s="13">
        <v>3</v>
      </c>
      <c r="C4" s="13">
        <f>15+20+21</f>
        <v>56</v>
      </c>
      <c r="E4" s="13">
        <f>27+24+22+25+23+19+21+24+3+200</f>
        <v>388</v>
      </c>
      <c r="F4" s="13">
        <v>72</v>
      </c>
      <c r="G4" s="13">
        <f>20+22</f>
        <v>42</v>
      </c>
      <c r="L4" s="13">
        <v>200</v>
      </c>
    </row>
    <row r="5" spans="1:17" s="13" customFormat="1">
      <c r="A5" s="13">
        <v>4</v>
      </c>
      <c r="B5" s="13">
        <v>3</v>
      </c>
      <c r="C5" s="13">
        <v>5</v>
      </c>
      <c r="H5" s="13">
        <v>50</v>
      </c>
      <c r="N5" s="13">
        <f>20+46+2</f>
        <v>68</v>
      </c>
    </row>
    <row r="6" spans="1:17">
      <c r="A6" s="11">
        <v>5</v>
      </c>
      <c r="B6">
        <v>2</v>
      </c>
      <c r="C6">
        <f>25+100+2</f>
        <v>127</v>
      </c>
      <c r="L6">
        <f>100+120</f>
        <v>220</v>
      </c>
    </row>
    <row r="7" spans="1:17">
      <c r="A7" s="11">
        <v>6</v>
      </c>
      <c r="C7">
        <v>28</v>
      </c>
      <c r="F7">
        <v>7</v>
      </c>
      <c r="H7">
        <v>200</v>
      </c>
      <c r="N7">
        <f>1000+52+3</f>
        <v>1055</v>
      </c>
      <c r="Q7">
        <v>105</v>
      </c>
    </row>
    <row r="8" spans="1:17">
      <c r="A8" s="11">
        <v>7</v>
      </c>
      <c r="B8">
        <f>250+3</f>
        <v>253</v>
      </c>
      <c r="C8">
        <f>20+3+10</f>
        <v>33</v>
      </c>
      <c r="F8">
        <v>8</v>
      </c>
      <c r="P8">
        <v>60</v>
      </c>
      <c r="Q8">
        <f>100+420</f>
        <v>520</v>
      </c>
    </row>
    <row r="9" spans="1:17">
      <c r="A9" s="11">
        <v>8</v>
      </c>
      <c r="B9">
        <v>4</v>
      </c>
      <c r="C9">
        <f>28+3</f>
        <v>31</v>
      </c>
      <c r="K9">
        <f>116+40+232+82+30</f>
        <v>500</v>
      </c>
      <c r="O9">
        <v>66</v>
      </c>
    </row>
    <row r="10" spans="1:17">
      <c r="A10" s="11">
        <v>9</v>
      </c>
      <c r="B10">
        <v>2</v>
      </c>
      <c r="C10">
        <f>25+27+12+7</f>
        <v>71</v>
      </c>
      <c r="G10">
        <f>8+6</f>
        <v>14</v>
      </c>
    </row>
    <row r="11" spans="1:17" s="13" customFormat="1">
      <c r="A11" s="13">
        <v>10</v>
      </c>
      <c r="C11" s="13">
        <f>7+2+23+3+10+12</f>
        <v>57</v>
      </c>
      <c r="K11" s="13">
        <v>54</v>
      </c>
      <c r="N11" s="13">
        <f>23+15+940</f>
        <v>978</v>
      </c>
    </row>
    <row r="12" spans="1:17" s="13" customFormat="1">
      <c r="A12" s="13">
        <v>11</v>
      </c>
      <c r="H12" s="13">
        <f>700</f>
        <v>700</v>
      </c>
    </row>
    <row r="13" spans="1:17">
      <c r="A13" s="11">
        <v>12</v>
      </c>
      <c r="B13">
        <v>2</v>
      </c>
      <c r="C13">
        <v>100</v>
      </c>
      <c r="F13">
        <v>15</v>
      </c>
      <c r="M13">
        <v>8</v>
      </c>
      <c r="P13">
        <v>7</v>
      </c>
    </row>
    <row r="14" spans="1:17">
      <c r="A14" s="11">
        <v>13</v>
      </c>
      <c r="F14">
        <v>7</v>
      </c>
      <c r="J14">
        <v>170</v>
      </c>
      <c r="L14">
        <v>30</v>
      </c>
      <c r="P14">
        <v>10</v>
      </c>
    </row>
    <row r="15" spans="1:17">
      <c r="A15" s="11">
        <v>14</v>
      </c>
      <c r="B15">
        <v>4</v>
      </c>
      <c r="C15">
        <f>26</f>
        <v>26</v>
      </c>
      <c r="L15">
        <f>35</f>
        <v>35</v>
      </c>
    </row>
    <row r="16" spans="1:17">
      <c r="A16" s="11">
        <v>15</v>
      </c>
      <c r="C16">
        <f>30+3+100</f>
        <v>133</v>
      </c>
    </row>
    <row r="17" spans="1:17">
      <c r="A17" s="11">
        <v>16</v>
      </c>
      <c r="C17">
        <f>100+25+45</f>
        <v>170</v>
      </c>
      <c r="F17">
        <f>7</f>
        <v>7</v>
      </c>
      <c r="P17">
        <f>50</f>
        <v>50</v>
      </c>
    </row>
    <row r="18" spans="1:17" s="13" customFormat="1">
      <c r="A18" s="13">
        <v>17</v>
      </c>
      <c r="B18" s="13">
        <f>4</f>
        <v>4</v>
      </c>
      <c r="C18" s="13">
        <f>10+40</f>
        <v>50</v>
      </c>
      <c r="F18" s="13">
        <f>7</f>
        <v>7</v>
      </c>
      <c r="M18" s="13">
        <f>16</f>
        <v>16</v>
      </c>
      <c r="O18" s="13">
        <f>9</f>
        <v>9</v>
      </c>
      <c r="P18" s="13">
        <f>500</f>
        <v>500</v>
      </c>
    </row>
    <row r="19" spans="1:17" s="13" customFormat="1">
      <c r="A19" s="13">
        <v>18</v>
      </c>
      <c r="C19" s="13">
        <f>10</f>
        <v>10</v>
      </c>
    </row>
    <row r="20" spans="1:17">
      <c r="A20" s="11">
        <v>19</v>
      </c>
      <c r="C20">
        <f>18+   55+13</f>
        <v>86</v>
      </c>
      <c r="K20">
        <f>88</f>
        <v>88</v>
      </c>
      <c r="Q20">
        <f>150+50</f>
        <v>200</v>
      </c>
    </row>
    <row r="21" spans="1:17">
      <c r="A21" s="11">
        <v>20</v>
      </c>
      <c r="B21">
        <f>60+280+250</f>
        <v>590</v>
      </c>
      <c r="C21">
        <f>25+30</f>
        <v>55</v>
      </c>
      <c r="F21">
        <f>7</f>
        <v>7</v>
      </c>
      <c r="G21">
        <f>8</f>
        <v>8</v>
      </c>
      <c r="L21">
        <f>58</f>
        <v>58</v>
      </c>
      <c r="N21">
        <f>7</f>
        <v>7</v>
      </c>
      <c r="Q21">
        <f>410</f>
        <v>410</v>
      </c>
    </row>
    <row r="22" spans="1:17">
      <c r="A22" s="11">
        <v>21</v>
      </c>
      <c r="B22">
        <f>165+1</f>
        <v>166</v>
      </c>
      <c r="C22">
        <f>13+4+43</f>
        <v>60</v>
      </c>
      <c r="F22">
        <f>7</f>
        <v>7</v>
      </c>
      <c r="L22">
        <v>32</v>
      </c>
    </row>
    <row r="23" spans="1:17">
      <c r="A23" s="11">
        <v>22</v>
      </c>
      <c r="B23">
        <f>2</f>
        <v>2</v>
      </c>
      <c r="C23">
        <f>20</f>
        <v>20</v>
      </c>
      <c r="F23">
        <v>14</v>
      </c>
      <c r="G23">
        <v>6</v>
      </c>
    </row>
    <row r="24" spans="1:17">
      <c r="A24" s="11">
        <v>23</v>
      </c>
      <c r="B24">
        <f>2</f>
        <v>2</v>
      </c>
      <c r="C24">
        <f>28</f>
        <v>28</v>
      </c>
      <c r="F24">
        <v>8</v>
      </c>
      <c r="O24">
        <f>30+15</f>
        <v>45</v>
      </c>
      <c r="P24">
        <f>20</f>
        <v>20</v>
      </c>
    </row>
    <row r="25" spans="1:17" s="13" customFormat="1">
      <c r="A25" s="13">
        <v>24</v>
      </c>
      <c r="B25" s="13">
        <v>1028</v>
      </c>
      <c r="C25" s="13">
        <v>50</v>
      </c>
      <c r="F25" s="13">
        <v>14</v>
      </c>
      <c r="M25" s="13">
        <v>78</v>
      </c>
    </row>
    <row r="26" spans="1:17" s="13" customFormat="1">
      <c r="A26" s="13">
        <v>25</v>
      </c>
      <c r="N26" s="13">
        <f>335+25</f>
        <v>360</v>
      </c>
      <c r="O26" s="13">
        <v>80</v>
      </c>
    </row>
    <row r="27" spans="1:17">
      <c r="A27" s="11">
        <v>26</v>
      </c>
      <c r="C27">
        <f>25+3+100</f>
        <v>128</v>
      </c>
      <c r="F27">
        <v>20</v>
      </c>
    </row>
    <row r="28" spans="1:17">
      <c r="A28" s="11">
        <v>27</v>
      </c>
      <c r="B28">
        <f>2+2+2</f>
        <v>6</v>
      </c>
      <c r="C28">
        <f>7+25</f>
        <v>32</v>
      </c>
      <c r="L28">
        <f>10</f>
        <v>10</v>
      </c>
      <c r="Q28">
        <f>476</f>
        <v>476</v>
      </c>
    </row>
    <row r="29" spans="1:17">
      <c r="A29" s="11">
        <v>28</v>
      </c>
      <c r="B29">
        <f>120+2+2+6</f>
        <v>130</v>
      </c>
      <c r="E29">
        <f>100</f>
        <v>100</v>
      </c>
      <c r="F29">
        <f>7</f>
        <v>7</v>
      </c>
      <c r="G29">
        <f>50</f>
        <v>50</v>
      </c>
      <c r="M29">
        <f>68+18+15</f>
        <v>101</v>
      </c>
      <c r="Q29">
        <f>35</f>
        <v>35</v>
      </c>
    </row>
    <row r="30" spans="1:17">
      <c r="A30" s="11">
        <v>29</v>
      </c>
      <c r="B30">
        <v>4</v>
      </c>
      <c r="F30">
        <v>7</v>
      </c>
    </row>
    <row r="31" spans="1:17">
      <c r="A31" s="11">
        <v>30</v>
      </c>
      <c r="B31">
        <v>4</v>
      </c>
      <c r="F31">
        <v>7</v>
      </c>
      <c r="O31">
        <v>50</v>
      </c>
    </row>
    <row r="32" spans="1:17" s="13" customFormat="1">
      <c r="A32" s="13">
        <v>31</v>
      </c>
      <c r="F32" s="13">
        <v>7</v>
      </c>
      <c r="M32" s="13">
        <v>116</v>
      </c>
      <c r="O32" s="13">
        <f>213+79+72</f>
        <v>364</v>
      </c>
    </row>
    <row r="33" spans="1:17">
      <c r="A33" s="11" t="s">
        <v>6</v>
      </c>
      <c r="B33">
        <f>SUM(B2:B32)</f>
        <v>2501</v>
      </c>
      <c r="C33">
        <f>SUM(C2:C32)</f>
        <v>1446</v>
      </c>
      <c r="E33">
        <f>SUM(E2:E32)</f>
        <v>488</v>
      </c>
      <c r="F33">
        <f>SUM(F2:F32)</f>
        <v>252</v>
      </c>
      <c r="G33">
        <f>SUM(G2:G32)</f>
        <v>120</v>
      </c>
      <c r="H33">
        <f>SUM(H2:H32)</f>
        <v>950</v>
      </c>
      <c r="K33">
        <f>SUM(K2:K32)</f>
        <v>792</v>
      </c>
      <c r="L33">
        <f>SUM(L2:L32)</f>
        <v>585</v>
      </c>
      <c r="N33">
        <f>SUM(N2:N32)</f>
        <v>2543</v>
      </c>
      <c r="O33">
        <f>SUM(O2:O32)</f>
        <v>641</v>
      </c>
      <c r="P33">
        <f>SUM(P2:P32)</f>
        <v>697</v>
      </c>
      <c r="Q33">
        <f>SUM(Q2:Q32)</f>
        <v>1776</v>
      </c>
    </row>
    <row r="34" spans="1:17">
      <c r="A34" s="15" t="s">
        <v>6</v>
      </c>
      <c r="B34">
        <f>SUM(B33:Q33)</f>
        <v>12791</v>
      </c>
      <c r="C34" s="17">
        <f>B34/B35</f>
        <v>1546.6747279322854</v>
      </c>
    </row>
    <row r="35" spans="1:17">
      <c r="A35" t="s">
        <v>44</v>
      </c>
      <c r="B35">
        <v>8.27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4"/>
  <dimension ref="A1:Q37"/>
  <sheetViews>
    <sheetView workbookViewId="0">
      <selection activeCell="Q22" sqref="Q22"/>
    </sheetView>
  </sheetViews>
  <sheetFormatPr defaultRowHeight="12.75"/>
  <cols>
    <col min="6" max="6" width="10" bestFit="1" customWidth="1"/>
    <col min="7" max="7" width="9.7109375" bestFit="1" customWidth="1"/>
    <col min="8" max="8" width="10" bestFit="1" customWidth="1"/>
    <col min="9" max="9" width="11" bestFit="1" customWidth="1"/>
    <col min="10" max="10" width="12.85546875" bestFit="1" customWidth="1"/>
    <col min="12" max="12" width="10.5703125" bestFit="1" customWidth="1"/>
  </cols>
  <sheetData>
    <row r="1" spans="1:17">
      <c r="A1" s="2" t="s">
        <v>24</v>
      </c>
      <c r="B1" s="9" t="s">
        <v>0</v>
      </c>
      <c r="C1" s="9" t="s">
        <v>1</v>
      </c>
      <c r="D1" s="9" t="s">
        <v>37</v>
      </c>
      <c r="E1" s="9" t="s">
        <v>38</v>
      </c>
      <c r="F1" s="9" t="s">
        <v>4</v>
      </c>
      <c r="G1" s="9" t="s">
        <v>5</v>
      </c>
      <c r="H1" s="9" t="s">
        <v>36</v>
      </c>
      <c r="I1" s="9" t="s">
        <v>40</v>
      </c>
      <c r="J1" s="9" t="s">
        <v>30</v>
      </c>
      <c r="K1" s="9" t="s">
        <v>42</v>
      </c>
      <c r="L1" s="9" t="s">
        <v>43</v>
      </c>
      <c r="M1" s="9" t="s">
        <v>29</v>
      </c>
      <c r="N1" s="9" t="s">
        <v>41</v>
      </c>
      <c r="O1" s="9" t="s">
        <v>32</v>
      </c>
      <c r="P1" s="9" t="s">
        <v>33</v>
      </c>
      <c r="Q1" s="9" t="s">
        <v>39</v>
      </c>
    </row>
    <row r="2" spans="1:17" s="13" customFormat="1">
      <c r="A2" s="18">
        <v>1</v>
      </c>
      <c r="B2" s="18"/>
      <c r="C2" s="18">
        <v>5</v>
      </c>
      <c r="D2" s="18"/>
      <c r="E2" s="18"/>
      <c r="F2" s="18">
        <v>13</v>
      </c>
      <c r="G2" s="18"/>
      <c r="H2" s="18"/>
      <c r="I2" s="18"/>
      <c r="J2" s="18"/>
      <c r="K2" s="18"/>
      <c r="L2" s="18"/>
      <c r="M2" s="18"/>
      <c r="N2" s="18"/>
      <c r="O2" s="18"/>
      <c r="P2" s="18">
        <v>75</v>
      </c>
      <c r="Q2" s="18"/>
    </row>
    <row r="3" spans="1:17">
      <c r="A3" s="19">
        <v>2</v>
      </c>
      <c r="B3" s="19">
        <f>10</f>
        <v>10</v>
      </c>
      <c r="C3" s="19">
        <v>100</v>
      </c>
      <c r="D3" s="19"/>
      <c r="E3" s="19"/>
      <c r="F3" s="19"/>
      <c r="G3" s="19"/>
      <c r="H3" s="19"/>
      <c r="I3" s="19"/>
      <c r="J3" s="19"/>
      <c r="K3" s="19"/>
      <c r="L3" s="19"/>
      <c r="M3" s="19">
        <f>9+10+4</f>
        <v>23</v>
      </c>
      <c r="N3" s="19">
        <f>12</f>
        <v>12</v>
      </c>
      <c r="O3" s="19"/>
      <c r="P3" s="19"/>
      <c r="Q3" s="19"/>
    </row>
    <row r="4" spans="1:17">
      <c r="A4" s="19">
        <v>3</v>
      </c>
      <c r="B4" s="19">
        <f>5+2+30</f>
        <v>37</v>
      </c>
      <c r="C4" s="19">
        <f>11+2+6</f>
        <v>19</v>
      </c>
      <c r="D4" s="19"/>
      <c r="E4" s="19"/>
      <c r="F4" s="19">
        <v>7</v>
      </c>
      <c r="G4" s="19">
        <f>25+10+20+5</f>
        <v>60</v>
      </c>
      <c r="H4" s="19"/>
      <c r="I4" s="19"/>
      <c r="J4" s="19"/>
      <c r="K4" s="19"/>
      <c r="L4" s="19"/>
      <c r="M4" s="19"/>
      <c r="N4" s="19"/>
      <c r="O4" s="19">
        <f>186</f>
        <v>186</v>
      </c>
      <c r="P4" s="19"/>
      <c r="Q4" s="19"/>
    </row>
    <row r="5" spans="1:17">
      <c r="A5" s="19">
        <v>4</v>
      </c>
      <c r="B5" s="19">
        <f>4+4</f>
        <v>8</v>
      </c>
      <c r="C5" s="19">
        <f>6+38+20</f>
        <v>64</v>
      </c>
      <c r="D5" s="19"/>
      <c r="E5" s="19"/>
      <c r="F5" s="19">
        <v>65</v>
      </c>
      <c r="G5" s="19">
        <f>33</f>
        <v>33</v>
      </c>
      <c r="H5" s="19">
        <v>2000</v>
      </c>
      <c r="I5" s="19"/>
      <c r="J5" s="19"/>
      <c r="K5" s="19"/>
      <c r="L5" s="19"/>
      <c r="M5" s="19">
        <v>15</v>
      </c>
      <c r="N5" s="19"/>
      <c r="O5" s="19"/>
      <c r="P5" s="19"/>
      <c r="Q5" s="19">
        <v>200</v>
      </c>
    </row>
    <row r="6" spans="1:17">
      <c r="A6" s="19">
        <v>5</v>
      </c>
      <c r="B6" s="19">
        <v>3</v>
      </c>
      <c r="C6" s="19">
        <f>10+45</f>
        <v>55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>
      <c r="A7" s="19">
        <v>6</v>
      </c>
      <c r="B7" s="19">
        <f>5</f>
        <v>5</v>
      </c>
      <c r="C7" s="19">
        <f>25</f>
        <v>25</v>
      </c>
      <c r="D7" s="19"/>
      <c r="E7" s="19"/>
      <c r="F7" s="19">
        <v>7</v>
      </c>
      <c r="G7" s="19">
        <f>5+20</f>
        <v>25</v>
      </c>
      <c r="H7" s="19"/>
      <c r="I7" s="19"/>
      <c r="J7" s="19"/>
      <c r="K7" s="19">
        <f>19+26</f>
        <v>45</v>
      </c>
      <c r="L7" s="19">
        <f>100+100+60</f>
        <v>260</v>
      </c>
      <c r="M7" s="19"/>
      <c r="N7" s="19"/>
      <c r="O7" s="19">
        <f>105+106</f>
        <v>211</v>
      </c>
      <c r="P7" s="19"/>
      <c r="Q7" s="19"/>
    </row>
    <row r="8" spans="1:17" s="13" customFormat="1">
      <c r="A8" s="18">
        <v>7</v>
      </c>
      <c r="B8" s="18">
        <v>100</v>
      </c>
      <c r="C8" s="18">
        <v>27</v>
      </c>
      <c r="D8" s="18"/>
      <c r="E8" s="18"/>
      <c r="F8" s="18"/>
      <c r="G8" s="18"/>
      <c r="H8" s="18"/>
      <c r="I8" s="18"/>
      <c r="J8" s="18"/>
      <c r="K8" s="18">
        <v>445</v>
      </c>
      <c r="L8" s="18"/>
      <c r="M8" s="18"/>
      <c r="N8" s="18"/>
      <c r="O8" s="18"/>
      <c r="P8" s="18"/>
      <c r="Q8" s="18"/>
    </row>
    <row r="9" spans="1:17" s="13" customFormat="1">
      <c r="A9" s="18">
        <v>8</v>
      </c>
      <c r="B9" s="18">
        <v>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>
        <v>22</v>
      </c>
      <c r="N9" s="18"/>
      <c r="O9" s="18">
        <v>60</v>
      </c>
      <c r="P9" s="18"/>
      <c r="Q9" s="18"/>
    </row>
    <row r="10" spans="1:17">
      <c r="A10" s="19">
        <v>9</v>
      </c>
      <c r="B10" s="19"/>
      <c r="C10" s="19">
        <f>100+35+5</f>
        <v>140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s="19">
        <v>10</v>
      </c>
      <c r="B11" s="19"/>
      <c r="C11" s="19">
        <f>23+23+35+40</f>
        <v>121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19">
        <v>11</v>
      </c>
      <c r="B12" s="19">
        <v>305</v>
      </c>
      <c r="C12" s="19">
        <v>8</v>
      </c>
      <c r="D12" s="19"/>
      <c r="E12" s="19"/>
      <c r="F12" s="19">
        <v>7</v>
      </c>
      <c r="G12" s="19">
        <v>30</v>
      </c>
      <c r="H12" s="19"/>
      <c r="I12" s="19"/>
      <c r="J12" s="19"/>
      <c r="K12" s="19"/>
      <c r="L12" s="19">
        <v>50</v>
      </c>
      <c r="M12" s="19"/>
      <c r="N12" s="19">
        <v>142</v>
      </c>
      <c r="O12" s="19"/>
      <c r="P12" s="19"/>
      <c r="Q12" s="19"/>
    </row>
    <row r="13" spans="1:17">
      <c r="A13" s="19">
        <v>12</v>
      </c>
      <c r="B13" s="19">
        <v>32</v>
      </c>
      <c r="C13" s="19">
        <v>4</v>
      </c>
      <c r="D13" s="19"/>
      <c r="E13" s="19"/>
      <c r="F13" s="19"/>
      <c r="G13" s="19"/>
      <c r="H13" s="19"/>
      <c r="I13" s="19">
        <v>148</v>
      </c>
      <c r="J13" s="19"/>
      <c r="K13" s="19"/>
      <c r="L13" s="19"/>
      <c r="M13" s="19"/>
      <c r="N13" s="19"/>
      <c r="O13" s="19"/>
      <c r="P13" s="19"/>
      <c r="Q13" s="19"/>
    </row>
    <row r="14" spans="1:17">
      <c r="A14" s="19">
        <v>13</v>
      </c>
      <c r="B14" s="19">
        <f>3</f>
        <v>3</v>
      </c>
      <c r="C14" s="19">
        <f>43</f>
        <v>43</v>
      </c>
      <c r="D14" s="19"/>
      <c r="E14" s="19"/>
      <c r="F14" s="19"/>
      <c r="G14" s="19">
        <f>8</f>
        <v>8</v>
      </c>
      <c r="H14" s="19"/>
      <c r="I14" s="19"/>
      <c r="J14" s="19"/>
      <c r="K14" s="19"/>
      <c r="L14" s="19"/>
      <c r="M14" s="19"/>
      <c r="N14" s="19"/>
      <c r="O14" s="19"/>
      <c r="P14" s="19">
        <f>70</f>
        <v>70</v>
      </c>
      <c r="Q14" s="19">
        <f>800</f>
        <v>800</v>
      </c>
    </row>
    <row r="15" spans="1:17" s="13" customFormat="1">
      <c r="A15" s="18">
        <v>14</v>
      </c>
      <c r="B15" s="18">
        <f>8</f>
        <v>8</v>
      </c>
      <c r="C15" s="18"/>
      <c r="D15" s="18"/>
      <c r="E15" s="18"/>
      <c r="F15" s="18"/>
      <c r="G15" s="18"/>
      <c r="H15" s="18"/>
      <c r="I15" s="18"/>
      <c r="J15" s="18">
        <v>650</v>
      </c>
      <c r="K15" s="18"/>
      <c r="L15" s="18"/>
      <c r="M15" s="18"/>
      <c r="N15" s="18"/>
      <c r="O15" s="18">
        <f>90+40+30</f>
        <v>160</v>
      </c>
      <c r="P15" s="18"/>
      <c r="Q15" s="18"/>
    </row>
    <row r="16" spans="1:17" s="13" customFormat="1">
      <c r="A16" s="18">
        <v>15</v>
      </c>
      <c r="B16" s="18"/>
      <c r="C16" s="18">
        <f>19+10+14</f>
        <v>43</v>
      </c>
      <c r="D16" s="18"/>
      <c r="E16" s="18"/>
      <c r="F16" s="18">
        <v>7</v>
      </c>
      <c r="G16" s="18"/>
      <c r="H16" s="18"/>
      <c r="I16" s="18"/>
      <c r="J16" s="18"/>
      <c r="K16" s="18"/>
      <c r="L16" s="18"/>
      <c r="M16" s="18">
        <v>10</v>
      </c>
      <c r="N16" s="18">
        <f>80-14</f>
        <v>66</v>
      </c>
      <c r="O16" s="18"/>
      <c r="P16" s="18"/>
      <c r="Q16" s="18"/>
    </row>
    <row r="17" spans="1:17">
      <c r="A17" s="19">
        <v>16</v>
      </c>
      <c r="B17" s="19">
        <f>21+100+40-7</f>
        <v>154</v>
      </c>
      <c r="C17" s="19"/>
      <c r="D17" s="19"/>
      <c r="E17" s="19"/>
      <c r="F17" s="19">
        <v>7</v>
      </c>
      <c r="G17" s="19"/>
      <c r="H17" s="19"/>
      <c r="I17" s="19"/>
      <c r="J17" s="19"/>
      <c r="K17" s="19"/>
      <c r="L17" s="19"/>
      <c r="M17" s="19"/>
      <c r="N17" s="19"/>
      <c r="O17" s="19">
        <f>47</f>
        <v>47</v>
      </c>
      <c r="P17" s="19"/>
      <c r="Q17" s="19"/>
    </row>
    <row r="18" spans="1:17">
      <c r="A18" s="19">
        <v>17</v>
      </c>
      <c r="B18" s="19"/>
      <c r="C18" s="19">
        <f>31+25</f>
        <v>56</v>
      </c>
      <c r="D18" s="19"/>
      <c r="E18" s="19"/>
      <c r="F18" s="19">
        <v>65</v>
      </c>
      <c r="G18" s="19"/>
      <c r="H18" s="19"/>
      <c r="I18" s="19"/>
      <c r="J18" s="19"/>
      <c r="K18" s="19"/>
      <c r="L18" s="19"/>
      <c r="M18" s="19"/>
      <c r="N18" s="19">
        <f>80</f>
        <v>80</v>
      </c>
      <c r="O18" s="19"/>
      <c r="P18" s="19"/>
      <c r="Q18" s="19"/>
    </row>
    <row r="19" spans="1:17">
      <c r="A19" s="19">
        <v>18</v>
      </c>
      <c r="B19" s="19"/>
      <c r="C19" s="19">
        <f>22+5+26</f>
        <v>53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>
        <f>13</f>
        <v>13</v>
      </c>
      <c r="O19" s="19"/>
      <c r="P19" s="19"/>
      <c r="Q19" s="19"/>
    </row>
    <row r="20" spans="1:17">
      <c r="A20" s="19">
        <v>19</v>
      </c>
      <c r="B20" s="19"/>
      <c r="C20" s="19">
        <v>30</v>
      </c>
      <c r="D20" s="19"/>
      <c r="E20" s="19"/>
      <c r="F20" s="19">
        <v>8</v>
      </c>
      <c r="G20" s="19"/>
      <c r="H20" s="19"/>
      <c r="I20" s="19"/>
      <c r="J20" s="19"/>
      <c r="K20" s="19"/>
      <c r="L20" s="19">
        <f>30</f>
        <v>30</v>
      </c>
      <c r="M20" s="19"/>
      <c r="N20" s="19"/>
      <c r="O20" s="19"/>
      <c r="P20" s="19"/>
      <c r="Q20" s="19"/>
    </row>
    <row r="21" spans="1:17">
      <c r="A21" s="19">
        <v>20</v>
      </c>
      <c r="B21" s="19">
        <f>4+200</f>
        <v>204</v>
      </c>
      <c r="C21" s="19">
        <f>32+69-22</f>
        <v>79</v>
      </c>
      <c r="D21" s="19"/>
      <c r="E21" s="19"/>
      <c r="F21" s="19"/>
      <c r="G21" s="19">
        <v>22</v>
      </c>
      <c r="H21" s="19"/>
      <c r="I21" s="19"/>
      <c r="J21" s="19"/>
      <c r="K21" s="19"/>
      <c r="L21" s="19"/>
      <c r="M21" s="19">
        <f>20+5+68+319+20+120</f>
        <v>552</v>
      </c>
      <c r="N21" s="19"/>
      <c r="O21" s="19"/>
      <c r="P21" s="19"/>
      <c r="Q21" s="19"/>
    </row>
    <row r="22" spans="1:17" s="13" customFormat="1">
      <c r="A22" s="18">
        <v>21</v>
      </c>
      <c r="B22" s="18"/>
      <c r="C22" s="18">
        <v>24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>
        <v>61</v>
      </c>
      <c r="O22" s="18">
        <v>9</v>
      </c>
      <c r="P22" s="18"/>
      <c r="Q22" s="18"/>
    </row>
    <row r="23" spans="1:17" s="13" customFormat="1">
      <c r="A23" s="18">
        <v>22</v>
      </c>
      <c r="B23" s="18"/>
      <c r="C23" s="18">
        <f>23+34</f>
        <v>57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>
      <c r="A24" s="19">
        <v>23</v>
      </c>
      <c r="B24" s="19">
        <f>100+20+17+25</f>
        <v>162</v>
      </c>
      <c r="C24" s="19"/>
      <c r="D24" s="19"/>
      <c r="E24" s="19"/>
      <c r="F24" s="19"/>
      <c r="G24" s="19"/>
      <c r="H24" s="19">
        <v>300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9">
        <v>24</v>
      </c>
      <c r="B25" s="19"/>
      <c r="C25" s="19">
        <f>20</f>
        <v>20</v>
      </c>
      <c r="D25" s="19"/>
      <c r="E25" s="19"/>
      <c r="F25" s="19">
        <f>14</f>
        <v>14</v>
      </c>
      <c r="G25" s="19">
        <f>10</f>
        <v>10</v>
      </c>
      <c r="H25" s="19"/>
      <c r="I25" s="19"/>
      <c r="J25" s="19"/>
      <c r="K25" s="19"/>
      <c r="L25" s="19"/>
      <c r="M25" s="19"/>
      <c r="N25" s="19">
        <f>35</f>
        <v>35</v>
      </c>
      <c r="O25" s="19"/>
      <c r="P25" s="19"/>
      <c r="Q25" s="19"/>
    </row>
    <row r="26" spans="1:17">
      <c r="A26" s="19">
        <v>25</v>
      </c>
      <c r="C26" s="19">
        <f>25+34+5</f>
        <v>64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>
        <v>26</v>
      </c>
      <c r="B27" s="19">
        <v>302</v>
      </c>
      <c r="C27" s="19">
        <f>10+84+36+3</f>
        <v>133</v>
      </c>
      <c r="D27" s="19"/>
      <c r="E27" s="19"/>
      <c r="F27" s="19"/>
      <c r="G27" s="19">
        <v>45</v>
      </c>
      <c r="H27" s="19"/>
      <c r="I27" s="19"/>
      <c r="J27" s="19"/>
      <c r="K27" s="19"/>
      <c r="L27" s="19"/>
      <c r="M27" s="19">
        <f>30</f>
        <v>30</v>
      </c>
      <c r="N27" s="19"/>
      <c r="O27" s="19"/>
      <c r="P27" s="19"/>
      <c r="Q27" s="19"/>
    </row>
    <row r="28" spans="1:17">
      <c r="A28" s="19">
        <v>27</v>
      </c>
      <c r="B28" s="19">
        <f>2</f>
        <v>2</v>
      </c>
      <c r="C28" s="19">
        <f>43+28</f>
        <v>71</v>
      </c>
      <c r="D28" s="19"/>
      <c r="E28" s="19"/>
      <c r="F28" s="19">
        <f>7</f>
        <v>7</v>
      </c>
      <c r="G28" s="19">
        <f>20+15</f>
        <v>35</v>
      </c>
      <c r="H28" s="19"/>
      <c r="I28" s="19"/>
      <c r="J28" s="19">
        <f>50</f>
        <v>50</v>
      </c>
      <c r="K28" s="19">
        <f>120</f>
        <v>120</v>
      </c>
      <c r="L28" s="19"/>
      <c r="M28" s="19"/>
      <c r="N28" s="19"/>
      <c r="O28" s="19"/>
      <c r="P28" s="19"/>
      <c r="Q28" s="19"/>
    </row>
    <row r="29" spans="1:17" s="13" customFormat="1">
      <c r="A29" s="18">
        <v>28</v>
      </c>
      <c r="B29" s="18">
        <f>4</f>
        <v>4</v>
      </c>
      <c r="C29" s="18"/>
      <c r="D29" s="18"/>
      <c r="E29" s="18"/>
      <c r="F29" s="18">
        <f>13</f>
        <v>13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 s="13" customFormat="1">
      <c r="A30" s="18">
        <v>29</v>
      </c>
      <c r="B30" s="18"/>
      <c r="C30" s="18"/>
      <c r="D30" s="18"/>
      <c r="E30" s="18"/>
      <c r="F30" s="18"/>
      <c r="G30" s="18">
        <v>47</v>
      </c>
      <c r="H30" s="18"/>
      <c r="I30" s="18"/>
      <c r="J30" s="18"/>
      <c r="K30" s="18"/>
      <c r="L30" s="18"/>
      <c r="M30" s="18">
        <v>9</v>
      </c>
      <c r="N30" s="18"/>
      <c r="O30" s="18"/>
      <c r="P30" s="18"/>
      <c r="Q30" s="18"/>
    </row>
    <row r="31" spans="1:17">
      <c r="A31" s="19">
        <v>30</v>
      </c>
      <c r="B31" s="19"/>
      <c r="C31" s="19">
        <f>40+100+10</f>
        <v>150</v>
      </c>
      <c r="D31" s="19"/>
      <c r="E31" s="19"/>
      <c r="F31" s="19">
        <f>13</f>
        <v>13</v>
      </c>
      <c r="G31" s="19"/>
      <c r="H31" s="19"/>
      <c r="I31" s="19"/>
      <c r="J31" s="19"/>
      <c r="K31" s="19"/>
      <c r="L31" s="19">
        <f>50</f>
        <v>50</v>
      </c>
      <c r="M31" s="19">
        <f>11</f>
        <v>11</v>
      </c>
      <c r="N31" s="19"/>
      <c r="O31" s="19"/>
      <c r="P31" s="19"/>
      <c r="Q31" s="19"/>
    </row>
    <row r="32" spans="1:17">
      <c r="A32" s="19">
        <v>31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1" t="s">
        <v>6</v>
      </c>
      <c r="B33">
        <f>SUM(B2:B32)</f>
        <v>1347</v>
      </c>
      <c r="C33">
        <f>SUM(C2:C32)</f>
        <v>1391</v>
      </c>
      <c r="E33">
        <f>SUM(E2:E32)</f>
        <v>0</v>
      </c>
      <c r="F33">
        <f>SUM(F2:F32)</f>
        <v>233</v>
      </c>
      <c r="G33">
        <f>SUM(G2:G32)</f>
        <v>315</v>
      </c>
      <c r="H33">
        <f>SUM(H2:H32)</f>
        <v>2300</v>
      </c>
      <c r="K33">
        <f>SUM(K2:K32)</f>
        <v>610</v>
      </c>
      <c r="L33">
        <f>SUM(L2:L32)</f>
        <v>390</v>
      </c>
      <c r="N33">
        <f>SUM(N2:N32)</f>
        <v>409</v>
      </c>
      <c r="O33">
        <f>SUM(O2:O32)</f>
        <v>673</v>
      </c>
      <c r="P33">
        <f>SUM(P2:P32)</f>
        <v>145</v>
      </c>
      <c r="Q33">
        <f>SUM(Q2:Q32)</f>
        <v>1000</v>
      </c>
    </row>
    <row r="34" spans="1:17">
      <c r="A34" s="15" t="s">
        <v>6</v>
      </c>
      <c r="B34">
        <f>SUM(B33:Q33)</f>
        <v>8813</v>
      </c>
      <c r="C34" s="17">
        <f>B34/B35</f>
        <v>1070.8383961117861</v>
      </c>
    </row>
    <row r="35" spans="1:17">
      <c r="A35" t="s">
        <v>44</v>
      </c>
      <c r="B35">
        <v>8.23</v>
      </c>
    </row>
    <row r="37" spans="1:17">
      <c r="B37" t="s">
        <v>45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5"/>
  <dimension ref="A1:S35"/>
  <sheetViews>
    <sheetView tabSelected="1" workbookViewId="0">
      <selection activeCell="B19" sqref="B19:P20"/>
    </sheetView>
  </sheetViews>
  <sheetFormatPr defaultRowHeight="12.75"/>
  <cols>
    <col min="6" max="6" width="10" bestFit="1" customWidth="1"/>
    <col min="7" max="7" width="9.7109375" bestFit="1" customWidth="1"/>
    <col min="8" max="8" width="10" bestFit="1" customWidth="1"/>
    <col min="9" max="9" width="11" bestFit="1" customWidth="1"/>
    <col min="10" max="10" width="12.85546875" bestFit="1" customWidth="1"/>
    <col min="12" max="12" width="10.5703125" bestFit="1" customWidth="1"/>
  </cols>
  <sheetData>
    <row r="1" spans="1:19">
      <c r="A1" s="2" t="s">
        <v>25</v>
      </c>
      <c r="B1" s="9" t="s">
        <v>0</v>
      </c>
      <c r="C1" s="9" t="s">
        <v>1</v>
      </c>
      <c r="D1" s="9" t="s">
        <v>37</v>
      </c>
      <c r="E1" s="9" t="s">
        <v>38</v>
      </c>
      <c r="F1" s="9" t="s">
        <v>4</v>
      </c>
      <c r="G1" s="9" t="s">
        <v>5</v>
      </c>
      <c r="H1" s="9" t="s">
        <v>36</v>
      </c>
      <c r="I1" s="9" t="s">
        <v>47</v>
      </c>
      <c r="J1" s="9" t="s">
        <v>30</v>
      </c>
      <c r="K1" s="9" t="s">
        <v>42</v>
      </c>
      <c r="L1" s="9" t="s">
        <v>43</v>
      </c>
      <c r="M1" s="9" t="s">
        <v>29</v>
      </c>
      <c r="N1" s="9" t="s">
        <v>41</v>
      </c>
      <c r="O1" s="9" t="s">
        <v>32</v>
      </c>
      <c r="P1" s="9" t="s">
        <v>33</v>
      </c>
      <c r="Q1" s="9" t="s">
        <v>39</v>
      </c>
    </row>
    <row r="2" spans="1:19">
      <c r="A2" s="19">
        <v>1</v>
      </c>
      <c r="B2" s="19">
        <v>200</v>
      </c>
      <c r="C2" s="19">
        <f>22+29</f>
        <v>51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>
        <f>20+20</f>
        <v>40</v>
      </c>
      <c r="Q2" s="19"/>
    </row>
    <row r="3" spans="1:19">
      <c r="A3" s="19">
        <v>2</v>
      </c>
      <c r="B3" s="19">
        <v>2</v>
      </c>
      <c r="C3" s="19">
        <f>86+27+12+6</f>
        <v>131</v>
      </c>
      <c r="D3" s="19"/>
      <c r="E3" s="19"/>
      <c r="F3" s="19">
        <f>13+16</f>
        <v>29</v>
      </c>
      <c r="G3" s="19">
        <v>8</v>
      </c>
      <c r="H3" s="19"/>
      <c r="I3" s="19"/>
      <c r="J3" s="19"/>
      <c r="K3" s="19"/>
      <c r="L3" s="19"/>
      <c r="M3" s="19"/>
      <c r="N3" s="19"/>
      <c r="O3" s="19"/>
      <c r="P3" s="19">
        <v>37</v>
      </c>
      <c r="Q3" s="19"/>
    </row>
    <row r="4" spans="1:19">
      <c r="A4" s="19">
        <v>3</v>
      </c>
      <c r="B4" s="19"/>
      <c r="C4" s="19">
        <f>40+23</f>
        <v>63</v>
      </c>
      <c r="D4" s="19"/>
      <c r="E4" s="19"/>
      <c r="F4" s="19"/>
      <c r="G4" s="19"/>
      <c r="H4" s="19">
        <f>500-80</f>
        <v>420</v>
      </c>
      <c r="I4" s="19"/>
      <c r="J4" s="19"/>
      <c r="K4" s="19"/>
      <c r="L4" s="19">
        <f>80</f>
        <v>80</v>
      </c>
      <c r="M4" s="19"/>
      <c r="N4" s="19"/>
      <c r="O4" s="19"/>
      <c r="P4" s="19"/>
      <c r="Q4" s="19"/>
    </row>
    <row r="5" spans="1:19">
      <c r="A5" s="19">
        <v>4</v>
      </c>
      <c r="B5" s="19"/>
      <c r="C5" s="19">
        <f>34+10</f>
        <v>44</v>
      </c>
      <c r="D5" s="19"/>
      <c r="E5" s="19"/>
      <c r="F5" s="19">
        <v>13</v>
      </c>
      <c r="G5" s="19"/>
      <c r="H5" s="19"/>
      <c r="I5" s="19"/>
      <c r="J5" s="19"/>
      <c r="K5" s="19"/>
      <c r="L5" s="19">
        <v>20</v>
      </c>
      <c r="M5" s="19"/>
      <c r="N5" s="19"/>
      <c r="O5" s="19">
        <f>8+40</f>
        <v>48</v>
      </c>
      <c r="P5" s="19"/>
      <c r="Q5" s="19"/>
    </row>
    <row r="6" spans="1:19" s="13" customFormat="1">
      <c r="A6" s="18">
        <v>5</v>
      </c>
      <c r="B6" s="18"/>
      <c r="C6" s="18">
        <f>28+29+8</f>
        <v>65</v>
      </c>
      <c r="D6" s="18"/>
      <c r="E6" s="18"/>
      <c r="F6" s="18">
        <v>13</v>
      </c>
      <c r="G6" s="18">
        <f>8</f>
        <v>8</v>
      </c>
      <c r="H6" s="18"/>
      <c r="I6" s="18"/>
      <c r="J6" s="18"/>
      <c r="K6" s="18">
        <f>345+120+285+140+480+270+15</f>
        <v>1655</v>
      </c>
      <c r="L6" s="18"/>
      <c r="M6" s="18"/>
      <c r="N6" s="18">
        <f>140-8-28-8</f>
        <v>96</v>
      </c>
      <c r="O6" s="18"/>
      <c r="P6" s="18"/>
      <c r="Q6" s="18"/>
    </row>
    <row r="7" spans="1:19" s="13" customFormat="1">
      <c r="A7" s="18">
        <v>6</v>
      </c>
      <c r="B7" s="18">
        <f>273</f>
        <v>273</v>
      </c>
      <c r="C7" s="18">
        <f>41+15*1.2+21*1.2+44*1.2+15*1.2+7*1.2+12*1.2</f>
        <v>177.8</v>
      </c>
      <c r="D7" s="18"/>
      <c r="E7" s="18"/>
      <c r="F7" s="18">
        <f>306</f>
        <v>306</v>
      </c>
      <c r="G7" s="18">
        <f>37*1.2</f>
        <v>44.4</v>
      </c>
      <c r="H7" s="18"/>
      <c r="I7" s="18"/>
      <c r="J7" s="18"/>
      <c r="K7" s="18"/>
      <c r="L7" s="18"/>
      <c r="M7" s="18"/>
      <c r="N7" s="18">
        <f>22*1.2+4+10*1.2</f>
        <v>42.4</v>
      </c>
      <c r="O7" s="18"/>
      <c r="P7" s="18">
        <f>90*1.2</f>
        <v>108</v>
      </c>
      <c r="Q7" s="18"/>
    </row>
    <row r="8" spans="1:19">
      <c r="A8" s="19">
        <v>7</v>
      </c>
      <c r="B8" s="19"/>
      <c r="C8" s="19">
        <f>100+39+10</f>
        <v>149</v>
      </c>
      <c r="D8" s="19"/>
      <c r="E8" s="19"/>
      <c r="F8" s="19"/>
      <c r="G8" s="19"/>
      <c r="H8" s="19"/>
      <c r="I8" s="19"/>
      <c r="J8" s="19"/>
      <c r="K8" s="19"/>
      <c r="L8" s="19"/>
      <c r="M8" s="19">
        <v>19</v>
      </c>
      <c r="N8" s="19">
        <v>6</v>
      </c>
      <c r="O8" s="19"/>
      <c r="P8" s="19"/>
      <c r="Q8" s="19"/>
      <c r="R8" t="s">
        <v>46</v>
      </c>
      <c r="S8" t="s">
        <v>48</v>
      </c>
    </row>
    <row r="9" spans="1:19">
      <c r="A9" s="19">
        <v>8</v>
      </c>
      <c r="B9" s="19"/>
      <c r="C9" s="19">
        <f>20+11+14+5</f>
        <v>50</v>
      </c>
      <c r="D9" s="19"/>
      <c r="E9" s="19"/>
      <c r="F9" s="19"/>
      <c r="G9" s="19"/>
      <c r="H9" s="19"/>
      <c r="I9" s="19"/>
      <c r="J9" s="19"/>
      <c r="K9" s="19"/>
      <c r="L9" s="19"/>
      <c r="M9" s="19">
        <v>16</v>
      </c>
      <c r="N9" s="19">
        <f>20+22</f>
        <v>42</v>
      </c>
      <c r="O9" s="19"/>
      <c r="P9" s="19"/>
      <c r="Q9" s="19"/>
    </row>
    <row r="10" spans="1:19">
      <c r="A10" s="19">
        <v>9</v>
      </c>
      <c r="B10" s="19"/>
      <c r="C10" s="19">
        <f>34+23</f>
        <v>57</v>
      </c>
      <c r="D10" s="19"/>
      <c r="E10" s="19"/>
      <c r="F10" s="19">
        <f>16</f>
        <v>16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9">
      <c r="A11" s="19">
        <v>10</v>
      </c>
      <c r="B11" s="19"/>
      <c r="C11" s="19">
        <f>34+23+21</f>
        <v>78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9">
      <c r="A12" s="19">
        <v>11</v>
      </c>
      <c r="B12" s="19">
        <f>85</f>
        <v>85</v>
      </c>
      <c r="C12" s="19">
        <f>34</f>
        <v>34</v>
      </c>
      <c r="D12" s="19"/>
      <c r="E12" s="19"/>
      <c r="F12" s="19">
        <f>7</f>
        <v>7</v>
      </c>
      <c r="G12" s="19"/>
      <c r="H12" s="19"/>
      <c r="I12" s="19"/>
      <c r="J12" s="19"/>
      <c r="K12" s="19"/>
      <c r="L12" s="19"/>
      <c r="M12" s="19"/>
      <c r="N12" s="19"/>
      <c r="O12" s="19"/>
      <c r="P12" s="19">
        <f>400</f>
        <v>400</v>
      </c>
      <c r="Q12" s="19"/>
    </row>
    <row r="13" spans="1:19" s="13" customFormat="1">
      <c r="A13" s="18">
        <v>12</v>
      </c>
      <c r="B13" s="18">
        <v>212</v>
      </c>
      <c r="C13" s="18">
        <f>25</f>
        <v>25</v>
      </c>
      <c r="D13" s="18"/>
      <c r="E13" s="18"/>
      <c r="F13" s="18"/>
      <c r="G13" s="18">
        <f>30+3*8</f>
        <v>54</v>
      </c>
      <c r="H13" s="18"/>
      <c r="I13" s="18"/>
      <c r="J13" s="18"/>
      <c r="K13" s="18"/>
      <c r="L13" s="18"/>
      <c r="M13" s="18"/>
      <c r="N13" s="18">
        <f>200+850</f>
        <v>1050</v>
      </c>
      <c r="O13" s="18"/>
      <c r="P13" s="18"/>
      <c r="Q13" s="18"/>
    </row>
    <row r="14" spans="1:19" s="13" customFormat="1">
      <c r="A14" s="18">
        <v>13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9">
      <c r="A15" s="19">
        <v>14</v>
      </c>
      <c r="B15" s="19">
        <f>3+4+2+2</f>
        <v>11</v>
      </c>
      <c r="C15" s="19">
        <f>100+38+20+8</f>
        <v>166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9">
      <c r="A16" s="19">
        <v>15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>
      <c r="A17" s="19">
        <v>16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>
      <c r="A18" s="19">
        <v>17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>
      <c r="A19" s="19">
        <v>18</v>
      </c>
      <c r="B19" s="19">
        <f>4</f>
        <v>4</v>
      </c>
      <c r="C19" s="19">
        <f>18</f>
        <v>18</v>
      </c>
      <c r="D19" s="19"/>
      <c r="E19" s="19"/>
      <c r="F19" s="19"/>
      <c r="G19" s="19">
        <f>24+6</f>
        <v>30</v>
      </c>
      <c r="H19" s="19"/>
      <c r="I19" s="19"/>
      <c r="J19" s="19"/>
      <c r="K19" s="19"/>
      <c r="L19" s="19"/>
      <c r="M19" s="19"/>
      <c r="N19" s="19"/>
      <c r="O19" s="19"/>
      <c r="P19" s="19">
        <v>20</v>
      </c>
      <c r="Q19" s="19"/>
    </row>
    <row r="20" spans="1:17" s="13" customFormat="1">
      <c r="A20" s="18">
        <v>19</v>
      </c>
      <c r="B20" s="18">
        <f>2+60+50+80</f>
        <v>192</v>
      </c>
      <c r="C20" s="18">
        <f>18+55+13+27</f>
        <v>113</v>
      </c>
      <c r="D20" s="18"/>
      <c r="E20" s="18"/>
      <c r="F20" s="18"/>
      <c r="G20" s="18"/>
      <c r="H20" s="18"/>
      <c r="I20" s="18"/>
      <c r="J20" s="18"/>
      <c r="K20" s="18"/>
      <c r="L20" s="18"/>
      <c r="M20" s="18">
        <f>92</f>
        <v>92</v>
      </c>
      <c r="N20" s="18"/>
      <c r="O20" s="18"/>
      <c r="P20" s="18"/>
      <c r="Q20" s="18"/>
    </row>
    <row r="21" spans="1:17" s="13" customFormat="1">
      <c r="A21" s="18">
        <v>20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19">
        <v>21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>
      <c r="A23" s="19">
        <v>22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>
      <c r="A24" s="19">
        <v>23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9">
        <v>24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>
        <v>25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s="13" customFormat="1">
      <c r="A27" s="18">
        <v>26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s="13" customFormat="1">
      <c r="A28" s="18">
        <v>27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9">
        <v>28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>
        <v>29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>
        <v>30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>
        <v>31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1" t="s">
        <v>6</v>
      </c>
      <c r="B33">
        <f>SUM(B2:B32)</f>
        <v>979</v>
      </c>
      <c r="C33">
        <f>SUM(C2:C32)</f>
        <v>1221.8</v>
      </c>
      <c r="E33">
        <f>SUM(E2:E32)</f>
        <v>0</v>
      </c>
      <c r="F33">
        <f>SUM(F2:F32)</f>
        <v>384</v>
      </c>
      <c r="G33">
        <f>SUM(G2:G32)</f>
        <v>144.4</v>
      </c>
      <c r="H33">
        <f>SUM(H2:H32)</f>
        <v>420</v>
      </c>
      <c r="K33">
        <f>SUM(K2:K32)</f>
        <v>1655</v>
      </c>
      <c r="L33">
        <f>SUM(L2:L32)</f>
        <v>100</v>
      </c>
      <c r="N33">
        <f>SUM(N2:N32)</f>
        <v>1236.4000000000001</v>
      </c>
      <c r="O33">
        <f>SUM(O2:O32)</f>
        <v>48</v>
      </c>
      <c r="P33">
        <f>SUM(P2:P32)</f>
        <v>605</v>
      </c>
      <c r="Q33">
        <f>SUM(Q2:Q32)</f>
        <v>0</v>
      </c>
    </row>
    <row r="34" spans="1:17">
      <c r="A34" s="15" t="s">
        <v>6</v>
      </c>
      <c r="B34">
        <f>SUM(B33:Q33)</f>
        <v>6793.6</v>
      </c>
      <c r="C34" s="17">
        <f>B34/B35</f>
        <v>825.46780072904005</v>
      </c>
    </row>
    <row r="35" spans="1:17">
      <c r="A35" t="s">
        <v>44</v>
      </c>
      <c r="B35">
        <v>8.23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Итоги</vt:lpstr>
      <vt:lpstr>Январь</vt:lpstr>
      <vt:lpstr>Сентябрь</vt:lpstr>
      <vt:lpstr>Октябрь</vt:lpstr>
      <vt:lpstr>Ноябрь</vt:lpstr>
      <vt:lpstr>Декабрь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Alpaev</dc:creator>
  <cp:lastModifiedBy>genka</cp:lastModifiedBy>
  <dcterms:created xsi:type="dcterms:W3CDTF">2009-01-03T20:25:32Z</dcterms:created>
  <dcterms:modified xsi:type="dcterms:W3CDTF">2009-12-20T16:28:07Z</dcterms:modified>
</cp:coreProperties>
</file>