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 Recursos" sheetId="1" r:id="rId4"/>
    <sheet state="visible" name="Presupuesto Detallado CLOUD" sheetId="2" r:id="rId5"/>
    <sheet state="visible" name="Presupuesto Detallado WEB" sheetId="3" r:id="rId6"/>
    <sheet state="visible" name="Presupuesto Detallado MOBILE" sheetId="4" r:id="rId7"/>
    <sheet state="visible" name="Presupuesto Detallado CHATBOT" sheetId="5" r:id="rId8"/>
    <sheet state="visible" name="Datos" sheetId="6" r:id="rId9"/>
    <sheet state="visible" name="Instructivo" sheetId="7" r:id="rId10"/>
  </sheets>
  <definedNames/>
  <calcPr/>
  <extLst>
    <ext uri="GoogleSheetsCustomDataVersion2">
      <go:sheetsCustomData xmlns:go="http://customooxmlschemas.google.com/" r:id="rId11" roundtripDataChecksum="iP6KOs6841AAa6RyffEPouW8yFHy8YnLdV8pte4SvKg="/>
    </ext>
  </extLst>
</workbook>
</file>

<file path=xl/comments1.xml><?xml version="1.0" encoding="utf-8"?>
<comments xmlns:r="http://schemas.openxmlformats.org/officeDocument/2006/relationships" xmlns="http://schemas.openxmlformats.org/spreadsheetml/2006/main">
  <authors>
    <author/>
  </authors>
  <commentList>
    <comment authorId="0" ref="J4">
      <text>
        <t xml:space="preserve">Si bien nos pasamos del presupuesto en esta etapa. Estamos distribuyendo el dinero sobrante de los otros módulos.
En el apartado de "RECURSOS", se puede observar cuanto es el dinero sobrante, que son 50M aproximadamente (50M descontando lo que distribuimos para este modulo)
======</t>
      </text>
    </comment>
  </commentList>
</comments>
</file>

<file path=xl/sharedStrings.xml><?xml version="1.0" encoding="utf-8"?>
<sst xmlns="http://schemas.openxmlformats.org/spreadsheetml/2006/main" count="391" uniqueCount="115">
  <si>
    <t>Presupuesto de Proyecto</t>
  </si>
  <si>
    <t>Farmacia Simple SPA</t>
  </si>
  <si>
    <t>Elaborado por: pmoinformatica.com</t>
  </si>
  <si>
    <t>% Reserva de Contingencia</t>
  </si>
  <si>
    <t>Líder del Proyecto: [Nombre]</t>
  </si>
  <si>
    <t>Presupuesto</t>
  </si>
  <si>
    <t>Reservas</t>
  </si>
  <si>
    <t>Total</t>
  </si>
  <si>
    <t>Fecha de Inicio: [dd/mm/aaaa]</t>
  </si>
  <si>
    <t>Aprox</t>
  </si>
  <si>
    <t>Categoría</t>
  </si>
  <si>
    <t>Recurso</t>
  </si>
  <si>
    <t>Tipo de Unidades</t>
  </si>
  <si>
    <t>Tasa</t>
  </si>
  <si>
    <t>Costos Directos</t>
  </si>
  <si>
    <t>Labor (Personal)</t>
  </si>
  <si>
    <t>Analista de Requerimientos</t>
  </si>
  <si>
    <t>Analista de Sistemas</t>
  </si>
  <si>
    <t>Scrum Master</t>
  </si>
  <si>
    <t>Programadores</t>
  </si>
  <si>
    <t>Testers</t>
  </si>
  <si>
    <t>Administradores de la Infraestructura</t>
  </si>
  <si>
    <t>Arquitecto de Sistemas</t>
  </si>
  <si>
    <t>Ingeniero de Sistemas</t>
  </si>
  <si>
    <t>Ingeniero de Redes</t>
  </si>
  <si>
    <t>Ingeniero de Seguridad</t>
  </si>
  <si>
    <t>Ingeniero DevOps</t>
  </si>
  <si>
    <t>Experto en IA</t>
  </si>
  <si>
    <t>Consultoría</t>
  </si>
  <si>
    <t>Empresa Externa Consultas</t>
  </si>
  <si>
    <t>Materiales</t>
  </si>
  <si>
    <t>Servidor Dell PowerEdge</t>
  </si>
  <si>
    <t>Sillas</t>
  </si>
  <si>
    <t>Escritorios</t>
  </si>
  <si>
    <t>ASUS VivoBook 15</t>
  </si>
  <si>
    <t>Hosting</t>
  </si>
  <si>
    <t>Switch</t>
  </si>
  <si>
    <t>Router</t>
  </si>
  <si>
    <t>Racks</t>
  </si>
  <si>
    <t>UPS</t>
  </si>
  <si>
    <t>Cableado</t>
  </si>
  <si>
    <t>Costos Indirectos</t>
  </si>
  <si>
    <t>Internet</t>
  </si>
  <si>
    <t xml:space="preserve">  </t>
  </si>
  <si>
    <t>Líder del Proyecto: Benjamín Castillo</t>
  </si>
  <si>
    <t xml:space="preserve">Fecha de Inicio: </t>
  </si>
  <si>
    <t>Código</t>
  </si>
  <si>
    <t>Tarea / Actividad</t>
  </si>
  <si>
    <t>Elemento</t>
  </si>
  <si>
    <t>Tipo de Recurso</t>
  </si>
  <si>
    <t>Unidades</t>
  </si>
  <si>
    <t>Cantidad</t>
  </si>
  <si>
    <t>40% más</t>
  </si>
  <si>
    <t xml:space="preserve">Infraestructura Cloud </t>
  </si>
  <si>
    <t>1.1</t>
  </si>
  <si>
    <t>Planificación y preparación</t>
  </si>
  <si>
    <t>1.2</t>
  </si>
  <si>
    <t>Implementacion Arquitectura</t>
  </si>
  <si>
    <t>Tecnico en Redes</t>
  </si>
  <si>
    <t>Tecnico en Sistemas</t>
  </si>
  <si>
    <t>Fortinet FortiGate 60E</t>
  </si>
  <si>
    <t xml:space="preserve">Aire Acondicionado </t>
  </si>
  <si>
    <t>Sistema de Ventilación</t>
  </si>
  <si>
    <t>Instalacion Aires</t>
  </si>
  <si>
    <t>Instalacion Ventilación</t>
  </si>
  <si>
    <t>1.3</t>
  </si>
  <si>
    <t>Despliegue y migracion de aplicaciones</t>
  </si>
  <si>
    <t>1.4</t>
  </si>
  <si>
    <t>QA</t>
  </si>
  <si>
    <t>1.5</t>
  </si>
  <si>
    <t>Implementacion</t>
  </si>
  <si>
    <t>Otros</t>
  </si>
  <si>
    <t>Cantidad de personas</t>
  </si>
  <si>
    <t>Plataforma WEB</t>
  </si>
  <si>
    <t>2.1</t>
  </si>
  <si>
    <t>Requerimientos y Diseño</t>
  </si>
  <si>
    <t>2.2</t>
  </si>
  <si>
    <t>Desarrollo</t>
  </si>
  <si>
    <t>2.3</t>
  </si>
  <si>
    <t>Implementación</t>
  </si>
  <si>
    <t>Plataforma MOBILE</t>
  </si>
  <si>
    <t>CHATBOT</t>
  </si>
  <si>
    <t>4.1</t>
  </si>
  <si>
    <t>Empresa Consultoria Arquitectura</t>
  </si>
  <si>
    <t>Si bien nos pasamos del presupuesto en esta etapa. 
Estamos distribuyendo el dinero sobrante de los otros módulos.
En el apartado de "RECURSOS", se puede observar cuanto es el dinero sobrante, 
que son 39M aproximadamente (26M descontando lo que distribuimos para este modulo)</t>
  </si>
  <si>
    <t>Desarrollo y QA</t>
  </si>
  <si>
    <t>[Nombre de la Compañía / Logo]</t>
  </si>
  <si>
    <t>Semanal</t>
  </si>
  <si>
    <t>MENSUAL</t>
  </si>
  <si>
    <t>Empresa Externa</t>
  </si>
  <si>
    <t>NA</t>
  </si>
  <si>
    <t>Gastos Indirectos</t>
  </si>
  <si>
    <t>Hoja: Tasas</t>
  </si>
  <si>
    <t>Descripción:</t>
  </si>
  <si>
    <t>Se usa para registrar los datos maestros para el cálculo del Presupuesto a partir de los recursos.</t>
  </si>
  <si>
    <t>Columna</t>
  </si>
  <si>
    <t>Instrucciones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</si>
  <si>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</si>
  <si>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</si>
  <si>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</si>
  <si>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</si>
  <si>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</si>
  <si>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</si>
  <si>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</si>
  <si>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</si>
  <si>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</si>
  <si>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Indica si es un Recurso de tipo Labor, Materiales, Licencias, Gastos por viajes, Gastos indirectos, o cualquier otro.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</si>
  <si>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</si>
  <si>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</si>
  <si>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</si>
  <si>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Multiplicando la tasa en moneda por el uso del recurso, por las unidades, se obtiene el costo total para la actividad por el uso de dicho recurso.</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</si>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</sst>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00_ ;_ * \-#,##0.00_ ;_ * &quot;-&quot;??_ ;_ @_ "/>
    <numFmt numFmtId="165" formatCode="0.0%"/>
  </numFmts>
  <fonts count="9">
    <font>
      <sz val="11.0"/>
      <color theme="1"/>
      <name val="Arial"/>
      <scheme val="minor"/>
    </font>
    <font>
      <sz val="11.0"/>
      <color theme="1"/>
      <name val="Calibri"/>
    </font>
    <font>
      <b/>
      <sz val="20.0"/>
      <color theme="1"/>
      <name val="Calibri"/>
    </font>
    <font>
      <b/>
      <sz val="11.0"/>
      <color theme="1"/>
      <name val="Calibri"/>
    </font>
    <font>
      <b/>
      <sz val="14.0"/>
      <color rgb="FF1F497D"/>
      <name val="Calibri"/>
    </font>
    <font>
      <sz val="10.0"/>
      <color theme="1"/>
      <name val="Calibri"/>
    </font>
    <font>
      <sz val="12.0"/>
      <color theme="1"/>
      <name val="Calibri"/>
    </font>
    <font>
      <b/>
      <sz val="12.0"/>
      <color theme="1"/>
      <name val="Calibri"/>
    </font>
    <font/>
  </fonts>
  <fills count="10">
    <fill>
      <patternFill patternType="none"/>
    </fill>
    <fill>
      <patternFill patternType="lightGray"/>
    </fill>
    <fill>
      <patternFill patternType="solid">
        <fgColor theme="0"/>
        <bgColor theme="0"/>
      </patternFill>
    </fill>
    <fill>
      <patternFill patternType="solid">
        <fgColor rgb="FFB6D7A8"/>
        <bgColor rgb="FFB6D7A8"/>
      </patternFill>
    </fill>
    <fill>
      <patternFill patternType="solid">
        <fgColor rgb="FFD8D8D8"/>
        <bgColor rgb="FFD8D8D8"/>
      </patternFill>
    </fill>
    <fill>
      <patternFill patternType="solid">
        <fgColor rgb="FFFFE599"/>
        <bgColor rgb="FFFFE599"/>
      </patternFill>
    </fill>
    <fill>
      <patternFill patternType="solid">
        <fgColor rgb="FFEA9999"/>
        <bgColor rgb="FFEA9999"/>
      </patternFill>
    </fill>
    <fill>
      <patternFill patternType="solid">
        <fgColor rgb="FFC9DAF8"/>
        <bgColor rgb="FFC9DAF8"/>
      </patternFill>
    </fill>
    <fill>
      <patternFill patternType="solid">
        <fgColor rgb="FFFFFFFF"/>
        <bgColor rgb="FFFFFFFF"/>
      </patternFill>
    </fill>
    <fill>
      <patternFill patternType="solid">
        <fgColor rgb="FFF9CB9C"/>
        <bgColor rgb="FFF9CB9C"/>
      </patternFill>
    </fill>
  </fills>
  <borders count="11">
    <border/>
    <border>
      <left/>
      <right/>
      <top/>
      <bottom/>
    </border>
    <border>
      <left/>
      <top/>
    </border>
    <border>
      <top/>
    </border>
    <border>
      <right/>
      <top/>
    </border>
    <border>
      <left/>
    </border>
    <border>
      <right/>
    </border>
    <border>
      <left/>
      <bottom/>
    </border>
    <border>
      <bottom/>
    </border>
    <border>
      <right/>
      <bottom/>
    </border>
    <border>
      <left/>
      <right/>
      <top style="thin">
        <color rgb="FF000000"/>
      </top>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1" numFmtId="9" xfId="0" applyBorder="1" applyFont="1" applyNumberFormat="1"/>
    <xf borderId="1" fillId="2" fontId="5" numFmtId="0" xfId="0" applyBorder="1" applyFont="1"/>
    <xf borderId="1" fillId="2" fontId="6" numFmtId="0" xfId="0" applyBorder="1" applyFont="1"/>
    <xf borderId="1" fillId="2" fontId="7" numFmtId="0" xfId="0" applyAlignment="1" applyBorder="1" applyFont="1">
      <alignment horizontal="center"/>
    </xf>
    <xf borderId="1" fillId="3" fontId="1" numFmtId="164" xfId="0" applyBorder="1" applyFill="1" applyFont="1" applyNumberFormat="1"/>
    <xf borderId="1" fillId="3" fontId="1" numFmtId="9" xfId="0" applyAlignment="1" applyBorder="1" applyFont="1" applyNumberFormat="1">
      <alignment readingOrder="0"/>
    </xf>
    <xf borderId="1" fillId="2" fontId="7" numFmtId="0" xfId="0" applyBorder="1" applyFont="1"/>
    <xf borderId="1" fillId="4" fontId="6" numFmtId="164" xfId="0" applyBorder="1" applyFill="1" applyFont="1" applyNumberFormat="1"/>
    <xf borderId="1" fillId="5" fontId="1" numFmtId="164" xfId="0" applyBorder="1" applyFill="1" applyFont="1" applyNumberFormat="1"/>
    <xf borderId="1" fillId="5" fontId="1" numFmtId="9" xfId="0" applyAlignment="1" applyBorder="1" applyFont="1" applyNumberFormat="1">
      <alignment readingOrder="0"/>
    </xf>
    <xf borderId="1" fillId="6" fontId="1" numFmtId="164" xfId="0" applyBorder="1" applyFill="1" applyFont="1" applyNumberFormat="1"/>
    <xf borderId="1" fillId="6" fontId="1" numFmtId="9" xfId="0" applyAlignment="1" applyBorder="1" applyFont="1" applyNumberFormat="1">
      <alignment readingOrder="0"/>
    </xf>
    <xf borderId="1" fillId="2" fontId="1" numFmtId="0" xfId="0" applyAlignment="1" applyBorder="1" applyFont="1">
      <alignment readingOrder="0"/>
    </xf>
    <xf borderId="1" fillId="4" fontId="3" numFmtId="0" xfId="0" applyAlignment="1" applyBorder="1" applyFont="1">
      <alignment horizontal="left" vertical="top"/>
    </xf>
    <xf borderId="1" fillId="4" fontId="3" numFmtId="164" xfId="0" applyAlignment="1" applyBorder="1" applyFont="1" applyNumberFormat="1">
      <alignment horizontal="left" vertical="top"/>
    </xf>
    <xf borderId="1" fillId="2" fontId="1" numFmtId="0" xfId="0" applyAlignment="1" applyBorder="1" applyFont="1">
      <alignment horizontal="left" vertical="top"/>
    </xf>
    <xf borderId="1" fillId="2" fontId="1" numFmtId="164" xfId="0" applyAlignment="1" applyBorder="1" applyFont="1" applyNumberFormat="1">
      <alignment horizontal="left" vertical="top"/>
    </xf>
    <xf borderId="1" fillId="2" fontId="1" numFmtId="164" xfId="0" applyAlignment="1" applyBorder="1" applyFont="1" applyNumberFormat="1">
      <alignment horizontal="right" vertical="top"/>
    </xf>
    <xf borderId="1" fillId="2" fontId="1" numFmtId="0" xfId="0" applyAlignment="1" applyBorder="1" applyFont="1">
      <alignment horizontal="left" readingOrder="0" vertical="top"/>
    </xf>
    <xf borderId="1" fillId="2" fontId="1" numFmtId="165" xfId="0" applyAlignment="1" applyBorder="1" applyFont="1" applyNumberFormat="1">
      <alignment readingOrder="0"/>
    </xf>
    <xf borderId="1" fillId="2" fontId="7" numFmtId="0" xfId="0" applyAlignment="1" applyBorder="1" applyFont="1">
      <alignment horizontal="center" shrinkToFit="0" wrapText="1"/>
    </xf>
    <xf borderId="1" fillId="2" fontId="7" numFmtId="0" xfId="0" applyAlignment="1" applyBorder="1" applyFont="1">
      <alignment horizontal="center" readingOrder="0"/>
    </xf>
    <xf borderId="1" fillId="3" fontId="1" numFmtId="0" xfId="0" applyAlignment="1" applyBorder="1" applyFont="1">
      <alignment readingOrder="0"/>
    </xf>
    <xf borderId="1" fillId="4" fontId="1" numFmtId="0" xfId="0" applyAlignment="1" applyBorder="1" applyFont="1">
      <alignment horizontal="left" vertical="top"/>
    </xf>
    <xf borderId="1" fillId="4" fontId="1" numFmtId="0" xfId="0" applyAlignment="1" applyBorder="1" applyFont="1">
      <alignment horizontal="right" vertical="top"/>
    </xf>
    <xf borderId="1" fillId="4" fontId="1" numFmtId="164" xfId="0" applyAlignment="1" applyBorder="1" applyFont="1" applyNumberFormat="1">
      <alignment horizontal="left" vertical="top"/>
    </xf>
    <xf borderId="1" fillId="3" fontId="1" numFmtId="0" xfId="0" applyBorder="1" applyFont="1"/>
    <xf borderId="1" fillId="7" fontId="1" numFmtId="0" xfId="0" applyAlignment="1" applyBorder="1" applyFill="1" applyFont="1">
      <alignment horizontal="left" vertical="top"/>
    </xf>
    <xf borderId="1" fillId="7" fontId="1" numFmtId="0" xfId="0" applyAlignment="1" applyBorder="1" applyFont="1">
      <alignment horizontal="right" vertical="top"/>
    </xf>
    <xf borderId="1" fillId="7" fontId="1" numFmtId="164" xfId="0" applyAlignment="1" applyBorder="1" applyFont="1" applyNumberFormat="1">
      <alignment horizontal="left" vertical="top"/>
    </xf>
    <xf borderId="1" fillId="7" fontId="1" numFmtId="0" xfId="0" applyAlignment="1" applyBorder="1" applyFont="1">
      <alignment horizontal="right" readingOrder="0" vertical="top"/>
    </xf>
    <xf borderId="1" fillId="5" fontId="1" numFmtId="0" xfId="0" applyAlignment="1" applyBorder="1" applyFont="1">
      <alignment horizontal="left" vertical="top"/>
    </xf>
    <xf borderId="1" fillId="5" fontId="1" numFmtId="164" xfId="0" applyAlignment="1" applyBorder="1" applyFont="1" applyNumberFormat="1">
      <alignment horizontal="left" vertical="top"/>
    </xf>
    <xf borderId="1" fillId="5" fontId="1" numFmtId="0" xfId="0" applyAlignment="1" applyBorder="1" applyFont="1">
      <alignment horizontal="right" vertical="top"/>
    </xf>
    <xf borderId="1" fillId="5" fontId="1" numFmtId="0" xfId="0" applyAlignment="1" applyBorder="1" applyFont="1">
      <alignment horizontal="right" readingOrder="0" vertical="top"/>
    </xf>
    <xf borderId="1" fillId="2" fontId="1" numFmtId="0" xfId="0" applyAlignment="1" applyBorder="1" applyFont="1">
      <alignment horizontal="right" vertical="top"/>
    </xf>
    <xf borderId="1" fillId="7" fontId="1" numFmtId="0" xfId="0" applyAlignment="1" applyBorder="1" applyFont="1">
      <alignment horizontal="left" readingOrder="0" vertical="top"/>
    </xf>
    <xf borderId="1" fillId="2" fontId="1" numFmtId="164" xfId="0" applyBorder="1" applyFont="1" applyNumberFormat="1"/>
    <xf borderId="0" fillId="4" fontId="3" numFmtId="0" xfId="0" applyAlignment="1" applyFont="1">
      <alignment vertical="top"/>
    </xf>
    <xf borderId="0" fillId="4" fontId="1" numFmtId="0" xfId="0" applyAlignment="1" applyFont="1">
      <alignment vertical="top"/>
    </xf>
    <xf borderId="0" fillId="4" fontId="1" numFmtId="164" xfId="0" applyAlignment="1" applyFont="1" applyNumberFormat="1">
      <alignment vertical="top"/>
    </xf>
    <xf borderId="0" fillId="8" fontId="1" numFmtId="0" xfId="0" applyAlignment="1" applyFill="1" applyFont="1">
      <alignment vertical="top"/>
    </xf>
    <xf borderId="0" fillId="7" fontId="1" numFmtId="0" xfId="0" applyAlignment="1" applyFont="1">
      <alignment shrinkToFit="0" vertical="top" wrapText="0"/>
    </xf>
    <xf borderId="0" fillId="7" fontId="1" numFmtId="0" xfId="0" applyAlignment="1" applyFont="1">
      <alignment vertical="top"/>
    </xf>
    <xf borderId="0" fillId="7" fontId="1" numFmtId="164" xfId="0" applyAlignment="1" applyFont="1" applyNumberFormat="1">
      <alignment vertical="top"/>
    </xf>
    <xf borderId="0" fillId="7" fontId="1" numFmtId="0" xfId="0" applyAlignment="1" applyFont="1">
      <alignment horizontal="right" readingOrder="0" vertical="top"/>
    </xf>
    <xf borderId="0" fillId="7" fontId="1" numFmtId="0" xfId="0" applyAlignment="1" applyFont="1">
      <alignment horizontal="right" vertical="top"/>
    </xf>
    <xf borderId="0" fillId="8" fontId="1" numFmtId="164" xfId="0" applyAlignment="1" applyFont="1" applyNumberFormat="1">
      <alignment vertical="top"/>
    </xf>
    <xf borderId="0" fillId="7" fontId="1" numFmtId="0" xfId="0" applyAlignment="1" applyFont="1">
      <alignment readingOrder="0" vertical="top"/>
    </xf>
    <xf borderId="0" fillId="8" fontId="1" numFmtId="0" xfId="0" applyAlignment="1" applyFont="1">
      <alignment horizontal="right" vertical="top"/>
    </xf>
    <xf borderId="0" fillId="5" fontId="1" numFmtId="0" xfId="0" applyAlignment="1" applyFont="1">
      <alignment vertical="top"/>
    </xf>
    <xf borderId="0" fillId="5" fontId="1" numFmtId="164" xfId="0" applyAlignment="1" applyFont="1" applyNumberFormat="1">
      <alignment vertical="top"/>
    </xf>
    <xf borderId="0" fillId="5" fontId="1" numFmtId="0" xfId="0" applyAlignment="1" applyFont="1">
      <alignment horizontal="right" readingOrder="0" vertical="top"/>
    </xf>
    <xf borderId="1" fillId="5" fontId="1" numFmtId="0" xfId="0" applyBorder="1" applyFont="1"/>
    <xf borderId="1" fillId="2" fontId="1" numFmtId="9" xfId="0" applyAlignment="1" applyBorder="1" applyFont="1" applyNumberFormat="1">
      <alignment readingOrder="0"/>
    </xf>
    <xf borderId="0" fillId="4" fontId="3" numFmtId="0" xfId="0" applyAlignment="1" applyFont="1">
      <alignment readingOrder="0" vertical="top"/>
    </xf>
    <xf borderId="0" fillId="7" fontId="1" numFmtId="0" xfId="0" applyAlignment="1" applyFont="1">
      <alignment vertical="bottom"/>
    </xf>
    <xf borderId="2" fillId="9" fontId="1" numFmtId="0" xfId="0" applyAlignment="1" applyBorder="1" applyFill="1" applyFont="1">
      <alignment readingOrder="0" vertical="center"/>
    </xf>
    <xf borderId="3" fillId="0" fontId="8" numFmtId="0" xfId="0" applyBorder="1" applyFont="1"/>
    <xf borderId="4" fillId="0" fontId="8" numFmtId="0" xfId="0" applyBorder="1" applyFont="1"/>
    <xf borderId="5" fillId="0" fontId="8" numFmtId="0" xfId="0" applyBorder="1" applyFont="1"/>
    <xf borderId="6" fillId="0" fontId="8" numFmtId="0" xfId="0" applyBorder="1" applyFont="1"/>
    <xf borderId="7" fillId="0" fontId="8" numFmtId="0" xfId="0" applyBorder="1" applyFont="1"/>
    <xf borderId="8" fillId="0" fontId="8" numFmtId="0" xfId="0" applyBorder="1" applyFont="1"/>
    <xf borderId="9" fillId="0" fontId="8" numFmtId="0" xfId="0" applyBorder="1" applyFont="1"/>
    <xf borderId="1" fillId="2" fontId="1" numFmtId="164" xfId="0" applyAlignment="1" applyBorder="1" applyFont="1" applyNumberFormat="1">
      <alignment horizontal="left" readingOrder="0" vertical="top"/>
    </xf>
    <xf borderId="1" fillId="2" fontId="7" numFmtId="0" xfId="0" applyAlignment="1" applyBorder="1" applyFont="1">
      <alignment horizontal="left"/>
    </xf>
    <xf borderId="10" fillId="2" fontId="1" numFmtId="0" xfId="0" applyAlignment="1" applyBorder="1" applyFont="1">
      <alignment horizontal="left" vertical="top"/>
    </xf>
    <xf borderId="10" fillId="2" fontId="1" numFmtId="0" xfId="0" applyAlignment="1" applyBorder="1" applyFont="1">
      <alignment horizontal="left"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25"/>
    <col customWidth="1" min="2" max="2" width="9.75"/>
    <col customWidth="1" min="3" max="3" width="23.0"/>
    <col customWidth="1" min="4" max="4" width="7.0"/>
    <col customWidth="1" min="5" max="5" width="16.63"/>
    <col customWidth="1" min="7" max="7" width="18.63"/>
    <col customWidth="1" min="8" max="9" width="10.0"/>
    <col customWidth="1" min="10" max="10" width="12.63"/>
    <col customWidth="1" min="11" max="26" width="10.0"/>
  </cols>
  <sheetData>
    <row r="1">
      <c r="A1" s="1"/>
      <c r="B1" s="2" t="s">
        <v>0</v>
      </c>
      <c r="C1" s="1"/>
      <c r="D1" s="1"/>
      <c r="E1" s="1"/>
      <c r="F1" s="3" t="s">
        <v>1</v>
      </c>
      <c r="G1" s="1"/>
      <c r="H1" s="1"/>
      <c r="I1" s="1"/>
      <c r="J1" s="1"/>
      <c r="K1" s="1"/>
      <c r="L1" s="1"/>
      <c r="M1" s="1"/>
      <c r="N1" s="1"/>
      <c r="O1" s="1"/>
      <c r="P1" s="1"/>
      <c r="Q1" s="1"/>
      <c r="R1" s="1"/>
      <c r="S1" s="1"/>
      <c r="T1" s="1"/>
      <c r="U1" s="1"/>
      <c r="V1" s="1"/>
      <c r="W1" s="1"/>
      <c r="X1" s="1"/>
      <c r="Y1" s="1"/>
      <c r="Z1" s="1"/>
    </row>
    <row r="2">
      <c r="A2" s="1"/>
      <c r="B2" s="4" t="s">
        <v>2</v>
      </c>
      <c r="C2" s="1"/>
      <c r="D2" s="1"/>
      <c r="E2" s="1" t="s">
        <v>3</v>
      </c>
      <c r="F2" s="1"/>
      <c r="G2" s="5">
        <f>'Presupuesto Detallado CLOUD'!J2</f>
        <v>0.077</v>
      </c>
      <c r="H2" s="1"/>
      <c r="I2" s="1"/>
      <c r="J2" s="1"/>
      <c r="K2" s="1"/>
      <c r="L2" s="1"/>
      <c r="M2" s="1"/>
      <c r="N2" s="1"/>
      <c r="O2" s="1"/>
      <c r="P2" s="1"/>
      <c r="Q2" s="1"/>
      <c r="R2" s="1"/>
      <c r="S2" s="1"/>
      <c r="T2" s="1"/>
      <c r="U2" s="1"/>
      <c r="V2" s="1"/>
      <c r="W2" s="1"/>
      <c r="X2" s="1"/>
      <c r="Y2" s="1"/>
      <c r="Z2" s="1"/>
    </row>
    <row r="3">
      <c r="A3" s="1"/>
      <c r="B3" s="6" t="s">
        <v>4</v>
      </c>
      <c r="C3" s="1"/>
      <c r="D3" s="7"/>
      <c r="E3" s="8" t="s">
        <v>5</v>
      </c>
      <c r="F3" s="8" t="s">
        <v>6</v>
      </c>
      <c r="G3" s="8" t="s">
        <v>7</v>
      </c>
      <c r="H3" s="1"/>
      <c r="I3" s="1"/>
      <c r="J3" s="9">
        <v>7.0E8</v>
      </c>
      <c r="K3" s="10">
        <v>1.0</v>
      </c>
      <c r="L3" s="1"/>
      <c r="M3" s="1"/>
      <c r="N3" s="1"/>
      <c r="O3" s="1"/>
      <c r="P3" s="1"/>
      <c r="Q3" s="1"/>
      <c r="R3" s="1"/>
      <c r="S3" s="1"/>
      <c r="T3" s="1"/>
      <c r="U3" s="1"/>
      <c r="V3" s="1"/>
      <c r="W3" s="1"/>
      <c r="X3" s="1"/>
      <c r="Y3" s="1"/>
      <c r="Z3" s="1"/>
    </row>
    <row r="4">
      <c r="A4" s="1"/>
      <c r="B4" s="6" t="s">
        <v>8</v>
      </c>
      <c r="C4" s="1"/>
      <c r="D4" s="11" t="s">
        <v>7</v>
      </c>
      <c r="E4" s="12" t="str">
        <f>G7+G34</f>
        <v>#REF!</v>
      </c>
      <c r="F4" s="12" t="str">
        <f>E4*G2</f>
        <v>#REF!</v>
      </c>
      <c r="G4" s="12" t="str">
        <f>SUM(E4:F4)</f>
        <v>#REF!</v>
      </c>
      <c r="H4" s="1"/>
      <c r="I4" s="1"/>
      <c r="J4" s="13">
        <f>'Presupuesto Detallado CLOUD'!H4+'Presupuesto Detallado WEB'!H4+'Presupuesto Detallado MOBILE'!H4+'Presupuesto Detallado CHATBOT'!H4</f>
        <v>660876584</v>
      </c>
      <c r="K4" s="14">
        <f>J4*K3/J3</f>
        <v>0.9441094057</v>
      </c>
      <c r="L4" s="1"/>
      <c r="M4" s="1"/>
      <c r="N4" s="1"/>
      <c r="O4" s="1"/>
      <c r="P4" s="1"/>
      <c r="Q4" s="1"/>
      <c r="R4" s="1"/>
      <c r="S4" s="1"/>
      <c r="T4" s="1"/>
      <c r="U4" s="1"/>
      <c r="V4" s="1"/>
      <c r="W4" s="1"/>
      <c r="X4" s="1"/>
      <c r="Y4" s="1"/>
      <c r="Z4" s="1"/>
    </row>
    <row r="5">
      <c r="A5" s="1"/>
      <c r="B5" s="1"/>
      <c r="C5" s="1"/>
      <c r="D5" s="1"/>
      <c r="E5" s="1"/>
      <c r="F5" s="1"/>
      <c r="G5" s="1"/>
      <c r="H5" s="1"/>
      <c r="I5" s="1"/>
      <c r="J5" s="15">
        <f t="shared" ref="J5:K5" si="1">J3-J4</f>
        <v>39123416</v>
      </c>
      <c r="K5" s="16">
        <f t="shared" si="1"/>
        <v>0.05589059429</v>
      </c>
      <c r="L5" s="17" t="s">
        <v>9</v>
      </c>
      <c r="M5" s="1"/>
      <c r="N5" s="1"/>
      <c r="O5" s="1"/>
      <c r="P5" s="1"/>
      <c r="Q5" s="1"/>
      <c r="R5" s="1"/>
      <c r="S5" s="1"/>
      <c r="T5" s="1"/>
      <c r="U5" s="1"/>
      <c r="V5" s="1"/>
      <c r="W5" s="1"/>
      <c r="X5" s="1"/>
      <c r="Y5" s="1"/>
      <c r="Z5" s="1"/>
    </row>
    <row r="6">
      <c r="A6" s="1"/>
      <c r="B6" s="8" t="s">
        <v>10</v>
      </c>
      <c r="C6" s="8" t="s">
        <v>11</v>
      </c>
      <c r="D6" s="8"/>
      <c r="E6" s="8" t="s">
        <v>12</v>
      </c>
      <c r="F6" s="8" t="s">
        <v>13</v>
      </c>
      <c r="G6" s="8" t="s">
        <v>5</v>
      </c>
      <c r="H6" s="1"/>
      <c r="I6" s="1"/>
      <c r="J6" s="1"/>
      <c r="K6" s="1"/>
      <c r="L6" s="1"/>
      <c r="M6" s="1"/>
      <c r="N6" s="1"/>
      <c r="O6" s="1"/>
      <c r="P6" s="1"/>
      <c r="Q6" s="1"/>
      <c r="R6" s="1"/>
      <c r="S6" s="1"/>
      <c r="T6" s="1"/>
      <c r="U6" s="1"/>
      <c r="V6" s="1"/>
      <c r="W6" s="1"/>
      <c r="X6" s="1"/>
      <c r="Y6" s="1"/>
      <c r="Z6" s="1"/>
    </row>
    <row r="7">
      <c r="A7" s="1"/>
      <c r="B7" s="18" t="s">
        <v>14</v>
      </c>
      <c r="C7" s="18"/>
      <c r="D7" s="18"/>
      <c r="E7" s="18"/>
      <c r="F7" s="18"/>
      <c r="G7" s="19" t="str">
        <f>G8+G21+G23+#REF!+#REF!</f>
        <v>#REF!</v>
      </c>
      <c r="H7" s="1"/>
      <c r="I7" s="1"/>
      <c r="J7" s="17"/>
      <c r="K7" s="1"/>
      <c r="L7" s="1"/>
      <c r="M7" s="1"/>
      <c r="N7" s="1"/>
      <c r="O7" s="1"/>
      <c r="P7" s="1"/>
      <c r="Q7" s="1"/>
      <c r="R7" s="1"/>
      <c r="S7" s="1"/>
      <c r="T7" s="1"/>
      <c r="U7" s="1"/>
      <c r="V7" s="1"/>
      <c r="W7" s="1"/>
      <c r="X7" s="1"/>
      <c r="Y7" s="1"/>
      <c r="Z7" s="1"/>
    </row>
    <row r="8">
      <c r="A8" s="1"/>
      <c r="B8" s="20" t="s">
        <v>15</v>
      </c>
      <c r="C8" s="20"/>
      <c r="D8" s="20"/>
      <c r="E8" s="20"/>
      <c r="F8" s="20"/>
      <c r="G8" s="21">
        <f>SUM(G22)</f>
        <v>0</v>
      </c>
      <c r="H8" s="1"/>
      <c r="I8" s="1"/>
      <c r="J8" s="1"/>
      <c r="K8" s="1"/>
      <c r="L8" s="1"/>
      <c r="M8" s="1"/>
      <c r="N8" s="1"/>
      <c r="O8" s="1"/>
      <c r="P8" s="1"/>
      <c r="Q8" s="1"/>
      <c r="R8" s="1"/>
      <c r="S8" s="1"/>
      <c r="T8" s="1"/>
      <c r="U8" s="1"/>
      <c r="V8" s="1"/>
      <c r="W8" s="1"/>
      <c r="X8" s="1"/>
      <c r="Y8" s="1"/>
      <c r="Z8" s="1"/>
    </row>
    <row r="9">
      <c r="A9" s="1"/>
      <c r="B9" s="20"/>
      <c r="C9" s="20" t="s">
        <v>16</v>
      </c>
      <c r="D9" s="20"/>
      <c r="E9" s="20" t="str">
        <f>VLOOKUP(C9,Datos!$B$8:$E$39,3,)</f>
        <v>Semanal</v>
      </c>
      <c r="F9" s="22">
        <f>VLOOKUP(C9,Datos!$B$8:$E$39,4,)</f>
        <v>4615</v>
      </c>
      <c r="G9" s="22">
        <f>SUMIFS('Presupuesto Detallado CLOUD'!J$7:J$48,'Presupuesto Detallado CLOUD'!F$7:F$48,'Por Recursos'!$C9)</f>
        <v>0</v>
      </c>
      <c r="H9" s="1"/>
      <c r="I9" s="1"/>
      <c r="J9" s="1"/>
      <c r="K9" s="1"/>
      <c r="L9" s="1"/>
      <c r="M9" s="1"/>
      <c r="N9" s="1"/>
      <c r="O9" s="1"/>
      <c r="P9" s="1"/>
      <c r="Q9" s="1"/>
      <c r="R9" s="1"/>
      <c r="S9" s="1"/>
      <c r="T9" s="1"/>
      <c r="U9" s="1"/>
      <c r="V9" s="1"/>
      <c r="W9" s="1"/>
      <c r="X9" s="1"/>
      <c r="Y9" s="1"/>
      <c r="Z9" s="1"/>
    </row>
    <row r="10">
      <c r="A10" s="1"/>
      <c r="B10" s="20"/>
      <c r="C10" s="20" t="s">
        <v>17</v>
      </c>
      <c r="D10" s="20"/>
      <c r="E10" s="20" t="str">
        <f>VLOOKUP(C10,Datos!$B$8:$E$39,3,)</f>
        <v>Semanal</v>
      </c>
      <c r="F10" s="22">
        <f>VLOOKUP(C10,Datos!$B$8:$E$39,4,)</f>
        <v>5538</v>
      </c>
      <c r="G10" s="22">
        <f>SUMIFS('Presupuesto Detallado CLOUD'!J$7:J$48,'Presupuesto Detallado CLOUD'!F$7:F$48,'Por Recursos'!$C10)</f>
        <v>0</v>
      </c>
      <c r="H10" s="1"/>
      <c r="I10" s="1"/>
      <c r="J10" s="1"/>
      <c r="K10" s="1"/>
      <c r="L10" s="1"/>
      <c r="M10" s="1"/>
      <c r="N10" s="1"/>
      <c r="O10" s="1"/>
      <c r="P10" s="1"/>
      <c r="Q10" s="1"/>
      <c r="R10" s="1"/>
      <c r="S10" s="1"/>
      <c r="T10" s="1"/>
      <c r="U10" s="1"/>
      <c r="V10" s="1"/>
      <c r="W10" s="1"/>
      <c r="X10" s="1"/>
      <c r="Y10" s="1"/>
      <c r="Z10" s="1"/>
    </row>
    <row r="11">
      <c r="A11" s="1"/>
      <c r="B11" s="20"/>
      <c r="C11" s="20" t="s">
        <v>18</v>
      </c>
      <c r="D11" s="20"/>
      <c r="E11" s="20" t="str">
        <f>VLOOKUP(C11,Datos!$B$8:$E$39,3,)</f>
        <v>Semanal</v>
      </c>
      <c r="F11" s="22">
        <f>VLOOKUP(C11,Datos!$B$8:$E$39,4,)</f>
        <v>6000</v>
      </c>
      <c r="G11" s="22">
        <v>0.0</v>
      </c>
      <c r="H11" s="1"/>
      <c r="I11" s="1"/>
      <c r="J11" s="1"/>
      <c r="K11" s="1"/>
      <c r="L11" s="1"/>
      <c r="M11" s="1"/>
      <c r="N11" s="1"/>
      <c r="O11" s="1"/>
      <c r="P11" s="1"/>
      <c r="Q11" s="1"/>
      <c r="R11" s="1"/>
      <c r="S11" s="1"/>
      <c r="T11" s="1"/>
      <c r="U11" s="1"/>
      <c r="V11" s="1"/>
      <c r="W11" s="1"/>
      <c r="X11" s="1"/>
      <c r="Y11" s="1"/>
      <c r="Z11" s="1"/>
    </row>
    <row r="12">
      <c r="A12" s="1"/>
      <c r="B12" s="20"/>
      <c r="C12" s="20" t="s">
        <v>19</v>
      </c>
      <c r="D12" s="20"/>
      <c r="E12" s="20" t="str">
        <f>VLOOKUP(C12,Datos!$B$8:$E$39,3,)</f>
        <v>Semanal</v>
      </c>
      <c r="F12" s="22">
        <f>VLOOKUP(C12,Datos!$B$8:$E$39,4,)</f>
        <v>6375</v>
      </c>
      <c r="G12" s="22">
        <v>0.0</v>
      </c>
      <c r="H12" s="1"/>
      <c r="I12" s="1"/>
      <c r="J12" s="1"/>
      <c r="K12" s="1"/>
      <c r="L12" s="1"/>
      <c r="M12" s="1"/>
      <c r="N12" s="1"/>
      <c r="O12" s="1"/>
      <c r="P12" s="1"/>
      <c r="Q12" s="1"/>
      <c r="R12" s="1"/>
      <c r="S12" s="1"/>
      <c r="T12" s="1"/>
      <c r="U12" s="1"/>
      <c r="V12" s="1"/>
      <c r="W12" s="1"/>
      <c r="X12" s="1"/>
      <c r="Y12" s="1"/>
      <c r="Z12" s="1"/>
    </row>
    <row r="13">
      <c r="A13" s="1"/>
      <c r="B13" s="20"/>
      <c r="C13" s="20" t="s">
        <v>20</v>
      </c>
      <c r="D13" s="20"/>
      <c r="E13" s="20" t="str">
        <f>VLOOKUP(C13,Datos!$B$8:$E$39,3,)</f>
        <v>Semanal</v>
      </c>
      <c r="F13" s="22">
        <f>VLOOKUP(C13, Datos!$B$8:$E$39, 4, FALSE)</f>
        <v>5800</v>
      </c>
      <c r="G13" s="22"/>
      <c r="H13" s="1"/>
      <c r="I13" s="1"/>
      <c r="J13" s="1"/>
      <c r="K13" s="1"/>
      <c r="L13" s="17"/>
      <c r="M13" s="1"/>
      <c r="N13" s="1"/>
      <c r="O13" s="1"/>
      <c r="P13" s="1"/>
      <c r="Q13" s="1"/>
      <c r="R13" s="1"/>
      <c r="S13" s="1"/>
      <c r="T13" s="1"/>
      <c r="U13" s="1"/>
      <c r="V13" s="1"/>
      <c r="W13" s="1"/>
      <c r="X13" s="1"/>
      <c r="Y13" s="1"/>
      <c r="Z13" s="1"/>
    </row>
    <row r="14">
      <c r="A14" s="1"/>
      <c r="B14" s="20"/>
      <c r="C14" s="23" t="s">
        <v>21</v>
      </c>
      <c r="D14" s="20"/>
      <c r="E14" s="20" t="str">
        <f>VLOOKUP(C14,Datos!$B$8:$E$39,3,)</f>
        <v>Semanal</v>
      </c>
      <c r="F14" s="22">
        <f>VLOOKUP(C14, Datos!$B$8:$E$39, 4, FALSE)</f>
        <v>6750</v>
      </c>
      <c r="G14" s="22"/>
      <c r="H14" s="1"/>
      <c r="I14" s="1"/>
      <c r="J14" s="1"/>
      <c r="K14" s="1"/>
      <c r="L14" s="1"/>
      <c r="M14" s="1"/>
      <c r="N14" s="1"/>
      <c r="O14" s="1"/>
      <c r="P14" s="1"/>
      <c r="Q14" s="1"/>
      <c r="R14" s="1"/>
      <c r="S14" s="1"/>
      <c r="T14" s="1"/>
      <c r="U14" s="1"/>
      <c r="V14" s="1"/>
      <c r="W14" s="1"/>
      <c r="X14" s="1"/>
      <c r="Y14" s="1"/>
      <c r="Z14" s="1"/>
    </row>
    <row r="15">
      <c r="A15" s="1"/>
      <c r="B15" s="20"/>
      <c r="C15" s="20" t="s">
        <v>22</v>
      </c>
      <c r="D15" s="20"/>
      <c r="E15" s="20" t="str">
        <f>VLOOKUP(C15,Datos!$B$8:$E$39,3,)</f>
        <v>Semanal</v>
      </c>
      <c r="F15" s="22">
        <f>VLOOKUP(C15,Datos!$B$8:$E$39,4,)</f>
        <v>7250</v>
      </c>
      <c r="G15" s="22"/>
      <c r="H15" s="1"/>
      <c r="I15" s="1"/>
      <c r="J15" s="1"/>
      <c r="K15" s="1"/>
      <c r="L15" s="1"/>
      <c r="M15" s="1"/>
      <c r="N15" s="1"/>
      <c r="O15" s="1"/>
      <c r="P15" s="1"/>
      <c r="Q15" s="1"/>
      <c r="R15" s="1"/>
      <c r="S15" s="1"/>
      <c r="T15" s="1"/>
      <c r="U15" s="1"/>
      <c r="V15" s="1"/>
      <c r="W15" s="1"/>
      <c r="X15" s="1"/>
      <c r="Y15" s="1"/>
      <c r="Z15" s="1"/>
    </row>
    <row r="16">
      <c r="A16" s="1"/>
      <c r="B16" s="20"/>
      <c r="C16" s="20" t="s">
        <v>23</v>
      </c>
      <c r="D16" s="20"/>
      <c r="E16" s="20" t="str">
        <f>VLOOKUP(C16,Datos!$B$8:$E$39,3,)</f>
        <v>Semanal</v>
      </c>
      <c r="F16" s="22">
        <f>VLOOKUP(C16,Datos!$B$8:$E$39,4,)</f>
        <v>5538</v>
      </c>
      <c r="G16" s="22"/>
      <c r="H16" s="1"/>
      <c r="I16" s="1"/>
      <c r="J16" s="1"/>
      <c r="K16" s="1"/>
      <c r="L16" s="1"/>
      <c r="M16" s="1"/>
      <c r="N16" s="1"/>
      <c r="O16" s="1"/>
      <c r="P16" s="1"/>
      <c r="Q16" s="1"/>
      <c r="R16" s="1"/>
      <c r="S16" s="1"/>
      <c r="T16" s="1"/>
      <c r="U16" s="1"/>
      <c r="V16" s="1"/>
      <c r="W16" s="1"/>
      <c r="X16" s="1"/>
      <c r="Y16" s="1"/>
      <c r="Z16" s="1"/>
    </row>
    <row r="17">
      <c r="A17" s="1"/>
      <c r="B17" s="20"/>
      <c r="C17" s="20" t="s">
        <v>24</v>
      </c>
      <c r="D17" s="20"/>
      <c r="E17" s="20" t="str">
        <f>VLOOKUP(C17,Datos!$B$8:$E$39,3,)</f>
        <v>Semanal</v>
      </c>
      <c r="F17" s="22">
        <f>VLOOKUP(C17,Datos!$B$8:$E$39,4,)</f>
        <v>7111</v>
      </c>
      <c r="G17" s="22"/>
      <c r="H17" s="1"/>
      <c r="I17" s="1"/>
      <c r="J17" s="1"/>
      <c r="K17" s="1"/>
      <c r="L17" s="1"/>
      <c r="M17" s="1"/>
      <c r="N17" s="1"/>
      <c r="O17" s="1"/>
      <c r="P17" s="1"/>
      <c r="Q17" s="1"/>
      <c r="R17" s="1"/>
      <c r="S17" s="1"/>
      <c r="T17" s="1"/>
      <c r="U17" s="1"/>
      <c r="V17" s="1"/>
      <c r="W17" s="1"/>
      <c r="X17" s="1"/>
      <c r="Y17" s="1"/>
      <c r="Z17" s="1"/>
    </row>
    <row r="18">
      <c r="A18" s="1"/>
      <c r="B18" s="20"/>
      <c r="C18" s="20" t="s">
        <v>25</v>
      </c>
      <c r="D18" s="20"/>
      <c r="E18" s="20" t="str">
        <f>VLOOKUP(C18,Datos!$B$8:$E$39,3,)</f>
        <v>Semanal</v>
      </c>
      <c r="F18" s="22">
        <f>VLOOKUP(C18,Datos!$B$8:$E$39,4,)</f>
        <v>7625</v>
      </c>
      <c r="G18" s="22"/>
      <c r="H18" s="1"/>
      <c r="I18" s="1"/>
      <c r="J18" s="1"/>
      <c r="K18" s="1"/>
      <c r="L18" s="1"/>
      <c r="M18" s="1"/>
      <c r="N18" s="1"/>
      <c r="O18" s="1"/>
      <c r="P18" s="1"/>
      <c r="Q18" s="1"/>
      <c r="R18" s="1"/>
      <c r="S18" s="1"/>
      <c r="T18" s="1"/>
      <c r="U18" s="1"/>
      <c r="V18" s="1"/>
      <c r="W18" s="1"/>
      <c r="X18" s="1"/>
      <c r="Y18" s="1"/>
      <c r="Z18" s="1"/>
    </row>
    <row r="19">
      <c r="A19" s="1"/>
      <c r="B19" s="20"/>
      <c r="C19" s="20" t="s">
        <v>26</v>
      </c>
      <c r="D19" s="20"/>
      <c r="E19" s="20" t="str">
        <f>VLOOKUP(C19,Datos!$B$8:$E$39,3,)</f>
        <v>Semanal</v>
      </c>
      <c r="F19" s="22">
        <f>VLOOKUP(C19,Datos!$B$8:$E$39,4,)</f>
        <v>11923</v>
      </c>
      <c r="G19" s="22"/>
      <c r="H19" s="1"/>
      <c r="I19" s="1"/>
      <c r="J19" s="1"/>
      <c r="K19" s="1"/>
      <c r="L19" s="1"/>
      <c r="M19" s="1"/>
      <c r="N19" s="1"/>
      <c r="O19" s="1"/>
      <c r="P19" s="1"/>
      <c r="Q19" s="1"/>
      <c r="R19" s="1"/>
      <c r="S19" s="1"/>
      <c r="T19" s="1"/>
      <c r="U19" s="1"/>
      <c r="V19" s="1"/>
      <c r="W19" s="1"/>
      <c r="X19" s="1"/>
      <c r="Y19" s="1"/>
      <c r="Z19" s="1"/>
    </row>
    <row r="20">
      <c r="A20" s="1"/>
      <c r="B20" s="20"/>
      <c r="C20" s="20" t="s">
        <v>27</v>
      </c>
      <c r="D20" s="20"/>
      <c r="E20" s="20" t="str">
        <f>VLOOKUP(C20,Datos!$B$8:$E$39,3,)</f>
        <v>Semanal</v>
      </c>
      <c r="F20" s="22">
        <f>VLOOKUP(C20,Datos!$B$8:$E$39,4,)</f>
        <v>15000</v>
      </c>
      <c r="G20" s="22"/>
      <c r="H20" s="1"/>
      <c r="I20" s="1"/>
      <c r="J20" s="1"/>
      <c r="K20" s="1"/>
      <c r="L20" s="1"/>
      <c r="M20" s="1"/>
      <c r="N20" s="1"/>
      <c r="O20" s="1"/>
      <c r="P20" s="1"/>
      <c r="Q20" s="1"/>
      <c r="R20" s="1"/>
      <c r="S20" s="1"/>
      <c r="T20" s="1"/>
      <c r="U20" s="1"/>
      <c r="V20" s="1"/>
      <c r="W20" s="1"/>
      <c r="X20" s="1"/>
      <c r="Y20" s="1"/>
      <c r="Z20" s="1"/>
    </row>
    <row r="21" ht="15.75" customHeight="1">
      <c r="A21" s="1"/>
      <c r="B21" s="20" t="s">
        <v>28</v>
      </c>
      <c r="C21" s="20"/>
      <c r="D21" s="20"/>
      <c r="E21" s="20"/>
      <c r="F21" s="21"/>
      <c r="G21" s="21">
        <f>SUM(G22)</f>
        <v>0</v>
      </c>
      <c r="H21" s="1"/>
      <c r="I21" s="1"/>
      <c r="J21" s="1"/>
      <c r="K21" s="1"/>
      <c r="L21" s="1"/>
      <c r="M21" s="1"/>
      <c r="N21" s="1"/>
      <c r="O21" s="1"/>
      <c r="P21" s="1"/>
      <c r="Q21" s="1"/>
      <c r="R21" s="1"/>
      <c r="S21" s="1"/>
      <c r="T21" s="1"/>
      <c r="U21" s="1"/>
      <c r="V21" s="1"/>
      <c r="W21" s="1"/>
      <c r="X21" s="1"/>
      <c r="Y21" s="1"/>
      <c r="Z21" s="1"/>
    </row>
    <row r="22" ht="15.75" customHeight="1">
      <c r="A22" s="1"/>
      <c r="B22" s="20"/>
      <c r="C22" s="20" t="s">
        <v>29</v>
      </c>
      <c r="D22" s="20"/>
      <c r="E22" s="20" t="str">
        <f>VLOOKUP(C22,Datos!$B$8:$E$39,3,)</f>
        <v>Cantidad</v>
      </c>
      <c r="F22" s="22">
        <f>VLOOKUP(C22,Datos!$B$8:$E$39,4,)</f>
        <v>80000000</v>
      </c>
      <c r="G22" s="22">
        <f>SUMIFS('Presupuesto Detallado CLOUD'!J$7:J$48,'Presupuesto Detallado CLOUD'!F$7:F$48,'Por Recursos'!$C22)</f>
        <v>0</v>
      </c>
      <c r="H22" s="1"/>
      <c r="I22" s="1"/>
      <c r="J22" s="1"/>
      <c r="K22" s="1"/>
      <c r="L22" s="1"/>
      <c r="M22" s="1"/>
      <c r="N22" s="1"/>
      <c r="O22" s="1"/>
      <c r="P22" s="1"/>
      <c r="Q22" s="1"/>
      <c r="R22" s="1"/>
      <c r="S22" s="1"/>
      <c r="T22" s="1"/>
      <c r="U22" s="1"/>
      <c r="V22" s="1"/>
      <c r="W22" s="1"/>
      <c r="X22" s="1"/>
      <c r="Y22" s="1"/>
      <c r="Z22" s="1"/>
    </row>
    <row r="23" ht="15.75" customHeight="1">
      <c r="A23" s="1"/>
      <c r="B23" s="20" t="s">
        <v>30</v>
      </c>
      <c r="C23" s="20"/>
      <c r="D23" s="20"/>
      <c r="E23" s="20"/>
      <c r="F23" s="21"/>
      <c r="G23" s="21">
        <f>SUM(G24:G26)</f>
        <v>0</v>
      </c>
      <c r="H23" s="1"/>
      <c r="I23" s="1"/>
      <c r="J23" s="1"/>
      <c r="K23" s="1"/>
      <c r="L23" s="1"/>
      <c r="M23" s="1"/>
      <c r="N23" s="1"/>
      <c r="O23" s="1"/>
      <c r="P23" s="1"/>
      <c r="Q23" s="1"/>
      <c r="R23" s="1"/>
      <c r="S23" s="1"/>
      <c r="T23" s="1"/>
      <c r="U23" s="1"/>
      <c r="V23" s="1"/>
      <c r="W23" s="1"/>
      <c r="X23" s="1"/>
      <c r="Y23" s="1"/>
      <c r="Z23" s="1"/>
    </row>
    <row r="24" ht="15.75" customHeight="1">
      <c r="A24" s="1"/>
      <c r="B24" s="20"/>
      <c r="C24" s="20" t="s">
        <v>31</v>
      </c>
      <c r="D24" s="20"/>
      <c r="E24" s="20" t="str">
        <f>VLOOKUP(C24,Datos!$B$8:$E$39,3,)</f>
        <v>Cantidad</v>
      </c>
      <c r="F24" s="22">
        <f>VLOOKUP(C24,Datos!$B$8:$E$39,4,)</f>
        <v>5000000</v>
      </c>
      <c r="G24" s="22">
        <f>SUMIFS('Presupuesto Detallado CLOUD'!J$7:J$48,'Presupuesto Detallado CLOUD'!F$7:F$48,'Por Recursos'!$C24)</f>
        <v>0</v>
      </c>
      <c r="H24" s="1"/>
      <c r="I24" s="1"/>
      <c r="J24" s="1"/>
      <c r="K24" s="1"/>
      <c r="L24" s="1"/>
      <c r="M24" s="1"/>
      <c r="N24" s="1"/>
      <c r="O24" s="1"/>
      <c r="P24" s="1"/>
      <c r="Q24" s="1"/>
      <c r="R24" s="1"/>
      <c r="S24" s="1"/>
      <c r="T24" s="1"/>
      <c r="U24" s="1"/>
      <c r="V24" s="1"/>
      <c r="W24" s="1"/>
      <c r="X24" s="1"/>
      <c r="Y24" s="1"/>
      <c r="Z24" s="1"/>
    </row>
    <row r="25" ht="15.75" customHeight="1">
      <c r="A25" s="1"/>
      <c r="B25" s="20"/>
      <c r="C25" s="20" t="s">
        <v>32</v>
      </c>
      <c r="D25" s="20"/>
      <c r="E25" s="20" t="str">
        <f>VLOOKUP(C25,Datos!$B$8:$E$39,3,)</f>
        <v>Cantidad</v>
      </c>
      <c r="F25" s="22">
        <f>VLOOKUP(C25,Datos!$B$8:$E$39,4,)</f>
        <v>39990</v>
      </c>
      <c r="G25" s="22">
        <f>SUMIFS('Presupuesto Detallado CLOUD'!J$7:J$48,'Presupuesto Detallado CLOUD'!F$7:F$48,'Por Recursos'!$C25)</f>
        <v>0</v>
      </c>
      <c r="H25" s="1"/>
      <c r="I25" s="1"/>
      <c r="J25" s="1"/>
      <c r="K25" s="1"/>
      <c r="L25" s="1"/>
      <c r="M25" s="1"/>
      <c r="N25" s="1"/>
      <c r="O25" s="1"/>
      <c r="P25" s="1"/>
      <c r="Q25" s="1"/>
      <c r="R25" s="1"/>
      <c r="S25" s="1"/>
      <c r="T25" s="1"/>
      <c r="U25" s="1"/>
      <c r="V25" s="1"/>
      <c r="W25" s="1"/>
      <c r="X25" s="1"/>
      <c r="Y25" s="1"/>
      <c r="Z25" s="1"/>
    </row>
    <row r="26" ht="15.75" customHeight="1">
      <c r="A26" s="1"/>
      <c r="B26" s="20"/>
      <c r="C26" s="20" t="s">
        <v>33</v>
      </c>
      <c r="D26" s="20"/>
      <c r="E26" s="20" t="str">
        <f>VLOOKUP(C26,Datos!$B$8:$E$39,3,)</f>
        <v>Cantidad</v>
      </c>
      <c r="F26" s="22">
        <f>VLOOKUP(C26,Datos!$B$8:$E$39,4,)</f>
        <v>49990</v>
      </c>
      <c r="G26" s="22">
        <f>SUMIFS('Presupuesto Detallado CLOUD'!J$7:J$48,'Presupuesto Detallado CLOUD'!F$7:F$48,'Por Recursos'!$C26)</f>
        <v>0</v>
      </c>
      <c r="H26" s="1"/>
      <c r="I26" s="1"/>
      <c r="J26" s="1"/>
      <c r="K26" s="1"/>
      <c r="L26" s="1"/>
      <c r="M26" s="1"/>
      <c r="N26" s="1"/>
      <c r="O26" s="1"/>
      <c r="P26" s="1"/>
      <c r="Q26" s="1"/>
      <c r="R26" s="1"/>
      <c r="S26" s="1"/>
      <c r="T26" s="1"/>
      <c r="U26" s="1"/>
      <c r="V26" s="1"/>
      <c r="W26" s="1"/>
      <c r="X26" s="1"/>
      <c r="Y26" s="1"/>
      <c r="Z26" s="1"/>
    </row>
    <row r="27" ht="15.75" customHeight="1">
      <c r="A27" s="1"/>
      <c r="B27" s="20"/>
      <c r="C27" s="20" t="s">
        <v>34</v>
      </c>
      <c r="D27" s="20"/>
      <c r="E27" s="20" t="str">
        <f>VLOOKUP(C27,Datos!$B$8:$E$39,3,)</f>
        <v>Cantidad</v>
      </c>
      <c r="F27" s="22">
        <f>VLOOKUP(C27,Datos!$B$8:$E$39,4,)</f>
        <v>399900</v>
      </c>
      <c r="G27" s="22"/>
      <c r="H27" s="1"/>
      <c r="I27" s="1"/>
      <c r="J27" s="1"/>
      <c r="K27" s="1"/>
      <c r="L27" s="1"/>
      <c r="M27" s="1"/>
      <c r="N27" s="1"/>
      <c r="O27" s="1"/>
      <c r="P27" s="1"/>
      <c r="Q27" s="1"/>
      <c r="R27" s="1"/>
      <c r="S27" s="1"/>
      <c r="T27" s="1"/>
      <c r="U27" s="1"/>
      <c r="V27" s="1"/>
      <c r="W27" s="1"/>
      <c r="X27" s="1"/>
      <c r="Y27" s="1"/>
      <c r="Z27" s="1"/>
    </row>
    <row r="28" ht="15.75" customHeight="1">
      <c r="A28" s="1"/>
      <c r="B28" s="20"/>
      <c r="C28" s="20" t="s">
        <v>35</v>
      </c>
      <c r="D28" s="20"/>
      <c r="E28" s="20" t="str">
        <f>VLOOKUP(C28,Datos!$B$8:$E$39,3,)</f>
        <v>Cantidad</v>
      </c>
      <c r="F28" s="22">
        <f>VLOOKUP(C28,Datos!$B$8:$E$39,4,)</f>
        <v>30000</v>
      </c>
      <c r="G28" s="22"/>
      <c r="H28" s="1"/>
      <c r="I28" s="1"/>
      <c r="J28" s="1"/>
      <c r="K28" s="1"/>
      <c r="L28" s="1"/>
      <c r="M28" s="1"/>
      <c r="N28" s="1"/>
      <c r="O28" s="1"/>
      <c r="P28" s="1"/>
      <c r="Q28" s="1"/>
      <c r="R28" s="1"/>
      <c r="S28" s="1"/>
      <c r="T28" s="1"/>
      <c r="U28" s="1"/>
      <c r="V28" s="1"/>
      <c r="W28" s="1"/>
      <c r="X28" s="1"/>
      <c r="Y28" s="1"/>
      <c r="Z28" s="1"/>
    </row>
    <row r="29" ht="15.75" customHeight="1">
      <c r="A29" s="1"/>
      <c r="B29" s="20"/>
      <c r="C29" s="20" t="s">
        <v>36</v>
      </c>
      <c r="D29" s="20"/>
      <c r="E29" s="20" t="str">
        <f>VLOOKUP(C29,Datos!$B$8:$E$39,3,)</f>
        <v>Cantidad</v>
      </c>
      <c r="F29" s="22">
        <f>VLOOKUP(C29,Datos!$B$8:$E$39,4,)</f>
        <v>500000</v>
      </c>
      <c r="G29" s="22"/>
      <c r="H29" s="1"/>
      <c r="I29" s="1"/>
      <c r="J29" s="1"/>
      <c r="K29" s="1"/>
      <c r="L29" s="1"/>
      <c r="M29" s="1"/>
      <c r="N29" s="1"/>
      <c r="O29" s="1"/>
      <c r="P29" s="1"/>
      <c r="Q29" s="1"/>
      <c r="R29" s="1"/>
      <c r="S29" s="1"/>
      <c r="T29" s="1"/>
      <c r="U29" s="1"/>
      <c r="V29" s="1"/>
      <c r="W29" s="1"/>
      <c r="X29" s="1"/>
      <c r="Y29" s="1"/>
      <c r="Z29" s="1"/>
    </row>
    <row r="30" ht="15.75" customHeight="1">
      <c r="A30" s="1"/>
      <c r="B30" s="20"/>
      <c r="C30" s="20" t="s">
        <v>37</v>
      </c>
      <c r="D30" s="20"/>
      <c r="E30" s="20" t="str">
        <f>VLOOKUP(C30,Datos!$B$8:$E$39,3,)</f>
        <v>Cantidad</v>
      </c>
      <c r="F30" s="22">
        <f>VLOOKUP(C30,Datos!$B$8:$E$39,4,)</f>
        <v>200000</v>
      </c>
      <c r="G30" s="22"/>
      <c r="H30" s="1"/>
      <c r="I30" s="1"/>
      <c r="J30" s="1"/>
      <c r="K30" s="1"/>
      <c r="L30" s="1"/>
      <c r="M30" s="1"/>
      <c r="N30" s="1"/>
      <c r="O30" s="1"/>
      <c r="P30" s="1"/>
      <c r="Q30" s="1"/>
      <c r="R30" s="1"/>
      <c r="S30" s="1"/>
      <c r="T30" s="1"/>
      <c r="U30" s="1"/>
      <c r="V30" s="1"/>
      <c r="W30" s="1"/>
      <c r="X30" s="1"/>
      <c r="Y30" s="1"/>
      <c r="Z30" s="1"/>
    </row>
    <row r="31" ht="15.75" customHeight="1">
      <c r="A31" s="1"/>
      <c r="B31" s="20"/>
      <c r="C31" s="20" t="s">
        <v>38</v>
      </c>
      <c r="D31" s="20"/>
      <c r="E31" s="20" t="str">
        <f>VLOOKUP(C31,Datos!$B$8:$E$39,3,)</f>
        <v>Cantidad</v>
      </c>
      <c r="F31" s="22">
        <f>VLOOKUP(C31,Datos!$B$8:$E$39,4,)</f>
        <v>200000</v>
      </c>
      <c r="G31" s="22"/>
      <c r="H31" s="1"/>
      <c r="I31" s="1"/>
      <c r="J31" s="1"/>
      <c r="K31" s="1"/>
      <c r="L31" s="1"/>
      <c r="M31" s="1"/>
      <c r="N31" s="1"/>
      <c r="O31" s="1"/>
      <c r="P31" s="1"/>
      <c r="Q31" s="1"/>
      <c r="R31" s="1"/>
      <c r="S31" s="1"/>
      <c r="T31" s="1"/>
      <c r="U31" s="1"/>
      <c r="V31" s="1"/>
      <c r="W31" s="1"/>
      <c r="X31" s="1"/>
      <c r="Y31" s="1"/>
      <c r="Z31" s="1"/>
    </row>
    <row r="32" ht="15.75" customHeight="1">
      <c r="A32" s="1"/>
      <c r="B32" s="20"/>
      <c r="C32" s="20" t="s">
        <v>39</v>
      </c>
      <c r="D32" s="20"/>
      <c r="E32" s="20" t="str">
        <f>VLOOKUP(C32,Datos!$B$8:$E$39,3,)</f>
        <v>Cantidad</v>
      </c>
      <c r="F32" s="22">
        <f>VLOOKUP(C32,Datos!$B$8:$E$39,4,)</f>
        <v>100000</v>
      </c>
      <c r="G32" s="22"/>
      <c r="H32" s="1"/>
      <c r="I32" s="1"/>
      <c r="J32" s="1"/>
      <c r="K32" s="1"/>
      <c r="L32" s="1"/>
      <c r="M32" s="1"/>
      <c r="N32" s="1"/>
      <c r="O32" s="1"/>
      <c r="P32" s="1"/>
      <c r="Q32" s="1"/>
      <c r="R32" s="1"/>
      <c r="S32" s="1"/>
      <c r="T32" s="1"/>
      <c r="U32" s="1"/>
      <c r="V32" s="1"/>
      <c r="W32" s="1"/>
      <c r="X32" s="1"/>
      <c r="Y32" s="1"/>
      <c r="Z32" s="1"/>
    </row>
    <row r="33" ht="15.75" customHeight="1">
      <c r="A33" s="1"/>
      <c r="B33" s="20"/>
      <c r="C33" s="20" t="s">
        <v>40</v>
      </c>
      <c r="D33" s="20"/>
      <c r="E33" s="20" t="str">
        <f>VLOOKUP(C33,Datos!$B$8:$E$39,3,)</f>
        <v>Cantidad</v>
      </c>
      <c r="F33" s="22">
        <f>VLOOKUP(C33,Datos!$B$8:$E$39,4,)</f>
        <v>50000</v>
      </c>
      <c r="G33" s="22"/>
      <c r="H33" s="1"/>
      <c r="I33" s="1"/>
      <c r="J33" s="1"/>
      <c r="K33" s="1"/>
      <c r="L33" s="1"/>
      <c r="M33" s="1"/>
      <c r="N33" s="1"/>
      <c r="O33" s="1"/>
      <c r="P33" s="1"/>
      <c r="Q33" s="1"/>
      <c r="R33" s="1"/>
      <c r="S33" s="1"/>
      <c r="T33" s="1"/>
      <c r="U33" s="1"/>
      <c r="V33" s="1"/>
      <c r="W33" s="1"/>
      <c r="X33" s="1"/>
      <c r="Y33" s="1"/>
      <c r="Z33" s="1"/>
    </row>
    <row r="34" ht="15.75" customHeight="1">
      <c r="A34" s="1"/>
      <c r="B34" s="18" t="s">
        <v>41</v>
      </c>
      <c r="C34" s="18"/>
      <c r="D34" s="18"/>
      <c r="E34" s="18"/>
      <c r="F34" s="18"/>
      <c r="G34" s="19">
        <f>SUM(G35)</f>
        <v>0</v>
      </c>
      <c r="H34" s="1"/>
      <c r="I34" s="1"/>
      <c r="J34" s="1"/>
      <c r="K34" s="1"/>
      <c r="L34" s="1"/>
      <c r="M34" s="1"/>
      <c r="N34" s="1"/>
      <c r="O34" s="1"/>
      <c r="P34" s="1"/>
      <c r="Q34" s="1"/>
      <c r="R34" s="1"/>
      <c r="S34" s="1"/>
      <c r="T34" s="1"/>
      <c r="U34" s="1"/>
      <c r="V34" s="1"/>
      <c r="W34" s="1"/>
      <c r="X34" s="1"/>
      <c r="Y34" s="1"/>
      <c r="Z34" s="1"/>
    </row>
    <row r="35" ht="15.75" customHeight="1">
      <c r="A35" s="1"/>
      <c r="B35" s="20"/>
      <c r="C35" s="20" t="s">
        <v>42</v>
      </c>
      <c r="D35" s="20"/>
      <c r="E35" s="20" t="str">
        <f>VLOOKUP(C35,Datos!$B$8:$E$39,3,)</f>
        <v>NA</v>
      </c>
      <c r="F35" s="22">
        <f>VLOOKUP(C35,Datos!$B$8:$E$39,4,)</f>
        <v>500000</v>
      </c>
      <c r="G35" s="22">
        <f>SUMIFS('Presupuesto Detallado CLOUD'!J$7:J$48,'Presupuesto Detallado CLOUD'!F$7:F$48,'Por Recursos'!$C35)</f>
        <v>0</v>
      </c>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printOptions/>
  <pageMargins bottom="0.7480314960629921" footer="0.0" header="0.0" left="0.7086614173228347" right="0.7086614173228347" top="0.7480314960629921"/>
  <pageSetup fitToHeight="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25"/>
    <col customWidth="1" min="2" max="2" width="6.88"/>
    <col customWidth="1" min="3" max="3" width="14.38"/>
    <col customWidth="1" min="4" max="4" width="30.75"/>
    <col customWidth="1" min="5" max="5" width="14.25"/>
    <col customWidth="1" min="6" max="7" width="15.75"/>
    <col customWidth="1" min="8" max="8" width="23.13"/>
    <col customWidth="1" min="9" max="9" width="15.75"/>
    <col customWidth="1" min="10" max="10" width="18.0"/>
    <col customWidth="1" min="11" max="11" width="11.63"/>
    <col customWidth="1" min="12" max="12" width="10.75"/>
    <col customWidth="1" min="13" max="27" width="10.0"/>
  </cols>
  <sheetData>
    <row r="1">
      <c r="A1" s="1" t="s">
        <v>43</v>
      </c>
      <c r="B1" s="2" t="s">
        <v>0</v>
      </c>
      <c r="C1" s="1"/>
      <c r="D1" s="1"/>
      <c r="E1" s="1"/>
      <c r="F1" s="1"/>
      <c r="G1" s="1"/>
      <c r="H1" s="3" t="s">
        <v>1</v>
      </c>
      <c r="I1" s="1"/>
      <c r="J1" s="1"/>
      <c r="K1" s="1"/>
      <c r="L1" s="1"/>
      <c r="M1" s="1"/>
      <c r="N1" s="1"/>
      <c r="O1" s="1"/>
      <c r="P1" s="1"/>
      <c r="Q1" s="1"/>
      <c r="R1" s="1"/>
      <c r="S1" s="1"/>
      <c r="T1" s="1"/>
      <c r="U1" s="1"/>
      <c r="V1" s="1"/>
      <c r="W1" s="1"/>
      <c r="X1" s="1"/>
      <c r="Y1" s="1"/>
      <c r="Z1" s="1"/>
      <c r="AA1" s="1"/>
    </row>
    <row r="2">
      <c r="A2" s="1"/>
      <c r="B2" s="4" t="s">
        <v>2</v>
      </c>
      <c r="C2" s="1"/>
      <c r="D2" s="1"/>
      <c r="E2" s="1"/>
      <c r="F2" s="1"/>
      <c r="G2" s="1"/>
      <c r="H2" s="1" t="s">
        <v>3</v>
      </c>
      <c r="I2" s="1"/>
      <c r="J2" s="24">
        <v>0.077</v>
      </c>
      <c r="K2" s="1"/>
      <c r="L2" s="1"/>
      <c r="M2" s="1"/>
      <c r="N2" s="1"/>
      <c r="O2" s="1"/>
      <c r="P2" s="1"/>
      <c r="Q2" s="1"/>
      <c r="R2" s="1"/>
      <c r="S2" s="1"/>
      <c r="T2" s="1"/>
      <c r="U2" s="1"/>
      <c r="V2" s="1"/>
      <c r="W2" s="1"/>
      <c r="X2" s="1"/>
      <c r="Y2" s="1"/>
      <c r="Z2" s="1"/>
      <c r="AA2" s="1"/>
    </row>
    <row r="3" ht="15.75" customHeight="1">
      <c r="A3" s="1"/>
      <c r="B3" s="6" t="s">
        <v>44</v>
      </c>
      <c r="C3" s="1"/>
      <c r="D3" s="1"/>
      <c r="E3" s="7"/>
      <c r="F3" s="7"/>
      <c r="G3" s="7"/>
      <c r="H3" s="8" t="s">
        <v>5</v>
      </c>
      <c r="I3" s="8" t="s">
        <v>6</v>
      </c>
      <c r="J3" s="8" t="s">
        <v>7</v>
      </c>
      <c r="K3" s="1"/>
      <c r="L3" s="1"/>
      <c r="M3" s="1"/>
      <c r="N3" s="1"/>
      <c r="O3" s="1"/>
      <c r="P3" s="1"/>
      <c r="Q3" s="1"/>
      <c r="R3" s="1"/>
      <c r="S3" s="1"/>
      <c r="T3" s="1"/>
      <c r="U3" s="1"/>
      <c r="V3" s="1"/>
      <c r="W3" s="1"/>
      <c r="X3" s="1"/>
      <c r="Y3" s="1"/>
      <c r="Z3" s="1"/>
      <c r="AA3" s="1"/>
    </row>
    <row r="4" ht="15.0" customHeight="1">
      <c r="A4" s="1"/>
      <c r="B4" s="6" t="s">
        <v>45</v>
      </c>
      <c r="C4" s="1"/>
      <c r="D4" s="1"/>
      <c r="E4" s="11" t="s">
        <v>7</v>
      </c>
      <c r="F4" s="11"/>
      <c r="G4" s="11"/>
      <c r="H4" s="12">
        <f>J7</f>
        <v>185694840</v>
      </c>
      <c r="I4" s="12">
        <f>H4*J2</f>
        <v>14298502.68</v>
      </c>
      <c r="J4" s="12">
        <f>SUM(H4:I4)</f>
        <v>199993342.7</v>
      </c>
      <c r="K4" s="1"/>
      <c r="L4" s="1"/>
      <c r="M4" s="1"/>
      <c r="N4" s="1"/>
      <c r="O4" s="1"/>
      <c r="P4" s="1"/>
      <c r="Q4" s="1"/>
      <c r="R4" s="1"/>
      <c r="S4" s="1"/>
      <c r="T4" s="1"/>
      <c r="U4" s="1"/>
      <c r="V4" s="1"/>
      <c r="W4" s="1"/>
      <c r="X4" s="1"/>
      <c r="Y4" s="1"/>
      <c r="Z4" s="1"/>
      <c r="AA4" s="1"/>
    </row>
    <row r="5">
      <c r="A5" s="1"/>
      <c r="B5" s="1"/>
      <c r="C5" s="1"/>
      <c r="D5" s="1"/>
      <c r="E5" s="1"/>
      <c r="F5" s="1"/>
      <c r="G5" s="1"/>
      <c r="H5" s="1"/>
      <c r="I5" s="1"/>
      <c r="J5" s="1"/>
      <c r="K5" s="1"/>
      <c r="L5" s="1"/>
      <c r="M5" s="1"/>
      <c r="N5" s="1"/>
      <c r="O5" s="1"/>
      <c r="P5" s="1"/>
      <c r="Q5" s="1"/>
      <c r="R5" s="1"/>
      <c r="S5" s="1"/>
      <c r="T5" s="1"/>
      <c r="U5" s="1"/>
      <c r="V5" s="1"/>
      <c r="W5" s="1"/>
      <c r="X5" s="1"/>
      <c r="Y5" s="1"/>
      <c r="Z5" s="1"/>
      <c r="AA5" s="1"/>
    </row>
    <row r="6">
      <c r="A6" s="1"/>
      <c r="B6" s="25" t="s">
        <v>46</v>
      </c>
      <c r="C6" s="8" t="s">
        <v>47</v>
      </c>
      <c r="D6" s="8" t="s">
        <v>48</v>
      </c>
      <c r="E6" s="8" t="s">
        <v>49</v>
      </c>
      <c r="F6" s="8" t="s">
        <v>12</v>
      </c>
      <c r="G6" s="8" t="s">
        <v>50</v>
      </c>
      <c r="H6" s="26" t="s">
        <v>51</v>
      </c>
      <c r="I6" s="8" t="s">
        <v>13</v>
      </c>
      <c r="J6" s="8" t="s">
        <v>5</v>
      </c>
      <c r="K6" s="1"/>
      <c r="L6" s="1"/>
      <c r="M6" s="1"/>
      <c r="N6" s="1"/>
      <c r="O6" s="27" t="s">
        <v>52</v>
      </c>
      <c r="P6" s="1"/>
      <c r="Q6" s="1"/>
      <c r="R6" s="1"/>
      <c r="S6" s="1"/>
      <c r="T6" s="1"/>
      <c r="U6" s="1"/>
      <c r="V6" s="1"/>
      <c r="W6" s="1"/>
      <c r="X6" s="1"/>
      <c r="Y6" s="1"/>
      <c r="Z6" s="1"/>
      <c r="AA6" s="1"/>
    </row>
    <row r="7" ht="15.0" customHeight="1">
      <c r="A7" s="1"/>
      <c r="B7" s="18">
        <v>1.0</v>
      </c>
      <c r="C7" s="18" t="s">
        <v>53</v>
      </c>
      <c r="D7" s="28"/>
      <c r="E7" s="28"/>
      <c r="F7" s="28"/>
      <c r="G7" s="29"/>
      <c r="H7" s="29"/>
      <c r="I7" s="28"/>
      <c r="J7" s="30">
        <f>SUM(J8:J51)</f>
        <v>185694840</v>
      </c>
      <c r="K7" s="1"/>
      <c r="L7" s="1"/>
      <c r="M7" s="1"/>
      <c r="N7" s="1"/>
      <c r="O7" s="31">
        <f>1.4</f>
        <v>1.4</v>
      </c>
      <c r="P7" s="1"/>
      <c r="Q7" s="1"/>
      <c r="R7" s="1"/>
      <c r="S7" s="1"/>
      <c r="T7" s="1"/>
      <c r="U7" s="1"/>
      <c r="V7" s="1"/>
      <c r="W7" s="1"/>
      <c r="X7" s="1"/>
      <c r="Y7" s="1"/>
      <c r="Z7" s="1"/>
      <c r="AA7" s="1"/>
    </row>
    <row r="8">
      <c r="A8" s="1"/>
      <c r="B8" s="20" t="s">
        <v>54</v>
      </c>
      <c r="C8" s="32" t="s">
        <v>55</v>
      </c>
      <c r="D8" s="32"/>
      <c r="E8" s="32"/>
      <c r="F8" s="32"/>
      <c r="G8" s="33"/>
      <c r="H8" s="33"/>
      <c r="I8" s="32"/>
      <c r="J8" s="34"/>
      <c r="K8" s="1"/>
      <c r="L8" s="1"/>
      <c r="M8" s="1"/>
      <c r="N8" s="1"/>
      <c r="O8" s="1"/>
      <c r="P8" s="1"/>
      <c r="Q8" s="1"/>
      <c r="R8" s="1"/>
      <c r="S8" s="1"/>
      <c r="T8" s="1"/>
      <c r="U8" s="1"/>
      <c r="V8" s="1"/>
      <c r="W8" s="1"/>
      <c r="X8" s="1"/>
      <c r="Y8" s="1"/>
      <c r="Z8" s="1"/>
      <c r="AA8" s="1"/>
    </row>
    <row r="9">
      <c r="A9" s="1"/>
      <c r="B9" s="20"/>
      <c r="C9" s="32"/>
      <c r="D9" s="32" t="s">
        <v>16</v>
      </c>
      <c r="E9" s="34" t="str">
        <f>VLOOKUP(D9,Datos!$B$8:$E$39,2,)</f>
        <v>Labor (Personal)</v>
      </c>
      <c r="F9" s="34" t="str">
        <f>VLOOKUP(D9,Datos!$B$8:$E$39,3,)</f>
        <v>Semanal</v>
      </c>
      <c r="G9" s="35">
        <v>8.0</v>
      </c>
      <c r="H9" s="33">
        <v>2.0</v>
      </c>
      <c r="I9" s="34">
        <f>VLOOKUP(D9,Datos!$B$8:$E$39,4,)</f>
        <v>4615</v>
      </c>
      <c r="J9" s="34">
        <f>H9*I9*2*(40*4)*O7</f>
        <v>4135040</v>
      </c>
      <c r="K9" s="34">
        <f t="shared" ref="K9:K11" si="1">J9/2</f>
        <v>2067520</v>
      </c>
      <c r="L9" s="1"/>
      <c r="M9" s="1"/>
      <c r="N9" s="1"/>
      <c r="O9" s="1"/>
      <c r="P9" s="1"/>
      <c r="Q9" s="1"/>
      <c r="R9" s="1"/>
      <c r="S9" s="1"/>
      <c r="T9" s="1"/>
      <c r="U9" s="1"/>
      <c r="V9" s="1"/>
      <c r="W9" s="1"/>
      <c r="X9" s="1"/>
      <c r="Y9" s="1"/>
      <c r="Z9" s="1"/>
      <c r="AA9" s="1"/>
    </row>
    <row r="10">
      <c r="A10" s="1"/>
      <c r="B10" s="20"/>
      <c r="C10" s="32"/>
      <c r="D10" s="32" t="s">
        <v>17</v>
      </c>
      <c r="E10" s="34" t="str">
        <f>VLOOKUP(D10,Datos!$B$8:$E$39,2,)</f>
        <v>Labor (Personal)</v>
      </c>
      <c r="F10" s="34" t="str">
        <f>VLOOKUP(D10,Datos!$B$8:$E$39,3,)</f>
        <v>Semanal</v>
      </c>
      <c r="G10" s="35">
        <v>4.0</v>
      </c>
      <c r="H10" s="33">
        <v>2.0</v>
      </c>
      <c r="I10" s="34">
        <f>VLOOKUP(D10,Datos!$B$8:$E$39,4,)</f>
        <v>5538</v>
      </c>
      <c r="J10" s="34">
        <f>H10*I10*1*(40*4)*O7</f>
        <v>2481024</v>
      </c>
      <c r="K10" s="34">
        <f t="shared" si="1"/>
        <v>1240512</v>
      </c>
      <c r="L10" s="1"/>
      <c r="M10" s="1"/>
      <c r="N10" s="1"/>
      <c r="O10" s="1"/>
      <c r="P10" s="1"/>
      <c r="Q10" s="1"/>
      <c r="R10" s="1"/>
      <c r="S10" s="1"/>
      <c r="T10" s="1"/>
      <c r="U10" s="1"/>
      <c r="V10" s="1"/>
      <c r="W10" s="1"/>
      <c r="X10" s="1"/>
      <c r="Y10" s="1"/>
      <c r="Z10" s="1"/>
      <c r="AA10" s="1"/>
    </row>
    <row r="11">
      <c r="A11" s="1"/>
      <c r="B11" s="20"/>
      <c r="C11" s="32"/>
      <c r="D11" s="32" t="s">
        <v>22</v>
      </c>
      <c r="E11" s="34" t="str">
        <f>VLOOKUP(D11,Datos!$B$8:$E$39,2,)</f>
        <v>Labor (Personal)</v>
      </c>
      <c r="F11" s="34" t="str">
        <f>VLOOKUP(D11,Datos!$B$8:$E$39,3,)</f>
        <v>Semanal</v>
      </c>
      <c r="G11" s="35">
        <v>8.0</v>
      </c>
      <c r="H11" s="33">
        <v>2.0</v>
      </c>
      <c r="I11" s="34">
        <f>VLOOKUP(D11,Datos!$B$8:$E$39,4,)</f>
        <v>7250</v>
      </c>
      <c r="J11" s="34">
        <f>H11*I11*2*(40*4)*O7</f>
        <v>6496000</v>
      </c>
      <c r="K11" s="34">
        <f t="shared" si="1"/>
        <v>3248000</v>
      </c>
      <c r="L11" s="1"/>
      <c r="M11" s="1"/>
      <c r="N11" s="1"/>
      <c r="O11" s="1"/>
      <c r="P11" s="1"/>
      <c r="Q11" s="1"/>
      <c r="R11" s="1"/>
      <c r="S11" s="1"/>
      <c r="T11" s="1"/>
      <c r="U11" s="1"/>
      <c r="V11" s="1"/>
      <c r="W11" s="1"/>
      <c r="X11" s="1"/>
      <c r="Y11" s="1"/>
      <c r="Z11" s="1"/>
      <c r="AA11" s="1"/>
    </row>
    <row r="12">
      <c r="A12" s="1"/>
      <c r="B12" s="20"/>
      <c r="C12" s="36"/>
      <c r="D12" s="36"/>
      <c r="E12" s="37"/>
      <c r="F12" s="37"/>
      <c r="G12" s="38"/>
      <c r="H12" s="38"/>
      <c r="I12" s="37"/>
      <c r="J12" s="37"/>
      <c r="K12" s="1"/>
      <c r="L12" s="1"/>
      <c r="M12" s="1"/>
      <c r="N12" s="1"/>
      <c r="O12" s="17"/>
      <c r="P12" s="1"/>
      <c r="Q12" s="1"/>
      <c r="R12" s="1"/>
      <c r="S12" s="1"/>
      <c r="T12" s="1"/>
      <c r="U12" s="1"/>
      <c r="V12" s="1"/>
      <c r="W12" s="1"/>
      <c r="X12" s="1"/>
      <c r="Y12" s="1"/>
      <c r="Z12" s="1"/>
      <c r="AA12" s="1"/>
    </row>
    <row r="13">
      <c r="A13" s="1"/>
      <c r="B13" s="20"/>
      <c r="C13" s="36"/>
      <c r="D13" s="36" t="s">
        <v>32</v>
      </c>
      <c r="E13" s="37" t="str">
        <f>VLOOKUP(D13,Datos!$B$8:$E$39,2,)</f>
        <v>Materiales</v>
      </c>
      <c r="F13" s="37" t="str">
        <f>VLOOKUP(D13,Datos!$B$8:$E$39,3,)</f>
        <v>Cantidad</v>
      </c>
      <c r="G13" s="38"/>
      <c r="H13" s="39">
        <v>6.0</v>
      </c>
      <c r="I13" s="37">
        <f>VLOOKUP(D13,Datos!$B$8:$E$39,4,)</f>
        <v>39990</v>
      </c>
      <c r="J13" s="37">
        <f t="shared" ref="J13:J15" si="2">H13*I13</f>
        <v>239940</v>
      </c>
      <c r="K13" s="1"/>
      <c r="L13" s="1"/>
      <c r="M13" s="1"/>
      <c r="N13" s="1"/>
      <c r="O13" s="1"/>
      <c r="P13" s="1"/>
      <c r="Q13" s="1"/>
      <c r="R13" s="1"/>
      <c r="S13" s="1"/>
      <c r="T13" s="1"/>
      <c r="U13" s="1"/>
      <c r="V13" s="1"/>
      <c r="W13" s="1"/>
      <c r="X13" s="1"/>
      <c r="Y13" s="1"/>
      <c r="Z13" s="1"/>
      <c r="AA13" s="1"/>
    </row>
    <row r="14">
      <c r="A14" s="1"/>
      <c r="B14" s="20"/>
      <c r="C14" s="36"/>
      <c r="D14" s="36" t="s">
        <v>33</v>
      </c>
      <c r="E14" s="37" t="str">
        <f>VLOOKUP(D14,Datos!$B$8:$E$39,2,)</f>
        <v>Materiales</v>
      </c>
      <c r="F14" s="37" t="str">
        <f>VLOOKUP(D14,Datos!$B$8:$E$39,3,)</f>
        <v>Cantidad</v>
      </c>
      <c r="G14" s="38"/>
      <c r="H14" s="39">
        <v>6.0</v>
      </c>
      <c r="I14" s="37">
        <f>VLOOKUP(D14,Datos!$B$8:$E$39,4,)</f>
        <v>49990</v>
      </c>
      <c r="J14" s="37">
        <f t="shared" si="2"/>
        <v>299940</v>
      </c>
      <c r="K14" s="1"/>
      <c r="L14" s="1"/>
      <c r="M14" s="1"/>
      <c r="N14" s="1"/>
      <c r="O14" s="1"/>
      <c r="P14" s="1"/>
      <c r="Q14" s="1"/>
      <c r="R14" s="1"/>
      <c r="S14" s="1"/>
      <c r="T14" s="1"/>
      <c r="U14" s="1"/>
      <c r="V14" s="1"/>
      <c r="W14" s="1"/>
      <c r="X14" s="1"/>
      <c r="Y14" s="1"/>
      <c r="Z14" s="1"/>
      <c r="AA14" s="1"/>
    </row>
    <row r="15">
      <c r="A15" s="1"/>
      <c r="B15" s="20"/>
      <c r="C15" s="36"/>
      <c r="D15" s="36" t="s">
        <v>34</v>
      </c>
      <c r="E15" s="37" t="str">
        <f>VLOOKUP(D15,Datos!$B$8:$E$39,2,)</f>
        <v>Materiales</v>
      </c>
      <c r="F15" s="37" t="str">
        <f>VLOOKUP(D15,Datos!$B$8:$E$39,3,)</f>
        <v>Cantidad</v>
      </c>
      <c r="G15" s="38"/>
      <c r="H15" s="39">
        <v>6.0</v>
      </c>
      <c r="I15" s="37">
        <f>VLOOKUP(D15,Datos!$B$8:$E$39,4,)</f>
        <v>399900</v>
      </c>
      <c r="J15" s="37">
        <f t="shared" si="2"/>
        <v>2399400</v>
      </c>
      <c r="K15" s="1"/>
      <c r="L15" s="1"/>
      <c r="M15" s="17"/>
      <c r="N15" s="1"/>
      <c r="O15" s="1"/>
      <c r="P15" s="1"/>
      <c r="Q15" s="1"/>
      <c r="R15" s="1"/>
      <c r="S15" s="1"/>
      <c r="T15" s="1"/>
      <c r="U15" s="1"/>
      <c r="V15" s="1"/>
      <c r="W15" s="1"/>
      <c r="X15" s="1"/>
      <c r="Y15" s="1"/>
      <c r="Z15" s="1"/>
      <c r="AA15" s="1"/>
    </row>
    <row r="16">
      <c r="A16" s="1"/>
      <c r="B16" s="20"/>
      <c r="C16" s="20"/>
      <c r="D16" s="20"/>
      <c r="E16" s="21"/>
      <c r="F16" s="21"/>
      <c r="G16" s="40"/>
      <c r="H16" s="40"/>
      <c r="I16" s="21"/>
      <c r="J16" s="21"/>
      <c r="K16" s="1"/>
      <c r="L16" s="1"/>
      <c r="M16" s="1"/>
      <c r="N16" s="1"/>
      <c r="O16" s="1"/>
      <c r="P16" s="1"/>
      <c r="Q16" s="1"/>
      <c r="R16" s="1"/>
      <c r="S16" s="1"/>
      <c r="T16" s="1"/>
      <c r="U16" s="1"/>
      <c r="V16" s="1"/>
      <c r="W16" s="1"/>
      <c r="X16" s="1"/>
      <c r="Y16" s="1"/>
      <c r="Z16" s="1"/>
      <c r="AA16" s="1"/>
    </row>
    <row r="17">
      <c r="A17" s="1"/>
      <c r="B17" s="20" t="s">
        <v>56</v>
      </c>
      <c r="C17" s="32" t="s">
        <v>57</v>
      </c>
      <c r="D17" s="32"/>
      <c r="E17" s="32"/>
      <c r="F17" s="32"/>
      <c r="G17" s="33"/>
      <c r="H17" s="33"/>
      <c r="I17" s="34"/>
      <c r="J17" s="34"/>
      <c r="K17" s="1"/>
      <c r="L17" s="1"/>
      <c r="M17" s="1"/>
      <c r="N17" s="1"/>
      <c r="O17" s="1"/>
      <c r="P17" s="1"/>
      <c r="Q17" s="1"/>
      <c r="R17" s="1"/>
      <c r="S17" s="1"/>
      <c r="T17" s="1"/>
      <c r="U17" s="1"/>
      <c r="V17" s="1"/>
      <c r="W17" s="1"/>
      <c r="X17" s="1"/>
      <c r="Y17" s="1"/>
      <c r="Z17" s="1"/>
      <c r="AA17" s="1"/>
    </row>
    <row r="18">
      <c r="A18" s="1"/>
      <c r="B18" s="20"/>
      <c r="C18" s="32"/>
      <c r="D18" s="32" t="s">
        <v>23</v>
      </c>
      <c r="E18" s="34" t="str">
        <f>VLOOKUP(D18,Datos!$B$8:$E$39,2,)</f>
        <v>Labor (Personal)</v>
      </c>
      <c r="F18" s="34" t="str">
        <f>VLOOKUP(D18,Datos!$B$8:$E$39,3,)</f>
        <v>Semanal</v>
      </c>
      <c r="G18" s="35">
        <v>7.0</v>
      </c>
      <c r="H18" s="35">
        <v>3.0</v>
      </c>
      <c r="I18" s="34">
        <f>VLOOKUP(D18,Datos!$B$8:$E$39,4,)</f>
        <v>5538</v>
      </c>
      <c r="J18" s="34">
        <f>H18*I18*(40*7)*O7</f>
        <v>6512688</v>
      </c>
      <c r="K18" s="34">
        <f t="shared" ref="K18:K21" si="3">J18/6</f>
        <v>1085448</v>
      </c>
      <c r="L18" s="1"/>
      <c r="M18" s="1"/>
      <c r="N18" s="1"/>
      <c r="O18" s="1"/>
      <c r="P18" s="1"/>
      <c r="Q18" s="1"/>
      <c r="R18" s="1"/>
      <c r="S18" s="1"/>
      <c r="T18" s="1"/>
      <c r="U18" s="1"/>
      <c r="V18" s="1"/>
      <c r="W18" s="1"/>
      <c r="X18" s="1"/>
      <c r="Y18" s="1"/>
      <c r="Z18" s="1"/>
      <c r="AA18" s="1"/>
    </row>
    <row r="19">
      <c r="A19" s="1"/>
      <c r="B19" s="20"/>
      <c r="C19" s="32"/>
      <c r="D19" s="32" t="s">
        <v>25</v>
      </c>
      <c r="E19" s="34" t="str">
        <f>VLOOKUP(D19,Datos!$B$8:$E$39,2,)</f>
        <v>Labor (Personal)</v>
      </c>
      <c r="F19" s="34" t="str">
        <f>VLOOKUP(D19,Datos!$B$8:$E$39,3,)</f>
        <v>Semanal</v>
      </c>
      <c r="G19" s="35">
        <v>5.0</v>
      </c>
      <c r="H19" s="35">
        <v>3.0</v>
      </c>
      <c r="I19" s="34">
        <f>VLOOKUP(D19,Datos!$B$8:$E$39,4,)</f>
        <v>7625</v>
      </c>
      <c r="J19" s="34">
        <f>H19*I19*(40*5)*O7</f>
        <v>6405000</v>
      </c>
      <c r="K19" s="34">
        <f t="shared" si="3"/>
        <v>1067500</v>
      </c>
      <c r="L19" s="1"/>
      <c r="M19" s="1"/>
      <c r="N19" s="1"/>
      <c r="O19" s="1"/>
      <c r="P19" s="1"/>
      <c r="Q19" s="1"/>
      <c r="R19" s="1"/>
      <c r="S19" s="1"/>
      <c r="T19" s="1"/>
      <c r="U19" s="1"/>
      <c r="V19" s="1"/>
      <c r="W19" s="1"/>
      <c r="X19" s="1"/>
      <c r="Y19" s="1"/>
      <c r="Z19" s="1"/>
      <c r="AA19" s="1"/>
    </row>
    <row r="20">
      <c r="A20" s="1"/>
      <c r="B20" s="20"/>
      <c r="C20" s="32"/>
      <c r="D20" s="41" t="s">
        <v>58</v>
      </c>
      <c r="E20" s="34" t="str">
        <f>VLOOKUP(D20,Datos!$B$8:$E$39,2,)</f>
        <v>Labor (Personal)</v>
      </c>
      <c r="F20" s="34" t="str">
        <f>VLOOKUP(D20,Datos!$B$8:$E$39,3,)</f>
        <v>Semanal</v>
      </c>
      <c r="G20" s="35">
        <v>5.0</v>
      </c>
      <c r="H20" s="35">
        <v>3.0</v>
      </c>
      <c r="I20" s="34">
        <f>VLOOKUP(D20,Datos!$B$8:$E$39,4,)</f>
        <v>4000</v>
      </c>
      <c r="J20" s="34">
        <f>H20*I20*(40*5)*O7</f>
        <v>3360000</v>
      </c>
      <c r="K20" s="34">
        <f t="shared" si="3"/>
        <v>560000</v>
      </c>
      <c r="L20" s="1"/>
      <c r="M20" s="1"/>
      <c r="N20" s="1"/>
      <c r="O20" s="1"/>
      <c r="P20" s="1"/>
      <c r="Q20" s="1"/>
      <c r="R20" s="1"/>
      <c r="S20" s="1"/>
      <c r="T20" s="1"/>
      <c r="U20" s="1"/>
      <c r="V20" s="1"/>
      <c r="W20" s="1"/>
      <c r="X20" s="1"/>
      <c r="Y20" s="1"/>
      <c r="Z20" s="1"/>
      <c r="AA20" s="1"/>
    </row>
    <row r="21">
      <c r="A21" s="1"/>
      <c r="B21" s="20"/>
      <c r="C21" s="32"/>
      <c r="D21" s="41" t="s">
        <v>59</v>
      </c>
      <c r="E21" s="34" t="str">
        <f>VLOOKUP(D21,Datos!$B$8:$E$39,2,)</f>
        <v>Labor (Personal)</v>
      </c>
      <c r="F21" s="34" t="str">
        <f>VLOOKUP(D21,Datos!$B$8:$E$39,3,)</f>
        <v>Semanal</v>
      </c>
      <c r="G21" s="35">
        <v>5.0</v>
      </c>
      <c r="H21" s="35">
        <v>3.0</v>
      </c>
      <c r="I21" s="34">
        <f>VLOOKUP(D21,Datos!$B$8:$E$39,4,)</f>
        <v>3500</v>
      </c>
      <c r="J21" s="34">
        <f>H21*I21*(40*5)*O7</f>
        <v>2940000</v>
      </c>
      <c r="K21" s="34">
        <f t="shared" si="3"/>
        <v>490000</v>
      </c>
      <c r="L21" s="1"/>
      <c r="M21" s="1"/>
      <c r="N21" s="1"/>
      <c r="O21" s="1"/>
      <c r="P21" s="1"/>
      <c r="Q21" s="1"/>
      <c r="R21" s="1"/>
      <c r="S21" s="1"/>
      <c r="T21" s="1"/>
      <c r="U21" s="1"/>
      <c r="V21" s="1"/>
      <c r="W21" s="1"/>
      <c r="X21" s="1"/>
      <c r="Y21" s="1"/>
      <c r="Z21" s="1"/>
      <c r="AA21" s="1"/>
    </row>
    <row r="22">
      <c r="A22" s="1"/>
      <c r="B22" s="20"/>
      <c r="C22" s="36"/>
      <c r="D22" s="36"/>
      <c r="E22" s="37"/>
      <c r="F22" s="37"/>
      <c r="G22" s="38"/>
      <c r="H22" s="38"/>
      <c r="I22" s="37"/>
      <c r="J22" s="37"/>
      <c r="K22" s="1"/>
      <c r="L22" s="1"/>
      <c r="M22" s="1"/>
      <c r="N22" s="1"/>
      <c r="O22" s="1"/>
      <c r="P22" s="1"/>
      <c r="Q22" s="1"/>
      <c r="R22" s="1"/>
      <c r="S22" s="1"/>
      <c r="T22" s="1"/>
      <c r="U22" s="1"/>
      <c r="V22" s="1"/>
      <c r="W22" s="1"/>
      <c r="X22" s="1"/>
      <c r="Y22" s="1"/>
      <c r="Z22" s="1"/>
      <c r="AA22" s="1"/>
    </row>
    <row r="23" ht="15.75" customHeight="1">
      <c r="A23" s="1"/>
      <c r="B23" s="20"/>
      <c r="C23" s="36"/>
      <c r="D23" s="36" t="s">
        <v>32</v>
      </c>
      <c r="E23" s="37" t="str">
        <f>VLOOKUP(D23,Datos!$B$8:$E$39,2,)</f>
        <v>Materiales</v>
      </c>
      <c r="F23" s="37" t="str">
        <f>VLOOKUP(D23,Datos!$B$8:$E$39,3,)</f>
        <v>Cantidad</v>
      </c>
      <c r="G23" s="38"/>
      <c r="H23" s="39">
        <v>6.0</v>
      </c>
      <c r="I23" s="37">
        <f>VLOOKUP(D23,Datos!$B$8:$E$39,4,)</f>
        <v>39990</v>
      </c>
      <c r="J23" s="37">
        <f t="shared" ref="J23:J36" si="4">H23*I23</f>
        <v>239940</v>
      </c>
      <c r="K23" s="1"/>
      <c r="L23" s="1"/>
      <c r="M23" s="1"/>
      <c r="N23" s="1"/>
      <c r="O23" s="1"/>
      <c r="P23" s="1"/>
      <c r="Q23" s="1"/>
      <c r="R23" s="1"/>
      <c r="S23" s="1"/>
      <c r="T23" s="1"/>
      <c r="U23" s="1"/>
      <c r="V23" s="1"/>
      <c r="W23" s="1"/>
      <c r="X23" s="1"/>
      <c r="Y23" s="1"/>
      <c r="Z23" s="1"/>
      <c r="AA23" s="1"/>
    </row>
    <row r="24" ht="15.75" customHeight="1">
      <c r="A24" s="1"/>
      <c r="B24" s="20"/>
      <c r="C24" s="36"/>
      <c r="D24" s="36" t="s">
        <v>33</v>
      </c>
      <c r="E24" s="37" t="str">
        <f>VLOOKUP(D24,Datos!$B$8:$E$39,2,)</f>
        <v>Materiales</v>
      </c>
      <c r="F24" s="37" t="str">
        <f>VLOOKUP(D24,Datos!$B$8:$E$39,3,)</f>
        <v>Cantidad</v>
      </c>
      <c r="G24" s="38"/>
      <c r="H24" s="39">
        <v>6.0</v>
      </c>
      <c r="I24" s="37">
        <f>VLOOKUP(D24,Datos!$B$8:$E$39,4,)</f>
        <v>49990</v>
      </c>
      <c r="J24" s="37">
        <f t="shared" si="4"/>
        <v>299940</v>
      </c>
      <c r="K24" s="1"/>
      <c r="L24" s="1"/>
      <c r="M24" s="1"/>
      <c r="N24" s="1"/>
      <c r="O24" s="1"/>
      <c r="P24" s="1"/>
      <c r="Q24" s="1"/>
      <c r="R24" s="1"/>
      <c r="S24" s="1"/>
      <c r="T24" s="1"/>
      <c r="U24" s="1"/>
      <c r="V24" s="1"/>
      <c r="W24" s="1"/>
      <c r="X24" s="1"/>
      <c r="Y24" s="1"/>
      <c r="Z24" s="1"/>
      <c r="AA24" s="1"/>
    </row>
    <row r="25" ht="15.75" customHeight="1">
      <c r="A25" s="1"/>
      <c r="B25" s="20"/>
      <c r="C25" s="36"/>
      <c r="D25" s="36" t="s">
        <v>34</v>
      </c>
      <c r="E25" s="37" t="str">
        <f>VLOOKUP(D25,Datos!$B$8:$E$39,2,)</f>
        <v>Materiales</v>
      </c>
      <c r="F25" s="37" t="str">
        <f>VLOOKUP(D25,Datos!$B$8:$E$39,3,)</f>
        <v>Cantidad</v>
      </c>
      <c r="G25" s="38"/>
      <c r="H25" s="39">
        <v>6.0</v>
      </c>
      <c r="I25" s="37">
        <f>VLOOKUP(D25,Datos!$B$8:$E$39,4,)</f>
        <v>399900</v>
      </c>
      <c r="J25" s="37">
        <f t="shared" si="4"/>
        <v>2399400</v>
      </c>
      <c r="K25" s="1"/>
      <c r="L25" s="1"/>
      <c r="M25" s="1"/>
      <c r="N25" s="1"/>
      <c r="O25" s="1"/>
      <c r="P25" s="1"/>
      <c r="Q25" s="1"/>
      <c r="R25" s="1"/>
      <c r="S25" s="1"/>
      <c r="T25" s="1"/>
      <c r="U25" s="1"/>
      <c r="V25" s="1"/>
      <c r="W25" s="1"/>
      <c r="X25" s="1"/>
      <c r="Y25" s="1"/>
      <c r="Z25" s="1"/>
      <c r="AA25" s="1"/>
    </row>
    <row r="26" ht="15.75" customHeight="1">
      <c r="A26" s="1"/>
      <c r="B26" s="20"/>
      <c r="C26" s="36"/>
      <c r="D26" s="36" t="s">
        <v>31</v>
      </c>
      <c r="E26" s="37" t="str">
        <f>VLOOKUP(D26,Datos!$B$8:$E$39,2,)</f>
        <v>Materiales</v>
      </c>
      <c r="F26" s="37" t="str">
        <f>VLOOKUP(D26,Datos!$B$8:$E$39,3,)</f>
        <v>Cantidad</v>
      </c>
      <c r="G26" s="39"/>
      <c r="H26" s="39">
        <v>10.0</v>
      </c>
      <c r="I26" s="37">
        <f>VLOOKUP(D26,Datos!$B$8:$E$39,4,)</f>
        <v>5000000</v>
      </c>
      <c r="J26" s="37">
        <f t="shared" si="4"/>
        <v>50000000</v>
      </c>
      <c r="K26" s="1"/>
      <c r="L26" s="1"/>
      <c r="M26" s="17"/>
      <c r="N26" s="1"/>
      <c r="O26" s="1"/>
      <c r="P26" s="1"/>
      <c r="Q26" s="1"/>
      <c r="R26" s="1"/>
      <c r="S26" s="1"/>
      <c r="T26" s="1"/>
      <c r="U26" s="1"/>
      <c r="V26" s="1"/>
      <c r="W26" s="1"/>
      <c r="X26" s="1"/>
      <c r="Y26" s="1"/>
      <c r="Z26" s="1"/>
      <c r="AA26" s="1"/>
    </row>
    <row r="27" ht="15.75" customHeight="1">
      <c r="A27" s="1"/>
      <c r="B27" s="20"/>
      <c r="C27" s="36"/>
      <c r="D27" s="36" t="s">
        <v>60</v>
      </c>
      <c r="E27" s="37" t="str">
        <f>VLOOKUP(D27,Datos!$B$8:$E$39,2,)</f>
        <v>Materiales</v>
      </c>
      <c r="F27" s="37" t="str">
        <f>VLOOKUP(D27,Datos!$B$8:$E$39,3,)</f>
        <v>Cantidad</v>
      </c>
      <c r="G27" s="39"/>
      <c r="H27" s="39">
        <v>10.0</v>
      </c>
      <c r="I27" s="37">
        <f>VLOOKUP(D27,Datos!$B$8:$E$39,4,)</f>
        <v>5000000</v>
      </c>
      <c r="J27" s="37">
        <f t="shared" si="4"/>
        <v>50000000</v>
      </c>
      <c r="K27" s="1"/>
      <c r="L27" s="1"/>
      <c r="M27" s="1"/>
      <c r="N27" s="1"/>
      <c r="O27" s="1"/>
      <c r="P27" s="1"/>
      <c r="Q27" s="1"/>
      <c r="R27" s="1"/>
      <c r="S27" s="1"/>
      <c r="T27" s="1"/>
      <c r="U27" s="1"/>
      <c r="V27" s="1"/>
      <c r="W27" s="1"/>
      <c r="X27" s="1"/>
      <c r="Y27" s="1"/>
      <c r="Z27" s="1"/>
      <c r="AA27" s="1"/>
    </row>
    <row r="28" ht="15.75" customHeight="1">
      <c r="A28" s="1"/>
      <c r="B28" s="20"/>
      <c r="C28" s="36"/>
      <c r="D28" s="36" t="s">
        <v>36</v>
      </c>
      <c r="E28" s="37" t="str">
        <f>VLOOKUP(D28,Datos!$B$8:$E$39,2,)</f>
        <v>Materiales</v>
      </c>
      <c r="F28" s="37" t="str">
        <f>VLOOKUP(D28,Datos!$B$8:$E$39,3,)</f>
        <v>Cantidad</v>
      </c>
      <c r="G28" s="39"/>
      <c r="H28" s="39">
        <v>4.0</v>
      </c>
      <c r="I28" s="37">
        <f>VLOOKUP(D28,Datos!$B$8:$E$39,4,)</f>
        <v>500000</v>
      </c>
      <c r="J28" s="37">
        <f t="shared" si="4"/>
        <v>2000000</v>
      </c>
      <c r="K28" s="1"/>
      <c r="L28" s="1"/>
      <c r="M28" s="17"/>
      <c r="N28" s="1"/>
      <c r="O28" s="1"/>
      <c r="P28" s="1"/>
      <c r="Q28" s="1"/>
      <c r="R28" s="1"/>
      <c r="S28" s="1"/>
      <c r="T28" s="1"/>
      <c r="U28" s="1"/>
      <c r="V28" s="1"/>
      <c r="W28" s="1"/>
      <c r="X28" s="1"/>
      <c r="Y28" s="1"/>
      <c r="Z28" s="1"/>
      <c r="AA28" s="1"/>
    </row>
    <row r="29" ht="15.75" customHeight="1">
      <c r="A29" s="1"/>
      <c r="B29" s="20"/>
      <c r="C29" s="36"/>
      <c r="D29" s="36" t="s">
        <v>37</v>
      </c>
      <c r="E29" s="37" t="str">
        <f>VLOOKUP(D29,Datos!$B$8:$E$39,2,)</f>
        <v>Materiales</v>
      </c>
      <c r="F29" s="37" t="str">
        <f>VLOOKUP(D29,Datos!$B$8:$E$39,3,)</f>
        <v>Cantidad</v>
      </c>
      <c r="G29" s="38"/>
      <c r="H29" s="39">
        <v>4.0</v>
      </c>
      <c r="I29" s="37">
        <f>VLOOKUP(D29,Datos!$B$8:$E$39,4,)</f>
        <v>200000</v>
      </c>
      <c r="J29" s="37">
        <f t="shared" si="4"/>
        <v>800000</v>
      </c>
      <c r="K29" s="1"/>
      <c r="L29" s="1"/>
      <c r="M29" s="1"/>
      <c r="N29" s="1"/>
      <c r="O29" s="1"/>
      <c r="P29" s="1"/>
      <c r="Q29" s="1"/>
      <c r="R29" s="1"/>
      <c r="S29" s="1"/>
      <c r="T29" s="1"/>
      <c r="U29" s="1"/>
      <c r="V29" s="1"/>
      <c r="W29" s="1"/>
      <c r="X29" s="1"/>
      <c r="Y29" s="1"/>
      <c r="Z29" s="1"/>
      <c r="AA29" s="1"/>
    </row>
    <row r="30" ht="15.75" customHeight="1">
      <c r="A30" s="1"/>
      <c r="B30" s="20"/>
      <c r="C30" s="36"/>
      <c r="D30" s="36" t="s">
        <v>38</v>
      </c>
      <c r="E30" s="37" t="str">
        <f>VLOOKUP(D30,Datos!$B$8:$E$39,2,)</f>
        <v>Materiales</v>
      </c>
      <c r="F30" s="37" t="str">
        <f>VLOOKUP(D30,Datos!$B$8:$E$39,3,)</f>
        <v>Cantidad</v>
      </c>
      <c r="G30" s="39"/>
      <c r="H30" s="39">
        <v>10.0</v>
      </c>
      <c r="I30" s="37">
        <f>VLOOKUP(D30,Datos!$B$8:$E$39,4,)</f>
        <v>200000</v>
      </c>
      <c r="J30" s="37">
        <f t="shared" si="4"/>
        <v>2000000</v>
      </c>
      <c r="K30" s="1"/>
      <c r="L30" s="1"/>
      <c r="M30" s="1"/>
      <c r="N30" s="1"/>
      <c r="O30" s="1"/>
      <c r="P30" s="1"/>
      <c r="Q30" s="1"/>
      <c r="R30" s="1"/>
      <c r="S30" s="1"/>
      <c r="T30" s="1"/>
      <c r="U30" s="1"/>
      <c r="V30" s="1"/>
      <c r="W30" s="1"/>
      <c r="X30" s="1"/>
      <c r="Y30" s="1"/>
      <c r="Z30" s="1"/>
      <c r="AA30" s="1"/>
    </row>
    <row r="31" ht="15.75" customHeight="1">
      <c r="A31" s="1"/>
      <c r="B31" s="20"/>
      <c r="C31" s="36"/>
      <c r="D31" s="36" t="s">
        <v>39</v>
      </c>
      <c r="E31" s="37" t="str">
        <f>VLOOKUP(D31,Datos!$B$8:$E$39,2,)</f>
        <v>Materiales</v>
      </c>
      <c r="F31" s="37" t="str">
        <f>VLOOKUP(D31,Datos!$B$8:$E$39,3,)</f>
        <v>Cantidad</v>
      </c>
      <c r="G31" s="39"/>
      <c r="H31" s="39">
        <v>5.0</v>
      </c>
      <c r="I31" s="37">
        <f>VLOOKUP(D31,Datos!$B$8:$E$39,4,)</f>
        <v>100000</v>
      </c>
      <c r="J31" s="37">
        <f t="shared" si="4"/>
        <v>500000</v>
      </c>
      <c r="K31" s="1"/>
      <c r="L31" s="1"/>
      <c r="M31" s="1"/>
      <c r="N31" s="1"/>
      <c r="O31" s="1"/>
      <c r="P31" s="1"/>
      <c r="Q31" s="1"/>
      <c r="R31" s="1"/>
      <c r="S31" s="1"/>
      <c r="T31" s="1"/>
      <c r="U31" s="1"/>
      <c r="V31" s="1"/>
      <c r="W31" s="1"/>
      <c r="X31" s="1"/>
      <c r="Y31" s="1"/>
      <c r="Z31" s="1"/>
      <c r="AA31" s="1"/>
    </row>
    <row r="32" ht="15.75" customHeight="1">
      <c r="A32" s="1"/>
      <c r="B32" s="20"/>
      <c r="C32" s="36"/>
      <c r="D32" s="36" t="s">
        <v>40</v>
      </c>
      <c r="E32" s="37" t="str">
        <f>VLOOKUP(D32, Datos!$B$8:$E$39, 2, FALSE)</f>
        <v>Materiales</v>
      </c>
      <c r="F32" s="37" t="str">
        <f>VLOOKUP(D32, Datos!$B$8:$E$39, 3,)</f>
        <v>Cantidad</v>
      </c>
      <c r="G32" s="39"/>
      <c r="H32" s="39">
        <v>10.0</v>
      </c>
      <c r="I32" s="37">
        <f>VLOOKUP(D32,Datos!$B$8:$E$39,4,)</f>
        <v>50000</v>
      </c>
      <c r="J32" s="37">
        <f t="shared" si="4"/>
        <v>500000</v>
      </c>
      <c r="K32" s="1"/>
      <c r="L32" s="1"/>
      <c r="M32" s="1"/>
      <c r="N32" s="1"/>
      <c r="O32" s="1"/>
      <c r="P32" s="1"/>
      <c r="Q32" s="1"/>
      <c r="R32" s="1"/>
      <c r="S32" s="1"/>
      <c r="T32" s="1"/>
      <c r="U32" s="1"/>
      <c r="V32" s="1"/>
      <c r="W32" s="1"/>
      <c r="X32" s="1"/>
      <c r="Y32" s="1"/>
      <c r="Z32" s="1"/>
      <c r="AA32" s="1"/>
    </row>
    <row r="33" ht="15.75" customHeight="1">
      <c r="A33" s="1"/>
      <c r="B33" s="20"/>
      <c r="C33" s="36"/>
      <c r="D33" s="36" t="s">
        <v>61</v>
      </c>
      <c r="E33" s="37" t="str">
        <f>VLOOKUP(D33,Datos!$B$8:$E$39, 2,)</f>
        <v>Materiales</v>
      </c>
      <c r="F33" s="37" t="str">
        <f>VLOOKUP(D33, Datos!$B$8:$E$39, 3,)</f>
        <v>Cantidad</v>
      </c>
      <c r="G33" s="39"/>
      <c r="H33" s="39">
        <v>6.0</v>
      </c>
      <c r="I33" s="37">
        <f>VLOOKUP(D33,Datos!$B$8:$E$39,4,)</f>
        <v>700000</v>
      </c>
      <c r="J33" s="37">
        <f t="shared" si="4"/>
        <v>4200000</v>
      </c>
      <c r="K33" s="1"/>
      <c r="L33" s="1"/>
      <c r="M33" s="1"/>
      <c r="N33" s="1"/>
      <c r="O33" s="1"/>
      <c r="P33" s="1"/>
      <c r="Q33" s="1"/>
      <c r="R33" s="1"/>
      <c r="S33" s="1"/>
      <c r="T33" s="1"/>
      <c r="U33" s="1"/>
      <c r="V33" s="1"/>
      <c r="W33" s="1"/>
      <c r="X33" s="1"/>
      <c r="Y33" s="1"/>
      <c r="Z33" s="1"/>
      <c r="AA33" s="1"/>
    </row>
    <row r="34" ht="15.75" customHeight="1">
      <c r="A34" s="1"/>
      <c r="B34" s="20"/>
      <c r="C34" s="36"/>
      <c r="D34" s="36" t="s">
        <v>62</v>
      </c>
      <c r="E34" s="37" t="str">
        <f>VLOOKUP(D34,Datos!$B$8:$E$39, 2,)</f>
        <v>Materiales</v>
      </c>
      <c r="F34" s="37" t="str">
        <f>VLOOKUP(D34, Datos!$B$8:$E$39, 3,)</f>
        <v>Cantidad</v>
      </c>
      <c r="G34" s="39"/>
      <c r="H34" s="39">
        <v>2.0</v>
      </c>
      <c r="I34" s="37">
        <f>VLOOKUP(D34,Datos!$B$8:$E$39,4,)</f>
        <v>500000</v>
      </c>
      <c r="J34" s="37">
        <f t="shared" si="4"/>
        <v>1000000</v>
      </c>
      <c r="K34" s="1"/>
      <c r="L34" s="1"/>
      <c r="M34" s="1"/>
      <c r="N34" s="1"/>
      <c r="O34" s="1"/>
      <c r="P34" s="1"/>
      <c r="Q34" s="1"/>
      <c r="R34" s="1"/>
      <c r="S34" s="1"/>
      <c r="T34" s="1"/>
      <c r="U34" s="1"/>
      <c r="V34" s="1"/>
      <c r="W34" s="1"/>
      <c r="X34" s="1"/>
      <c r="Y34" s="1"/>
      <c r="Z34" s="1"/>
      <c r="AA34" s="1"/>
    </row>
    <row r="35" ht="15.75" customHeight="1">
      <c r="A35" s="1"/>
      <c r="B35" s="20"/>
      <c r="C35" s="36"/>
      <c r="D35" s="36" t="s">
        <v>63</v>
      </c>
      <c r="E35" s="37" t="str">
        <f>VLOOKUP(D35,Datos!$B$8:$E$39, 2,)</f>
        <v>Empresa Externa</v>
      </c>
      <c r="F35" s="37" t="str">
        <f>VLOOKUP(D35, Datos!$B$8:$E$39, 3,)</f>
        <v>NA</v>
      </c>
      <c r="G35" s="39"/>
      <c r="H35" s="39">
        <v>1.0</v>
      </c>
      <c r="I35" s="37">
        <f>VLOOKUP(D35,Datos!$B$8:$E$39,4,)</f>
        <v>2000000</v>
      </c>
      <c r="J35" s="37">
        <f t="shared" si="4"/>
        <v>2000000</v>
      </c>
      <c r="K35" s="42">
        <f>SUM(J17:J21)</f>
        <v>19217688</v>
      </c>
      <c r="L35" s="1"/>
      <c r="M35" s="1"/>
      <c r="N35" s="1"/>
      <c r="O35" s="1"/>
      <c r="P35" s="1"/>
      <c r="Q35" s="1"/>
      <c r="R35" s="1"/>
      <c r="S35" s="1"/>
      <c r="T35" s="1"/>
      <c r="U35" s="1"/>
      <c r="V35" s="1"/>
      <c r="W35" s="1"/>
      <c r="X35" s="1"/>
      <c r="Y35" s="1"/>
      <c r="Z35" s="1"/>
      <c r="AA35" s="1"/>
    </row>
    <row r="36" ht="15.75" customHeight="1">
      <c r="A36" s="1"/>
      <c r="B36" s="20"/>
      <c r="C36" s="36"/>
      <c r="D36" s="36" t="s">
        <v>64</v>
      </c>
      <c r="E36" s="37" t="str">
        <f>VLOOKUP(D36,Datos!$B$8:$E$39, 2,)</f>
        <v>Empresa Externa</v>
      </c>
      <c r="F36" s="37" t="str">
        <f>VLOOKUP(D36, Datos!$B$8:$E$39, 3,)</f>
        <v>NA</v>
      </c>
      <c r="G36" s="39"/>
      <c r="H36" s="39">
        <v>1.0</v>
      </c>
      <c r="I36" s="37">
        <f>VLOOKUP(D36,Datos!$B$8:$E$39,4,)</f>
        <v>700000</v>
      </c>
      <c r="J36" s="37">
        <f t="shared" si="4"/>
        <v>700000</v>
      </c>
      <c r="K36" s="1"/>
      <c r="L36" s="1"/>
      <c r="M36" s="1"/>
      <c r="N36" s="1"/>
      <c r="O36" s="1"/>
      <c r="P36" s="1"/>
      <c r="Q36" s="1"/>
      <c r="R36" s="1"/>
      <c r="S36" s="1"/>
      <c r="T36" s="1"/>
      <c r="U36" s="1"/>
      <c r="V36" s="1"/>
      <c r="W36" s="1"/>
      <c r="X36" s="1"/>
      <c r="Y36" s="1"/>
      <c r="Z36" s="1"/>
      <c r="AA36" s="1"/>
    </row>
    <row r="37" ht="15.75" customHeight="1">
      <c r="A37" s="1"/>
      <c r="K37" s="1"/>
      <c r="L37" s="1"/>
      <c r="M37" s="1"/>
      <c r="N37" s="1"/>
      <c r="O37" s="1"/>
      <c r="P37" s="1"/>
      <c r="Q37" s="1"/>
      <c r="R37" s="1"/>
      <c r="S37" s="1"/>
      <c r="T37" s="1"/>
      <c r="U37" s="1"/>
      <c r="V37" s="1"/>
      <c r="W37" s="1"/>
      <c r="X37" s="1"/>
      <c r="Y37" s="1"/>
      <c r="Z37" s="1"/>
      <c r="AA37" s="1"/>
    </row>
    <row r="38" ht="15.75" customHeight="1">
      <c r="A38" s="1"/>
      <c r="B38" s="20"/>
      <c r="C38" s="32"/>
      <c r="D38" s="32"/>
      <c r="E38" s="32"/>
      <c r="F38" s="32"/>
      <c r="G38" s="33"/>
      <c r="H38" s="33"/>
      <c r="I38" s="34"/>
      <c r="J38" s="34"/>
      <c r="K38" s="1"/>
      <c r="L38" s="1"/>
      <c r="M38" s="1"/>
      <c r="N38" s="1"/>
      <c r="O38" s="1"/>
      <c r="P38" s="1"/>
      <c r="Q38" s="1"/>
      <c r="R38" s="1"/>
      <c r="S38" s="1"/>
      <c r="T38" s="1"/>
      <c r="U38" s="1"/>
      <c r="V38" s="1"/>
      <c r="W38" s="1"/>
      <c r="X38" s="1"/>
      <c r="Y38" s="1"/>
      <c r="Z38" s="1"/>
      <c r="AA38" s="1"/>
    </row>
    <row r="39" ht="15.75" customHeight="1">
      <c r="A39" s="1"/>
      <c r="B39" s="20" t="s">
        <v>65</v>
      </c>
      <c r="C39" s="32" t="s">
        <v>66</v>
      </c>
      <c r="D39" s="32"/>
      <c r="E39" s="32"/>
      <c r="F39" s="32"/>
      <c r="G39" s="33"/>
      <c r="H39" s="33"/>
      <c r="I39" s="34"/>
      <c r="J39" s="34"/>
      <c r="K39" s="1"/>
      <c r="L39" s="1"/>
      <c r="M39" s="1"/>
      <c r="N39" s="1"/>
      <c r="O39" s="1"/>
      <c r="P39" s="1"/>
      <c r="Q39" s="1"/>
      <c r="R39" s="1"/>
      <c r="S39" s="1"/>
      <c r="T39" s="1"/>
      <c r="U39" s="1"/>
      <c r="V39" s="1"/>
      <c r="W39" s="1"/>
      <c r="X39" s="1"/>
      <c r="Y39" s="1"/>
      <c r="Z39" s="1"/>
      <c r="AA39" s="1"/>
    </row>
    <row r="40" ht="15.75" customHeight="1">
      <c r="A40" s="1"/>
      <c r="B40" s="20"/>
      <c r="C40" s="32"/>
      <c r="D40" s="32" t="s">
        <v>26</v>
      </c>
      <c r="E40" s="34" t="str">
        <f>VLOOKUP(D40,Datos!$B$8:$E$39,2,)</f>
        <v>Labor (Personal)</v>
      </c>
      <c r="F40" s="34" t="str">
        <f>VLOOKUP(D40,Datos!$B$8:$E$39,3,)</f>
        <v>Semanal</v>
      </c>
      <c r="G40" s="33">
        <v>4.0</v>
      </c>
      <c r="H40" s="35">
        <v>2.0</v>
      </c>
      <c r="I40" s="34">
        <f>VLOOKUP(D40,Datos!$B$8:$E$39,4,)</f>
        <v>11923</v>
      </c>
      <c r="J40" s="34">
        <f>H40*I40*1.5*(40*4)*O7</f>
        <v>8012256</v>
      </c>
      <c r="K40" s="1"/>
      <c r="L40" s="1"/>
      <c r="M40" s="1"/>
      <c r="N40" s="1"/>
      <c r="O40" s="1"/>
      <c r="P40" s="1"/>
      <c r="Q40" s="1"/>
      <c r="R40" s="1"/>
      <c r="S40" s="1"/>
      <c r="T40" s="1"/>
      <c r="U40" s="1"/>
      <c r="V40" s="1"/>
      <c r="W40" s="1"/>
      <c r="X40" s="1"/>
      <c r="Y40" s="1"/>
      <c r="Z40" s="1"/>
      <c r="AA40" s="1"/>
    </row>
    <row r="41" ht="15.75" customHeight="1">
      <c r="A41" s="1"/>
      <c r="B41" s="20"/>
      <c r="C41" s="32"/>
      <c r="D41" s="32" t="s">
        <v>23</v>
      </c>
      <c r="E41" s="34" t="str">
        <f>VLOOKUP(D41,Datos!$B$8:$E$39,2,)</f>
        <v>Labor (Personal)</v>
      </c>
      <c r="F41" s="34" t="str">
        <f>VLOOKUP(D41,Datos!$B$8:$E$39,3,)</f>
        <v>Semanal</v>
      </c>
      <c r="G41" s="33">
        <v>4.0</v>
      </c>
      <c r="H41" s="35">
        <v>2.0</v>
      </c>
      <c r="I41" s="34">
        <f>VLOOKUP(D41,Datos!$B$8:$E$39,4,)</f>
        <v>5538</v>
      </c>
      <c r="J41" s="34">
        <f>H41*I41*1.5*(40*4)*O7</f>
        <v>3721536</v>
      </c>
      <c r="K41" s="1"/>
      <c r="L41" s="1"/>
      <c r="M41" s="1"/>
      <c r="N41" s="1"/>
      <c r="O41" s="1"/>
      <c r="P41" s="1"/>
      <c r="Q41" s="1"/>
      <c r="R41" s="1"/>
      <c r="S41" s="1"/>
      <c r="T41" s="1"/>
      <c r="U41" s="1"/>
      <c r="V41" s="1"/>
      <c r="W41" s="1"/>
      <c r="X41" s="1"/>
      <c r="Y41" s="1"/>
      <c r="Z41" s="1"/>
      <c r="AA41" s="1"/>
    </row>
    <row r="42" ht="15.75" customHeight="1">
      <c r="A42" s="1"/>
      <c r="B42" s="20"/>
      <c r="C42" s="20"/>
      <c r="D42" s="20"/>
      <c r="E42" s="21"/>
      <c r="F42" s="21"/>
      <c r="G42" s="40"/>
      <c r="H42" s="40"/>
      <c r="I42" s="21"/>
      <c r="J42" s="21"/>
      <c r="K42" s="1"/>
      <c r="L42" s="1"/>
      <c r="M42" s="1"/>
      <c r="N42" s="17"/>
      <c r="O42" s="1"/>
      <c r="P42" s="1"/>
      <c r="Q42" s="1"/>
      <c r="R42" s="1"/>
      <c r="S42" s="1"/>
      <c r="T42" s="1"/>
      <c r="U42" s="1"/>
      <c r="V42" s="1"/>
      <c r="W42" s="1"/>
      <c r="X42" s="1"/>
      <c r="Y42" s="1"/>
      <c r="Z42" s="1"/>
      <c r="AA42" s="1"/>
    </row>
    <row r="43" ht="15.75" customHeight="1">
      <c r="A43" s="1"/>
      <c r="B43" s="20" t="s">
        <v>67</v>
      </c>
      <c r="C43" s="32" t="s">
        <v>68</v>
      </c>
      <c r="D43" s="32"/>
      <c r="E43" s="32"/>
      <c r="F43" s="32"/>
      <c r="G43" s="33"/>
      <c r="H43" s="33"/>
      <c r="I43" s="34"/>
      <c r="J43" s="34"/>
      <c r="K43" s="1"/>
      <c r="L43" s="1"/>
      <c r="M43" s="1"/>
      <c r="N43" s="1"/>
      <c r="O43" s="1"/>
      <c r="P43" s="1"/>
      <c r="Q43" s="1"/>
      <c r="R43" s="1"/>
      <c r="S43" s="1"/>
      <c r="T43" s="1"/>
      <c r="U43" s="1"/>
      <c r="V43" s="1"/>
      <c r="W43" s="1"/>
      <c r="X43" s="1"/>
      <c r="Y43" s="1"/>
      <c r="Z43" s="1"/>
      <c r="AA43" s="1"/>
    </row>
    <row r="44" ht="15.75" customHeight="1">
      <c r="A44" s="1"/>
      <c r="B44" s="20"/>
      <c r="C44" s="32"/>
      <c r="D44" s="32" t="s">
        <v>20</v>
      </c>
      <c r="E44" s="34" t="str">
        <f>VLOOKUP(D44,Datos!$B$8:$E$39,2,)</f>
        <v>Labor (Personal)</v>
      </c>
      <c r="F44" s="34" t="str">
        <f>VLOOKUP(D44,Datos!$B$8:$E$39,3,)</f>
        <v>Semanal</v>
      </c>
      <c r="G44" s="35">
        <v>8.0</v>
      </c>
      <c r="H44" s="35">
        <v>3.0</v>
      </c>
      <c r="I44" s="34">
        <f>VLOOKUP(D44,Datos!$B$8:$E$39,4,)</f>
        <v>5800</v>
      </c>
      <c r="J44" s="34">
        <f>H44*I44*2*(40*4)*O7</f>
        <v>7795200</v>
      </c>
      <c r="K44" s="1"/>
      <c r="L44" s="1"/>
      <c r="M44" s="1"/>
      <c r="N44" s="1"/>
      <c r="O44" s="1"/>
      <c r="P44" s="1"/>
      <c r="Q44" s="1"/>
      <c r="R44" s="1"/>
      <c r="S44" s="1"/>
      <c r="T44" s="1"/>
      <c r="U44" s="1"/>
      <c r="V44" s="1"/>
      <c r="W44" s="1"/>
      <c r="X44" s="1"/>
      <c r="Y44" s="1"/>
      <c r="Z44" s="1"/>
      <c r="AA44" s="1"/>
    </row>
    <row r="45" ht="15.75" customHeight="1">
      <c r="A45" s="1"/>
      <c r="B45" s="20"/>
      <c r="C45" s="20"/>
      <c r="D45" s="20"/>
      <c r="E45" s="21"/>
      <c r="F45" s="21"/>
      <c r="G45" s="40"/>
      <c r="H45" s="40"/>
      <c r="I45" s="21"/>
      <c r="J45" s="21"/>
      <c r="K45" s="1"/>
      <c r="L45" s="1"/>
      <c r="M45" s="1"/>
      <c r="N45" s="1"/>
      <c r="O45" s="1"/>
      <c r="P45" s="1"/>
      <c r="Q45" s="1"/>
      <c r="R45" s="1"/>
      <c r="S45" s="1"/>
      <c r="T45" s="1"/>
      <c r="U45" s="1"/>
      <c r="V45" s="1"/>
      <c r="W45" s="1"/>
      <c r="X45" s="1"/>
      <c r="Y45" s="1"/>
      <c r="Z45" s="1"/>
      <c r="AA45" s="1"/>
    </row>
    <row r="46" ht="15.75" customHeight="1">
      <c r="A46" s="1"/>
      <c r="B46" s="20" t="s">
        <v>69</v>
      </c>
      <c r="C46" s="32" t="s">
        <v>70</v>
      </c>
      <c r="D46" s="32"/>
      <c r="E46" s="32"/>
      <c r="F46" s="32"/>
      <c r="G46" s="33"/>
      <c r="H46" s="33"/>
      <c r="I46" s="34"/>
      <c r="J46" s="34"/>
      <c r="K46" s="1"/>
      <c r="L46" s="1"/>
      <c r="M46" s="1"/>
      <c r="N46" s="1"/>
      <c r="O46" s="1"/>
      <c r="P46" s="1"/>
      <c r="Q46" s="1"/>
      <c r="R46" s="1"/>
      <c r="S46" s="1"/>
      <c r="T46" s="1"/>
      <c r="U46" s="1"/>
      <c r="V46" s="1"/>
      <c r="W46" s="1"/>
      <c r="X46" s="1"/>
      <c r="Y46" s="1"/>
      <c r="Z46" s="1"/>
      <c r="AA46" s="1"/>
    </row>
    <row r="47" ht="15.75" customHeight="1">
      <c r="A47" s="1"/>
      <c r="B47" s="20"/>
      <c r="C47" s="32"/>
      <c r="D47" s="32" t="s">
        <v>23</v>
      </c>
      <c r="E47" s="34" t="str">
        <f>VLOOKUP(D47,Datos!$B$8:$E$39,2,)</f>
        <v>Labor (Personal)</v>
      </c>
      <c r="F47" s="34" t="str">
        <f>VLOOKUP(D47,Datos!$B$8:$E$39,3,)</f>
        <v>Semanal</v>
      </c>
      <c r="G47" s="33">
        <v>4.0</v>
      </c>
      <c r="H47" s="35">
        <v>3.0</v>
      </c>
      <c r="I47" s="34">
        <f>VLOOKUP(D47,Datos!$B$8:$E$39,4,)</f>
        <v>5538</v>
      </c>
      <c r="J47" s="34">
        <f>H47*I47*1*(40*4)*O7</f>
        <v>3721536</v>
      </c>
      <c r="K47" s="1"/>
      <c r="L47" s="1"/>
      <c r="M47" s="1"/>
      <c r="N47" s="1"/>
      <c r="O47" s="1"/>
      <c r="P47" s="1"/>
      <c r="Q47" s="1"/>
      <c r="R47" s="1"/>
      <c r="S47" s="1"/>
      <c r="T47" s="1"/>
      <c r="U47" s="1"/>
      <c r="V47" s="1"/>
      <c r="W47" s="1"/>
      <c r="X47" s="1"/>
      <c r="Y47" s="1"/>
      <c r="Z47" s="1"/>
      <c r="AA47" s="1"/>
    </row>
    <row r="48" ht="15.75" customHeight="1">
      <c r="A48" s="1"/>
      <c r="B48" s="20"/>
      <c r="C48" s="32"/>
      <c r="D48" s="41" t="s">
        <v>21</v>
      </c>
      <c r="E48" s="34" t="str">
        <f>VLOOKUP(D48,Datos!$B$8:$E$39,2,)</f>
        <v>Labor (Personal)</v>
      </c>
      <c r="F48" s="34" t="str">
        <f>VLOOKUP(D48,Datos!$B$8:$E$39,3,)</f>
        <v>Semanal</v>
      </c>
      <c r="G48" s="35">
        <v>3.0</v>
      </c>
      <c r="H48" s="35">
        <v>3.0</v>
      </c>
      <c r="I48" s="34">
        <f>VLOOKUP(D48,Datos!$B$8:$E$39,4,)</f>
        <v>6750</v>
      </c>
      <c r="J48" s="34">
        <f>H48*I48*1*(40*4)*O7</f>
        <v>4536000</v>
      </c>
      <c r="K48" s="1"/>
      <c r="L48" s="1"/>
      <c r="M48" s="17"/>
      <c r="N48" s="1"/>
      <c r="O48" s="1"/>
      <c r="P48" s="1"/>
      <c r="Q48" s="1"/>
      <c r="R48" s="1"/>
      <c r="S48" s="1"/>
      <c r="T48" s="1"/>
      <c r="U48" s="1"/>
      <c r="V48" s="1"/>
      <c r="W48" s="1"/>
      <c r="X48" s="1"/>
      <c r="Y48" s="1"/>
      <c r="Z48" s="1"/>
      <c r="AA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75" customHeight="1">
      <c r="A50" s="1"/>
      <c r="B50" s="1"/>
      <c r="C50" s="17" t="s">
        <v>71</v>
      </c>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1"/>
      <c r="C51" s="34"/>
      <c r="D51" s="34" t="s">
        <v>42</v>
      </c>
      <c r="E51" s="34" t="str">
        <f>VLOOKUP(D51,Datos!$B$8:$E$39,2,)</f>
        <v>Gastos Indirectos</v>
      </c>
      <c r="F51" s="34" t="str">
        <f>VLOOKUP(D51,Datos!$B$8:$E$39,3,)</f>
        <v>NA</v>
      </c>
      <c r="G51" s="35"/>
      <c r="H51" s="34"/>
      <c r="I51" s="34">
        <f>VLOOKUP(D51,Datos!$B$8:$E$39,4,)</f>
        <v>500000</v>
      </c>
      <c r="J51" s="34">
        <f>I51*12</f>
        <v>6000000</v>
      </c>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1"/>
      <c r="C69" s="1"/>
      <c r="D69" s="1"/>
      <c r="E69" s="1"/>
      <c r="F69" s="17"/>
      <c r="G69" s="1"/>
      <c r="H69" s="1"/>
      <c r="I69" s="1"/>
      <c r="J69" s="1"/>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sheetData>
  <printOptions/>
  <pageMargins bottom="0.7480314960629921" footer="0.0" header="0.0" left="0.2362204724409449" right="0.2362204724409449" top="0.7480314960629921"/>
  <pageSetup fitToHeight="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25"/>
    <col customWidth="1" min="2" max="2" width="6.88"/>
    <col customWidth="1" min="3" max="3" width="14.38"/>
    <col customWidth="1" min="4" max="4" width="28.25"/>
    <col customWidth="1" min="5" max="5" width="14.25"/>
    <col customWidth="1" min="6" max="7" width="15.75"/>
    <col customWidth="1" min="8" max="8" width="23.13"/>
    <col customWidth="1" min="9" max="9" width="15.75"/>
    <col customWidth="1" min="10" max="10" width="18.0"/>
    <col customWidth="1" min="11" max="11" width="10.75"/>
    <col customWidth="1" min="12" max="27" width="10.0"/>
  </cols>
  <sheetData>
    <row r="1">
      <c r="A1" s="1"/>
      <c r="B1" s="2" t="s">
        <v>0</v>
      </c>
      <c r="C1" s="1"/>
      <c r="D1" s="1"/>
      <c r="E1" s="1"/>
      <c r="F1" s="1"/>
      <c r="G1" s="1"/>
      <c r="H1" s="3" t="s">
        <v>1</v>
      </c>
      <c r="I1" s="1"/>
      <c r="J1" s="1"/>
      <c r="K1" s="1"/>
      <c r="L1" s="1"/>
      <c r="M1" s="1"/>
      <c r="N1" s="1"/>
      <c r="O1" s="1"/>
      <c r="P1" s="1"/>
      <c r="Q1" s="1"/>
      <c r="R1" s="1"/>
      <c r="S1" s="1"/>
      <c r="T1" s="1"/>
      <c r="U1" s="1"/>
      <c r="V1" s="1"/>
      <c r="W1" s="1"/>
      <c r="X1" s="1"/>
      <c r="Y1" s="1"/>
      <c r="Z1" s="1"/>
      <c r="AA1" s="1"/>
    </row>
    <row r="2">
      <c r="A2" s="1"/>
      <c r="B2" s="4" t="s">
        <v>2</v>
      </c>
      <c r="C2" s="1"/>
      <c r="D2" s="1"/>
      <c r="E2" s="1"/>
      <c r="F2" s="1"/>
      <c r="G2" s="1"/>
      <c r="H2" s="1" t="s">
        <v>3</v>
      </c>
      <c r="I2" s="1"/>
      <c r="J2" s="24">
        <v>0.275</v>
      </c>
      <c r="K2" s="1"/>
      <c r="L2" s="1"/>
      <c r="M2" s="1"/>
      <c r="N2" s="1"/>
      <c r="O2" s="1"/>
      <c r="P2" s="1"/>
      <c r="Q2" s="1"/>
      <c r="R2" s="1"/>
      <c r="S2" s="1"/>
      <c r="T2" s="1"/>
      <c r="U2" s="1"/>
      <c r="V2" s="1"/>
      <c r="W2" s="1"/>
      <c r="X2" s="1"/>
      <c r="Y2" s="1"/>
      <c r="Z2" s="1"/>
      <c r="AA2" s="1"/>
    </row>
    <row r="3" ht="15.75" customHeight="1">
      <c r="A3" s="1"/>
      <c r="B3" s="6" t="s">
        <v>44</v>
      </c>
      <c r="C3" s="1"/>
      <c r="D3" s="1"/>
      <c r="E3" s="7"/>
      <c r="F3" s="7"/>
      <c r="G3" s="7"/>
      <c r="H3" s="8" t="s">
        <v>5</v>
      </c>
      <c r="I3" s="8" t="s">
        <v>6</v>
      </c>
      <c r="J3" s="8" t="s">
        <v>7</v>
      </c>
      <c r="K3" s="1"/>
      <c r="L3" s="1"/>
      <c r="M3" s="1"/>
      <c r="N3" s="1"/>
      <c r="O3" s="1"/>
      <c r="P3" s="1"/>
      <c r="Q3" s="1"/>
      <c r="R3" s="1"/>
      <c r="S3" s="1"/>
      <c r="T3" s="1"/>
      <c r="U3" s="1"/>
      <c r="V3" s="1"/>
      <c r="W3" s="1"/>
      <c r="X3" s="1"/>
      <c r="Y3" s="1"/>
      <c r="Z3" s="1"/>
      <c r="AA3" s="1"/>
    </row>
    <row r="4" ht="15.0" customHeight="1">
      <c r="A4" s="1"/>
      <c r="B4" s="6" t="s">
        <v>45</v>
      </c>
      <c r="C4" s="1"/>
      <c r="D4" s="1"/>
      <c r="E4" s="11" t="s">
        <v>7</v>
      </c>
      <c r="F4" s="11"/>
      <c r="G4" s="11"/>
      <c r="H4" s="12">
        <f>J7</f>
        <v>78425416</v>
      </c>
      <c r="I4" s="12">
        <f>H4*J2</f>
        <v>21566989.4</v>
      </c>
      <c r="J4" s="12">
        <f>SUM(H4:I4)</f>
        <v>99992405.4</v>
      </c>
      <c r="K4" s="1"/>
      <c r="L4" s="1"/>
      <c r="M4" s="1"/>
      <c r="N4" s="1"/>
      <c r="O4" s="1"/>
      <c r="P4" s="1"/>
      <c r="Q4" s="1"/>
      <c r="R4" s="1"/>
      <c r="S4" s="1"/>
      <c r="T4" s="1"/>
      <c r="U4" s="1"/>
      <c r="V4" s="1"/>
      <c r="W4" s="1"/>
      <c r="X4" s="1"/>
      <c r="Y4" s="1"/>
      <c r="Z4" s="1"/>
      <c r="AA4" s="1"/>
    </row>
    <row r="5">
      <c r="A5" s="1"/>
      <c r="B5" s="1"/>
      <c r="C5" s="1"/>
      <c r="D5" s="1"/>
      <c r="E5" s="1"/>
      <c r="F5" s="1"/>
      <c r="G5" s="1"/>
      <c r="H5" s="1"/>
      <c r="I5" s="1"/>
      <c r="J5" s="1"/>
      <c r="K5" s="1"/>
      <c r="L5" s="1"/>
      <c r="M5" s="1"/>
      <c r="N5" s="1"/>
      <c r="O5" s="1"/>
      <c r="P5" s="1"/>
      <c r="Q5" s="1"/>
      <c r="R5" s="1"/>
      <c r="S5" s="1"/>
      <c r="T5" s="1"/>
      <c r="U5" s="1"/>
      <c r="V5" s="1"/>
      <c r="W5" s="1"/>
      <c r="X5" s="1"/>
      <c r="Y5" s="1"/>
      <c r="Z5" s="1"/>
      <c r="AA5" s="1"/>
    </row>
    <row r="6">
      <c r="A6" s="1"/>
      <c r="B6" s="25" t="s">
        <v>46</v>
      </c>
      <c r="C6" s="8" t="s">
        <v>47</v>
      </c>
      <c r="D6" s="8" t="s">
        <v>48</v>
      </c>
      <c r="E6" s="8" t="s">
        <v>49</v>
      </c>
      <c r="F6" s="8" t="s">
        <v>12</v>
      </c>
      <c r="G6" s="8" t="s">
        <v>50</v>
      </c>
      <c r="H6" s="26" t="s">
        <v>72</v>
      </c>
      <c r="I6" s="8" t="s">
        <v>13</v>
      </c>
      <c r="J6" s="8" t="s">
        <v>5</v>
      </c>
      <c r="K6" s="1"/>
      <c r="L6" s="1"/>
      <c r="M6" s="1"/>
      <c r="N6" s="1"/>
      <c r="O6" s="1"/>
      <c r="P6" s="1"/>
      <c r="Q6" s="1"/>
      <c r="R6" s="1"/>
      <c r="S6" s="1"/>
      <c r="T6" s="1"/>
      <c r="U6" s="1"/>
      <c r="V6" s="1"/>
      <c r="W6" s="1"/>
      <c r="X6" s="1"/>
      <c r="Y6" s="1"/>
      <c r="Z6" s="1"/>
      <c r="AA6" s="1"/>
    </row>
    <row r="7" ht="15.0" customHeight="1">
      <c r="A7" s="1"/>
      <c r="B7" s="43">
        <v>2.0</v>
      </c>
      <c r="C7" s="43" t="s">
        <v>73</v>
      </c>
      <c r="D7" s="44"/>
      <c r="E7" s="44"/>
      <c r="F7" s="44"/>
      <c r="G7" s="44"/>
      <c r="H7" s="44"/>
      <c r="I7" s="44"/>
      <c r="J7" s="45">
        <f>SUM(J8:J28)</f>
        <v>78425416</v>
      </c>
      <c r="K7" s="1"/>
      <c r="L7" s="1"/>
      <c r="M7" s="1"/>
      <c r="N7" s="1"/>
      <c r="O7" s="1"/>
      <c r="P7" s="1"/>
      <c r="Q7" s="1"/>
      <c r="R7" s="1"/>
      <c r="S7" s="1"/>
      <c r="T7" s="1"/>
      <c r="U7" s="1"/>
      <c r="V7" s="1"/>
      <c r="W7" s="1"/>
      <c r="X7" s="1"/>
      <c r="Y7" s="1"/>
      <c r="Z7" s="1"/>
      <c r="AA7" s="1"/>
    </row>
    <row r="8">
      <c r="A8" s="1"/>
      <c r="B8" s="46" t="s">
        <v>74</v>
      </c>
      <c r="C8" s="47" t="s">
        <v>75</v>
      </c>
      <c r="D8" s="48"/>
      <c r="E8" s="48"/>
      <c r="F8" s="48"/>
      <c r="G8" s="48"/>
      <c r="H8" s="48"/>
      <c r="I8" s="49"/>
      <c r="J8" s="49"/>
      <c r="K8" s="49"/>
      <c r="L8" s="1"/>
      <c r="M8" s="1"/>
      <c r="N8" s="17" t="s">
        <v>52</v>
      </c>
      <c r="O8" s="1"/>
      <c r="P8" s="1"/>
      <c r="Q8" s="1"/>
      <c r="R8" s="1"/>
      <c r="S8" s="1"/>
      <c r="T8" s="1"/>
      <c r="U8" s="1"/>
      <c r="V8" s="1"/>
      <c r="W8" s="1"/>
      <c r="X8" s="1"/>
      <c r="Y8" s="1"/>
      <c r="Z8" s="1"/>
      <c r="AA8" s="1"/>
    </row>
    <row r="9">
      <c r="A9" s="1"/>
      <c r="B9" s="46"/>
      <c r="C9" s="48"/>
      <c r="D9" s="48" t="s">
        <v>16</v>
      </c>
      <c r="E9" s="49" t="str">
        <f>VLOOKUP(D9,Datos!$B$8:$E$39,2,)</f>
        <v>Labor (Personal)</v>
      </c>
      <c r="F9" s="49" t="str">
        <f>VLOOKUP(D9,Datos!$B$8:$E$39,3,)</f>
        <v>Semanal</v>
      </c>
      <c r="G9" s="50">
        <v>12.0</v>
      </c>
      <c r="H9" s="51">
        <v>1.0</v>
      </c>
      <c r="I9" s="49">
        <f>VLOOKUP(D9,Datos!$B$8:$E$39,4,)</f>
        <v>4615</v>
      </c>
      <c r="J9" s="49">
        <f>H9*I9*3*(40*4)*N9</f>
        <v>3101280</v>
      </c>
      <c r="K9" s="49">
        <v>2215200.0</v>
      </c>
      <c r="L9" s="1"/>
      <c r="M9" s="1"/>
      <c r="N9" s="1">
        <f>1.4</f>
        <v>1.4</v>
      </c>
      <c r="O9" s="1"/>
      <c r="P9" s="1"/>
      <c r="Q9" s="1"/>
      <c r="R9" s="1"/>
      <c r="S9" s="1"/>
      <c r="T9" s="1"/>
      <c r="U9" s="1"/>
      <c r="V9" s="1"/>
      <c r="W9" s="1"/>
      <c r="X9" s="1"/>
      <c r="Y9" s="1"/>
      <c r="Z9" s="1"/>
      <c r="AA9" s="1"/>
    </row>
    <row r="10">
      <c r="A10" s="1"/>
      <c r="B10" s="46"/>
      <c r="C10" s="48"/>
      <c r="D10" s="48" t="s">
        <v>25</v>
      </c>
      <c r="E10" s="49" t="str">
        <f>VLOOKUP(D10,Datos!$B$8:$E$39,2,)</f>
        <v>Labor (Personal)</v>
      </c>
      <c r="F10" s="49" t="str">
        <f>VLOOKUP(D10,Datos!$B$8:$E$39,3,)</f>
        <v>Semanal</v>
      </c>
      <c r="G10" s="50">
        <v>8.0</v>
      </c>
      <c r="H10" s="50">
        <v>2.0</v>
      </c>
      <c r="I10" s="49">
        <f>VLOOKUP(D10,Datos!$B$8:$E$39,4,)</f>
        <v>7625</v>
      </c>
      <c r="J10" s="49">
        <f>H10*I10*2*(40*4)*1.3</f>
        <v>6344000</v>
      </c>
      <c r="K10" s="49">
        <v>2440000.0</v>
      </c>
      <c r="L10" s="1"/>
      <c r="M10" s="1"/>
      <c r="N10" s="1"/>
      <c r="O10" s="1"/>
      <c r="P10" s="1"/>
      <c r="Q10" s="1"/>
      <c r="R10" s="1"/>
      <c r="S10" s="1"/>
      <c r="T10" s="1"/>
      <c r="U10" s="1"/>
      <c r="V10" s="1"/>
      <c r="W10" s="1"/>
      <c r="X10" s="1"/>
      <c r="Y10" s="1"/>
      <c r="Z10" s="1"/>
      <c r="AA10" s="1"/>
    </row>
    <row r="11">
      <c r="A11" s="1"/>
      <c r="B11" s="46"/>
      <c r="C11" s="48"/>
      <c r="D11" s="48" t="s">
        <v>19</v>
      </c>
      <c r="E11" s="49" t="str">
        <f>VLOOKUP(D11,Datos!$B$8:$E$39,2,)</f>
        <v>Labor (Personal)</v>
      </c>
      <c r="F11" s="49" t="str">
        <f>VLOOKUP(D11,Datos!$B$8:$E$39,3,)</f>
        <v>Semanal</v>
      </c>
      <c r="G11" s="50">
        <v>4.0</v>
      </c>
      <c r="H11" s="50">
        <v>2.0</v>
      </c>
      <c r="I11" s="49">
        <f>VLOOKUP(D11,Datos!$B$8:$E$39,4,)</f>
        <v>6375</v>
      </c>
      <c r="J11" s="49">
        <f>H11*I11*1*(40*4)*N9</f>
        <v>2856000</v>
      </c>
      <c r="K11" s="49">
        <v>1020000.0</v>
      </c>
      <c r="L11" s="1"/>
      <c r="M11" s="1"/>
      <c r="N11" s="1"/>
      <c r="O11" s="1"/>
      <c r="P11" s="1"/>
      <c r="Q11" s="1"/>
      <c r="R11" s="1"/>
      <c r="S11" s="1"/>
      <c r="T11" s="1"/>
      <c r="U11" s="1"/>
      <c r="V11" s="1"/>
      <c r="W11" s="1"/>
      <c r="X11" s="1"/>
      <c r="Y11" s="1"/>
      <c r="Z11" s="1"/>
      <c r="AA11" s="1"/>
    </row>
    <row r="12">
      <c r="A12" s="1"/>
      <c r="B12" s="46"/>
      <c r="C12" s="46"/>
      <c r="D12" s="46"/>
      <c r="E12" s="52"/>
      <c r="F12" s="52"/>
      <c r="G12" s="46"/>
      <c r="H12" s="46"/>
      <c r="I12" s="52"/>
      <c r="J12" s="52"/>
      <c r="K12" s="49"/>
      <c r="L12" s="1"/>
      <c r="M12" s="1"/>
      <c r="N12" s="1"/>
      <c r="O12" s="1"/>
      <c r="P12" s="1"/>
      <c r="Q12" s="1"/>
      <c r="R12" s="1"/>
      <c r="S12" s="1"/>
      <c r="T12" s="1"/>
      <c r="U12" s="1"/>
      <c r="V12" s="1"/>
      <c r="W12" s="1"/>
      <c r="X12" s="1"/>
      <c r="Y12" s="1"/>
      <c r="Z12" s="1"/>
      <c r="AA12" s="1"/>
    </row>
    <row r="13">
      <c r="A13" s="1"/>
      <c r="B13" s="46" t="s">
        <v>76</v>
      </c>
      <c r="C13" s="48" t="s">
        <v>77</v>
      </c>
      <c r="D13" s="48"/>
      <c r="E13" s="49"/>
      <c r="F13" s="49"/>
      <c r="G13" s="48"/>
      <c r="H13" s="48"/>
      <c r="I13" s="49"/>
      <c r="J13" s="49"/>
      <c r="K13" s="49"/>
      <c r="L13" s="1"/>
      <c r="M13" s="1"/>
      <c r="N13" s="1"/>
      <c r="O13" s="1"/>
      <c r="P13" s="1"/>
      <c r="Q13" s="1"/>
      <c r="R13" s="1"/>
      <c r="S13" s="1"/>
      <c r="T13" s="1"/>
      <c r="U13" s="1"/>
      <c r="V13" s="1"/>
      <c r="W13" s="1"/>
      <c r="X13" s="1"/>
      <c r="Y13" s="1"/>
      <c r="Z13" s="1"/>
      <c r="AA13" s="1"/>
    </row>
    <row r="14">
      <c r="A14" s="1"/>
      <c r="B14" s="46"/>
      <c r="C14" s="48"/>
      <c r="D14" s="53" t="s">
        <v>21</v>
      </c>
      <c r="E14" s="49" t="str">
        <f>VLOOKUP(D14,Datos!$B$8:$E$39,2,)</f>
        <v>Labor (Personal)</v>
      </c>
      <c r="F14" s="49" t="str">
        <f>VLOOKUP(D14,Datos!$B$8:$E$39,3,)</f>
        <v>Semanal</v>
      </c>
      <c r="G14" s="51">
        <v>2.0</v>
      </c>
      <c r="H14" s="50">
        <v>2.0</v>
      </c>
      <c r="I14" s="49">
        <f>VLOOKUP(D14,Datos!$B$8:$E$39,4,)</f>
        <v>6750</v>
      </c>
      <c r="J14" s="49">
        <f>H14*I14*(40*2)*N9</f>
        <v>1512000</v>
      </c>
      <c r="K14" s="49">
        <v>540000.0</v>
      </c>
      <c r="L14" s="1"/>
      <c r="M14" s="1"/>
      <c r="N14" s="1"/>
      <c r="O14" s="1"/>
      <c r="P14" s="1"/>
      <c r="Q14" s="1"/>
      <c r="R14" s="1"/>
      <c r="S14" s="1"/>
      <c r="T14" s="1"/>
      <c r="U14" s="1"/>
      <c r="V14" s="1"/>
      <c r="W14" s="1"/>
      <c r="X14" s="1"/>
      <c r="Y14" s="1"/>
      <c r="Z14" s="1"/>
      <c r="AA14" s="1"/>
    </row>
    <row r="15">
      <c r="A15" s="1"/>
      <c r="B15" s="46"/>
      <c r="C15" s="48"/>
      <c r="D15" s="48" t="s">
        <v>22</v>
      </c>
      <c r="E15" s="49" t="str">
        <f>VLOOKUP(D15,Datos!$B$8:$E$39,2,)</f>
        <v>Labor (Personal)</v>
      </c>
      <c r="F15" s="49" t="str">
        <f>VLOOKUP(D15,Datos!$B$8:$E$39,3,)</f>
        <v>Semanal</v>
      </c>
      <c r="G15" s="50">
        <v>8.0</v>
      </c>
      <c r="H15" s="50">
        <v>2.0</v>
      </c>
      <c r="I15" s="49">
        <f>VLOOKUP(D15,Datos!$B$8:$E$39,4,)</f>
        <v>7250</v>
      </c>
      <c r="J15" s="49">
        <f>H15*I15*(40*2)*N9</f>
        <v>1624000</v>
      </c>
      <c r="K15" s="49">
        <v>2320000.0</v>
      </c>
      <c r="L15" s="1"/>
      <c r="M15" s="1"/>
      <c r="N15" s="1"/>
      <c r="O15" s="1"/>
      <c r="P15" s="1"/>
      <c r="Q15" s="1"/>
      <c r="R15" s="1"/>
      <c r="S15" s="1"/>
      <c r="T15" s="1"/>
      <c r="U15" s="1"/>
      <c r="V15" s="1"/>
      <c r="W15" s="1"/>
      <c r="X15" s="1"/>
      <c r="Y15" s="1"/>
      <c r="Z15" s="1"/>
      <c r="AA15" s="1"/>
    </row>
    <row r="16">
      <c r="A16" s="1"/>
      <c r="B16" s="46"/>
      <c r="C16" s="48"/>
      <c r="D16" s="48" t="s">
        <v>19</v>
      </c>
      <c r="E16" s="49" t="str">
        <f>VLOOKUP(D16,Datos!$B$8:$E$39,2,)</f>
        <v>Labor (Personal)</v>
      </c>
      <c r="F16" s="49" t="str">
        <f>VLOOKUP(D16,Datos!$B$8:$E$39,3,)</f>
        <v>Semanal</v>
      </c>
      <c r="G16" s="50">
        <v>22.0</v>
      </c>
      <c r="H16" s="50">
        <v>8.0</v>
      </c>
      <c r="I16" s="49">
        <f>VLOOKUP(D16,Datos!$B$8:$E$39,4,)</f>
        <v>6375</v>
      </c>
      <c r="J16" s="49">
        <f>H16*I16*(40*22)</f>
        <v>44880000</v>
      </c>
      <c r="K16" s="49">
        <f>J16/6</f>
        <v>7480000</v>
      </c>
      <c r="L16" s="1"/>
      <c r="M16" s="1"/>
      <c r="N16" s="1"/>
      <c r="O16" s="1"/>
      <c r="P16" s="1"/>
      <c r="Q16" s="1"/>
      <c r="R16" s="1"/>
      <c r="S16" s="1"/>
      <c r="T16" s="1"/>
      <c r="U16" s="1"/>
      <c r="V16" s="1"/>
      <c r="W16" s="1"/>
      <c r="X16" s="1"/>
      <c r="Y16" s="1"/>
      <c r="Z16" s="1"/>
      <c r="AA16" s="1"/>
    </row>
    <row r="17">
      <c r="A17" s="1"/>
      <c r="B17" s="46"/>
      <c r="C17" s="48"/>
      <c r="D17" s="48" t="s">
        <v>25</v>
      </c>
      <c r="E17" s="49" t="str">
        <f>VLOOKUP(D17,Datos!$B$8:$E$39,2,)</f>
        <v>Labor (Personal)</v>
      </c>
      <c r="F17" s="49" t="str">
        <f>VLOOKUP(D17,Datos!$B$8:$E$39,3,)</f>
        <v>Semanal</v>
      </c>
      <c r="G17" s="50">
        <v>4.0</v>
      </c>
      <c r="H17" s="50">
        <v>3.0</v>
      </c>
      <c r="I17" s="49">
        <f>VLOOKUP(D17,Datos!$B$8:$E$39,4,)</f>
        <v>7625</v>
      </c>
      <c r="J17" s="49">
        <f>H17*I17*(40*2)*N9</f>
        <v>2562000</v>
      </c>
      <c r="K17" s="49">
        <f>J17/2</f>
        <v>1281000</v>
      </c>
      <c r="L17" s="1"/>
      <c r="M17" s="1"/>
      <c r="N17" s="1"/>
      <c r="O17" s="1"/>
      <c r="P17" s="1"/>
      <c r="Q17" s="1"/>
      <c r="R17" s="1"/>
      <c r="S17" s="1"/>
      <c r="T17" s="1"/>
      <c r="U17" s="1"/>
      <c r="V17" s="1"/>
      <c r="W17" s="1"/>
      <c r="X17" s="1"/>
      <c r="Y17" s="1"/>
      <c r="Z17" s="1"/>
      <c r="AA17" s="1"/>
    </row>
    <row r="18">
      <c r="A18" s="1"/>
      <c r="B18" s="46"/>
      <c r="C18" s="46"/>
      <c r="D18" s="46"/>
      <c r="E18" s="52"/>
      <c r="F18" s="52"/>
      <c r="G18" s="54"/>
      <c r="H18" s="54"/>
      <c r="I18" s="52"/>
      <c r="J18" s="52"/>
      <c r="K18" s="49"/>
      <c r="L18" s="1"/>
      <c r="M18" s="1"/>
      <c r="N18" s="1"/>
      <c r="O18" s="1"/>
      <c r="P18" s="1"/>
      <c r="Q18" s="1"/>
      <c r="R18" s="1"/>
      <c r="S18" s="1"/>
      <c r="T18" s="1"/>
      <c r="U18" s="1"/>
      <c r="V18" s="1"/>
      <c r="W18" s="1"/>
      <c r="X18" s="1"/>
      <c r="Y18" s="1"/>
      <c r="Z18" s="1"/>
      <c r="AA18" s="1"/>
    </row>
    <row r="19" ht="15.75" customHeight="1">
      <c r="A19" s="1"/>
      <c r="B19" s="46" t="s">
        <v>78</v>
      </c>
      <c r="C19" s="48" t="s">
        <v>68</v>
      </c>
      <c r="D19" s="48"/>
      <c r="E19" s="49"/>
      <c r="F19" s="49"/>
      <c r="G19" s="48"/>
      <c r="H19" s="48"/>
      <c r="I19" s="49"/>
      <c r="J19" s="49"/>
      <c r="K19" s="49"/>
      <c r="L19" s="1"/>
      <c r="M19" s="1"/>
      <c r="N19" s="1"/>
      <c r="O19" s="1"/>
      <c r="P19" s="1"/>
      <c r="Q19" s="1"/>
      <c r="R19" s="1"/>
      <c r="S19" s="1"/>
      <c r="T19" s="1"/>
      <c r="U19" s="1"/>
      <c r="V19" s="1"/>
      <c r="W19" s="1"/>
      <c r="X19" s="1"/>
      <c r="Y19" s="1"/>
      <c r="Z19" s="1"/>
      <c r="AA19" s="1"/>
    </row>
    <row r="20" ht="15.75" customHeight="1">
      <c r="A20" s="1"/>
      <c r="B20" s="46"/>
      <c r="C20" s="48"/>
      <c r="D20" s="48" t="s">
        <v>20</v>
      </c>
      <c r="E20" s="49" t="str">
        <f>VLOOKUP(D20,Datos!$B$8:$E$39,2,)</f>
        <v>Labor (Personal)</v>
      </c>
      <c r="F20" s="49" t="str">
        <f>VLOOKUP(D20,Datos!$B$8:$E$39,3,)</f>
        <v>Semanal</v>
      </c>
      <c r="G20" s="50">
        <v>4.0</v>
      </c>
      <c r="H20" s="50">
        <v>8.0</v>
      </c>
      <c r="I20" s="49">
        <f>VLOOKUP(D20,Datos!$B$8:$E$39,4,)</f>
        <v>5800</v>
      </c>
      <c r="J20" s="49">
        <f>H20*I20*1*(40*4)*N9</f>
        <v>10393600</v>
      </c>
      <c r="K20" s="49">
        <f>J20/4</f>
        <v>2598400</v>
      </c>
      <c r="L20" s="1"/>
      <c r="M20" s="1"/>
      <c r="N20" s="1"/>
      <c r="O20" s="1"/>
      <c r="P20" s="1"/>
      <c r="Q20" s="1"/>
      <c r="R20" s="1"/>
      <c r="S20" s="1"/>
      <c r="T20" s="1"/>
      <c r="U20" s="1"/>
      <c r="V20" s="1"/>
      <c r="W20" s="1"/>
      <c r="X20" s="1"/>
      <c r="Y20" s="1"/>
      <c r="Z20" s="1"/>
      <c r="AA20" s="1"/>
    </row>
    <row r="21" ht="15.75" customHeight="1">
      <c r="A21" s="1"/>
      <c r="B21" s="46"/>
      <c r="C21" s="48"/>
      <c r="D21" s="48" t="s">
        <v>23</v>
      </c>
      <c r="E21" s="49" t="str">
        <f>VLOOKUP(D21,Datos!$B$8:$E$39,2,)</f>
        <v>Labor (Personal)</v>
      </c>
      <c r="F21" s="49" t="str">
        <f>VLOOKUP(D21,Datos!$B$8:$E$39,3,)</f>
        <v>Semanal</v>
      </c>
      <c r="G21" s="51">
        <v>1.0</v>
      </c>
      <c r="H21" s="50">
        <v>3.0</v>
      </c>
      <c r="I21" s="49">
        <f>VLOOKUP(D21,Datos!$B$8:$E$39,4,)</f>
        <v>5538</v>
      </c>
      <c r="J21" s="49">
        <f>H21*I21*1*(40*1)*N9</f>
        <v>930384</v>
      </c>
      <c r="K21" s="49">
        <v>221520.0</v>
      </c>
      <c r="L21" s="1"/>
      <c r="M21" s="1"/>
      <c r="N21" s="1"/>
      <c r="O21" s="1"/>
      <c r="P21" s="1"/>
      <c r="Q21" s="1"/>
      <c r="R21" s="1"/>
      <c r="S21" s="1"/>
      <c r="T21" s="1"/>
      <c r="U21" s="1"/>
      <c r="V21" s="1"/>
      <c r="W21" s="1"/>
      <c r="X21" s="1"/>
      <c r="Y21" s="1"/>
      <c r="Z21" s="1"/>
      <c r="AA21" s="1"/>
    </row>
    <row r="22" ht="15.75" customHeight="1">
      <c r="A22" s="1"/>
      <c r="B22" s="46"/>
      <c r="C22" s="46"/>
      <c r="D22" s="46"/>
      <c r="E22" s="52"/>
      <c r="F22" s="52"/>
      <c r="G22" s="46"/>
      <c r="H22" s="46"/>
      <c r="I22" s="52"/>
      <c r="J22" s="52"/>
      <c r="K22" s="49"/>
      <c r="L22" s="1"/>
      <c r="M22" s="1"/>
      <c r="N22" s="1"/>
      <c r="O22" s="1"/>
      <c r="P22" s="1"/>
      <c r="Q22" s="1"/>
      <c r="R22" s="1"/>
      <c r="S22" s="1"/>
      <c r="T22" s="1"/>
      <c r="U22" s="1"/>
      <c r="V22" s="1"/>
      <c r="W22" s="1"/>
      <c r="X22" s="1"/>
      <c r="Y22" s="1"/>
      <c r="Z22" s="1"/>
      <c r="AA22" s="1"/>
    </row>
    <row r="23" ht="15.75" customHeight="1">
      <c r="A23" s="1"/>
      <c r="B23" s="46" t="s">
        <v>78</v>
      </c>
      <c r="C23" s="48" t="s">
        <v>79</v>
      </c>
      <c r="D23" s="48"/>
      <c r="E23" s="49"/>
      <c r="F23" s="49"/>
      <c r="G23" s="48"/>
      <c r="H23" s="48"/>
      <c r="I23" s="49"/>
      <c r="J23" s="49"/>
      <c r="K23" s="49"/>
      <c r="L23" s="1"/>
      <c r="M23" s="1"/>
      <c r="N23" s="1"/>
      <c r="O23" s="1"/>
      <c r="P23" s="1"/>
      <c r="Q23" s="1"/>
      <c r="R23" s="1"/>
      <c r="S23" s="1"/>
      <c r="T23" s="1"/>
      <c r="U23" s="1"/>
      <c r="V23" s="1"/>
      <c r="W23" s="1"/>
      <c r="X23" s="1"/>
      <c r="Y23" s="1"/>
      <c r="Z23" s="1"/>
      <c r="AA23" s="1"/>
    </row>
    <row r="24" ht="15.75" customHeight="1">
      <c r="A24" s="1"/>
      <c r="B24" s="46"/>
      <c r="C24" s="48"/>
      <c r="D24" s="48" t="s">
        <v>23</v>
      </c>
      <c r="E24" s="49" t="str">
        <f>VLOOKUP(D24,Datos!$B$8:$E$39,2,)</f>
        <v>Labor (Personal)</v>
      </c>
      <c r="F24" s="49" t="str">
        <f>VLOOKUP(D24,Datos!$B$8:$E$39,3,)</f>
        <v>Semanal</v>
      </c>
      <c r="G24" s="50">
        <v>2.0</v>
      </c>
      <c r="H24" s="50">
        <v>2.0</v>
      </c>
      <c r="I24" s="49">
        <f>VLOOKUP(D24,Datos!$B$8:$E$39,4,)</f>
        <v>5538</v>
      </c>
      <c r="J24" s="49">
        <f>H24*I24*1*(40*2)*N9</f>
        <v>1240512</v>
      </c>
      <c r="K24" s="49">
        <v>443040.0</v>
      </c>
      <c r="L24" s="1"/>
      <c r="M24" s="1"/>
      <c r="N24" s="1"/>
      <c r="O24" s="1"/>
      <c r="P24" s="1"/>
      <c r="Q24" s="1"/>
      <c r="R24" s="1"/>
      <c r="S24" s="1"/>
      <c r="T24" s="1"/>
      <c r="U24" s="1"/>
      <c r="V24" s="1"/>
      <c r="W24" s="1"/>
      <c r="X24" s="1"/>
      <c r="Y24" s="1"/>
      <c r="Z24" s="1"/>
      <c r="AA24" s="1"/>
    </row>
    <row r="25" ht="15.75" customHeight="1">
      <c r="A25" s="1"/>
      <c r="B25" s="46"/>
      <c r="C25" s="48"/>
      <c r="D25" s="53" t="s">
        <v>21</v>
      </c>
      <c r="E25" s="49" t="str">
        <f>VLOOKUP(D25,Datos!$B$8:$E$39,2,)</f>
        <v>Labor (Personal)</v>
      </c>
      <c r="F25" s="49" t="str">
        <f>VLOOKUP(D25,Datos!$B$8:$E$39,3,)</f>
        <v>Semanal</v>
      </c>
      <c r="G25" s="50">
        <v>2.0</v>
      </c>
      <c r="H25" s="50">
        <v>2.0</v>
      </c>
      <c r="I25" s="49">
        <f>VLOOKUP(D25,Datos!$B$8:$E$39,4,)</f>
        <v>6750</v>
      </c>
      <c r="J25" s="49">
        <f>H25*I25*1*(40*2)*N9</f>
        <v>1512000</v>
      </c>
      <c r="K25" s="49">
        <v>540000.0</v>
      </c>
      <c r="L25" s="1"/>
      <c r="M25" s="1"/>
      <c r="N25" s="17"/>
      <c r="O25" s="1"/>
      <c r="P25" s="1"/>
      <c r="Q25" s="1"/>
      <c r="R25" s="1"/>
      <c r="S25" s="1"/>
      <c r="T25" s="1"/>
      <c r="U25" s="1"/>
      <c r="V25" s="1"/>
      <c r="W25" s="1"/>
      <c r="X25" s="1"/>
      <c r="Y25" s="1"/>
      <c r="Z25" s="1"/>
      <c r="AA25" s="1"/>
    </row>
    <row r="26" ht="15.75" customHeight="1">
      <c r="A26" s="1"/>
      <c r="B26" s="46"/>
      <c r="C26" s="55"/>
      <c r="D26" s="55" t="s">
        <v>33</v>
      </c>
      <c r="E26" s="56" t="str">
        <f>VLOOKUP(D26,Datos!$B$8:$E$39,2,)</f>
        <v>Materiales</v>
      </c>
      <c r="F26" s="56" t="str">
        <f>VLOOKUP(D26,Datos!$B$8:$E$39,3,)</f>
        <v>Cantidad</v>
      </c>
      <c r="G26" s="57">
        <v>3.0</v>
      </c>
      <c r="H26" s="55"/>
      <c r="I26" s="56">
        <f>VLOOKUP(D26,Datos!$B$8:$E$39,4,)</f>
        <v>49990</v>
      </c>
      <c r="J26" s="56">
        <f t="shared" ref="J26:J28" si="1">I26*G26</f>
        <v>149970</v>
      </c>
      <c r="K26" s="1"/>
      <c r="L26" s="1"/>
      <c r="M26" s="1"/>
      <c r="N26" s="1"/>
      <c r="O26" s="1"/>
      <c r="P26" s="1"/>
      <c r="Q26" s="1"/>
      <c r="R26" s="1"/>
      <c r="S26" s="1"/>
      <c r="T26" s="1"/>
      <c r="U26" s="1"/>
      <c r="V26" s="1"/>
      <c r="W26" s="1"/>
      <c r="X26" s="1"/>
      <c r="Y26" s="1"/>
      <c r="Z26" s="1"/>
      <c r="AA26" s="1"/>
    </row>
    <row r="27" ht="15.75" customHeight="1">
      <c r="A27" s="1"/>
      <c r="B27" s="1"/>
      <c r="C27" s="58"/>
      <c r="D27" s="36" t="s">
        <v>32</v>
      </c>
      <c r="E27" s="56" t="str">
        <f>VLOOKUP(D27,Datos!$B$8:$E$39,2,)</f>
        <v>Materiales</v>
      </c>
      <c r="F27" s="56" t="str">
        <f>VLOOKUP(D27,Datos!$B$8:$E$39,3,)</f>
        <v>Cantidad</v>
      </c>
      <c r="G27" s="57">
        <v>3.0</v>
      </c>
      <c r="H27" s="58"/>
      <c r="I27" s="56">
        <f>VLOOKUP(D27,Datos!$B$8:$E$39,4,)</f>
        <v>39990</v>
      </c>
      <c r="J27" s="56">
        <f t="shared" si="1"/>
        <v>119970</v>
      </c>
      <c r="K27" s="1"/>
      <c r="L27" s="1"/>
      <c r="M27" s="1"/>
      <c r="N27" s="1"/>
      <c r="O27" s="1"/>
      <c r="P27" s="1"/>
      <c r="Q27" s="1"/>
      <c r="R27" s="1"/>
      <c r="S27" s="1"/>
      <c r="T27" s="1"/>
      <c r="U27" s="1"/>
      <c r="V27" s="1"/>
      <c r="W27" s="1"/>
      <c r="X27" s="1"/>
      <c r="Y27" s="1"/>
      <c r="Z27" s="1"/>
      <c r="AA27" s="1"/>
    </row>
    <row r="28" ht="15.75" customHeight="1">
      <c r="A28" s="1"/>
      <c r="B28" s="1"/>
      <c r="C28" s="58"/>
      <c r="D28" s="36" t="s">
        <v>34</v>
      </c>
      <c r="E28" s="56" t="str">
        <f>VLOOKUP(D28,Datos!$B$8:$E$39,2,)</f>
        <v>Materiales</v>
      </c>
      <c r="F28" s="56" t="str">
        <f>VLOOKUP(D28,Datos!$B$8:$E$39,3,)</f>
        <v>Cantidad</v>
      </c>
      <c r="G28" s="57">
        <v>3.0</v>
      </c>
      <c r="H28" s="58"/>
      <c r="I28" s="56">
        <f>VLOOKUP(D28,Datos!$B$8:$E$39,4,)</f>
        <v>399900</v>
      </c>
      <c r="J28" s="56">
        <f t="shared" si="1"/>
        <v>1199700</v>
      </c>
      <c r="K28" s="1"/>
      <c r="L28" s="1"/>
      <c r="M28" s="1"/>
      <c r="N28" s="1"/>
      <c r="O28" s="1"/>
      <c r="P28" s="1"/>
      <c r="Q28" s="1"/>
      <c r="R28" s="1"/>
      <c r="S28" s="1"/>
      <c r="T28" s="1"/>
      <c r="U28" s="1"/>
      <c r="V28" s="1"/>
      <c r="W28" s="1"/>
      <c r="X28" s="1"/>
      <c r="Y28" s="1"/>
      <c r="Z28" s="1"/>
      <c r="AA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5.75" customHeight="1">
      <c r="A30" s="1"/>
      <c r="B30" s="1"/>
      <c r="C30" s="1"/>
      <c r="D30" s="1"/>
      <c r="E30" s="1"/>
      <c r="F30" s="1"/>
      <c r="G30" s="1"/>
      <c r="H30" s="17"/>
      <c r="I30" s="1"/>
      <c r="J30" s="1"/>
      <c r="K30" s="1"/>
      <c r="L30" s="1"/>
      <c r="M30" s="1"/>
      <c r="N30" s="1"/>
      <c r="O30" s="1"/>
      <c r="P30" s="1"/>
      <c r="Q30" s="1"/>
      <c r="R30" s="1"/>
      <c r="S30" s="1"/>
      <c r="T30" s="1"/>
      <c r="U30" s="1"/>
      <c r="V30" s="1"/>
      <c r="W30" s="1"/>
      <c r="X30" s="1"/>
      <c r="Y30" s="1"/>
      <c r="Z30" s="1"/>
      <c r="AA30" s="1"/>
    </row>
    <row r="31" ht="15.75" customHeight="1">
      <c r="A31" s="1"/>
      <c r="B31" s="1"/>
      <c r="C31" s="1"/>
      <c r="D31" s="1"/>
      <c r="E31" s="1"/>
      <c r="F31" s="17"/>
      <c r="G31" s="1"/>
      <c r="H31" s="1"/>
      <c r="I31" s="1"/>
      <c r="J31" s="1"/>
      <c r="K31" s="1"/>
      <c r="L31" s="1"/>
      <c r="M31" s="1"/>
      <c r="N31" s="1"/>
      <c r="O31" s="1"/>
      <c r="P31" s="1"/>
      <c r="Q31" s="1"/>
      <c r="R31" s="1"/>
      <c r="S31" s="1"/>
      <c r="T31" s="1"/>
      <c r="U31" s="1"/>
      <c r="V31" s="1"/>
      <c r="W31" s="1"/>
      <c r="X31" s="1"/>
      <c r="Y31" s="1"/>
      <c r="Z31" s="1"/>
      <c r="AA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sheetData>
  <printOptions/>
  <pageMargins bottom="0.7480314960629921" footer="0.0" header="0.0" left="0.2362204724409449" right="0.2362204724409449" top="0.7480314960629921"/>
  <pageSetup fitToHeight="0"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25"/>
    <col customWidth="1" min="2" max="2" width="6.88"/>
    <col customWidth="1" min="3" max="3" width="14.38"/>
    <col customWidth="1" min="4" max="4" width="28.25"/>
    <col customWidth="1" min="5" max="5" width="14.25"/>
    <col customWidth="1" min="6" max="7" width="15.75"/>
    <col customWidth="1" min="8" max="8" width="23.13"/>
    <col customWidth="1" min="9" max="9" width="15.75"/>
    <col customWidth="1" min="10" max="10" width="18.0"/>
    <col customWidth="1" min="11" max="27" width="10.0"/>
  </cols>
  <sheetData>
    <row r="1">
      <c r="A1" s="1"/>
      <c r="B1" s="2" t="s">
        <v>0</v>
      </c>
      <c r="C1" s="1"/>
      <c r="D1" s="1"/>
      <c r="E1" s="1"/>
      <c r="F1" s="1"/>
      <c r="G1" s="1"/>
      <c r="H1" s="3" t="s">
        <v>1</v>
      </c>
      <c r="I1" s="1"/>
      <c r="J1" s="1"/>
      <c r="K1" s="1"/>
      <c r="L1" s="1"/>
      <c r="M1" s="1"/>
      <c r="N1" s="1"/>
      <c r="O1" s="1"/>
      <c r="P1" s="1"/>
      <c r="Q1" s="1"/>
      <c r="R1" s="1"/>
      <c r="S1" s="1"/>
      <c r="T1" s="1"/>
      <c r="U1" s="1"/>
      <c r="V1" s="1"/>
      <c r="W1" s="1"/>
      <c r="X1" s="1"/>
      <c r="Y1" s="1"/>
      <c r="Z1" s="1"/>
      <c r="AA1" s="1"/>
    </row>
    <row r="2">
      <c r="A2" s="1"/>
      <c r="B2" s="4" t="s">
        <v>2</v>
      </c>
      <c r="C2" s="1"/>
      <c r="D2" s="1"/>
      <c r="E2" s="1"/>
      <c r="F2" s="1"/>
      <c r="G2" s="1"/>
      <c r="H2" s="1" t="s">
        <v>3</v>
      </c>
      <c r="I2" s="1"/>
      <c r="J2" s="59">
        <v>0.23</v>
      </c>
      <c r="K2" s="1"/>
      <c r="L2" s="1"/>
      <c r="M2" s="1"/>
      <c r="N2" s="1"/>
      <c r="O2" s="1"/>
      <c r="P2" s="1"/>
      <c r="Q2" s="1"/>
      <c r="R2" s="1"/>
      <c r="S2" s="1"/>
      <c r="T2" s="1"/>
      <c r="U2" s="1"/>
      <c r="V2" s="1"/>
      <c r="W2" s="1"/>
      <c r="X2" s="1"/>
      <c r="Y2" s="1"/>
      <c r="Z2" s="1"/>
      <c r="AA2" s="1"/>
    </row>
    <row r="3" ht="15.75" customHeight="1">
      <c r="A3" s="1"/>
      <c r="B3" s="6" t="s">
        <v>44</v>
      </c>
      <c r="C3" s="1"/>
      <c r="D3" s="1"/>
      <c r="E3" s="7"/>
      <c r="F3" s="7"/>
      <c r="G3" s="7"/>
      <c r="H3" s="8" t="s">
        <v>5</v>
      </c>
      <c r="I3" s="8" t="s">
        <v>6</v>
      </c>
      <c r="J3" s="8" t="s">
        <v>7</v>
      </c>
      <c r="K3" s="1"/>
      <c r="L3" s="1"/>
      <c r="M3" s="1"/>
      <c r="N3" s="1"/>
      <c r="O3" s="1"/>
      <c r="P3" s="1"/>
      <c r="Q3" s="1"/>
      <c r="R3" s="1"/>
      <c r="S3" s="1"/>
      <c r="T3" s="1"/>
      <c r="U3" s="1"/>
      <c r="V3" s="1"/>
      <c r="W3" s="1"/>
      <c r="X3" s="1"/>
      <c r="Y3" s="1"/>
      <c r="Z3" s="1"/>
      <c r="AA3" s="1"/>
    </row>
    <row r="4" ht="15.0" customHeight="1">
      <c r="A4" s="1"/>
      <c r="B4" s="6" t="s">
        <v>45</v>
      </c>
      <c r="C4" s="1"/>
      <c r="D4" s="1"/>
      <c r="E4" s="11" t="s">
        <v>7</v>
      </c>
      <c r="F4" s="11"/>
      <c r="G4" s="11"/>
      <c r="H4" s="12">
        <f>J7</f>
        <v>81114016</v>
      </c>
      <c r="I4" s="12">
        <f>H4*J2</f>
        <v>18656223.68</v>
      </c>
      <c r="J4" s="12">
        <f>SUM(H4:I4)</f>
        <v>99770239.68</v>
      </c>
      <c r="K4" s="1"/>
      <c r="L4" s="1"/>
      <c r="M4" s="1"/>
      <c r="N4" s="1"/>
      <c r="O4" s="1"/>
      <c r="P4" s="1"/>
      <c r="Q4" s="1"/>
      <c r="R4" s="1"/>
      <c r="S4" s="1"/>
      <c r="T4" s="1"/>
      <c r="U4" s="1"/>
      <c r="V4" s="1"/>
      <c r="W4" s="1"/>
      <c r="X4" s="1"/>
      <c r="Y4" s="1"/>
      <c r="Z4" s="1"/>
      <c r="AA4" s="1"/>
    </row>
    <row r="5">
      <c r="A5" s="1"/>
      <c r="B5" s="1"/>
      <c r="C5" s="1"/>
      <c r="D5" s="1"/>
      <c r="E5" s="1"/>
      <c r="F5" s="1"/>
      <c r="G5" s="1"/>
      <c r="H5" s="1"/>
      <c r="I5" s="1"/>
      <c r="J5" s="1"/>
      <c r="K5" s="1"/>
      <c r="L5" s="1"/>
      <c r="M5" s="1"/>
      <c r="N5" s="1"/>
      <c r="O5" s="1"/>
      <c r="P5" s="1"/>
      <c r="Q5" s="1"/>
      <c r="R5" s="1"/>
      <c r="S5" s="1"/>
      <c r="T5" s="1"/>
      <c r="U5" s="1"/>
      <c r="V5" s="1"/>
      <c r="W5" s="1"/>
      <c r="X5" s="1"/>
      <c r="Y5" s="1"/>
      <c r="Z5" s="1"/>
      <c r="AA5" s="1"/>
    </row>
    <row r="6">
      <c r="A6" s="1"/>
      <c r="B6" s="25" t="s">
        <v>46</v>
      </c>
      <c r="C6" s="8" t="s">
        <v>47</v>
      </c>
      <c r="D6" s="8" t="s">
        <v>48</v>
      </c>
      <c r="E6" s="8" t="s">
        <v>49</v>
      </c>
      <c r="F6" s="8" t="s">
        <v>12</v>
      </c>
      <c r="G6" s="8" t="s">
        <v>50</v>
      </c>
      <c r="H6" s="26" t="s">
        <v>72</v>
      </c>
      <c r="I6" s="8" t="s">
        <v>13</v>
      </c>
      <c r="J6" s="8" t="s">
        <v>5</v>
      </c>
      <c r="K6" s="1"/>
      <c r="L6" s="1"/>
      <c r="M6" s="1"/>
      <c r="N6" s="1"/>
      <c r="O6" s="1"/>
      <c r="P6" s="1"/>
      <c r="Q6" s="1"/>
      <c r="R6" s="1"/>
      <c r="S6" s="1"/>
      <c r="T6" s="1"/>
      <c r="U6" s="1"/>
      <c r="V6" s="1"/>
      <c r="W6" s="1"/>
      <c r="X6" s="1"/>
      <c r="Y6" s="1"/>
      <c r="Z6" s="1"/>
      <c r="AA6" s="1"/>
    </row>
    <row r="7" ht="15.0" customHeight="1">
      <c r="A7" s="1"/>
      <c r="B7" s="43">
        <v>2.0</v>
      </c>
      <c r="C7" s="60" t="s">
        <v>80</v>
      </c>
      <c r="D7" s="44"/>
      <c r="E7" s="44"/>
      <c r="F7" s="44"/>
      <c r="G7" s="44"/>
      <c r="H7" s="44"/>
      <c r="I7" s="44"/>
      <c r="J7" s="45">
        <f>SUM(J8:J28)</f>
        <v>81114016</v>
      </c>
      <c r="K7" s="1"/>
      <c r="L7" s="1"/>
      <c r="M7" s="17" t="s">
        <v>52</v>
      </c>
      <c r="N7" s="1"/>
      <c r="O7" s="1"/>
      <c r="P7" s="1"/>
      <c r="Q7" s="1"/>
      <c r="R7" s="1"/>
      <c r="S7" s="1"/>
      <c r="T7" s="1"/>
      <c r="U7" s="1"/>
      <c r="V7" s="1"/>
      <c r="W7" s="1"/>
      <c r="X7" s="1"/>
      <c r="Y7" s="1"/>
      <c r="Z7" s="1"/>
      <c r="AA7" s="1"/>
    </row>
    <row r="8">
      <c r="A8" s="1"/>
      <c r="B8" s="46" t="s">
        <v>74</v>
      </c>
      <c r="C8" s="47" t="s">
        <v>75</v>
      </c>
      <c r="D8" s="48"/>
      <c r="E8" s="48"/>
      <c r="F8" s="48"/>
      <c r="G8" s="48"/>
      <c r="H8" s="48"/>
      <c r="I8" s="49"/>
      <c r="J8" s="49"/>
      <c r="K8" s="1"/>
      <c r="L8" s="1"/>
      <c r="M8" s="1">
        <f>1.4</f>
        <v>1.4</v>
      </c>
      <c r="N8" s="1"/>
      <c r="O8" s="1"/>
      <c r="P8" s="1"/>
      <c r="Q8" s="1"/>
      <c r="R8" s="1"/>
      <c r="S8" s="1"/>
      <c r="T8" s="1"/>
      <c r="U8" s="1"/>
      <c r="V8" s="1"/>
      <c r="W8" s="1"/>
      <c r="X8" s="1"/>
      <c r="Y8" s="1"/>
      <c r="Z8" s="1"/>
      <c r="AA8" s="1"/>
    </row>
    <row r="9">
      <c r="A9" s="1"/>
      <c r="B9" s="46"/>
      <c r="C9" s="48"/>
      <c r="D9" s="48" t="s">
        <v>16</v>
      </c>
      <c r="E9" s="49" t="str">
        <f>VLOOKUP(D9,Datos!$B$8:$E$39,2,)</f>
        <v>Labor (Personal)</v>
      </c>
      <c r="F9" s="49" t="str">
        <f>VLOOKUP(D9,Datos!$B$8:$E$39,3,)</f>
        <v>Semanal</v>
      </c>
      <c r="G9" s="50">
        <v>12.0</v>
      </c>
      <c r="H9" s="50">
        <v>1.0</v>
      </c>
      <c r="I9" s="49">
        <f>VLOOKUP(D9,Datos!$B$8:$E$39,4,)</f>
        <v>4615</v>
      </c>
      <c r="J9" s="49">
        <f>H9*I9*3*(40*4)*M8</f>
        <v>3101280</v>
      </c>
      <c r="K9" s="1"/>
      <c r="L9" s="1"/>
      <c r="M9" s="1"/>
      <c r="N9" s="1"/>
      <c r="O9" s="1"/>
      <c r="P9" s="1"/>
      <c r="Q9" s="1"/>
      <c r="R9" s="1"/>
      <c r="S9" s="1"/>
      <c r="T9" s="1"/>
      <c r="U9" s="1"/>
      <c r="V9" s="1"/>
      <c r="W9" s="1"/>
      <c r="X9" s="1"/>
      <c r="Y9" s="1"/>
      <c r="Z9" s="1"/>
      <c r="AA9" s="1"/>
    </row>
    <row r="10">
      <c r="A10" s="1"/>
      <c r="B10" s="46"/>
      <c r="C10" s="48"/>
      <c r="D10" s="48" t="s">
        <v>25</v>
      </c>
      <c r="E10" s="49" t="str">
        <f>VLOOKUP(D10,Datos!$B$8:$E$39,2,)</f>
        <v>Labor (Personal)</v>
      </c>
      <c r="F10" s="49" t="str">
        <f>VLOOKUP(D10,Datos!$B$8:$E$39,3,)</f>
        <v>Semanal</v>
      </c>
      <c r="G10" s="50">
        <v>8.0</v>
      </c>
      <c r="H10" s="50">
        <v>2.0</v>
      </c>
      <c r="I10" s="49">
        <f>VLOOKUP(D10,Datos!$B$8:$E$39,4,)</f>
        <v>7625</v>
      </c>
      <c r="J10" s="49">
        <f>H10*I10*2*(40*4)*M8</f>
        <v>6832000</v>
      </c>
      <c r="K10" s="1"/>
      <c r="L10" s="1"/>
      <c r="M10" s="1"/>
      <c r="N10" s="1"/>
      <c r="O10" s="1"/>
      <c r="P10" s="1"/>
      <c r="Q10" s="1"/>
      <c r="R10" s="1"/>
      <c r="S10" s="1"/>
      <c r="T10" s="1"/>
      <c r="U10" s="1"/>
      <c r="V10" s="1"/>
      <c r="W10" s="1"/>
      <c r="X10" s="1"/>
      <c r="Y10" s="1"/>
      <c r="Z10" s="1"/>
      <c r="AA10" s="1"/>
    </row>
    <row r="11">
      <c r="A11" s="1"/>
      <c r="B11" s="46"/>
      <c r="C11" s="48"/>
      <c r="D11" s="48" t="s">
        <v>19</v>
      </c>
      <c r="E11" s="49" t="str">
        <f>VLOOKUP(D11,Datos!$B$8:$E$39,2,)</f>
        <v>Labor (Personal)</v>
      </c>
      <c r="F11" s="49" t="str">
        <f>VLOOKUP(D11,Datos!$B$8:$E$39,3,)</f>
        <v>Semanal</v>
      </c>
      <c r="G11" s="50">
        <v>4.0</v>
      </c>
      <c r="H11" s="50">
        <v>2.0</v>
      </c>
      <c r="I11" s="49">
        <f>VLOOKUP(D11,Datos!$B$8:$E$39,4,)</f>
        <v>6375</v>
      </c>
      <c r="J11" s="49">
        <f>H11*I11*1*(40*4)*M8</f>
        <v>2856000</v>
      </c>
      <c r="K11" s="1"/>
      <c r="L11" s="1"/>
      <c r="M11" s="1"/>
      <c r="N11" s="1"/>
      <c r="O11" s="1"/>
      <c r="P11" s="1"/>
      <c r="Q11" s="1"/>
      <c r="R11" s="1"/>
      <c r="S11" s="1"/>
      <c r="T11" s="1"/>
      <c r="U11" s="1"/>
      <c r="V11" s="1"/>
      <c r="W11" s="1"/>
      <c r="X11" s="1"/>
      <c r="Y11" s="1"/>
      <c r="Z11" s="1"/>
      <c r="AA11" s="1"/>
    </row>
    <row r="12">
      <c r="A12" s="1"/>
      <c r="B12" s="46"/>
      <c r="C12" s="46"/>
      <c r="D12" s="46"/>
      <c r="E12" s="52"/>
      <c r="F12" s="52"/>
      <c r="G12" s="46"/>
      <c r="H12" s="46"/>
      <c r="I12" s="52"/>
      <c r="J12" s="52"/>
      <c r="K12" s="1"/>
      <c r="L12" s="1"/>
      <c r="M12" s="1"/>
      <c r="N12" s="1"/>
      <c r="O12" s="1"/>
      <c r="P12" s="1"/>
      <c r="Q12" s="1"/>
      <c r="R12" s="1"/>
      <c r="S12" s="1"/>
      <c r="T12" s="1"/>
      <c r="U12" s="1"/>
      <c r="V12" s="1"/>
      <c r="W12" s="1"/>
      <c r="X12" s="1"/>
      <c r="Y12" s="1"/>
      <c r="Z12" s="1"/>
      <c r="AA12" s="1"/>
    </row>
    <row r="13">
      <c r="A13" s="1"/>
      <c r="B13" s="46" t="s">
        <v>76</v>
      </c>
      <c r="C13" s="48" t="s">
        <v>77</v>
      </c>
      <c r="D13" s="48"/>
      <c r="E13" s="49"/>
      <c r="F13" s="49"/>
      <c r="G13" s="48"/>
      <c r="H13" s="48"/>
      <c r="I13" s="49"/>
      <c r="J13" s="49"/>
      <c r="K13" s="1"/>
      <c r="L13" s="1"/>
      <c r="M13" s="1"/>
      <c r="N13" s="1"/>
      <c r="O13" s="1"/>
      <c r="P13" s="1"/>
      <c r="Q13" s="1"/>
      <c r="R13" s="1"/>
      <c r="S13" s="1"/>
      <c r="T13" s="1"/>
      <c r="U13" s="1"/>
      <c r="V13" s="1"/>
      <c r="W13" s="1"/>
      <c r="X13" s="1"/>
      <c r="Y13" s="1"/>
      <c r="Z13" s="1"/>
      <c r="AA13" s="1"/>
    </row>
    <row r="14">
      <c r="A14" s="1"/>
      <c r="B14" s="46"/>
      <c r="C14" s="48"/>
      <c r="D14" s="53" t="s">
        <v>21</v>
      </c>
      <c r="E14" s="49" t="str">
        <f>VLOOKUP(D14,Datos!$B$8:$E$39,2,)</f>
        <v>Labor (Personal)</v>
      </c>
      <c r="F14" s="49" t="str">
        <f>VLOOKUP(D14,Datos!$B$8:$E$39,3,)</f>
        <v>Semanal</v>
      </c>
      <c r="G14" s="51">
        <v>2.0</v>
      </c>
      <c r="H14" s="50">
        <v>2.0</v>
      </c>
      <c r="I14" s="49">
        <f>VLOOKUP(D14,Datos!$B$8:$E$39,4,)</f>
        <v>6750</v>
      </c>
      <c r="J14" s="49">
        <f>H14*I14*(40*2)*M8</f>
        <v>1512000</v>
      </c>
      <c r="K14" s="1"/>
      <c r="L14" s="1"/>
      <c r="M14" s="1"/>
      <c r="N14" s="1"/>
      <c r="O14" s="1"/>
      <c r="P14" s="1"/>
      <c r="Q14" s="1"/>
      <c r="R14" s="1"/>
      <c r="S14" s="1"/>
      <c r="T14" s="1"/>
      <c r="U14" s="1"/>
      <c r="V14" s="1"/>
      <c r="W14" s="1"/>
      <c r="X14" s="1"/>
      <c r="Y14" s="1"/>
      <c r="Z14" s="1"/>
      <c r="AA14" s="1"/>
    </row>
    <row r="15">
      <c r="A15" s="1"/>
      <c r="B15" s="46"/>
      <c r="C15" s="48"/>
      <c r="D15" s="48" t="s">
        <v>22</v>
      </c>
      <c r="E15" s="49" t="str">
        <f>VLOOKUP(D15,Datos!$B$8:$E$39,2,)</f>
        <v>Labor (Personal)</v>
      </c>
      <c r="F15" s="49" t="str">
        <f>VLOOKUP(D15,Datos!$B$8:$E$39,3,)</f>
        <v>Semanal</v>
      </c>
      <c r="G15" s="50">
        <v>6.0</v>
      </c>
      <c r="H15" s="50">
        <v>3.0</v>
      </c>
      <c r="I15" s="49">
        <f>VLOOKUP(D15,Datos!$B$8:$E$39,4,)</f>
        <v>7250</v>
      </c>
      <c r="J15" s="49">
        <f>H15*I15*2*(40*4)*M8</f>
        <v>9744000</v>
      </c>
      <c r="K15" s="1"/>
      <c r="L15" s="1"/>
      <c r="M15" s="1"/>
      <c r="N15" s="1"/>
      <c r="O15" s="1"/>
      <c r="P15" s="1"/>
      <c r="Q15" s="1"/>
      <c r="R15" s="1"/>
      <c r="S15" s="1"/>
      <c r="T15" s="1"/>
      <c r="U15" s="1"/>
      <c r="V15" s="1"/>
      <c r="W15" s="1"/>
      <c r="X15" s="1"/>
      <c r="Y15" s="1"/>
      <c r="Z15" s="1"/>
      <c r="AA15" s="1"/>
    </row>
    <row r="16">
      <c r="A16" s="1"/>
      <c r="B16" s="46"/>
      <c r="C16" s="48"/>
      <c r="D16" s="48" t="s">
        <v>19</v>
      </c>
      <c r="E16" s="49" t="str">
        <f>VLOOKUP(D16,Datos!$B$8:$E$39,2,)</f>
        <v>Labor (Personal)</v>
      </c>
      <c r="F16" s="49" t="str">
        <f>VLOOKUP(D16,Datos!$B$8:$E$39,3,)</f>
        <v>Semanal</v>
      </c>
      <c r="G16" s="50">
        <v>12.0</v>
      </c>
      <c r="H16" s="50">
        <v>10.0</v>
      </c>
      <c r="I16" s="49">
        <f>VLOOKUP(D16,Datos!$B$8:$E$39,4,)</f>
        <v>6375</v>
      </c>
      <c r="J16" s="49">
        <f>H16*I16*(40*12)*M8</f>
        <v>42840000</v>
      </c>
      <c r="K16" s="1"/>
      <c r="L16" s="1"/>
      <c r="M16" s="1"/>
      <c r="N16" s="1"/>
      <c r="O16" s="1"/>
      <c r="P16" s="1"/>
      <c r="Q16" s="1"/>
      <c r="R16" s="1"/>
      <c r="S16" s="1"/>
      <c r="T16" s="1"/>
      <c r="U16" s="1"/>
      <c r="V16" s="1"/>
      <c r="W16" s="1"/>
      <c r="X16" s="1"/>
      <c r="Y16" s="1"/>
      <c r="Z16" s="1"/>
      <c r="AA16" s="1"/>
    </row>
    <row r="17">
      <c r="A17" s="1"/>
      <c r="B17" s="46"/>
      <c r="C17" s="48"/>
      <c r="D17" s="48" t="s">
        <v>25</v>
      </c>
      <c r="E17" s="49" t="str">
        <f>VLOOKUP(D17,Datos!$B$8:$E$39,2,)</f>
        <v>Labor (Personal)</v>
      </c>
      <c r="F17" s="49" t="str">
        <f>VLOOKUP(D17,Datos!$B$8:$E$39,3,)</f>
        <v>Semanal</v>
      </c>
      <c r="G17" s="50">
        <v>4.0</v>
      </c>
      <c r="H17" s="50">
        <v>3.0</v>
      </c>
      <c r="I17" s="49">
        <f>VLOOKUP(D17,Datos!$B$8:$E$39,4,)</f>
        <v>7625</v>
      </c>
      <c r="J17" s="49">
        <f>H17*I17*(40*1)*M8</f>
        <v>1281000</v>
      </c>
      <c r="K17" s="1"/>
      <c r="L17" s="1"/>
      <c r="M17" s="1"/>
      <c r="N17" s="1"/>
      <c r="O17" s="1"/>
      <c r="P17" s="1"/>
      <c r="Q17" s="1"/>
      <c r="R17" s="1"/>
      <c r="S17" s="1"/>
      <c r="T17" s="1"/>
      <c r="U17" s="1"/>
      <c r="V17" s="1"/>
      <c r="W17" s="1"/>
      <c r="X17" s="1"/>
      <c r="Y17" s="1"/>
      <c r="Z17" s="1"/>
      <c r="AA17" s="1"/>
    </row>
    <row r="18">
      <c r="A18" s="1"/>
      <c r="B18" s="46"/>
      <c r="C18" s="46"/>
      <c r="D18" s="46"/>
      <c r="E18" s="52"/>
      <c r="F18" s="52"/>
      <c r="G18" s="54"/>
      <c r="H18" s="54"/>
      <c r="I18" s="52"/>
      <c r="J18" s="52"/>
      <c r="K18" s="1"/>
      <c r="L18" s="1"/>
      <c r="M18" s="1"/>
      <c r="N18" s="1"/>
      <c r="O18" s="1"/>
      <c r="P18" s="1"/>
      <c r="Q18" s="1"/>
      <c r="R18" s="1"/>
      <c r="S18" s="1"/>
      <c r="T18" s="1"/>
      <c r="U18" s="1"/>
      <c r="V18" s="1"/>
      <c r="W18" s="1"/>
      <c r="X18" s="1"/>
      <c r="Y18" s="1"/>
      <c r="Z18" s="1"/>
      <c r="AA18" s="1"/>
    </row>
    <row r="19" ht="15.75" customHeight="1">
      <c r="A19" s="1"/>
      <c r="B19" s="46" t="s">
        <v>78</v>
      </c>
      <c r="C19" s="48" t="s">
        <v>68</v>
      </c>
      <c r="D19" s="48"/>
      <c r="E19" s="49"/>
      <c r="F19" s="49"/>
      <c r="G19" s="48"/>
      <c r="H19" s="48"/>
      <c r="I19" s="49"/>
      <c r="J19" s="49"/>
      <c r="K19" s="1"/>
      <c r="L19" s="1"/>
      <c r="M19" s="1"/>
      <c r="N19" s="1"/>
      <c r="O19" s="1"/>
      <c r="P19" s="1"/>
      <c r="Q19" s="1"/>
      <c r="R19" s="1"/>
      <c r="S19" s="1"/>
      <c r="T19" s="1"/>
      <c r="U19" s="1"/>
      <c r="V19" s="1"/>
      <c r="W19" s="1"/>
      <c r="X19" s="1"/>
      <c r="Y19" s="1"/>
      <c r="Z19" s="1"/>
      <c r="AA19" s="1"/>
    </row>
    <row r="20" ht="15.75" customHeight="1">
      <c r="A20" s="1"/>
      <c r="B20" s="46"/>
      <c r="C20" s="48"/>
      <c r="D20" s="48" t="s">
        <v>20</v>
      </c>
      <c r="E20" s="49" t="str">
        <f>VLOOKUP(D20,Datos!$B$8:$E$39,2,)</f>
        <v>Labor (Personal)</v>
      </c>
      <c r="F20" s="49" t="str">
        <f>VLOOKUP(D20,Datos!$B$8:$E$39,3,)</f>
        <v>Semanal</v>
      </c>
      <c r="G20" s="50">
        <v>8.0</v>
      </c>
      <c r="H20" s="50">
        <v>6.0</v>
      </c>
      <c r="I20" s="49">
        <f>VLOOKUP(D20,Datos!$B$8:$E$39,4,)</f>
        <v>5800</v>
      </c>
      <c r="J20" s="49">
        <f>H20*I20*1*(40*4)*M8</f>
        <v>7795200</v>
      </c>
      <c r="K20" s="1"/>
      <c r="L20" s="1"/>
      <c r="M20" s="1"/>
      <c r="N20" s="1"/>
      <c r="O20" s="1"/>
      <c r="P20" s="1"/>
      <c r="Q20" s="1"/>
      <c r="R20" s="1"/>
      <c r="S20" s="1"/>
      <c r="T20" s="1"/>
      <c r="U20" s="1"/>
      <c r="V20" s="1"/>
      <c r="W20" s="1"/>
      <c r="X20" s="1"/>
      <c r="Y20" s="1"/>
      <c r="Z20" s="1"/>
      <c r="AA20" s="1"/>
    </row>
    <row r="21" ht="15.75" customHeight="1">
      <c r="A21" s="1"/>
      <c r="B21" s="46"/>
      <c r="C21" s="48"/>
      <c r="D21" s="48" t="s">
        <v>23</v>
      </c>
      <c r="E21" s="49" t="str">
        <f>VLOOKUP(D21,Datos!$B$8:$E$39,2,)</f>
        <v>Labor (Personal)</v>
      </c>
      <c r="F21" s="49" t="str">
        <f>VLOOKUP(D21,Datos!$B$8:$E$39,3,)</f>
        <v>Semanal</v>
      </c>
      <c r="G21" s="51">
        <v>1.0</v>
      </c>
      <c r="H21" s="50">
        <v>3.0</v>
      </c>
      <c r="I21" s="49">
        <f>VLOOKUP(D21,Datos!$B$8:$E$39,4,)</f>
        <v>5538</v>
      </c>
      <c r="J21" s="49">
        <f>H21*I21*1*(40*1)*M8</f>
        <v>930384</v>
      </c>
      <c r="K21" s="1"/>
      <c r="L21" s="1"/>
      <c r="M21" s="1"/>
      <c r="N21" s="1"/>
      <c r="O21" s="1"/>
      <c r="P21" s="1"/>
      <c r="Q21" s="1"/>
      <c r="R21" s="1"/>
      <c r="S21" s="1"/>
      <c r="T21" s="1"/>
      <c r="U21" s="1"/>
      <c r="V21" s="1"/>
      <c r="W21" s="1"/>
      <c r="X21" s="1"/>
      <c r="Y21" s="1"/>
      <c r="Z21" s="1"/>
      <c r="AA21" s="1"/>
    </row>
    <row r="22" ht="15.75" customHeight="1">
      <c r="A22" s="1"/>
      <c r="B22" s="46"/>
      <c r="C22" s="46"/>
      <c r="D22" s="46"/>
      <c r="E22" s="52"/>
      <c r="F22" s="52"/>
      <c r="G22" s="46"/>
      <c r="H22" s="46"/>
      <c r="I22" s="52"/>
      <c r="J22" s="52"/>
      <c r="K22" s="1"/>
      <c r="L22" s="1"/>
      <c r="M22" s="1"/>
      <c r="N22" s="1"/>
      <c r="O22" s="1"/>
      <c r="P22" s="1"/>
      <c r="Q22" s="1"/>
      <c r="R22" s="1"/>
      <c r="S22" s="1"/>
      <c r="T22" s="1"/>
      <c r="U22" s="1"/>
      <c r="V22" s="1"/>
      <c r="W22" s="1"/>
      <c r="X22" s="1"/>
      <c r="Y22" s="1"/>
      <c r="Z22" s="1"/>
      <c r="AA22" s="1"/>
    </row>
    <row r="23" ht="15.75" customHeight="1">
      <c r="A23" s="1"/>
      <c r="B23" s="46" t="s">
        <v>78</v>
      </c>
      <c r="C23" s="48" t="s">
        <v>79</v>
      </c>
      <c r="D23" s="48"/>
      <c r="E23" s="49"/>
      <c r="F23" s="49"/>
      <c r="G23" s="48"/>
      <c r="H23" s="48"/>
      <c r="I23" s="49"/>
      <c r="J23" s="49"/>
      <c r="K23" s="1"/>
      <c r="L23" s="1"/>
      <c r="M23" s="1"/>
      <c r="N23" s="1"/>
      <c r="O23" s="1"/>
      <c r="P23" s="1"/>
      <c r="Q23" s="1"/>
      <c r="R23" s="1"/>
      <c r="S23" s="1"/>
      <c r="T23" s="1"/>
      <c r="U23" s="1"/>
      <c r="V23" s="1"/>
      <c r="W23" s="1"/>
      <c r="X23" s="1"/>
      <c r="Y23" s="1"/>
      <c r="Z23" s="1"/>
      <c r="AA23" s="1"/>
    </row>
    <row r="24" ht="15.75" customHeight="1">
      <c r="A24" s="1"/>
      <c r="B24" s="46"/>
      <c r="C24" s="48"/>
      <c r="D24" s="48" t="s">
        <v>23</v>
      </c>
      <c r="E24" s="49" t="str">
        <f>VLOOKUP(D24,Datos!$B$8:$E$39,2,)</f>
        <v>Labor (Personal)</v>
      </c>
      <c r="F24" s="49" t="str">
        <f>VLOOKUP(D24,Datos!$B$8:$E$39,3,)</f>
        <v>Semanal</v>
      </c>
      <c r="G24" s="50">
        <v>2.0</v>
      </c>
      <c r="H24" s="50">
        <v>2.0</v>
      </c>
      <c r="I24" s="49">
        <f>VLOOKUP(D24,Datos!$B$8:$E$39,4,)</f>
        <v>5538</v>
      </c>
      <c r="J24" s="49">
        <f>H24*I24*1*(40*2)*M8</f>
        <v>1240512</v>
      </c>
      <c r="K24" s="1"/>
      <c r="L24" s="1"/>
      <c r="M24" s="1"/>
      <c r="N24" s="1"/>
      <c r="O24" s="1"/>
      <c r="P24" s="1"/>
      <c r="Q24" s="1"/>
      <c r="R24" s="1"/>
      <c r="S24" s="1"/>
      <c r="T24" s="1"/>
      <c r="U24" s="1"/>
      <c r="V24" s="1"/>
      <c r="W24" s="1"/>
      <c r="X24" s="1"/>
      <c r="Y24" s="1"/>
      <c r="Z24" s="1"/>
      <c r="AA24" s="1"/>
    </row>
    <row r="25" ht="15.75" customHeight="1">
      <c r="A25" s="1"/>
      <c r="B25" s="46"/>
      <c r="C25" s="48"/>
      <c r="D25" s="53" t="s">
        <v>21</v>
      </c>
      <c r="E25" s="49" t="str">
        <f>VLOOKUP(D25,Datos!$B$8:$E$39,2,)</f>
        <v>Labor (Personal)</v>
      </c>
      <c r="F25" s="49" t="str">
        <f>VLOOKUP(D25,Datos!$B$8:$E$39,3,)</f>
        <v>Semanal</v>
      </c>
      <c r="G25" s="50">
        <v>2.0</v>
      </c>
      <c r="H25" s="50">
        <v>2.0</v>
      </c>
      <c r="I25" s="49">
        <f>VLOOKUP(D25,Datos!$B$8:$E$39,4,)</f>
        <v>6750</v>
      </c>
      <c r="J25" s="49">
        <f>H25*I25*1*(40*2)*M8</f>
        <v>1512000</v>
      </c>
      <c r="K25" s="1"/>
      <c r="L25" s="1"/>
      <c r="M25" s="1"/>
      <c r="N25" s="1"/>
      <c r="O25" s="1"/>
      <c r="P25" s="1"/>
      <c r="Q25" s="1"/>
      <c r="R25" s="1"/>
      <c r="S25" s="1"/>
      <c r="T25" s="1"/>
      <c r="U25" s="1"/>
      <c r="V25" s="1"/>
      <c r="W25" s="1"/>
      <c r="X25" s="1"/>
      <c r="Y25" s="1"/>
      <c r="Z25" s="1"/>
      <c r="AA25" s="1"/>
    </row>
    <row r="26" ht="15.75" customHeight="1">
      <c r="A26" s="1"/>
      <c r="B26" s="46"/>
      <c r="C26" s="55"/>
      <c r="D26" s="55" t="s">
        <v>33</v>
      </c>
      <c r="E26" s="56" t="str">
        <f>VLOOKUP(D26,Datos!$B$8:$E$39,2,)</f>
        <v>Materiales</v>
      </c>
      <c r="F26" s="56" t="str">
        <f>VLOOKUP(D26,Datos!$B$8:$E$39,3,)</f>
        <v>Cantidad</v>
      </c>
      <c r="G26" s="57">
        <v>3.0</v>
      </c>
      <c r="H26" s="55"/>
      <c r="I26" s="56">
        <f>VLOOKUP(D26,Datos!$B$8:$E$39,4,)</f>
        <v>49990</v>
      </c>
      <c r="J26" s="56">
        <f t="shared" ref="J26:J28" si="1">I26*G26</f>
        <v>149970</v>
      </c>
      <c r="K26" s="1"/>
      <c r="L26" s="1"/>
      <c r="M26" s="1"/>
      <c r="N26" s="1"/>
      <c r="O26" s="1"/>
      <c r="P26" s="1"/>
      <c r="Q26" s="1"/>
      <c r="R26" s="1"/>
      <c r="S26" s="1"/>
      <c r="T26" s="1"/>
      <c r="U26" s="1"/>
      <c r="V26" s="1"/>
      <c r="W26" s="1"/>
      <c r="X26" s="1"/>
      <c r="Y26" s="1"/>
      <c r="Z26" s="1"/>
      <c r="AA26" s="1"/>
    </row>
    <row r="27" ht="15.75" customHeight="1">
      <c r="A27" s="1"/>
      <c r="B27" s="1"/>
      <c r="C27" s="58"/>
      <c r="D27" s="36" t="s">
        <v>32</v>
      </c>
      <c r="E27" s="56" t="str">
        <f>VLOOKUP(D27,Datos!$B$8:$E$39,2,)</f>
        <v>Materiales</v>
      </c>
      <c r="F27" s="56" t="str">
        <f>VLOOKUP(D27,Datos!$B$8:$E$39,3,)</f>
        <v>Cantidad</v>
      </c>
      <c r="G27" s="57">
        <v>3.0</v>
      </c>
      <c r="H27" s="58"/>
      <c r="I27" s="56">
        <f>VLOOKUP(D27,Datos!$B$8:$E$39,4,)</f>
        <v>39990</v>
      </c>
      <c r="J27" s="56">
        <f t="shared" si="1"/>
        <v>119970</v>
      </c>
      <c r="K27" s="1"/>
      <c r="L27" s="1"/>
      <c r="M27" s="1"/>
      <c r="N27" s="1"/>
      <c r="O27" s="1"/>
      <c r="P27" s="1"/>
      <c r="Q27" s="1"/>
      <c r="R27" s="1"/>
      <c r="S27" s="1"/>
      <c r="T27" s="1"/>
      <c r="U27" s="1"/>
      <c r="V27" s="1"/>
      <c r="W27" s="1"/>
      <c r="X27" s="1"/>
      <c r="Y27" s="1"/>
      <c r="Z27" s="1"/>
      <c r="AA27" s="1"/>
    </row>
    <row r="28" ht="15.75" customHeight="1">
      <c r="A28" s="1"/>
      <c r="B28" s="1"/>
      <c r="C28" s="58"/>
      <c r="D28" s="36" t="s">
        <v>34</v>
      </c>
      <c r="E28" s="56" t="str">
        <f>VLOOKUP(D28,Datos!$B$8:$E$39,2,)</f>
        <v>Materiales</v>
      </c>
      <c r="F28" s="56" t="str">
        <f>VLOOKUP(D28,Datos!$B$8:$E$39,3,)</f>
        <v>Cantidad</v>
      </c>
      <c r="G28" s="57">
        <v>3.0</v>
      </c>
      <c r="H28" s="58"/>
      <c r="I28" s="56">
        <f>VLOOKUP(D28,Datos!$B$8:$E$39,4,)</f>
        <v>399900</v>
      </c>
      <c r="J28" s="56">
        <f t="shared" si="1"/>
        <v>1199700</v>
      </c>
      <c r="K28" s="1"/>
      <c r="L28" s="1"/>
      <c r="M28" s="1"/>
      <c r="N28" s="1"/>
      <c r="O28" s="1"/>
      <c r="P28" s="1"/>
      <c r="Q28" s="1"/>
      <c r="R28" s="1"/>
      <c r="S28" s="1"/>
      <c r="T28" s="1"/>
      <c r="U28" s="1"/>
      <c r="V28" s="1"/>
      <c r="W28" s="1"/>
      <c r="X28" s="1"/>
      <c r="Y28" s="1"/>
      <c r="Z28" s="1"/>
      <c r="AA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5.75" customHeight="1">
      <c r="A30" s="1"/>
      <c r="B30" s="1"/>
      <c r="C30" s="1"/>
      <c r="D30" s="1"/>
      <c r="E30" s="17"/>
      <c r="F30" s="1"/>
      <c r="G30" s="1"/>
      <c r="H30" s="1"/>
      <c r="I30" s="1"/>
      <c r="J30" s="1"/>
      <c r="K30" s="1"/>
      <c r="L30" s="1"/>
      <c r="M30" s="1"/>
      <c r="N30" s="1"/>
      <c r="O30" s="1"/>
      <c r="P30" s="1"/>
      <c r="Q30" s="1"/>
      <c r="R30" s="1"/>
      <c r="S30" s="1"/>
      <c r="T30" s="1"/>
      <c r="U30" s="1"/>
      <c r="V30" s="1"/>
      <c r="W30" s="1"/>
      <c r="X30" s="1"/>
      <c r="Y30" s="1"/>
      <c r="Z30" s="1"/>
      <c r="AA30" s="1"/>
    </row>
    <row r="31" ht="15.75" customHeight="1">
      <c r="A31" s="1"/>
      <c r="B31" s="1"/>
      <c r="C31" s="1"/>
      <c r="D31" s="1"/>
      <c r="E31" s="1"/>
      <c r="F31" s="17"/>
      <c r="G31" s="1"/>
      <c r="H31" s="1"/>
      <c r="I31" s="1"/>
      <c r="J31" s="1"/>
      <c r="K31" s="1"/>
      <c r="L31" s="1"/>
      <c r="M31" s="1"/>
      <c r="N31" s="1"/>
      <c r="O31" s="1"/>
      <c r="P31" s="1"/>
      <c r="Q31" s="1"/>
      <c r="R31" s="1"/>
      <c r="S31" s="1"/>
      <c r="T31" s="1"/>
      <c r="U31" s="1"/>
      <c r="V31" s="1"/>
      <c r="W31" s="1"/>
      <c r="X31" s="1"/>
      <c r="Y31" s="1"/>
      <c r="Z31" s="1"/>
      <c r="AA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sheetData>
  <printOptions/>
  <pageMargins bottom="0.7480314960629921" footer="0.0" header="0.0" left="0.2362204724409449" right="0.2362204724409449" top="0.7480314960629921"/>
  <pageSetup fitToHeight="0"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25"/>
    <col customWidth="1" min="2" max="2" width="6.88"/>
    <col customWidth="1" min="3" max="3" width="14.38"/>
    <col customWidth="1" min="4" max="4" width="26.13"/>
    <col customWidth="1" min="5" max="5" width="14.25"/>
    <col customWidth="1" min="6" max="7" width="15.75"/>
    <col customWidth="1" min="8" max="8" width="23.13"/>
    <col customWidth="1" min="9" max="9" width="15.75"/>
    <col customWidth="1" min="10" max="10" width="18.0"/>
    <col customWidth="1" min="11" max="27" width="10.0"/>
  </cols>
  <sheetData>
    <row r="1">
      <c r="A1" s="1"/>
      <c r="B1" s="2" t="s">
        <v>0</v>
      </c>
      <c r="C1" s="1"/>
      <c r="D1" s="1"/>
      <c r="E1" s="1"/>
      <c r="F1" s="1"/>
      <c r="G1" s="1"/>
      <c r="H1" s="3" t="s">
        <v>1</v>
      </c>
      <c r="I1" s="1"/>
      <c r="J1" s="1"/>
      <c r="K1" s="1"/>
      <c r="L1" s="1"/>
      <c r="M1" s="1"/>
      <c r="N1" s="1"/>
      <c r="O1" s="1"/>
      <c r="P1" s="1"/>
      <c r="Q1" s="1"/>
      <c r="R1" s="1"/>
      <c r="S1" s="1"/>
      <c r="T1" s="1"/>
      <c r="U1" s="1"/>
      <c r="V1" s="1"/>
      <c r="W1" s="1"/>
      <c r="X1" s="1"/>
      <c r="Y1" s="1"/>
      <c r="Z1" s="1"/>
      <c r="AA1" s="1"/>
    </row>
    <row r="2">
      <c r="A2" s="1"/>
      <c r="B2" s="4" t="s">
        <v>2</v>
      </c>
      <c r="C2" s="1"/>
      <c r="D2" s="1"/>
      <c r="E2" s="1"/>
      <c r="F2" s="1"/>
      <c r="G2" s="1"/>
      <c r="H2" s="1" t="s">
        <v>3</v>
      </c>
      <c r="I2" s="1"/>
      <c r="J2" s="59">
        <v>0.0</v>
      </c>
      <c r="K2" s="1"/>
      <c r="L2" s="1"/>
      <c r="M2" s="1"/>
      <c r="N2" s="1"/>
      <c r="O2" s="1"/>
      <c r="P2" s="1"/>
      <c r="Q2" s="1"/>
      <c r="R2" s="1"/>
      <c r="S2" s="1"/>
      <c r="T2" s="1"/>
      <c r="U2" s="1"/>
      <c r="V2" s="1"/>
      <c r="W2" s="1"/>
      <c r="X2" s="1"/>
      <c r="Y2" s="1"/>
      <c r="Z2" s="1"/>
      <c r="AA2" s="1"/>
    </row>
    <row r="3" ht="15.75" customHeight="1">
      <c r="A3" s="1"/>
      <c r="B3" s="6" t="s">
        <v>44</v>
      </c>
      <c r="C3" s="1"/>
      <c r="D3" s="1"/>
      <c r="E3" s="7"/>
      <c r="F3" s="7"/>
      <c r="G3" s="7"/>
      <c r="H3" s="8" t="s">
        <v>5</v>
      </c>
      <c r="I3" s="8" t="s">
        <v>6</v>
      </c>
      <c r="J3" s="8" t="s">
        <v>7</v>
      </c>
      <c r="K3" s="1"/>
      <c r="L3" s="1"/>
      <c r="M3" s="1"/>
      <c r="N3" s="1"/>
      <c r="O3" s="1"/>
      <c r="P3" s="1"/>
      <c r="Q3" s="1"/>
      <c r="R3" s="1"/>
      <c r="S3" s="1"/>
      <c r="T3" s="1"/>
      <c r="U3" s="1"/>
      <c r="V3" s="1"/>
      <c r="W3" s="1"/>
      <c r="X3" s="1"/>
      <c r="Y3" s="1"/>
      <c r="Z3" s="1"/>
      <c r="AA3" s="1"/>
    </row>
    <row r="4" ht="15.0" customHeight="1">
      <c r="A4" s="1"/>
      <c r="B4" s="6" t="s">
        <v>45</v>
      </c>
      <c r="C4" s="1"/>
      <c r="D4" s="1"/>
      <c r="E4" s="11" t="s">
        <v>7</v>
      </c>
      <c r="F4" s="11"/>
      <c r="G4" s="11"/>
      <c r="H4" s="12">
        <f>J7</f>
        <v>315642312</v>
      </c>
      <c r="I4" s="12">
        <f>H4*J2</f>
        <v>0</v>
      </c>
      <c r="J4" s="12">
        <f>SUM(H4:I4)</f>
        <v>315642312</v>
      </c>
      <c r="K4" s="1"/>
      <c r="L4" s="1"/>
      <c r="M4" s="1"/>
      <c r="N4" s="1"/>
      <c r="O4" s="1"/>
      <c r="P4" s="1"/>
      <c r="Q4" s="1"/>
      <c r="R4" s="1"/>
      <c r="S4" s="1"/>
      <c r="T4" s="1"/>
      <c r="U4" s="1"/>
      <c r="V4" s="1"/>
      <c r="W4" s="1"/>
      <c r="X4" s="1"/>
      <c r="Y4" s="1"/>
      <c r="Z4" s="1"/>
      <c r="AA4" s="1"/>
    </row>
    <row r="5">
      <c r="A5" s="1"/>
      <c r="B5" s="1"/>
      <c r="C5" s="1"/>
      <c r="D5" s="1"/>
      <c r="E5" s="1"/>
      <c r="F5" s="1"/>
      <c r="G5" s="1"/>
      <c r="H5" s="1"/>
      <c r="I5" s="1"/>
      <c r="J5" s="1"/>
      <c r="K5" s="1"/>
      <c r="L5" s="1"/>
      <c r="M5" s="1"/>
      <c r="N5" s="1"/>
      <c r="O5" s="1"/>
      <c r="P5" s="1"/>
      <c r="Q5" s="1"/>
      <c r="R5" s="1"/>
      <c r="S5" s="1"/>
      <c r="T5" s="1"/>
      <c r="U5" s="1"/>
      <c r="V5" s="1"/>
      <c r="W5" s="1"/>
      <c r="X5" s="1"/>
      <c r="Y5" s="1"/>
      <c r="Z5" s="1"/>
      <c r="AA5" s="1"/>
    </row>
    <row r="6">
      <c r="A6" s="1"/>
      <c r="B6" s="25" t="s">
        <v>46</v>
      </c>
      <c r="C6" s="8" t="s">
        <v>47</v>
      </c>
      <c r="D6" s="8" t="s">
        <v>48</v>
      </c>
      <c r="E6" s="8" t="s">
        <v>49</v>
      </c>
      <c r="F6" s="8" t="s">
        <v>12</v>
      </c>
      <c r="G6" s="8" t="s">
        <v>50</v>
      </c>
      <c r="H6" s="26" t="s">
        <v>72</v>
      </c>
      <c r="I6" s="8" t="s">
        <v>13</v>
      </c>
      <c r="J6" s="8" t="s">
        <v>5</v>
      </c>
      <c r="K6" s="1"/>
      <c r="L6" s="1"/>
      <c r="M6" s="1"/>
      <c r="N6" s="1"/>
      <c r="O6" s="1"/>
      <c r="P6" s="1"/>
      <c r="Q6" s="1"/>
      <c r="R6" s="1"/>
      <c r="S6" s="1"/>
      <c r="T6" s="1"/>
      <c r="U6" s="1"/>
      <c r="V6" s="1"/>
      <c r="W6" s="1"/>
      <c r="X6" s="1"/>
      <c r="Y6" s="1"/>
      <c r="Z6" s="1"/>
      <c r="AA6" s="1"/>
    </row>
    <row r="7" ht="15.75" customHeight="1">
      <c r="A7" s="1"/>
      <c r="B7" s="43">
        <v>4.0</v>
      </c>
      <c r="C7" s="43" t="s">
        <v>81</v>
      </c>
      <c r="D7" s="44"/>
      <c r="E7" s="45"/>
      <c r="F7" s="45"/>
      <c r="G7" s="44"/>
      <c r="H7" s="44"/>
      <c r="I7" s="45"/>
      <c r="J7" s="45">
        <f>SUM(J8:J23)</f>
        <v>315642312</v>
      </c>
      <c r="K7" s="1"/>
      <c r="L7" s="1"/>
      <c r="M7" s="27" t="s">
        <v>52</v>
      </c>
      <c r="N7" s="1"/>
      <c r="O7" s="1"/>
      <c r="P7" s="1"/>
      <c r="Q7" s="1"/>
      <c r="R7" s="1"/>
      <c r="S7" s="1"/>
      <c r="T7" s="1"/>
      <c r="U7" s="1"/>
      <c r="V7" s="1"/>
      <c r="W7" s="1"/>
      <c r="X7" s="1"/>
      <c r="Y7" s="1"/>
      <c r="Z7" s="1"/>
      <c r="AA7" s="1"/>
    </row>
    <row r="8" ht="15.75" customHeight="1">
      <c r="A8" s="1"/>
      <c r="B8" s="46" t="s">
        <v>82</v>
      </c>
      <c r="C8" s="47" t="s">
        <v>75</v>
      </c>
      <c r="D8" s="48"/>
      <c r="E8" s="49"/>
      <c r="F8" s="49"/>
      <c r="G8" s="48"/>
      <c r="H8" s="48"/>
      <c r="I8" s="49"/>
      <c r="J8" s="49"/>
      <c r="K8" s="1"/>
      <c r="L8" s="1"/>
      <c r="M8" s="31">
        <f>1.4</f>
        <v>1.4</v>
      </c>
      <c r="N8" s="1"/>
      <c r="O8" s="1"/>
      <c r="P8" s="1"/>
      <c r="Q8" s="1"/>
      <c r="R8" s="1"/>
      <c r="S8" s="1"/>
      <c r="T8" s="1"/>
      <c r="U8" s="1"/>
      <c r="V8" s="1"/>
      <c r="W8" s="1"/>
      <c r="X8" s="1"/>
      <c r="Y8" s="1"/>
      <c r="Z8" s="1"/>
      <c r="AA8" s="1"/>
    </row>
    <row r="9" ht="15.75" customHeight="1">
      <c r="A9" s="1"/>
      <c r="B9" s="46"/>
      <c r="C9" s="48"/>
      <c r="D9" s="61" t="s">
        <v>29</v>
      </c>
      <c r="E9" s="49" t="str">
        <f>VLOOKUP(D9,Datos!$B$8:$E$39,2,)</f>
        <v>Consultoría</v>
      </c>
      <c r="F9" s="49" t="str">
        <f>VLOOKUP(D9,Datos!$B$8:$E$39,3,)</f>
        <v>Cantidad</v>
      </c>
      <c r="G9" s="51">
        <v>1.0</v>
      </c>
      <c r="H9" s="51">
        <v>1.0</v>
      </c>
      <c r="I9" s="49">
        <f>VLOOKUP(D9,Datos!$B$8:$E$39,4,)</f>
        <v>80000000</v>
      </c>
      <c r="J9" s="49">
        <f>H9*I9</f>
        <v>80000000</v>
      </c>
      <c r="K9" s="1"/>
      <c r="L9" s="1"/>
      <c r="M9" s="1"/>
      <c r="N9" s="1"/>
      <c r="O9" s="1"/>
      <c r="P9" s="1"/>
      <c r="Q9" s="1"/>
      <c r="R9" s="1"/>
      <c r="S9" s="1"/>
      <c r="T9" s="1"/>
      <c r="U9" s="1"/>
      <c r="V9" s="1"/>
      <c r="W9" s="1"/>
      <c r="X9" s="1"/>
      <c r="Y9" s="1"/>
      <c r="Z9" s="1"/>
      <c r="AA9" s="1"/>
    </row>
    <row r="10" ht="15.75" customHeight="1">
      <c r="A10" s="1"/>
      <c r="B10" s="46"/>
      <c r="C10" s="48"/>
      <c r="D10" s="53" t="s">
        <v>16</v>
      </c>
      <c r="E10" s="49" t="str">
        <f>VLOOKUP(D10,Datos!$B$8:$E$39,2,)</f>
        <v>Labor (Personal)</v>
      </c>
      <c r="F10" s="49" t="str">
        <f>VLOOKUP(D10,Datos!$B$8:$E$39,3,)</f>
        <v>Semanal</v>
      </c>
      <c r="G10" s="50">
        <v>4.0</v>
      </c>
      <c r="H10" s="50">
        <v>2.0</v>
      </c>
      <c r="I10" s="49">
        <f>VLOOKUP(D10,Datos!$B$8:$E$39,4,)</f>
        <v>4615</v>
      </c>
      <c r="J10" s="49">
        <f>H10*I10*1*(40*4)*M8</f>
        <v>2067520</v>
      </c>
      <c r="K10" s="1"/>
      <c r="L10" s="1"/>
      <c r="M10" s="1"/>
      <c r="N10" s="1"/>
      <c r="O10" s="1"/>
      <c r="P10" s="1"/>
      <c r="Q10" s="1"/>
      <c r="R10" s="1"/>
      <c r="S10" s="1"/>
      <c r="T10" s="1"/>
      <c r="U10" s="1"/>
      <c r="V10" s="1"/>
      <c r="W10" s="1"/>
      <c r="X10" s="1"/>
      <c r="Y10" s="1"/>
      <c r="Z10" s="1"/>
      <c r="AA10" s="1"/>
    </row>
    <row r="11" ht="15.75" customHeight="1">
      <c r="A11" s="1"/>
      <c r="B11" s="46"/>
      <c r="C11" s="48"/>
      <c r="D11" s="48" t="s">
        <v>83</v>
      </c>
      <c r="E11" s="49" t="str">
        <f>VLOOKUP(D11,Datos!$B$8:$E$39,2,)</f>
        <v>Consultoría</v>
      </c>
      <c r="F11" s="49" t="str">
        <f>VLOOKUP(D11,Datos!$B$8:$E$39,3,)</f>
        <v>Cantidad</v>
      </c>
      <c r="G11" s="51">
        <v>1.0</v>
      </c>
      <c r="H11" s="50">
        <v>1.0</v>
      </c>
      <c r="I11" s="49">
        <f>VLOOKUP(D11,Datos!$B$8:$E$39,4,)</f>
        <v>100000000</v>
      </c>
      <c r="J11" s="49">
        <f>I11*H11</f>
        <v>100000000</v>
      </c>
      <c r="K11" s="1"/>
      <c r="L11" s="62" t="s">
        <v>84</v>
      </c>
      <c r="M11" s="63"/>
      <c r="N11" s="63"/>
      <c r="O11" s="63"/>
      <c r="P11" s="63"/>
      <c r="Q11" s="63"/>
      <c r="R11" s="64"/>
      <c r="S11" s="1"/>
      <c r="T11" s="1"/>
      <c r="U11" s="1"/>
      <c r="V11" s="1"/>
      <c r="W11" s="1"/>
      <c r="X11" s="1"/>
      <c r="Y11" s="1"/>
      <c r="Z11" s="1"/>
      <c r="AA11" s="1"/>
    </row>
    <row r="12" ht="15.75" customHeight="1">
      <c r="A12" s="1"/>
      <c r="B12" s="46"/>
      <c r="C12" s="46"/>
      <c r="D12" s="46"/>
      <c r="E12" s="52"/>
      <c r="F12" s="52"/>
      <c r="G12" s="46"/>
      <c r="H12" s="46"/>
      <c r="I12" s="52"/>
      <c r="J12" s="52"/>
      <c r="K12" s="1"/>
      <c r="L12" s="65"/>
      <c r="R12" s="66"/>
      <c r="S12" s="1"/>
      <c r="T12" s="1"/>
      <c r="U12" s="1"/>
      <c r="V12" s="1"/>
      <c r="W12" s="1"/>
      <c r="X12" s="1"/>
      <c r="Y12" s="1"/>
      <c r="Z12" s="1"/>
      <c r="AA12" s="1"/>
    </row>
    <row r="13" ht="15.75" customHeight="1">
      <c r="A13" s="1"/>
      <c r="B13" s="46" t="s">
        <v>76</v>
      </c>
      <c r="C13" s="48" t="s">
        <v>85</v>
      </c>
      <c r="D13" s="48"/>
      <c r="E13" s="49"/>
      <c r="F13" s="49"/>
      <c r="G13" s="48"/>
      <c r="H13" s="48"/>
      <c r="I13" s="49"/>
      <c r="J13" s="49"/>
      <c r="K13" s="1"/>
      <c r="L13" s="65"/>
      <c r="R13" s="66"/>
      <c r="S13" s="1"/>
      <c r="T13" s="1"/>
      <c r="U13" s="1"/>
      <c r="V13" s="1"/>
      <c r="W13" s="1"/>
      <c r="X13" s="1"/>
      <c r="Y13" s="1"/>
      <c r="Z13" s="1"/>
      <c r="AA13" s="1"/>
    </row>
    <row r="14" ht="15.75" customHeight="1">
      <c r="A14" s="1"/>
      <c r="B14" s="46"/>
      <c r="C14" s="48"/>
      <c r="D14" s="48" t="s">
        <v>19</v>
      </c>
      <c r="E14" s="49" t="str">
        <f>VLOOKUP(D14,Datos!$B$8:$E$39,2,)</f>
        <v>Labor (Personal)</v>
      </c>
      <c r="F14" s="49" t="str">
        <f>VLOOKUP(D14,Datos!$B$8:$E$39,3,)</f>
        <v>Semanal</v>
      </c>
      <c r="G14" s="50">
        <v>23.0</v>
      </c>
      <c r="H14" s="50">
        <v>8.0</v>
      </c>
      <c r="I14" s="49">
        <f>VLOOKUP(D14,Datos!$B$8:$E$39,4,)</f>
        <v>6375</v>
      </c>
      <c r="J14" s="49">
        <f>H14*I14*(40*23)*M8</f>
        <v>65688000</v>
      </c>
      <c r="K14" s="1"/>
      <c r="L14" s="65"/>
      <c r="R14" s="66"/>
      <c r="S14" s="1"/>
      <c r="T14" s="1"/>
      <c r="U14" s="1"/>
      <c r="V14" s="1"/>
      <c r="W14" s="1"/>
      <c r="X14" s="1"/>
      <c r="Y14" s="1"/>
      <c r="Z14" s="1"/>
      <c r="AA14" s="1"/>
    </row>
    <row r="15" ht="15.75" customHeight="1">
      <c r="A15" s="1"/>
      <c r="B15" s="46"/>
      <c r="C15" s="48"/>
      <c r="D15" s="53" t="s">
        <v>27</v>
      </c>
      <c r="E15" s="49" t="str">
        <f>VLOOKUP(D15,Datos!$B$8:$E$39,2,)</f>
        <v>Labor (Personal)</v>
      </c>
      <c r="F15" s="49" t="str">
        <f>VLOOKUP(D15,Datos!$B$8:$E$39,3,)</f>
        <v>Semanal</v>
      </c>
      <c r="G15" s="50">
        <v>10.0</v>
      </c>
      <c r="H15" s="50">
        <v>6.0</v>
      </c>
      <c r="I15" s="49">
        <f>VLOOKUP(D15,Datos!$B$8:$E$39,4,)</f>
        <v>15000</v>
      </c>
      <c r="J15" s="49">
        <f>H15*I15*(40*9)*M8</f>
        <v>45360000</v>
      </c>
      <c r="K15" s="1"/>
      <c r="L15" s="65"/>
      <c r="R15" s="66"/>
      <c r="S15" s="1"/>
      <c r="T15" s="1"/>
      <c r="U15" s="1"/>
      <c r="V15" s="1"/>
      <c r="W15" s="1"/>
      <c r="X15" s="1"/>
      <c r="Y15" s="1"/>
      <c r="Z15" s="1"/>
      <c r="AA15" s="1"/>
    </row>
    <row r="16" ht="15.75" customHeight="1">
      <c r="A16" s="1"/>
      <c r="B16" s="46"/>
      <c r="C16" s="48"/>
      <c r="D16" s="48" t="s">
        <v>20</v>
      </c>
      <c r="E16" s="49" t="str">
        <f>VLOOKUP(D16,Datos!$B$8:$E$39,2,)</f>
        <v>Labor (Personal)</v>
      </c>
      <c r="F16" s="49" t="str">
        <f>VLOOKUP(D16,Datos!$B$8:$E$39,3,)</f>
        <v>Semanal</v>
      </c>
      <c r="G16" s="50">
        <v>4.0</v>
      </c>
      <c r="H16" s="50">
        <v>10.0</v>
      </c>
      <c r="I16" s="49">
        <f>VLOOKUP(D16,Datos!$B$8:$E$39,4,)</f>
        <v>5800</v>
      </c>
      <c r="J16" s="49">
        <f>H16*I16*1*(40*4)*M8</f>
        <v>12992000</v>
      </c>
      <c r="K16" s="1"/>
      <c r="L16" s="65"/>
      <c r="R16" s="66"/>
      <c r="S16" s="1"/>
      <c r="T16" s="1"/>
      <c r="U16" s="1"/>
      <c r="V16" s="1"/>
      <c r="W16" s="1"/>
      <c r="X16" s="1"/>
      <c r="Y16" s="1"/>
      <c r="Z16" s="1"/>
      <c r="AA16" s="1"/>
    </row>
    <row r="17" ht="15.75" customHeight="1">
      <c r="A17" s="1"/>
      <c r="B17" s="46"/>
      <c r="C17" s="46"/>
      <c r="D17" s="46"/>
      <c r="E17" s="52"/>
      <c r="F17" s="52"/>
      <c r="G17" s="46"/>
      <c r="H17" s="46"/>
      <c r="I17" s="52"/>
      <c r="J17" s="52"/>
      <c r="K17" s="1"/>
      <c r="L17" s="67"/>
      <c r="M17" s="68"/>
      <c r="N17" s="68"/>
      <c r="O17" s="68"/>
      <c r="P17" s="68"/>
      <c r="Q17" s="68"/>
      <c r="R17" s="69"/>
      <c r="S17" s="1"/>
      <c r="T17" s="1"/>
      <c r="U17" s="1"/>
      <c r="V17" s="1"/>
      <c r="W17" s="1"/>
      <c r="X17" s="1"/>
      <c r="Y17" s="1"/>
      <c r="Z17" s="1"/>
      <c r="AA17" s="1"/>
    </row>
    <row r="18" ht="15.75" customHeight="1">
      <c r="A18" s="1"/>
      <c r="B18" s="46" t="s">
        <v>78</v>
      </c>
      <c r="C18" s="48" t="s">
        <v>79</v>
      </c>
      <c r="D18" s="48"/>
      <c r="E18" s="49"/>
      <c r="F18" s="49"/>
      <c r="G18" s="48"/>
      <c r="H18" s="48"/>
      <c r="I18" s="49"/>
      <c r="J18" s="49"/>
      <c r="K18" s="1"/>
      <c r="L18" s="1"/>
      <c r="M18" s="1"/>
      <c r="N18" s="1"/>
      <c r="O18" s="1"/>
      <c r="P18" s="1"/>
      <c r="Q18" s="1"/>
      <c r="R18" s="1"/>
      <c r="S18" s="1"/>
      <c r="T18" s="1"/>
      <c r="U18" s="1"/>
      <c r="V18" s="1"/>
      <c r="W18" s="1"/>
      <c r="X18" s="1"/>
      <c r="Y18" s="1"/>
      <c r="Z18" s="1"/>
      <c r="AA18" s="1"/>
    </row>
    <row r="19" ht="15.75" customHeight="1">
      <c r="A19" s="1"/>
      <c r="B19" s="46"/>
      <c r="C19" s="48"/>
      <c r="D19" s="48" t="s">
        <v>19</v>
      </c>
      <c r="E19" s="49" t="str">
        <f>VLOOKUP(D19,Datos!$B$8:$E$39,2,)</f>
        <v>Labor (Personal)</v>
      </c>
      <c r="F19" s="49" t="str">
        <f>VLOOKUP(D19,Datos!$B$8:$E$39,3,)</f>
        <v>Semanal</v>
      </c>
      <c r="G19" s="50">
        <v>3.0</v>
      </c>
      <c r="H19" s="50">
        <v>5.0</v>
      </c>
      <c r="I19" s="49">
        <f>VLOOKUP(D19,Datos!$B$8:$E$39,4,)</f>
        <v>6375</v>
      </c>
      <c r="J19" s="49">
        <f>H19*I19*(40*3)*M8</f>
        <v>5355000</v>
      </c>
      <c r="K19" s="1"/>
      <c r="L19" s="1"/>
      <c r="M19" s="1"/>
      <c r="N19" s="1"/>
      <c r="O19" s="1"/>
      <c r="P19" s="1"/>
      <c r="Q19" s="1"/>
      <c r="R19" s="1"/>
      <c r="S19" s="1"/>
      <c r="T19" s="1"/>
      <c r="U19" s="1"/>
      <c r="V19" s="1"/>
      <c r="W19" s="1"/>
      <c r="X19" s="1"/>
      <c r="Y19" s="1"/>
      <c r="Z19" s="1"/>
      <c r="AA19" s="1"/>
    </row>
    <row r="20" ht="15.75" customHeight="1">
      <c r="A20" s="1"/>
      <c r="B20" s="46"/>
      <c r="C20" s="48"/>
      <c r="D20" s="48" t="s">
        <v>23</v>
      </c>
      <c r="E20" s="49" t="str">
        <f>VLOOKUP(D20,Datos!$B$8:$E$39,2,)</f>
        <v>Labor (Personal)</v>
      </c>
      <c r="F20" s="49" t="str">
        <f>VLOOKUP(D20,Datos!$B$8:$E$39,3,)</f>
        <v>Semanal</v>
      </c>
      <c r="G20" s="50">
        <v>1.0</v>
      </c>
      <c r="H20" s="50">
        <v>1.0</v>
      </c>
      <c r="I20" s="49">
        <f>VLOOKUP(D20,Datos!$B$8:$E$39,4,)</f>
        <v>5538</v>
      </c>
      <c r="J20" s="49">
        <f>H20*I20*1*(40*4)*M8</f>
        <v>1240512</v>
      </c>
      <c r="K20" s="1"/>
      <c r="L20" s="1"/>
      <c r="M20" s="1"/>
      <c r="N20" s="1"/>
      <c r="O20" s="1"/>
      <c r="P20" s="1"/>
      <c r="Q20" s="1"/>
      <c r="R20" s="1"/>
      <c r="S20" s="1"/>
      <c r="T20" s="1"/>
      <c r="U20" s="1"/>
      <c r="V20" s="1"/>
      <c r="W20" s="1"/>
      <c r="X20" s="1"/>
      <c r="Y20" s="1"/>
      <c r="Z20" s="1"/>
      <c r="AA20" s="1"/>
    </row>
    <row r="21" ht="15.75" customHeight="1">
      <c r="A21" s="1"/>
      <c r="B21" s="46"/>
      <c r="C21" s="55"/>
      <c r="D21" s="55" t="s">
        <v>33</v>
      </c>
      <c r="E21" s="56" t="str">
        <f>VLOOKUP(D21,Datos!$B$8:$E$39,2,)</f>
        <v>Materiales</v>
      </c>
      <c r="F21" s="56" t="str">
        <f>VLOOKUP(D21,Datos!$B$8:$E$39,3,)</f>
        <v>Cantidad</v>
      </c>
      <c r="G21" s="57">
        <v>6.0</v>
      </c>
      <c r="H21" s="55"/>
      <c r="I21" s="56">
        <f>VLOOKUP(D21,Datos!$B$8:$E$39,4,)</f>
        <v>49990</v>
      </c>
      <c r="J21" s="56">
        <f t="shared" ref="J21:J23" si="1">I21*G21</f>
        <v>299940</v>
      </c>
      <c r="K21" s="1"/>
      <c r="L21" s="1"/>
      <c r="M21" s="1"/>
      <c r="N21" s="1"/>
      <c r="O21" s="1"/>
      <c r="P21" s="1"/>
      <c r="Q21" s="1"/>
      <c r="R21" s="1"/>
      <c r="S21" s="1"/>
      <c r="T21" s="1"/>
      <c r="U21" s="1"/>
      <c r="V21" s="1"/>
      <c r="W21" s="1"/>
      <c r="X21" s="1"/>
      <c r="Y21" s="1"/>
      <c r="Z21" s="1"/>
      <c r="AA21" s="1"/>
    </row>
    <row r="22" ht="15.75" customHeight="1">
      <c r="A22" s="1"/>
      <c r="B22" s="1"/>
      <c r="C22" s="58"/>
      <c r="D22" s="36" t="s">
        <v>32</v>
      </c>
      <c r="E22" s="56" t="str">
        <f>VLOOKUP(D22,Datos!$B$8:$E$39,2,)</f>
        <v>Materiales</v>
      </c>
      <c r="F22" s="56" t="str">
        <f>VLOOKUP(D22,Datos!$B$8:$E$39,3,)</f>
        <v>Cantidad</v>
      </c>
      <c r="G22" s="57">
        <v>6.0</v>
      </c>
      <c r="H22" s="58"/>
      <c r="I22" s="56">
        <f>VLOOKUP(D22,Datos!$B$8:$E$39,4,)</f>
        <v>39990</v>
      </c>
      <c r="J22" s="56">
        <f t="shared" si="1"/>
        <v>239940</v>
      </c>
      <c r="K22" s="1"/>
      <c r="L22" s="1"/>
      <c r="M22" s="17"/>
      <c r="N22" s="1"/>
      <c r="O22" s="1"/>
      <c r="P22" s="1"/>
      <c r="Q22" s="1"/>
      <c r="R22" s="1"/>
      <c r="S22" s="1"/>
      <c r="T22" s="1"/>
      <c r="U22" s="1"/>
      <c r="V22" s="1"/>
      <c r="W22" s="1"/>
      <c r="X22" s="1"/>
      <c r="Y22" s="1"/>
      <c r="Z22" s="1"/>
      <c r="AA22" s="1"/>
    </row>
    <row r="23" ht="15.75" customHeight="1">
      <c r="A23" s="1"/>
      <c r="B23" s="1"/>
      <c r="C23" s="58"/>
      <c r="D23" s="36" t="s">
        <v>34</v>
      </c>
      <c r="E23" s="56" t="str">
        <f>VLOOKUP(D23,Datos!$B$8:$E$39,2,)</f>
        <v>Materiales</v>
      </c>
      <c r="F23" s="56" t="str">
        <f>VLOOKUP(D23,Datos!$B$8:$E$39,3,)</f>
        <v>Cantidad</v>
      </c>
      <c r="G23" s="57">
        <v>6.0</v>
      </c>
      <c r="H23" s="58"/>
      <c r="I23" s="56">
        <f>VLOOKUP(D23,Datos!$B$8:$E$39,4,)</f>
        <v>399900</v>
      </c>
      <c r="J23" s="56">
        <f t="shared" si="1"/>
        <v>2399400</v>
      </c>
      <c r="K23" s="1"/>
      <c r="L23" s="1"/>
      <c r="M23" s="1"/>
      <c r="N23" s="1"/>
      <c r="O23" s="1"/>
      <c r="P23" s="1"/>
      <c r="Q23" s="1"/>
      <c r="R23" s="1"/>
      <c r="S23" s="1"/>
      <c r="T23" s="1"/>
      <c r="U23" s="1"/>
      <c r="V23" s="1"/>
      <c r="W23" s="1"/>
      <c r="X23" s="1"/>
      <c r="Y23" s="1"/>
      <c r="Z23" s="1"/>
      <c r="AA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5.75" customHeight="1">
      <c r="A26" s="1"/>
      <c r="B26" s="1"/>
      <c r="C26" s="1"/>
      <c r="D26" s="1"/>
      <c r="E26" s="1"/>
      <c r="F26" s="1"/>
      <c r="G26" s="17"/>
      <c r="H26" s="17"/>
      <c r="I26" s="1"/>
      <c r="J26" s="1"/>
      <c r="K26" s="1"/>
      <c r="L26" s="1"/>
      <c r="M26" s="1"/>
      <c r="N26" s="1"/>
      <c r="O26" s="1"/>
      <c r="P26" s="1"/>
      <c r="Q26" s="1"/>
      <c r="R26" s="1"/>
      <c r="S26" s="1"/>
      <c r="T26" s="1"/>
      <c r="U26" s="1"/>
      <c r="V26" s="1"/>
      <c r="W26" s="1"/>
      <c r="X26" s="1"/>
      <c r="Y26" s="1"/>
      <c r="Z26" s="1"/>
      <c r="AA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sheetData>
  <mergeCells count="1">
    <mergeCell ref="L11:R17"/>
  </mergeCells>
  <printOptions/>
  <pageMargins bottom="0.7480314960629921" footer="0.0" header="0.0" left="0.2362204724409449" right="0.2362204724409449" top="0.7480314960629921"/>
  <pageSetup fitToHeight="0"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36.25"/>
    <col customWidth="1" min="3" max="3" width="19.75"/>
    <col customWidth="1" min="4" max="4" width="22.0"/>
    <col customWidth="1" min="5" max="5" width="11.88"/>
    <col customWidth="1" min="6" max="6" width="4.75"/>
    <col customWidth="1" min="7" max="7" width="12.75"/>
    <col customWidth="1" min="8" max="26" width="10.0"/>
  </cols>
  <sheetData>
    <row r="1">
      <c r="A1" s="1"/>
      <c r="B1" s="2" t="s">
        <v>0</v>
      </c>
      <c r="C1" s="1"/>
      <c r="D1" s="3" t="s">
        <v>86</v>
      </c>
      <c r="E1" s="1"/>
      <c r="F1" s="1"/>
      <c r="G1" s="1"/>
      <c r="H1" s="1"/>
      <c r="I1" s="1"/>
      <c r="J1" s="1"/>
      <c r="K1" s="1"/>
      <c r="L1" s="1"/>
      <c r="M1" s="1"/>
      <c r="N1" s="1"/>
      <c r="O1" s="1"/>
      <c r="P1" s="1"/>
      <c r="Q1" s="1"/>
      <c r="R1" s="1"/>
      <c r="S1" s="1"/>
      <c r="T1" s="1"/>
      <c r="U1" s="1"/>
      <c r="V1" s="1"/>
      <c r="W1" s="1"/>
      <c r="X1" s="1"/>
      <c r="Y1" s="1"/>
      <c r="Z1" s="1"/>
    </row>
    <row r="2">
      <c r="A2" s="1"/>
      <c r="B2" s="4" t="s">
        <v>2</v>
      </c>
      <c r="C2" s="1"/>
      <c r="D2" s="1"/>
      <c r="E2" s="1"/>
      <c r="F2" s="1"/>
      <c r="G2" s="1"/>
      <c r="H2" s="1"/>
      <c r="I2" s="1"/>
      <c r="J2" s="1"/>
      <c r="K2" s="1"/>
      <c r="L2" s="1"/>
      <c r="M2" s="1"/>
      <c r="N2" s="1"/>
      <c r="O2" s="1"/>
      <c r="P2" s="1"/>
      <c r="Q2" s="1"/>
      <c r="R2" s="1"/>
      <c r="S2" s="1"/>
      <c r="T2" s="1"/>
      <c r="U2" s="1"/>
      <c r="V2" s="1"/>
      <c r="W2" s="1"/>
      <c r="X2" s="1"/>
      <c r="Y2" s="1"/>
      <c r="Z2" s="1"/>
    </row>
    <row r="3">
      <c r="A3" s="1"/>
      <c r="B3" s="6" t="s">
        <v>4</v>
      </c>
      <c r="C3" s="1"/>
      <c r="D3" s="1"/>
      <c r="E3" s="7"/>
      <c r="F3" s="7"/>
      <c r="G3" s="1"/>
      <c r="H3" s="1"/>
      <c r="I3" s="1"/>
      <c r="J3" s="1"/>
      <c r="K3" s="1"/>
      <c r="L3" s="1"/>
      <c r="M3" s="1"/>
      <c r="N3" s="1"/>
      <c r="O3" s="1"/>
      <c r="P3" s="1"/>
      <c r="Q3" s="1"/>
      <c r="R3" s="1"/>
      <c r="S3" s="1"/>
      <c r="T3" s="1"/>
      <c r="U3" s="1"/>
      <c r="V3" s="1"/>
      <c r="W3" s="1"/>
      <c r="X3" s="1"/>
      <c r="Y3" s="1"/>
      <c r="Z3" s="1"/>
    </row>
    <row r="4">
      <c r="A4" s="1"/>
      <c r="B4" s="6" t="s">
        <v>8</v>
      </c>
      <c r="C4" s="1"/>
      <c r="D4" s="1"/>
      <c r="E4" s="7"/>
      <c r="F4" s="1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8" t="s">
        <v>48</v>
      </c>
      <c r="C6" s="8" t="s">
        <v>49</v>
      </c>
      <c r="D6" s="8" t="s">
        <v>12</v>
      </c>
      <c r="E6" s="8" t="s">
        <v>13</v>
      </c>
      <c r="F6" s="1"/>
      <c r="G6" s="1"/>
      <c r="H6" s="1"/>
      <c r="I6" s="1"/>
      <c r="J6" s="1"/>
      <c r="K6" s="1"/>
      <c r="L6" s="1"/>
      <c r="M6" s="1"/>
      <c r="N6" s="1"/>
      <c r="O6" s="1"/>
      <c r="P6" s="1"/>
      <c r="Q6" s="1"/>
      <c r="R6" s="1"/>
      <c r="S6" s="1"/>
      <c r="T6" s="1"/>
      <c r="U6" s="1"/>
      <c r="V6" s="1"/>
      <c r="W6" s="1"/>
      <c r="X6" s="1"/>
      <c r="Y6" s="1"/>
      <c r="Z6" s="1"/>
    </row>
    <row r="7">
      <c r="A7" s="1"/>
      <c r="B7" s="28"/>
      <c r="C7" s="28"/>
      <c r="D7" s="28"/>
      <c r="E7" s="28"/>
      <c r="F7" s="1"/>
      <c r="G7" s="1"/>
      <c r="H7" s="1"/>
      <c r="I7" s="1"/>
      <c r="J7" s="1"/>
      <c r="K7" s="1"/>
      <c r="L7" s="1"/>
      <c r="M7" s="1"/>
      <c r="N7" s="1"/>
      <c r="O7" s="1"/>
      <c r="P7" s="1"/>
      <c r="Q7" s="1"/>
      <c r="R7" s="1"/>
      <c r="S7" s="1"/>
      <c r="T7" s="1"/>
      <c r="U7" s="1"/>
      <c r="V7" s="1"/>
      <c r="W7" s="1"/>
      <c r="X7" s="1"/>
      <c r="Y7" s="1"/>
      <c r="Z7" s="1"/>
    </row>
    <row r="8">
      <c r="A8" s="1"/>
      <c r="B8" s="20" t="s">
        <v>16</v>
      </c>
      <c r="C8" s="20" t="s">
        <v>15</v>
      </c>
      <c r="D8" s="23" t="s">
        <v>87</v>
      </c>
      <c r="E8" s="21">
        <v>4615.0</v>
      </c>
      <c r="F8" s="1"/>
      <c r="G8" s="1"/>
      <c r="H8" s="1"/>
      <c r="I8" s="1"/>
      <c r="J8" s="1"/>
      <c r="K8" s="1"/>
      <c r="L8" s="1"/>
      <c r="M8" s="1"/>
      <c r="N8" s="1"/>
      <c r="O8" s="1"/>
      <c r="P8" s="1"/>
      <c r="Q8" s="1"/>
      <c r="R8" s="1"/>
      <c r="S8" s="1"/>
      <c r="T8" s="1"/>
      <c r="U8" s="1"/>
      <c r="V8" s="1"/>
      <c r="W8" s="1"/>
      <c r="X8" s="1"/>
      <c r="Y8" s="1"/>
      <c r="Z8" s="1"/>
    </row>
    <row r="9">
      <c r="A9" s="1"/>
      <c r="B9" s="20" t="s">
        <v>17</v>
      </c>
      <c r="C9" s="20" t="s">
        <v>15</v>
      </c>
      <c r="D9" s="23" t="s">
        <v>87</v>
      </c>
      <c r="E9" s="21">
        <v>5538.0</v>
      </c>
      <c r="F9" s="1"/>
      <c r="G9" s="1"/>
      <c r="H9" s="1"/>
      <c r="I9" s="1"/>
      <c r="J9" s="1"/>
      <c r="K9" s="1"/>
      <c r="L9" s="1"/>
      <c r="M9" s="1"/>
      <c r="N9" s="1"/>
      <c r="O9" s="1"/>
      <c r="P9" s="1"/>
      <c r="Q9" s="1"/>
      <c r="R9" s="1"/>
      <c r="S9" s="1"/>
      <c r="T9" s="1"/>
      <c r="U9" s="1"/>
      <c r="V9" s="1"/>
      <c r="W9" s="1"/>
      <c r="X9" s="1"/>
      <c r="Y9" s="1"/>
      <c r="Z9" s="1"/>
    </row>
    <row r="10">
      <c r="A10" s="1"/>
      <c r="B10" s="1" t="s">
        <v>22</v>
      </c>
      <c r="C10" s="20" t="s">
        <v>15</v>
      </c>
      <c r="D10" s="23" t="s">
        <v>87</v>
      </c>
      <c r="E10" s="21">
        <v>7250.0</v>
      </c>
      <c r="F10" s="1"/>
      <c r="G10" s="1"/>
      <c r="H10" s="1"/>
      <c r="I10" s="1"/>
      <c r="J10" s="1"/>
      <c r="K10" s="1"/>
      <c r="L10" s="1"/>
      <c r="M10" s="1"/>
      <c r="N10" s="1"/>
      <c r="O10" s="1"/>
      <c r="P10" s="1"/>
      <c r="Q10" s="1"/>
      <c r="R10" s="1"/>
      <c r="S10" s="1"/>
      <c r="T10" s="1"/>
      <c r="U10" s="1"/>
      <c r="V10" s="1"/>
      <c r="W10" s="1"/>
      <c r="X10" s="1"/>
      <c r="Y10" s="1"/>
      <c r="Z10" s="1"/>
    </row>
    <row r="11">
      <c r="A11" s="1"/>
      <c r="B11" s="20" t="s">
        <v>18</v>
      </c>
      <c r="C11" s="20" t="s">
        <v>15</v>
      </c>
      <c r="D11" s="23" t="s">
        <v>87</v>
      </c>
      <c r="E11" s="21">
        <v>6000.0</v>
      </c>
      <c r="F11" s="1"/>
      <c r="G11" s="1"/>
      <c r="H11" s="1"/>
      <c r="I11" s="1"/>
      <c r="J11" s="1"/>
      <c r="K11" s="1"/>
      <c r="L11" s="1"/>
      <c r="M11" s="1"/>
      <c r="N11" s="1"/>
      <c r="O11" s="1"/>
      <c r="P11" s="1"/>
      <c r="Q11" s="1"/>
      <c r="R11" s="1"/>
      <c r="S11" s="1"/>
      <c r="T11" s="1"/>
      <c r="U11" s="1"/>
      <c r="V11" s="1"/>
      <c r="W11" s="1"/>
      <c r="X11" s="1"/>
      <c r="Y11" s="1"/>
      <c r="Z11" s="1"/>
    </row>
    <row r="12">
      <c r="A12" s="1"/>
      <c r="B12" s="20" t="s">
        <v>19</v>
      </c>
      <c r="C12" s="20" t="s">
        <v>15</v>
      </c>
      <c r="D12" s="23" t="s">
        <v>87</v>
      </c>
      <c r="E12" s="21">
        <v>6375.0</v>
      </c>
      <c r="F12" s="1"/>
      <c r="G12" s="1"/>
      <c r="H12" s="1"/>
      <c r="I12" s="1"/>
      <c r="J12" s="1"/>
      <c r="K12" s="1"/>
      <c r="L12" s="1"/>
      <c r="M12" s="1"/>
      <c r="N12" s="1"/>
      <c r="O12" s="1"/>
      <c r="P12" s="1"/>
      <c r="Q12" s="1"/>
      <c r="R12" s="1"/>
      <c r="S12" s="1"/>
      <c r="T12" s="1"/>
      <c r="U12" s="1"/>
      <c r="V12" s="1"/>
      <c r="W12" s="1"/>
      <c r="X12" s="1"/>
      <c r="Y12" s="1"/>
      <c r="Z12" s="1"/>
    </row>
    <row r="13">
      <c r="A13" s="1"/>
      <c r="B13" s="20" t="s">
        <v>20</v>
      </c>
      <c r="C13" s="20" t="s">
        <v>15</v>
      </c>
      <c r="D13" s="23" t="s">
        <v>87</v>
      </c>
      <c r="E13" s="21">
        <v>5800.0</v>
      </c>
      <c r="F13" s="1"/>
      <c r="G13" s="1"/>
      <c r="H13" s="1"/>
      <c r="I13" s="1"/>
      <c r="J13" s="1"/>
      <c r="K13" s="1"/>
      <c r="L13" s="1"/>
      <c r="M13" s="1"/>
      <c r="N13" s="1"/>
      <c r="O13" s="1"/>
      <c r="P13" s="1"/>
      <c r="Q13" s="1"/>
      <c r="R13" s="1"/>
      <c r="S13" s="1"/>
      <c r="T13" s="1"/>
      <c r="U13" s="1"/>
      <c r="V13" s="1"/>
      <c r="W13" s="1"/>
      <c r="X13" s="1"/>
      <c r="Y13" s="1"/>
      <c r="Z13" s="1"/>
    </row>
    <row r="14">
      <c r="A14" s="1"/>
      <c r="B14" s="23" t="s">
        <v>21</v>
      </c>
      <c r="C14" s="20" t="s">
        <v>15</v>
      </c>
      <c r="D14" s="23" t="s">
        <v>87</v>
      </c>
      <c r="E14" s="21">
        <v>6750.0</v>
      </c>
      <c r="F14" s="1"/>
      <c r="G14" s="1"/>
      <c r="H14" s="1"/>
      <c r="I14" s="1"/>
      <c r="J14" s="1"/>
      <c r="K14" s="1"/>
      <c r="L14" s="1"/>
      <c r="M14" s="1"/>
      <c r="N14" s="1"/>
      <c r="O14" s="1"/>
      <c r="P14" s="1"/>
      <c r="Q14" s="1"/>
      <c r="R14" s="1"/>
      <c r="S14" s="1"/>
      <c r="T14" s="1"/>
      <c r="U14" s="1"/>
      <c r="V14" s="1"/>
      <c r="W14" s="1"/>
      <c r="X14" s="1"/>
      <c r="Y14" s="1"/>
      <c r="Z14" s="1"/>
    </row>
    <row r="15">
      <c r="A15" s="1"/>
      <c r="B15" s="20" t="s">
        <v>23</v>
      </c>
      <c r="C15" s="20" t="s">
        <v>15</v>
      </c>
      <c r="D15" s="23" t="s">
        <v>87</v>
      </c>
      <c r="E15" s="21">
        <v>5538.0</v>
      </c>
      <c r="F15" s="1"/>
      <c r="G15" s="1"/>
      <c r="H15" s="1"/>
      <c r="I15" s="1"/>
      <c r="J15" s="1"/>
      <c r="K15" s="1"/>
      <c r="L15" s="1"/>
      <c r="M15" s="1"/>
      <c r="N15" s="1"/>
      <c r="O15" s="1"/>
      <c r="P15" s="1"/>
      <c r="Q15" s="1"/>
      <c r="R15" s="1"/>
      <c r="S15" s="1"/>
      <c r="T15" s="1"/>
      <c r="U15" s="1"/>
      <c r="V15" s="1"/>
      <c r="W15" s="1"/>
      <c r="X15" s="1"/>
      <c r="Y15" s="1"/>
      <c r="Z15" s="1"/>
    </row>
    <row r="16">
      <c r="A16" s="1"/>
      <c r="B16" s="20" t="s">
        <v>24</v>
      </c>
      <c r="C16" s="20" t="s">
        <v>15</v>
      </c>
      <c r="D16" s="23" t="s">
        <v>87</v>
      </c>
      <c r="E16" s="21">
        <v>7111.0</v>
      </c>
      <c r="F16" s="1"/>
      <c r="G16" s="1"/>
      <c r="H16" s="1"/>
      <c r="I16" s="1"/>
      <c r="J16" s="1"/>
      <c r="K16" s="1"/>
      <c r="L16" s="1"/>
      <c r="M16" s="1"/>
      <c r="N16" s="1"/>
      <c r="O16" s="1"/>
      <c r="P16" s="1"/>
      <c r="Q16" s="1"/>
      <c r="R16" s="1"/>
      <c r="S16" s="1"/>
      <c r="T16" s="1"/>
      <c r="U16" s="1"/>
      <c r="V16" s="1"/>
      <c r="W16" s="1"/>
      <c r="X16" s="1"/>
      <c r="Y16" s="1"/>
      <c r="Z16" s="1"/>
    </row>
    <row r="17">
      <c r="A17" s="1"/>
      <c r="B17" s="20" t="s">
        <v>25</v>
      </c>
      <c r="C17" s="20" t="s">
        <v>15</v>
      </c>
      <c r="D17" s="23" t="s">
        <v>87</v>
      </c>
      <c r="E17" s="21">
        <v>7625.0</v>
      </c>
      <c r="F17" s="1"/>
      <c r="G17" s="1"/>
      <c r="H17" s="1"/>
      <c r="I17" s="1"/>
      <c r="J17" s="1"/>
      <c r="K17" s="1"/>
      <c r="L17" s="1"/>
      <c r="M17" s="1"/>
      <c r="N17" s="1"/>
      <c r="O17" s="1"/>
      <c r="P17" s="1"/>
      <c r="Q17" s="1"/>
      <c r="R17" s="1"/>
      <c r="S17" s="1"/>
      <c r="T17" s="1"/>
      <c r="U17" s="1"/>
      <c r="V17" s="1"/>
      <c r="W17" s="1"/>
      <c r="X17" s="1"/>
      <c r="Y17" s="1"/>
      <c r="Z17" s="1"/>
    </row>
    <row r="18">
      <c r="A18" s="1"/>
      <c r="B18" s="1" t="s">
        <v>26</v>
      </c>
      <c r="C18" s="20" t="s">
        <v>15</v>
      </c>
      <c r="D18" s="23" t="s">
        <v>87</v>
      </c>
      <c r="E18" s="21">
        <v>11923.0</v>
      </c>
      <c r="F18" s="1"/>
      <c r="G18" s="1"/>
      <c r="H18" s="1"/>
      <c r="I18" s="1"/>
      <c r="J18" s="1"/>
      <c r="K18" s="1"/>
      <c r="L18" s="1"/>
      <c r="M18" s="1"/>
      <c r="N18" s="1"/>
      <c r="O18" s="1"/>
      <c r="P18" s="1"/>
      <c r="Q18" s="1"/>
      <c r="R18" s="1"/>
      <c r="S18" s="1"/>
      <c r="T18" s="1"/>
      <c r="U18" s="1"/>
      <c r="V18" s="1"/>
      <c r="W18" s="1"/>
      <c r="X18" s="1"/>
      <c r="Y18" s="1"/>
      <c r="Z18" s="1"/>
    </row>
    <row r="19">
      <c r="A19" s="1"/>
      <c r="B19" s="1" t="s">
        <v>27</v>
      </c>
      <c r="C19" s="20" t="s">
        <v>15</v>
      </c>
      <c r="D19" s="23" t="s">
        <v>87</v>
      </c>
      <c r="E19" s="21">
        <v>15000.0</v>
      </c>
      <c r="F19" s="1"/>
      <c r="G19" s="1"/>
      <c r="H19" s="1"/>
      <c r="I19" s="1"/>
      <c r="J19" s="1"/>
      <c r="K19" s="1"/>
      <c r="L19" s="1"/>
      <c r="M19" s="1"/>
      <c r="N19" s="1"/>
      <c r="O19" s="1"/>
      <c r="P19" s="1"/>
      <c r="Q19" s="1"/>
      <c r="R19" s="1"/>
      <c r="S19" s="1"/>
      <c r="T19" s="1"/>
      <c r="U19" s="1"/>
      <c r="V19" s="1"/>
      <c r="W19" s="1"/>
      <c r="X19" s="1"/>
      <c r="Y19" s="1"/>
      <c r="Z19" s="1"/>
    </row>
    <row r="20">
      <c r="A20" s="1"/>
      <c r="B20" s="17" t="s">
        <v>59</v>
      </c>
      <c r="C20" s="20" t="s">
        <v>15</v>
      </c>
      <c r="D20" s="23" t="s">
        <v>87</v>
      </c>
      <c r="E20" s="70">
        <v>3500.0</v>
      </c>
      <c r="F20" s="1"/>
      <c r="G20" s="1"/>
      <c r="H20" s="1"/>
      <c r="I20" s="1"/>
      <c r="J20" s="1"/>
      <c r="K20" s="1"/>
      <c r="L20" s="1"/>
      <c r="M20" s="1"/>
      <c r="N20" s="1"/>
      <c r="O20" s="1"/>
      <c r="P20" s="1"/>
      <c r="Q20" s="1"/>
      <c r="R20" s="1"/>
      <c r="S20" s="1"/>
      <c r="T20" s="1"/>
      <c r="U20" s="1"/>
      <c r="V20" s="1"/>
      <c r="W20" s="1"/>
      <c r="X20" s="1"/>
      <c r="Y20" s="1"/>
      <c r="Z20" s="1"/>
    </row>
    <row r="21">
      <c r="A21" s="1"/>
      <c r="B21" s="17" t="s">
        <v>58</v>
      </c>
      <c r="C21" s="20" t="s">
        <v>15</v>
      </c>
      <c r="D21" s="23" t="s">
        <v>87</v>
      </c>
      <c r="E21" s="70">
        <v>4000.0</v>
      </c>
      <c r="F21" s="1"/>
      <c r="G21" s="1"/>
      <c r="H21" s="1"/>
      <c r="I21" s="1"/>
      <c r="J21" s="1"/>
      <c r="K21" s="1"/>
      <c r="L21" s="1"/>
      <c r="M21" s="1"/>
      <c r="N21" s="1"/>
      <c r="O21" s="1"/>
      <c r="P21" s="1"/>
      <c r="Q21" s="1"/>
      <c r="R21" s="1"/>
      <c r="S21" s="1"/>
      <c r="T21" s="1"/>
      <c r="U21" s="1"/>
      <c r="V21" s="1"/>
      <c r="W21" s="1"/>
      <c r="X21" s="1"/>
      <c r="Y21" s="1"/>
      <c r="Z21" s="1"/>
    </row>
    <row r="22">
      <c r="A22" s="1"/>
      <c r="B22" s="20" t="s">
        <v>29</v>
      </c>
      <c r="C22" s="20" t="s">
        <v>28</v>
      </c>
      <c r="D22" s="20" t="s">
        <v>51</v>
      </c>
      <c r="E22" s="21">
        <v>8.0E7</v>
      </c>
      <c r="F22" s="1"/>
      <c r="G22" s="1"/>
      <c r="H22" s="1"/>
      <c r="I22" s="1"/>
      <c r="J22" s="1"/>
      <c r="K22" s="1"/>
      <c r="L22" s="1"/>
      <c r="M22" s="1"/>
      <c r="N22" s="1"/>
      <c r="O22" s="1"/>
      <c r="P22" s="1"/>
      <c r="Q22" s="1"/>
      <c r="R22" s="1"/>
      <c r="S22" s="1"/>
      <c r="T22" s="1"/>
      <c r="U22" s="1"/>
      <c r="V22" s="1"/>
      <c r="W22" s="1"/>
      <c r="X22" s="1"/>
      <c r="Y22" s="1"/>
      <c r="Z22" s="1"/>
    </row>
    <row r="23">
      <c r="A23" s="1"/>
      <c r="B23" s="23" t="s">
        <v>83</v>
      </c>
      <c r="C23" s="20" t="s">
        <v>28</v>
      </c>
      <c r="D23" s="20" t="s">
        <v>51</v>
      </c>
      <c r="E23" s="70">
        <v>1.0E8</v>
      </c>
      <c r="F23" s="1"/>
      <c r="G23" s="1"/>
      <c r="H23" s="1"/>
      <c r="I23" s="1"/>
      <c r="J23" s="1"/>
      <c r="K23" s="1"/>
      <c r="L23" s="1"/>
      <c r="M23" s="1"/>
      <c r="N23" s="1"/>
      <c r="O23" s="1"/>
      <c r="P23" s="1"/>
      <c r="Q23" s="1"/>
      <c r="R23" s="1"/>
      <c r="S23" s="1"/>
      <c r="T23" s="1"/>
      <c r="U23" s="1"/>
      <c r="V23" s="1"/>
      <c r="W23" s="1"/>
      <c r="X23" s="1"/>
      <c r="Y23" s="1"/>
      <c r="Z23" s="1"/>
    </row>
    <row r="24" ht="15.75" customHeight="1">
      <c r="A24" s="1"/>
      <c r="B24" s="20" t="s">
        <v>31</v>
      </c>
      <c r="C24" s="20" t="s">
        <v>30</v>
      </c>
      <c r="D24" s="20" t="s">
        <v>51</v>
      </c>
      <c r="E24" s="70">
        <v>5000000.0</v>
      </c>
      <c r="F24" s="1"/>
      <c r="G24" s="1"/>
      <c r="H24" s="1"/>
      <c r="I24" s="1"/>
      <c r="J24" s="1"/>
      <c r="K24" s="1"/>
      <c r="L24" s="1"/>
      <c r="M24" s="1"/>
      <c r="N24" s="1"/>
      <c r="O24" s="1"/>
      <c r="P24" s="1"/>
      <c r="Q24" s="1"/>
      <c r="R24" s="1"/>
      <c r="S24" s="1"/>
      <c r="T24" s="1"/>
      <c r="U24" s="1"/>
      <c r="V24" s="1"/>
      <c r="W24" s="1"/>
      <c r="X24" s="1"/>
      <c r="Y24" s="1"/>
      <c r="Z24" s="1"/>
    </row>
    <row r="25" ht="15.75" customHeight="1">
      <c r="A25" s="1"/>
      <c r="B25" s="23" t="s">
        <v>60</v>
      </c>
      <c r="C25" s="20" t="s">
        <v>30</v>
      </c>
      <c r="D25" s="20" t="s">
        <v>51</v>
      </c>
      <c r="E25" s="70">
        <v>5000000.0</v>
      </c>
      <c r="F25" s="1"/>
      <c r="G25" s="1"/>
      <c r="H25" s="1"/>
      <c r="I25" s="1"/>
      <c r="J25" s="1"/>
      <c r="K25" s="1"/>
      <c r="L25" s="1"/>
      <c r="M25" s="1"/>
      <c r="N25" s="1"/>
      <c r="O25" s="1"/>
      <c r="P25" s="1"/>
      <c r="Q25" s="1"/>
      <c r="R25" s="1"/>
      <c r="S25" s="1"/>
      <c r="T25" s="1"/>
      <c r="U25" s="1"/>
      <c r="V25" s="1"/>
      <c r="W25" s="1"/>
      <c r="X25" s="1"/>
      <c r="Y25" s="1"/>
      <c r="Z25" s="1"/>
    </row>
    <row r="26" ht="15.75" customHeight="1">
      <c r="A26" s="1"/>
      <c r="B26" s="20" t="s">
        <v>32</v>
      </c>
      <c r="C26" s="20" t="s">
        <v>30</v>
      </c>
      <c r="D26" s="20" t="s">
        <v>51</v>
      </c>
      <c r="E26" s="21">
        <v>39990.0</v>
      </c>
      <c r="F26" s="1"/>
      <c r="G26" s="1"/>
      <c r="H26" s="1"/>
      <c r="I26" s="1"/>
      <c r="J26" s="1"/>
      <c r="K26" s="1"/>
      <c r="L26" s="1"/>
      <c r="M26" s="1"/>
      <c r="N26" s="1"/>
      <c r="O26" s="1"/>
      <c r="P26" s="1"/>
      <c r="Q26" s="1"/>
      <c r="R26" s="1"/>
      <c r="S26" s="1"/>
      <c r="T26" s="1"/>
      <c r="U26" s="1"/>
      <c r="V26" s="1"/>
      <c r="W26" s="1"/>
      <c r="X26" s="1"/>
      <c r="Y26" s="1"/>
      <c r="Z26" s="1"/>
    </row>
    <row r="27" ht="15.75" customHeight="1">
      <c r="A27" s="1"/>
      <c r="B27" s="20" t="s">
        <v>33</v>
      </c>
      <c r="C27" s="20" t="s">
        <v>30</v>
      </c>
      <c r="D27" s="20" t="s">
        <v>51</v>
      </c>
      <c r="E27" s="21">
        <v>49990.0</v>
      </c>
      <c r="F27" s="1"/>
      <c r="G27" s="1"/>
      <c r="H27" s="1"/>
      <c r="I27" s="1"/>
      <c r="J27" s="1"/>
      <c r="K27" s="1"/>
      <c r="L27" s="1"/>
      <c r="M27" s="1"/>
      <c r="N27" s="1"/>
      <c r="O27" s="1"/>
      <c r="P27" s="1"/>
      <c r="Q27" s="1"/>
      <c r="R27" s="1"/>
      <c r="S27" s="1"/>
      <c r="T27" s="1"/>
      <c r="U27" s="1"/>
      <c r="V27" s="1"/>
      <c r="W27" s="1"/>
      <c r="X27" s="1"/>
      <c r="Y27" s="1"/>
      <c r="Z27" s="1"/>
    </row>
    <row r="28" ht="15.75" customHeight="1">
      <c r="A28" s="1"/>
      <c r="B28" s="20" t="s">
        <v>34</v>
      </c>
      <c r="C28" s="20" t="s">
        <v>30</v>
      </c>
      <c r="D28" s="20" t="s">
        <v>51</v>
      </c>
      <c r="E28" s="21">
        <v>399900.0</v>
      </c>
      <c r="F28" s="1"/>
      <c r="G28" s="1"/>
      <c r="H28" s="1"/>
      <c r="I28" s="1"/>
      <c r="J28" s="1"/>
      <c r="K28" s="1"/>
      <c r="L28" s="1"/>
      <c r="M28" s="1"/>
      <c r="N28" s="1"/>
      <c r="O28" s="1"/>
      <c r="P28" s="1"/>
      <c r="Q28" s="1"/>
      <c r="R28" s="1"/>
      <c r="S28" s="1"/>
      <c r="T28" s="1"/>
      <c r="U28" s="1"/>
      <c r="V28" s="1"/>
      <c r="W28" s="1"/>
      <c r="X28" s="1"/>
      <c r="Y28" s="1"/>
      <c r="Z28" s="1"/>
    </row>
    <row r="29" ht="15.75" customHeight="1">
      <c r="A29" s="1"/>
      <c r="B29" s="20" t="s">
        <v>35</v>
      </c>
      <c r="C29" s="20" t="s">
        <v>30</v>
      </c>
      <c r="D29" s="20" t="s">
        <v>51</v>
      </c>
      <c r="E29" s="21">
        <v>30000.0</v>
      </c>
      <c r="F29" s="1"/>
      <c r="G29" s="1" t="s">
        <v>88</v>
      </c>
      <c r="H29" s="1"/>
      <c r="I29" s="1"/>
      <c r="J29" s="1"/>
      <c r="K29" s="1"/>
      <c r="L29" s="1"/>
      <c r="M29" s="1"/>
      <c r="N29" s="1"/>
      <c r="O29" s="1"/>
      <c r="P29" s="1"/>
      <c r="Q29" s="1"/>
      <c r="R29" s="1"/>
      <c r="S29" s="1"/>
      <c r="T29" s="1"/>
      <c r="U29" s="1"/>
      <c r="V29" s="1"/>
      <c r="W29" s="1"/>
      <c r="X29" s="1"/>
      <c r="Y29" s="1"/>
      <c r="Z29" s="1"/>
    </row>
    <row r="30" ht="15.75" customHeight="1">
      <c r="A30" s="1"/>
      <c r="B30" s="20" t="s">
        <v>36</v>
      </c>
      <c r="C30" s="20" t="s">
        <v>30</v>
      </c>
      <c r="D30" s="20" t="s">
        <v>51</v>
      </c>
      <c r="E30" s="21">
        <v>500000.0</v>
      </c>
      <c r="F30" s="1"/>
      <c r="G30" s="1"/>
      <c r="H30" s="1"/>
      <c r="I30" s="1"/>
      <c r="J30" s="1"/>
      <c r="K30" s="1"/>
      <c r="L30" s="1"/>
      <c r="M30" s="1"/>
      <c r="N30" s="1"/>
      <c r="O30" s="1"/>
      <c r="P30" s="1"/>
      <c r="Q30" s="1"/>
      <c r="R30" s="1"/>
      <c r="S30" s="1"/>
      <c r="T30" s="1"/>
      <c r="U30" s="1"/>
      <c r="V30" s="1"/>
      <c r="W30" s="1"/>
      <c r="X30" s="1"/>
      <c r="Y30" s="1"/>
      <c r="Z30" s="1"/>
    </row>
    <row r="31" ht="15.75" customHeight="1">
      <c r="A31" s="1"/>
      <c r="B31" s="20" t="s">
        <v>37</v>
      </c>
      <c r="C31" s="20" t="s">
        <v>30</v>
      </c>
      <c r="D31" s="20" t="s">
        <v>51</v>
      </c>
      <c r="E31" s="21">
        <v>200000.0</v>
      </c>
      <c r="F31" s="1"/>
      <c r="G31" s="1"/>
      <c r="H31" s="1"/>
      <c r="I31" s="1"/>
      <c r="J31" s="1"/>
      <c r="K31" s="1"/>
      <c r="L31" s="1"/>
      <c r="M31" s="1"/>
      <c r="N31" s="1"/>
      <c r="O31" s="1"/>
      <c r="P31" s="1"/>
      <c r="Q31" s="1"/>
      <c r="R31" s="1"/>
      <c r="S31" s="1"/>
      <c r="T31" s="1"/>
      <c r="U31" s="1"/>
      <c r="V31" s="1"/>
      <c r="W31" s="1"/>
      <c r="X31" s="1"/>
      <c r="Y31" s="1"/>
      <c r="Z31" s="1"/>
    </row>
    <row r="32" ht="15.75" customHeight="1">
      <c r="A32" s="1"/>
      <c r="B32" s="20" t="s">
        <v>38</v>
      </c>
      <c r="C32" s="20" t="s">
        <v>30</v>
      </c>
      <c r="D32" s="20" t="s">
        <v>51</v>
      </c>
      <c r="E32" s="21">
        <v>200000.0</v>
      </c>
      <c r="F32" s="1"/>
      <c r="G32" s="1"/>
      <c r="H32" s="1"/>
      <c r="I32" s="1"/>
      <c r="J32" s="1"/>
      <c r="K32" s="1"/>
      <c r="L32" s="1"/>
      <c r="M32" s="1"/>
      <c r="N32" s="1"/>
      <c r="O32" s="1"/>
      <c r="P32" s="1"/>
      <c r="Q32" s="1"/>
      <c r="R32" s="1"/>
      <c r="S32" s="1"/>
      <c r="T32" s="1"/>
      <c r="U32" s="1"/>
      <c r="V32" s="1"/>
      <c r="W32" s="1"/>
      <c r="X32" s="1"/>
      <c r="Y32" s="1"/>
      <c r="Z32" s="1"/>
    </row>
    <row r="33" ht="15.75" customHeight="1">
      <c r="A33" s="1"/>
      <c r="B33" s="20" t="s">
        <v>39</v>
      </c>
      <c r="C33" s="20" t="s">
        <v>30</v>
      </c>
      <c r="D33" s="20" t="s">
        <v>51</v>
      </c>
      <c r="E33" s="21">
        <v>100000.0</v>
      </c>
      <c r="F33" s="1"/>
      <c r="G33" s="1"/>
      <c r="H33" s="1"/>
      <c r="I33" s="1"/>
      <c r="J33" s="1"/>
      <c r="K33" s="1"/>
      <c r="L33" s="1"/>
      <c r="M33" s="1"/>
      <c r="N33" s="1"/>
      <c r="O33" s="1"/>
      <c r="P33" s="1"/>
      <c r="Q33" s="1"/>
      <c r="R33" s="1"/>
      <c r="S33" s="1"/>
      <c r="T33" s="1"/>
      <c r="U33" s="1"/>
      <c r="V33" s="1"/>
      <c r="W33" s="1"/>
      <c r="X33" s="1"/>
      <c r="Y33" s="1"/>
      <c r="Z33" s="1"/>
    </row>
    <row r="34" ht="15.75" customHeight="1">
      <c r="A34" s="1"/>
      <c r="B34" s="20" t="s">
        <v>40</v>
      </c>
      <c r="C34" s="20" t="s">
        <v>30</v>
      </c>
      <c r="D34" s="20" t="s">
        <v>51</v>
      </c>
      <c r="E34" s="21">
        <v>50000.0</v>
      </c>
      <c r="F34" s="1"/>
      <c r="G34" s="1"/>
      <c r="H34" s="1"/>
      <c r="I34" s="1"/>
      <c r="J34" s="1"/>
      <c r="K34" s="1"/>
      <c r="L34" s="1"/>
      <c r="M34" s="1"/>
      <c r="N34" s="1"/>
      <c r="O34" s="1"/>
      <c r="P34" s="1"/>
      <c r="Q34" s="1"/>
      <c r="R34" s="1"/>
      <c r="S34" s="1"/>
      <c r="T34" s="1"/>
      <c r="U34" s="1"/>
      <c r="V34" s="1"/>
      <c r="W34" s="1"/>
      <c r="X34" s="1"/>
      <c r="Y34" s="1"/>
      <c r="Z34" s="1"/>
    </row>
    <row r="35" ht="15.75" customHeight="1">
      <c r="A35" s="1"/>
      <c r="B35" s="23" t="s">
        <v>61</v>
      </c>
      <c r="C35" s="20" t="s">
        <v>30</v>
      </c>
      <c r="D35" s="20" t="s">
        <v>51</v>
      </c>
      <c r="E35" s="70">
        <v>700000.0</v>
      </c>
      <c r="F35" s="1"/>
      <c r="G35" s="1"/>
      <c r="H35" s="1"/>
      <c r="I35" s="1"/>
      <c r="J35" s="1"/>
      <c r="K35" s="1"/>
      <c r="L35" s="1"/>
      <c r="M35" s="1"/>
      <c r="N35" s="1"/>
      <c r="O35" s="1"/>
      <c r="P35" s="1"/>
      <c r="Q35" s="1"/>
      <c r="R35" s="1"/>
      <c r="S35" s="1"/>
      <c r="T35" s="1"/>
      <c r="U35" s="1"/>
      <c r="V35" s="1"/>
      <c r="W35" s="1"/>
      <c r="X35" s="1"/>
      <c r="Y35" s="1"/>
      <c r="Z35" s="1"/>
    </row>
    <row r="36" ht="15.75" customHeight="1">
      <c r="A36" s="1"/>
      <c r="B36" s="23" t="s">
        <v>62</v>
      </c>
      <c r="C36" s="20" t="s">
        <v>30</v>
      </c>
      <c r="D36" s="20" t="s">
        <v>51</v>
      </c>
      <c r="E36" s="70">
        <v>500000.0</v>
      </c>
      <c r="F36" s="1"/>
      <c r="G36" s="1"/>
      <c r="H36" s="1"/>
      <c r="I36" s="1"/>
      <c r="J36" s="1"/>
      <c r="K36" s="1"/>
      <c r="L36" s="1"/>
      <c r="M36" s="1"/>
      <c r="N36" s="1"/>
      <c r="O36" s="1"/>
      <c r="P36" s="1"/>
      <c r="Q36" s="1"/>
      <c r="R36" s="1"/>
      <c r="S36" s="1"/>
      <c r="T36" s="1"/>
      <c r="U36" s="1"/>
      <c r="V36" s="1"/>
      <c r="W36" s="1"/>
      <c r="X36" s="1"/>
      <c r="Y36" s="1"/>
      <c r="Z36" s="1"/>
    </row>
    <row r="37" ht="15.75" customHeight="1">
      <c r="A37" s="1"/>
      <c r="B37" s="23" t="s">
        <v>63</v>
      </c>
      <c r="C37" s="23" t="s">
        <v>89</v>
      </c>
      <c r="D37" s="20" t="s">
        <v>90</v>
      </c>
      <c r="E37" s="70">
        <v>2000000.0</v>
      </c>
      <c r="F37" s="1"/>
      <c r="G37" s="1"/>
      <c r="H37" s="1"/>
      <c r="I37" s="1"/>
      <c r="J37" s="1"/>
      <c r="K37" s="1"/>
      <c r="L37" s="1"/>
      <c r="M37" s="1"/>
      <c r="N37" s="1"/>
      <c r="O37" s="1"/>
      <c r="P37" s="1"/>
      <c r="Q37" s="1"/>
      <c r="R37" s="1"/>
      <c r="S37" s="1"/>
      <c r="T37" s="1"/>
      <c r="U37" s="1"/>
      <c r="V37" s="1"/>
      <c r="W37" s="1"/>
      <c r="X37" s="1"/>
      <c r="Y37" s="1"/>
      <c r="Z37" s="1"/>
    </row>
    <row r="38" ht="15.75" customHeight="1">
      <c r="A38" s="1"/>
      <c r="B38" s="23" t="s">
        <v>64</v>
      </c>
      <c r="C38" s="23" t="s">
        <v>89</v>
      </c>
      <c r="D38" s="20" t="s">
        <v>90</v>
      </c>
      <c r="E38" s="70">
        <v>700000.0</v>
      </c>
      <c r="F38" s="1"/>
      <c r="G38" s="1"/>
      <c r="H38" s="1"/>
      <c r="I38" s="1"/>
      <c r="J38" s="1"/>
      <c r="K38" s="1"/>
      <c r="L38" s="1"/>
      <c r="M38" s="1"/>
      <c r="N38" s="1"/>
      <c r="O38" s="1"/>
      <c r="P38" s="1"/>
      <c r="Q38" s="1"/>
      <c r="R38" s="1"/>
      <c r="S38" s="1"/>
      <c r="T38" s="1"/>
      <c r="U38" s="1"/>
      <c r="V38" s="1"/>
      <c r="W38" s="1"/>
      <c r="X38" s="1"/>
      <c r="Y38" s="1"/>
      <c r="Z38" s="1"/>
    </row>
    <row r="39" ht="15.75" customHeight="1">
      <c r="A39" s="1"/>
      <c r="B39" s="20" t="s">
        <v>42</v>
      </c>
      <c r="C39" s="20" t="s">
        <v>91</v>
      </c>
      <c r="D39" s="20" t="s">
        <v>90</v>
      </c>
      <c r="E39" s="70">
        <v>500000.0</v>
      </c>
      <c r="F39" s="1"/>
      <c r="G39" s="1" t="s">
        <v>88</v>
      </c>
      <c r="H39" s="1"/>
      <c r="I39" s="1"/>
      <c r="J39" s="1"/>
      <c r="K39" s="1"/>
      <c r="L39" s="1"/>
      <c r="M39" s="1"/>
      <c r="N39" s="1"/>
      <c r="O39" s="1"/>
      <c r="P39" s="1"/>
      <c r="Q39" s="1"/>
      <c r="R39" s="1"/>
      <c r="S39" s="1"/>
      <c r="T39" s="1"/>
      <c r="U39" s="1"/>
      <c r="V39" s="1"/>
      <c r="W39" s="1"/>
      <c r="X39" s="1"/>
      <c r="Y39" s="1"/>
      <c r="Z39" s="1"/>
    </row>
    <row r="40" ht="15.75" customHeight="1">
      <c r="A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2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2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21"/>
      <c r="F43" s="1"/>
      <c r="G43" s="1"/>
      <c r="H43" s="1"/>
      <c r="I43" s="1"/>
      <c r="J43" s="1"/>
      <c r="K43" s="1"/>
      <c r="L43" s="1"/>
      <c r="M43" s="1"/>
      <c r="N43" s="1"/>
      <c r="O43" s="1"/>
      <c r="P43" s="1"/>
      <c r="Q43" s="1"/>
      <c r="R43" s="1"/>
      <c r="S43" s="1"/>
      <c r="T43" s="1"/>
      <c r="U43" s="1"/>
      <c r="V43" s="1"/>
      <c r="W43" s="1"/>
      <c r="X43" s="1"/>
      <c r="Y43" s="1"/>
      <c r="Z43" s="1"/>
    </row>
    <row r="44" ht="15.75" customHeight="1">
      <c r="A44" s="1"/>
      <c r="B44" s="20"/>
      <c r="C44" s="1"/>
      <c r="D44" s="1"/>
      <c r="E44" s="5"/>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42"/>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26" width="10.0"/>
  </cols>
  <sheetData>
    <row r="1">
      <c r="A1" s="1"/>
      <c r="B1" s="2" t="s">
        <v>0</v>
      </c>
      <c r="C1" s="1"/>
      <c r="D1" s="3"/>
      <c r="E1" s="1"/>
      <c r="F1" s="1"/>
      <c r="G1" s="1"/>
      <c r="H1" s="1"/>
      <c r="I1" s="1"/>
      <c r="J1" s="1"/>
      <c r="K1" s="1"/>
      <c r="L1" s="1"/>
      <c r="M1" s="1"/>
      <c r="N1" s="1"/>
      <c r="O1" s="1"/>
      <c r="P1" s="1"/>
      <c r="Q1" s="1"/>
      <c r="R1" s="1"/>
      <c r="S1" s="1"/>
      <c r="T1" s="1"/>
      <c r="U1" s="1"/>
      <c r="V1" s="1"/>
      <c r="W1" s="1"/>
      <c r="X1" s="1"/>
      <c r="Y1" s="1"/>
      <c r="Z1" s="1"/>
    </row>
    <row r="2">
      <c r="A2" s="1"/>
      <c r="B2" s="4"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71" t="s">
        <v>92</v>
      </c>
      <c r="C4" s="1"/>
      <c r="D4" s="1"/>
      <c r="E4" s="1"/>
      <c r="F4" s="1"/>
      <c r="G4" s="1"/>
      <c r="H4" s="1"/>
      <c r="I4" s="1"/>
      <c r="J4" s="1"/>
      <c r="K4" s="1"/>
      <c r="L4" s="1"/>
      <c r="M4" s="1"/>
      <c r="N4" s="1"/>
      <c r="O4" s="1"/>
      <c r="P4" s="1"/>
      <c r="Q4" s="1"/>
      <c r="R4" s="1"/>
      <c r="S4" s="1"/>
      <c r="T4" s="1"/>
      <c r="U4" s="1"/>
      <c r="V4" s="1"/>
      <c r="W4" s="1"/>
      <c r="X4" s="1"/>
      <c r="Y4" s="1"/>
      <c r="Z4" s="1"/>
    </row>
    <row r="5">
      <c r="A5" s="1"/>
      <c r="B5" s="71" t="s">
        <v>93</v>
      </c>
      <c r="C5" s="1" t="s">
        <v>94</v>
      </c>
      <c r="D5" s="1"/>
      <c r="E5" s="1"/>
      <c r="F5" s="1"/>
      <c r="G5" s="1"/>
      <c r="H5" s="1"/>
      <c r="I5" s="1"/>
      <c r="J5" s="1"/>
      <c r="K5" s="1"/>
      <c r="L5" s="1"/>
      <c r="M5" s="1"/>
      <c r="N5" s="1"/>
      <c r="O5" s="1"/>
      <c r="P5" s="1"/>
      <c r="Q5" s="1"/>
      <c r="R5" s="1"/>
      <c r="S5" s="1"/>
      <c r="T5" s="1"/>
      <c r="U5" s="1"/>
      <c r="V5" s="1"/>
      <c r="W5" s="1"/>
      <c r="X5" s="1"/>
      <c r="Y5" s="1"/>
      <c r="Z5" s="1"/>
    </row>
    <row r="6">
      <c r="A6" s="1"/>
      <c r="B6" s="8" t="s">
        <v>95</v>
      </c>
      <c r="C6" s="8" t="s">
        <v>96</v>
      </c>
      <c r="D6" s="1"/>
      <c r="E6" s="1"/>
      <c r="F6" s="1"/>
      <c r="G6" s="1"/>
      <c r="H6" s="1"/>
      <c r="I6" s="1"/>
      <c r="J6" s="1"/>
      <c r="K6" s="1"/>
      <c r="L6" s="1"/>
      <c r="M6" s="1"/>
      <c r="N6" s="1"/>
      <c r="O6" s="1"/>
      <c r="P6" s="1"/>
      <c r="Q6" s="1"/>
      <c r="R6" s="1"/>
      <c r="S6" s="1"/>
      <c r="T6" s="1"/>
      <c r="U6" s="1"/>
      <c r="V6" s="1"/>
      <c r="W6" s="1"/>
      <c r="X6" s="1"/>
      <c r="Y6" s="1"/>
      <c r="Z6" s="1"/>
    </row>
    <row r="7">
      <c r="A7" s="1"/>
      <c r="B7" s="28"/>
      <c r="C7" s="28"/>
      <c r="D7" s="20"/>
      <c r="E7" s="28"/>
      <c r="F7" s="1"/>
      <c r="G7" s="1"/>
      <c r="H7" s="1"/>
      <c r="I7" s="1"/>
      <c r="J7" s="1"/>
      <c r="K7" s="1"/>
      <c r="L7" s="1"/>
      <c r="M7" s="1"/>
      <c r="N7" s="1"/>
      <c r="O7" s="1"/>
      <c r="P7" s="1"/>
      <c r="Q7" s="1"/>
      <c r="R7" s="1"/>
      <c r="S7" s="1"/>
      <c r="T7" s="1"/>
      <c r="U7" s="1"/>
      <c r="V7" s="1"/>
      <c r="W7" s="1"/>
      <c r="X7" s="1"/>
      <c r="Y7" s="1"/>
      <c r="Z7" s="1"/>
    </row>
    <row r="8">
      <c r="A8" s="1"/>
      <c r="B8" s="72" t="s">
        <v>48</v>
      </c>
      <c r="C8" s="73" t="s">
        <v>97</v>
      </c>
      <c r="D8" s="20"/>
      <c r="E8" s="21"/>
      <c r="F8" s="1"/>
      <c r="G8" s="1"/>
      <c r="H8" s="1"/>
      <c r="I8" s="1"/>
      <c r="J8" s="1"/>
      <c r="K8" s="1"/>
      <c r="L8" s="1"/>
      <c r="M8" s="1"/>
      <c r="N8" s="1"/>
      <c r="O8" s="1"/>
      <c r="P8" s="1"/>
      <c r="Q8" s="1"/>
      <c r="R8" s="1"/>
      <c r="S8" s="1"/>
      <c r="T8" s="1"/>
      <c r="U8" s="1"/>
      <c r="V8" s="1"/>
      <c r="W8" s="1"/>
      <c r="X8" s="1"/>
      <c r="Y8" s="1"/>
      <c r="Z8" s="1"/>
    </row>
    <row r="9">
      <c r="A9" s="1"/>
      <c r="B9" s="72" t="s">
        <v>49</v>
      </c>
      <c r="C9" s="73" t="s">
        <v>98</v>
      </c>
      <c r="D9" s="1"/>
      <c r="E9" s="1"/>
      <c r="F9" s="1"/>
      <c r="G9" s="1"/>
      <c r="H9" s="1"/>
      <c r="I9" s="1"/>
      <c r="J9" s="1"/>
      <c r="K9" s="1"/>
      <c r="L9" s="1"/>
      <c r="M9" s="1"/>
      <c r="N9" s="1"/>
      <c r="O9" s="1"/>
      <c r="P9" s="1"/>
      <c r="Q9" s="1"/>
      <c r="R9" s="1"/>
      <c r="S9" s="1"/>
      <c r="T9" s="1"/>
      <c r="U9" s="1"/>
      <c r="V9" s="1"/>
      <c r="W9" s="1"/>
      <c r="X9" s="1"/>
      <c r="Y9" s="1"/>
      <c r="Z9" s="1"/>
    </row>
    <row r="10">
      <c r="A10" s="1"/>
      <c r="B10" s="72" t="s">
        <v>12</v>
      </c>
      <c r="C10" s="73" t="s">
        <v>99</v>
      </c>
      <c r="D10" s="1"/>
      <c r="E10" s="1"/>
      <c r="F10" s="1"/>
      <c r="G10" s="1"/>
      <c r="H10" s="1"/>
      <c r="I10" s="1"/>
      <c r="J10" s="1"/>
      <c r="K10" s="1"/>
      <c r="L10" s="1"/>
      <c r="M10" s="1"/>
      <c r="N10" s="1"/>
      <c r="O10" s="1"/>
      <c r="P10" s="1"/>
      <c r="Q10" s="1"/>
      <c r="R10" s="1"/>
      <c r="S10" s="1"/>
      <c r="T10" s="1"/>
      <c r="U10" s="1"/>
      <c r="V10" s="1"/>
      <c r="W10" s="1"/>
      <c r="X10" s="1"/>
      <c r="Y10" s="1"/>
      <c r="Z10" s="1"/>
    </row>
    <row r="11">
      <c r="A11" s="1"/>
      <c r="B11" s="72" t="s">
        <v>13</v>
      </c>
      <c r="C11" s="73" t="s">
        <v>100</v>
      </c>
      <c r="D11" s="1"/>
      <c r="E11" s="1"/>
      <c r="F11" s="1"/>
      <c r="G11" s="1"/>
      <c r="H11" s="1"/>
      <c r="I11" s="1"/>
      <c r="J11" s="1"/>
      <c r="K11" s="1"/>
      <c r="L11" s="1"/>
      <c r="M11" s="1"/>
      <c r="N11" s="1"/>
      <c r="O11" s="1"/>
      <c r="P11" s="1"/>
      <c r="Q11" s="1"/>
      <c r="R11" s="1"/>
      <c r="S11" s="1"/>
      <c r="T11" s="1"/>
      <c r="U11" s="1"/>
      <c r="V11" s="1"/>
      <c r="W11" s="1"/>
      <c r="X11" s="1"/>
      <c r="Y11" s="1"/>
      <c r="Z11" s="1"/>
    </row>
    <row r="12">
      <c r="A12" s="1"/>
      <c r="B12" s="20"/>
      <c r="C12" s="74"/>
      <c r="D12" s="1"/>
      <c r="E12" s="1"/>
      <c r="F12" s="1"/>
      <c r="G12" s="1"/>
      <c r="H12" s="1"/>
      <c r="I12" s="1"/>
      <c r="J12" s="1"/>
      <c r="K12" s="1"/>
      <c r="L12" s="1"/>
      <c r="M12" s="1"/>
      <c r="N12" s="1"/>
      <c r="O12" s="1"/>
      <c r="P12" s="1"/>
      <c r="Q12" s="1"/>
      <c r="R12" s="1"/>
      <c r="S12" s="1"/>
      <c r="T12" s="1"/>
      <c r="U12" s="1"/>
      <c r="V12" s="1"/>
      <c r="W12" s="1"/>
      <c r="X12" s="1"/>
      <c r="Y12" s="1"/>
      <c r="Z12" s="1"/>
    </row>
    <row r="13">
      <c r="A13" s="1"/>
      <c r="B13" s="71" t="s">
        <v>101</v>
      </c>
      <c r="C13" s="1"/>
      <c r="D13" s="1"/>
      <c r="E13" s="1"/>
      <c r="F13" s="1"/>
      <c r="G13" s="1"/>
      <c r="H13" s="1"/>
      <c r="I13" s="1"/>
      <c r="J13" s="1"/>
      <c r="K13" s="1"/>
      <c r="L13" s="1"/>
      <c r="M13" s="1"/>
      <c r="N13" s="1"/>
      <c r="O13" s="1"/>
      <c r="P13" s="1"/>
      <c r="Q13" s="1"/>
      <c r="R13" s="1"/>
      <c r="S13" s="1"/>
      <c r="T13" s="1"/>
      <c r="U13" s="1"/>
      <c r="V13" s="1"/>
      <c r="W13" s="1"/>
      <c r="X13" s="1"/>
      <c r="Y13" s="1"/>
      <c r="Z13" s="1"/>
    </row>
    <row r="14">
      <c r="A14" s="1"/>
      <c r="B14" s="71" t="s">
        <v>93</v>
      </c>
      <c r="C14" s="75" t="s">
        <v>102</v>
      </c>
      <c r="D14" s="1"/>
      <c r="E14" s="1"/>
      <c r="F14" s="1"/>
      <c r="G14" s="1"/>
      <c r="H14" s="1"/>
      <c r="I14" s="1"/>
      <c r="J14" s="1"/>
      <c r="K14" s="1"/>
      <c r="L14" s="1"/>
      <c r="M14" s="1"/>
      <c r="N14" s="1"/>
      <c r="O14" s="1"/>
      <c r="P14" s="1"/>
      <c r="Q14" s="1"/>
      <c r="R14" s="1"/>
      <c r="S14" s="1"/>
      <c r="T14" s="1"/>
      <c r="U14" s="1"/>
      <c r="V14" s="1"/>
      <c r="W14" s="1"/>
      <c r="X14" s="1"/>
      <c r="Y14" s="1"/>
      <c r="Z14" s="1"/>
    </row>
    <row r="15">
      <c r="A15" s="1"/>
      <c r="B15" s="8" t="s">
        <v>95</v>
      </c>
      <c r="C15" s="8" t="s">
        <v>96</v>
      </c>
      <c r="D15" s="1"/>
      <c r="E15" s="1"/>
      <c r="F15" s="1"/>
      <c r="G15" s="1"/>
      <c r="H15" s="1"/>
      <c r="I15" s="1"/>
      <c r="J15" s="1"/>
      <c r="K15" s="1"/>
      <c r="L15" s="1"/>
      <c r="M15" s="1"/>
      <c r="N15" s="1"/>
      <c r="O15" s="1"/>
      <c r="P15" s="1"/>
      <c r="Q15" s="1"/>
      <c r="R15" s="1"/>
      <c r="S15" s="1"/>
      <c r="T15" s="1"/>
      <c r="U15" s="1"/>
      <c r="V15" s="1"/>
      <c r="W15" s="1"/>
      <c r="X15" s="1"/>
      <c r="Y15" s="1"/>
      <c r="Z15" s="1"/>
    </row>
    <row r="16">
      <c r="A16" s="1"/>
      <c r="B16" s="28"/>
      <c r="C16" s="28"/>
      <c r="D16" s="20"/>
      <c r="E16" s="28"/>
      <c r="F16" s="1"/>
      <c r="G16" s="1"/>
      <c r="H16" s="1"/>
      <c r="I16" s="1"/>
      <c r="J16" s="1"/>
      <c r="K16" s="1"/>
      <c r="L16" s="1"/>
      <c r="M16" s="1"/>
      <c r="N16" s="1"/>
      <c r="O16" s="1"/>
      <c r="P16" s="1"/>
      <c r="Q16" s="1"/>
      <c r="R16" s="1"/>
      <c r="S16" s="1"/>
      <c r="T16" s="1"/>
      <c r="U16" s="1"/>
      <c r="V16" s="1"/>
      <c r="W16" s="1"/>
      <c r="X16" s="1"/>
      <c r="Y16" s="1"/>
      <c r="Z16" s="1"/>
    </row>
    <row r="17">
      <c r="A17" s="1"/>
      <c r="B17" s="72" t="s">
        <v>46</v>
      </c>
      <c r="C17" s="73" t="s">
        <v>103</v>
      </c>
      <c r="D17" s="20"/>
      <c r="E17" s="21"/>
      <c r="F17" s="1"/>
      <c r="G17" s="1"/>
      <c r="H17" s="1"/>
      <c r="I17" s="1"/>
      <c r="J17" s="1"/>
      <c r="K17" s="1"/>
      <c r="L17" s="1"/>
      <c r="M17" s="1"/>
      <c r="N17" s="1"/>
      <c r="O17" s="1"/>
      <c r="P17" s="1"/>
      <c r="Q17" s="1"/>
      <c r="R17" s="1"/>
      <c r="S17" s="1"/>
      <c r="T17" s="1"/>
      <c r="U17" s="1"/>
      <c r="V17" s="1"/>
      <c r="W17" s="1"/>
      <c r="X17" s="1"/>
      <c r="Y17" s="1"/>
      <c r="Z17" s="1"/>
    </row>
    <row r="18">
      <c r="A18" s="1"/>
      <c r="B18" s="72" t="s">
        <v>47</v>
      </c>
      <c r="C18" s="73" t="s">
        <v>104</v>
      </c>
      <c r="D18" s="1"/>
      <c r="E18" s="1"/>
      <c r="F18" s="1"/>
      <c r="G18" s="1"/>
      <c r="H18" s="1"/>
      <c r="I18" s="1"/>
      <c r="J18" s="1"/>
      <c r="K18" s="1"/>
      <c r="L18" s="1"/>
      <c r="M18" s="1"/>
      <c r="N18" s="1"/>
      <c r="O18" s="1"/>
      <c r="P18" s="1"/>
      <c r="Q18" s="1"/>
      <c r="R18" s="1"/>
      <c r="S18" s="1"/>
      <c r="T18" s="1"/>
      <c r="U18" s="1"/>
      <c r="V18" s="1"/>
      <c r="W18" s="1"/>
      <c r="X18" s="1"/>
      <c r="Y18" s="1"/>
      <c r="Z18" s="1"/>
    </row>
    <row r="19">
      <c r="A19" s="1"/>
      <c r="B19" s="72" t="s">
        <v>48</v>
      </c>
      <c r="C19" s="73" t="s">
        <v>105</v>
      </c>
      <c r="D19" s="1"/>
      <c r="E19" s="1"/>
      <c r="F19" s="1"/>
      <c r="G19" s="1"/>
      <c r="H19" s="1"/>
      <c r="I19" s="1"/>
      <c r="J19" s="1"/>
      <c r="K19" s="1"/>
      <c r="L19" s="1"/>
      <c r="M19" s="1"/>
      <c r="N19" s="1"/>
      <c r="O19" s="1"/>
      <c r="P19" s="1"/>
      <c r="Q19" s="1"/>
      <c r="R19" s="1"/>
      <c r="S19" s="1"/>
      <c r="T19" s="1"/>
      <c r="U19" s="1"/>
      <c r="V19" s="1"/>
      <c r="W19" s="1"/>
      <c r="X19" s="1"/>
      <c r="Y19" s="1"/>
      <c r="Z19" s="1"/>
    </row>
    <row r="20">
      <c r="A20" s="1"/>
      <c r="B20" s="72" t="s">
        <v>49</v>
      </c>
      <c r="C20" s="73" t="s">
        <v>106</v>
      </c>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72" t="s">
        <v>12</v>
      </c>
      <c r="C21" s="73" t="s">
        <v>107</v>
      </c>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72" t="s">
        <v>50</v>
      </c>
      <c r="C22" s="73" t="s">
        <v>108</v>
      </c>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72" t="s">
        <v>13</v>
      </c>
      <c r="C23" s="73" t="s">
        <v>109</v>
      </c>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72" t="s">
        <v>5</v>
      </c>
      <c r="C24" s="73" t="s">
        <v>110</v>
      </c>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71" t="s">
        <v>111</v>
      </c>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71" t="s">
        <v>93</v>
      </c>
      <c r="C27" s="75" t="s">
        <v>112</v>
      </c>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8" t="s">
        <v>95</v>
      </c>
      <c r="C28" s="8" t="s">
        <v>96</v>
      </c>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28"/>
      <c r="C29" s="28"/>
      <c r="D29" s="20"/>
      <c r="E29" s="28"/>
      <c r="F29" s="1"/>
      <c r="G29" s="1"/>
      <c r="H29" s="1"/>
      <c r="I29" s="1"/>
      <c r="J29" s="1"/>
      <c r="K29" s="1"/>
      <c r="L29" s="1"/>
      <c r="M29" s="1"/>
      <c r="N29" s="1"/>
      <c r="O29" s="1"/>
      <c r="P29" s="1"/>
      <c r="Q29" s="1"/>
      <c r="R29" s="1"/>
      <c r="S29" s="1"/>
      <c r="T29" s="1"/>
      <c r="U29" s="1"/>
      <c r="V29" s="1"/>
      <c r="W29" s="1"/>
      <c r="X29" s="1"/>
      <c r="Y29" s="1"/>
      <c r="Z29" s="1"/>
    </row>
    <row r="30" ht="15.75" customHeight="1">
      <c r="A30" s="1"/>
      <c r="B30" s="72" t="s">
        <v>10</v>
      </c>
      <c r="C30" s="73" t="s">
        <v>113</v>
      </c>
      <c r="D30" s="20"/>
      <c r="E30" s="21"/>
      <c r="F30" s="1"/>
      <c r="G30" s="1"/>
      <c r="H30" s="1"/>
      <c r="I30" s="1"/>
      <c r="J30" s="1"/>
      <c r="K30" s="1"/>
      <c r="L30" s="1"/>
      <c r="M30" s="1"/>
      <c r="N30" s="1"/>
      <c r="O30" s="1"/>
      <c r="P30" s="1"/>
      <c r="Q30" s="1"/>
      <c r="R30" s="1"/>
      <c r="S30" s="1"/>
      <c r="T30" s="1"/>
      <c r="U30" s="1"/>
      <c r="V30" s="1"/>
      <c r="W30" s="1"/>
      <c r="X30" s="1"/>
      <c r="Y30" s="1"/>
      <c r="Z30" s="1"/>
    </row>
    <row r="31" ht="15.75" customHeight="1">
      <c r="A31" s="1"/>
      <c r="B31" s="72" t="s">
        <v>11</v>
      </c>
      <c r="C31" s="73" t="s">
        <v>105</v>
      </c>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72" t="s">
        <v>12</v>
      </c>
      <c r="C32" s="73" t="s">
        <v>107</v>
      </c>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72" t="s">
        <v>13</v>
      </c>
      <c r="C33" s="73" t="s">
        <v>109</v>
      </c>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72" t="s">
        <v>5</v>
      </c>
      <c r="C34" s="73" t="s">
        <v>114</v>
      </c>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