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omments1.xml" ContentType="application/vnd.openxmlformats-officedocument.spreadsheetml.comments+xml"/>
  <Override PartName="/xl/drawings/drawing8.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34d70f790fa1625c/CDO/3. Projecao de Crescimento/"/>
    </mc:Choice>
  </mc:AlternateContent>
  <xr:revisionPtr revIDLastSave="1573" documentId="8_{A7CE73BD-9519-6B4A-B32B-C78B13C732D3}" xr6:coauthVersionLast="45" xr6:coauthVersionMax="45" xr10:uidLastSave="{A34272BA-F7FC-6D46-90E3-4673C367150B}"/>
  <bookViews>
    <workbookView xWindow="28800" yWindow="0" windowWidth="38400" windowHeight="21600" activeTab="7" xr2:uid="{8FE80106-2E5C-A24D-AAF0-5D88437FEE2F}"/>
  </bookViews>
  <sheets>
    <sheet name="HOME" sheetId="1" r:id="rId1"/>
    <sheet name="ASSUMPTIONS" sheetId="6" r:id="rId2"/>
    <sheet name="INPUTS LEADS - Paid Traffic" sheetId="2" r:id="rId3"/>
    <sheet name="Source - Trafego Pago" sheetId="7" state="hidden" r:id="rId4"/>
    <sheet name="INPUTS LEADS - Organic Traffic" sheetId="3" r:id="rId5"/>
    <sheet name="Organic Traffic details" sheetId="11" state="hidden" r:id="rId6"/>
    <sheet name="Source - Trafego Organico" sheetId="8" state="hidden" r:id="rId7"/>
    <sheet name="OUTPUT - Sales Performance" sheetId="4" r:id="rId8"/>
    <sheet name="Projecao estudo Leads Organicos" sheetId="9" state="hidden" r:id="rId9"/>
    <sheet name="Projecao estudo Leads Email" sheetId="10" state="hidden" r:id="rId10"/>
  </sheets>
  <externalReferences>
    <externalReference r:id="rId11"/>
    <externalReference r:id="rId12"/>
  </externalReferences>
  <definedNames>
    <definedName name="_xlchart.v1.0" hidden="1">'Organic Traffic details'!$B$4</definedName>
    <definedName name="_xlchart.v1.1" hidden="1">'Organic Traffic details'!$B$5</definedName>
    <definedName name="_xlchart.v1.10" hidden="1">'Organic Traffic details'!$B$4</definedName>
    <definedName name="_xlchart.v1.11" hidden="1">'Organic Traffic details'!$B$5</definedName>
    <definedName name="_xlchart.v1.12" hidden="1">'Organic Traffic details'!$B$6</definedName>
    <definedName name="_xlchart.v1.13" hidden="1">'Organic Traffic details'!$B$7</definedName>
    <definedName name="_xlchart.v1.14" hidden="1">'Organic Traffic details'!$B$8</definedName>
    <definedName name="_xlchart.v1.15" hidden="1">'Organic Traffic details'!$C$4:$N$4</definedName>
    <definedName name="_xlchart.v1.16" hidden="1">'Organic Traffic details'!$C$5:$N$5</definedName>
    <definedName name="_xlchart.v1.17" hidden="1">'Organic Traffic details'!$C$6:$N$6</definedName>
    <definedName name="_xlchart.v1.18" hidden="1">'Organic Traffic details'!$C$7:$N$7</definedName>
    <definedName name="_xlchart.v1.19" hidden="1">'Organic Traffic details'!$C$8:$N$8</definedName>
    <definedName name="_xlchart.v1.2" hidden="1">'Organic Traffic details'!$B$6</definedName>
    <definedName name="_xlchart.v1.3" hidden="1">'Organic Traffic details'!$B$7</definedName>
    <definedName name="_xlchart.v1.4" hidden="1">'Organic Traffic details'!$B$8</definedName>
    <definedName name="_xlchart.v1.5" hidden="1">'Organic Traffic details'!$C$4:$N$4</definedName>
    <definedName name="_xlchart.v1.6" hidden="1">'Organic Traffic details'!$C$5:$N$5</definedName>
    <definedName name="_xlchart.v1.7" hidden="1">'Organic Traffic details'!$C$6:$N$6</definedName>
    <definedName name="_xlchart.v1.8" hidden="1">'Organic Traffic details'!$C$7:$N$7</definedName>
    <definedName name="_xlchart.v1.9" hidden="1">'Organic Traffic details'!$C$8:$N$8</definedName>
    <definedName name="solver_adj" localSheetId="9" hidden="1">'Projecao estudo Leads Email'!$C$21:$C$22</definedName>
    <definedName name="solver_adj" localSheetId="8" hidden="1">'Projecao estudo Leads Organicos'!$C$21:$C$22</definedName>
    <definedName name="solver_cvg" localSheetId="9" hidden="1">0.0001</definedName>
    <definedName name="solver_cvg" localSheetId="8" hidden="1">0.0001</definedName>
    <definedName name="solver_drv" localSheetId="9" hidden="1">1</definedName>
    <definedName name="solver_drv" localSheetId="8" hidden="1">1</definedName>
    <definedName name="solver_eng" localSheetId="9" hidden="1">1</definedName>
    <definedName name="solver_eng" localSheetId="8" hidden="1">1</definedName>
    <definedName name="solver_itr" localSheetId="9" hidden="1">2147483647</definedName>
    <definedName name="solver_itr" localSheetId="8" hidden="1">2147483647</definedName>
    <definedName name="solver_lhs1" localSheetId="9" hidden="1">'Projecao estudo Leads Email'!$C$23</definedName>
    <definedName name="solver_lhs1" localSheetId="8" hidden="1">'Projecao estudo Leads Organicos'!$C$23</definedName>
    <definedName name="solver_lin" localSheetId="9" hidden="1">2</definedName>
    <definedName name="solver_lin" localSheetId="8" hidden="1">2</definedName>
    <definedName name="solver_mip" localSheetId="9" hidden="1">2147483647</definedName>
    <definedName name="solver_mip" localSheetId="8" hidden="1">2147483647</definedName>
    <definedName name="solver_mni" localSheetId="9" hidden="1">30</definedName>
    <definedName name="solver_mni" localSheetId="8" hidden="1">30</definedName>
    <definedName name="solver_mrt" localSheetId="9" hidden="1">0.075</definedName>
    <definedName name="solver_mrt" localSheetId="8" hidden="1">0.075</definedName>
    <definedName name="solver_msl" localSheetId="9" hidden="1">2</definedName>
    <definedName name="solver_msl" localSheetId="8" hidden="1">2</definedName>
    <definedName name="solver_neg" localSheetId="9" hidden="1">1</definedName>
    <definedName name="solver_neg" localSheetId="8" hidden="1">1</definedName>
    <definedName name="solver_nod" localSheetId="9" hidden="1">2147483647</definedName>
    <definedName name="solver_nod" localSheetId="8" hidden="1">2147483647</definedName>
    <definedName name="solver_num" localSheetId="9" hidden="1">1</definedName>
    <definedName name="solver_num" localSheetId="8" hidden="1">1</definedName>
    <definedName name="solver_opt" localSheetId="9" hidden="1">'Projecao estudo Leads Email'!$C$43</definedName>
    <definedName name="solver_opt" localSheetId="8" hidden="1">'Projecao estudo Leads Organicos'!$C$43</definedName>
    <definedName name="solver_pre" localSheetId="9" hidden="1">0.000001</definedName>
    <definedName name="solver_pre" localSheetId="8" hidden="1">0.000001</definedName>
    <definedName name="solver_rbv" localSheetId="9" hidden="1">1</definedName>
    <definedName name="solver_rbv" localSheetId="8" hidden="1">1</definedName>
    <definedName name="solver_rel1" localSheetId="9" hidden="1">2</definedName>
    <definedName name="solver_rel1" localSheetId="8" hidden="1">2</definedName>
    <definedName name="solver_rhs1" localSheetId="9" hidden="1">1</definedName>
    <definedName name="solver_rhs1" localSheetId="8" hidden="1">1</definedName>
    <definedName name="solver_rlx" localSheetId="9" hidden="1">1</definedName>
    <definedName name="solver_rlx" localSheetId="8" hidden="1">1</definedName>
    <definedName name="solver_rsd" localSheetId="9" hidden="1">0</definedName>
    <definedName name="solver_rsd" localSheetId="8" hidden="1">0</definedName>
    <definedName name="solver_scl" localSheetId="9" hidden="1">2</definedName>
    <definedName name="solver_scl" localSheetId="8" hidden="1">2</definedName>
    <definedName name="solver_sho" localSheetId="9" hidden="1">2</definedName>
    <definedName name="solver_sho" localSheetId="8" hidden="1">2</definedName>
    <definedName name="solver_ssz" localSheetId="9" hidden="1">100</definedName>
    <definedName name="solver_ssz" localSheetId="8" hidden="1">100</definedName>
    <definedName name="solver_tim" localSheetId="9" hidden="1">2147483647</definedName>
    <definedName name="solver_tim" localSheetId="8" hidden="1">2147483647</definedName>
    <definedName name="solver_tol" localSheetId="9" hidden="1">0.01</definedName>
    <definedName name="solver_tol" localSheetId="8" hidden="1">0.01</definedName>
    <definedName name="solver_typ" localSheetId="9" hidden="1">2</definedName>
    <definedName name="solver_typ" localSheetId="8" hidden="1">2</definedName>
    <definedName name="solver_val" localSheetId="9" hidden="1">0</definedName>
    <definedName name="solver_val" localSheetId="8" hidden="1">0</definedName>
    <definedName name="solver_ver" localSheetId="9" hidden="1">2</definedName>
    <definedName name="solver_ver" localSheetId="8" hidden="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B22" i="2"/>
  <c r="B14" i="2"/>
  <c r="O18" i="3" l="1"/>
  <c r="O16" i="3" s="1"/>
  <c r="O26" i="2" l="1"/>
  <c r="P26" i="2" s="1"/>
  <c r="Q26" i="2" s="1"/>
  <c r="R26" i="2" s="1"/>
  <c r="S26" i="2" s="1"/>
  <c r="T26" i="2" s="1"/>
  <c r="U26" i="2" s="1"/>
  <c r="V26" i="2" s="1"/>
  <c r="W26" i="2" s="1"/>
  <c r="X26" i="2" s="1"/>
  <c r="Y26" i="2" s="1"/>
  <c r="Z26" i="2" s="1"/>
  <c r="O19" i="2"/>
  <c r="P19" i="2" s="1"/>
  <c r="Q19" i="2" s="1"/>
  <c r="R19" i="2" s="1"/>
  <c r="S19" i="2" s="1"/>
  <c r="T19" i="2" s="1"/>
  <c r="U19" i="2" s="1"/>
  <c r="V19" i="2" s="1"/>
  <c r="W19" i="2" s="1"/>
  <c r="X19" i="2" s="1"/>
  <c r="Y19" i="2" s="1"/>
  <c r="Z19" i="2" s="1"/>
  <c r="O18" i="2"/>
  <c r="P18" i="2" s="1"/>
  <c r="Q18" i="2" s="1"/>
  <c r="R18" i="2" s="1"/>
  <c r="S18" i="2" s="1"/>
  <c r="T18" i="2" s="1"/>
  <c r="U18" i="2" s="1"/>
  <c r="V18" i="2" s="1"/>
  <c r="W18" i="2" s="1"/>
  <c r="X18" i="2" s="1"/>
  <c r="Y18" i="2" s="1"/>
  <c r="Z18" i="2" s="1"/>
  <c r="O11" i="2"/>
  <c r="P11" i="2" s="1"/>
  <c r="Q11" i="2" s="1"/>
  <c r="R11" i="2" s="1"/>
  <c r="S11" i="2" s="1"/>
  <c r="T11" i="2" s="1"/>
  <c r="U11" i="2" s="1"/>
  <c r="V11" i="2" s="1"/>
  <c r="W11" i="2" s="1"/>
  <c r="X11" i="2" s="1"/>
  <c r="Y11" i="2" s="1"/>
  <c r="Z11" i="2" s="1"/>
  <c r="O10" i="2"/>
  <c r="P10" i="2" s="1"/>
  <c r="Q10" i="2" s="1"/>
  <c r="R10" i="2" s="1"/>
  <c r="S10" i="2" s="1"/>
  <c r="T10" i="2" s="1"/>
  <c r="U10" i="2" s="1"/>
  <c r="V10" i="2" s="1"/>
  <c r="W10" i="2" s="1"/>
  <c r="X10" i="2" s="1"/>
  <c r="Y10" i="2" s="1"/>
  <c r="Z10" i="2" s="1"/>
  <c r="O17" i="3"/>
  <c r="O11" i="3"/>
  <c r="Z20" i="4"/>
  <c r="Y20" i="4"/>
  <c r="X20" i="4"/>
  <c r="W20" i="4"/>
  <c r="V20" i="4"/>
  <c r="U20" i="4"/>
  <c r="T20" i="4"/>
  <c r="S20" i="4"/>
  <c r="R20" i="4"/>
  <c r="Q20" i="4"/>
  <c r="P20" i="4"/>
  <c r="O20" i="4"/>
  <c r="O27" i="2" l="1"/>
  <c r="C11" i="4"/>
  <c r="N9" i="4"/>
  <c r="N11" i="4" s="1"/>
  <c r="S10" i="4"/>
  <c r="R10" i="4"/>
  <c r="Q10" i="4"/>
  <c r="P10" i="4"/>
  <c r="P30" i="4"/>
  <c r="P15" i="4"/>
  <c r="Q15" i="4" s="1"/>
  <c r="O30" i="4"/>
  <c r="O25" i="4"/>
  <c r="P25" i="4" s="1"/>
  <c r="O15" i="4"/>
  <c r="O10" i="4"/>
  <c r="O29" i="2"/>
  <c r="P29" i="2" s="1"/>
  <c r="O21" i="2"/>
  <c r="P21" i="2" s="1"/>
  <c r="Q21" i="2" s="1"/>
  <c r="R21" i="2" s="1"/>
  <c r="S21" i="2" s="1"/>
  <c r="Q29" i="7"/>
  <c r="R26" i="7"/>
  <c r="R25" i="7"/>
  <c r="R24" i="7"/>
  <c r="R23" i="7"/>
  <c r="N24" i="7"/>
  <c r="N22" i="7"/>
  <c r="N21" i="7"/>
  <c r="O13" i="2"/>
  <c r="P13" i="2" s="1"/>
  <c r="P17" i="3"/>
  <c r="Q17" i="3" s="1"/>
  <c r="R17" i="3" s="1"/>
  <c r="S17" i="3" s="1"/>
  <c r="T17" i="3" s="1"/>
  <c r="U17" i="3" s="1"/>
  <c r="V17" i="3" s="1"/>
  <c r="W17" i="3" s="1"/>
  <c r="X17" i="3" s="1"/>
  <c r="Y17" i="3" s="1"/>
  <c r="Z17" i="3" s="1"/>
  <c r="Z12" i="3"/>
  <c r="Z24" i="4" s="1"/>
  <c r="Y12" i="3"/>
  <c r="Y24" i="4" s="1"/>
  <c r="X12" i="3"/>
  <c r="X24" i="4" s="1"/>
  <c r="W12" i="3"/>
  <c r="W24" i="4" s="1"/>
  <c r="V12" i="3"/>
  <c r="V24" i="4" s="1"/>
  <c r="U12" i="3"/>
  <c r="U24" i="4" s="1"/>
  <c r="T12" i="3"/>
  <c r="T24" i="4" s="1"/>
  <c r="S12" i="3"/>
  <c r="S24" i="4" s="1"/>
  <c r="R12" i="3"/>
  <c r="R24" i="4" s="1"/>
  <c r="Q12" i="3"/>
  <c r="Q24" i="4" s="1"/>
  <c r="P12" i="3"/>
  <c r="P24" i="4" s="1"/>
  <c r="O12" i="3"/>
  <c r="O24" i="4" s="1"/>
  <c r="N22" i="3"/>
  <c r="M22" i="3"/>
  <c r="L22" i="3"/>
  <c r="K22" i="3"/>
  <c r="J22" i="3"/>
  <c r="I22" i="3"/>
  <c r="H22" i="3"/>
  <c r="G22" i="3"/>
  <c r="F22" i="3"/>
  <c r="E22" i="3"/>
  <c r="D22" i="3"/>
  <c r="C22" i="3"/>
  <c r="P18" i="3"/>
  <c r="P29" i="4" s="1"/>
  <c r="Q18" i="3"/>
  <c r="Q29" i="4" s="1"/>
  <c r="R18" i="3"/>
  <c r="R29" i="4" s="1"/>
  <c r="S18" i="3"/>
  <c r="S29" i="4" s="1"/>
  <c r="T18" i="3"/>
  <c r="T29" i="4" s="1"/>
  <c r="U18" i="3"/>
  <c r="U29" i="4" s="1"/>
  <c r="V18" i="3"/>
  <c r="V29" i="4" s="1"/>
  <c r="W18" i="3"/>
  <c r="W29" i="4" s="1"/>
  <c r="X18" i="3"/>
  <c r="X29" i="4" s="1"/>
  <c r="Y18" i="3"/>
  <c r="Y29" i="4" s="1"/>
  <c r="Z18" i="3"/>
  <c r="Z29" i="4" s="1"/>
  <c r="O29" i="4"/>
  <c r="O31" i="4" s="1"/>
  <c r="E36" i="10"/>
  <c r="G36" i="10" s="1"/>
  <c r="I36" i="10" s="1"/>
  <c r="K36" i="10" s="1"/>
  <c r="D36" i="10"/>
  <c r="F36" i="10" s="1"/>
  <c r="H36" i="10" s="1"/>
  <c r="J36" i="10" s="1"/>
  <c r="C36" i="10"/>
  <c r="F35" i="10"/>
  <c r="H35" i="10" s="1"/>
  <c r="J35" i="10" s="1"/>
  <c r="E35" i="10"/>
  <c r="G35" i="10" s="1"/>
  <c r="I35" i="10" s="1"/>
  <c r="K35" i="10" s="1"/>
  <c r="D35" i="10"/>
  <c r="C35" i="10"/>
  <c r="G34" i="10"/>
  <c r="I34" i="10" s="1"/>
  <c r="K34" i="10" s="1"/>
  <c r="E34" i="10"/>
  <c r="C34" i="10"/>
  <c r="G33" i="10"/>
  <c r="I33" i="10" s="1"/>
  <c r="K33" i="10" s="1"/>
  <c r="E33" i="10"/>
  <c r="C33" i="10"/>
  <c r="I32" i="10"/>
  <c r="K32" i="10" s="1"/>
  <c r="G32" i="10"/>
  <c r="E32" i="10"/>
  <c r="C32" i="10"/>
  <c r="D34" i="10" s="1"/>
  <c r="F34" i="10" s="1"/>
  <c r="H34" i="10" s="1"/>
  <c r="J34" i="10" s="1"/>
  <c r="E31" i="10"/>
  <c r="C31" i="10"/>
  <c r="G31" i="10" s="1"/>
  <c r="I31" i="10" s="1"/>
  <c r="K31" i="10" s="1"/>
  <c r="E30" i="10"/>
  <c r="G30" i="10" s="1"/>
  <c r="I30" i="10" s="1"/>
  <c r="K30" i="10" s="1"/>
  <c r="C30" i="10"/>
  <c r="D32" i="10" s="1"/>
  <c r="F32" i="10" s="1"/>
  <c r="H32" i="10" s="1"/>
  <c r="J32" i="10" s="1"/>
  <c r="E29" i="10"/>
  <c r="G29" i="10" s="1"/>
  <c r="I29" i="10" s="1"/>
  <c r="K29" i="10" s="1"/>
  <c r="D29" i="10"/>
  <c r="F29" i="10" s="1"/>
  <c r="H29" i="10" s="1"/>
  <c r="J29" i="10" s="1"/>
  <c r="C29" i="10"/>
  <c r="D31" i="10" s="1"/>
  <c r="F31" i="10" s="1"/>
  <c r="H31" i="10" s="1"/>
  <c r="J31" i="10" s="1"/>
  <c r="E28" i="10"/>
  <c r="G28" i="10" s="1"/>
  <c r="I28" i="10" s="1"/>
  <c r="K28" i="10" s="1"/>
  <c r="D28" i="10"/>
  <c r="F28" i="10" s="1"/>
  <c r="C28" i="10"/>
  <c r="F27" i="10"/>
  <c r="E27" i="10"/>
  <c r="G27" i="10" s="1"/>
  <c r="D27" i="10"/>
  <c r="C27" i="10"/>
  <c r="C26" i="10"/>
  <c r="C25" i="10"/>
  <c r="C23" i="10"/>
  <c r="E36" i="9"/>
  <c r="G36" i="9" s="1"/>
  <c r="I36" i="9" s="1"/>
  <c r="K36" i="9" s="1"/>
  <c r="D36" i="9"/>
  <c r="F36" i="9" s="1"/>
  <c r="H36" i="9" s="1"/>
  <c r="J36" i="9" s="1"/>
  <c r="C36" i="9"/>
  <c r="E35" i="9"/>
  <c r="G35" i="9" s="1"/>
  <c r="I35" i="9" s="1"/>
  <c r="K35" i="9" s="1"/>
  <c r="C35" i="9"/>
  <c r="G34" i="9"/>
  <c r="I34" i="9" s="1"/>
  <c r="K34" i="9" s="1"/>
  <c r="E34" i="9"/>
  <c r="C34" i="9"/>
  <c r="G33" i="9"/>
  <c r="I33" i="9" s="1"/>
  <c r="K33" i="9" s="1"/>
  <c r="E33" i="9"/>
  <c r="C33" i="9"/>
  <c r="D35" i="9" s="1"/>
  <c r="F35" i="9" s="1"/>
  <c r="H35" i="9" s="1"/>
  <c r="J35" i="9" s="1"/>
  <c r="E32" i="9"/>
  <c r="G32" i="9" s="1"/>
  <c r="I32" i="9" s="1"/>
  <c r="K32" i="9" s="1"/>
  <c r="C32" i="9"/>
  <c r="D34" i="9" s="1"/>
  <c r="F34" i="9" s="1"/>
  <c r="H34" i="9" s="1"/>
  <c r="J34" i="9" s="1"/>
  <c r="E31" i="9"/>
  <c r="G31" i="9" s="1"/>
  <c r="I31" i="9" s="1"/>
  <c r="K31" i="9" s="1"/>
  <c r="C31" i="9"/>
  <c r="D33" i="9" s="1"/>
  <c r="F33" i="9" s="1"/>
  <c r="H33" i="9" s="1"/>
  <c r="J33" i="9" s="1"/>
  <c r="E30" i="9"/>
  <c r="G30" i="9" s="1"/>
  <c r="I30" i="9" s="1"/>
  <c r="K30" i="9" s="1"/>
  <c r="C30" i="9"/>
  <c r="D32" i="9" s="1"/>
  <c r="F32" i="9" s="1"/>
  <c r="H32" i="9" s="1"/>
  <c r="J32" i="9" s="1"/>
  <c r="E29" i="9"/>
  <c r="G29" i="9" s="1"/>
  <c r="I29" i="9" s="1"/>
  <c r="K29" i="9" s="1"/>
  <c r="D29" i="9"/>
  <c r="F29" i="9" s="1"/>
  <c r="H29" i="9" s="1"/>
  <c r="J29" i="9" s="1"/>
  <c r="C29" i="9"/>
  <c r="D30" i="9" s="1"/>
  <c r="F30" i="9" s="1"/>
  <c r="H30" i="9" s="1"/>
  <c r="J30" i="9" s="1"/>
  <c r="E28" i="9"/>
  <c r="G28" i="9" s="1"/>
  <c r="I28" i="9" s="1"/>
  <c r="K28" i="9" s="1"/>
  <c r="D28" i="9"/>
  <c r="F28" i="9" s="1"/>
  <c r="H28" i="9" s="1"/>
  <c r="J28" i="9" s="1"/>
  <c r="C28" i="9"/>
  <c r="E27" i="9"/>
  <c r="G27" i="9" s="1"/>
  <c r="C27" i="9"/>
  <c r="C26" i="9"/>
  <c r="D27" i="9" s="1"/>
  <c r="F27" i="9" s="1"/>
  <c r="C25" i="9"/>
  <c r="C23" i="9"/>
  <c r="N29" i="4"/>
  <c r="N31" i="4" s="1"/>
  <c r="M29" i="4"/>
  <c r="M31" i="4" s="1"/>
  <c r="L29" i="4"/>
  <c r="L31" i="4" s="1"/>
  <c r="K29" i="4"/>
  <c r="K31" i="4" s="1"/>
  <c r="J29" i="4"/>
  <c r="J31" i="4" s="1"/>
  <c r="I29" i="4"/>
  <c r="I31" i="4" s="1"/>
  <c r="H29" i="4"/>
  <c r="H31" i="4" s="1"/>
  <c r="G29" i="4"/>
  <c r="G31" i="4" s="1"/>
  <c r="F29" i="4"/>
  <c r="F31" i="4" s="1"/>
  <c r="E29" i="4"/>
  <c r="E31" i="4" s="1"/>
  <c r="D29" i="4"/>
  <c r="D31" i="4" s="1"/>
  <c r="C29" i="4"/>
  <c r="C31" i="4" s="1"/>
  <c r="C24" i="4"/>
  <c r="C26" i="4" s="1"/>
  <c r="N24" i="4"/>
  <c r="N26" i="4" s="1"/>
  <c r="M24" i="4"/>
  <c r="M26" i="4" s="1"/>
  <c r="L24" i="4"/>
  <c r="L26" i="4" s="1"/>
  <c r="K24" i="4"/>
  <c r="K26" i="4" s="1"/>
  <c r="J24" i="4"/>
  <c r="J26" i="4" s="1"/>
  <c r="I24" i="4"/>
  <c r="I26" i="4" s="1"/>
  <c r="H24" i="4"/>
  <c r="H26" i="4" s="1"/>
  <c r="G24" i="4"/>
  <c r="G26" i="4" s="1"/>
  <c r="F24" i="4"/>
  <c r="F26" i="4" s="1"/>
  <c r="E24" i="4"/>
  <c r="E26" i="4" s="1"/>
  <c r="D24" i="4"/>
  <c r="D26" i="4" s="1"/>
  <c r="N19" i="4"/>
  <c r="N21" i="4" s="1"/>
  <c r="M19" i="4"/>
  <c r="M21" i="4" s="1"/>
  <c r="L19" i="4"/>
  <c r="L21" i="4" s="1"/>
  <c r="K19" i="4"/>
  <c r="K21" i="4" s="1"/>
  <c r="J19" i="4"/>
  <c r="J21" i="4" s="1"/>
  <c r="I19" i="4"/>
  <c r="I21" i="4" s="1"/>
  <c r="H19" i="4"/>
  <c r="H21" i="4" s="1"/>
  <c r="G19" i="4"/>
  <c r="G21" i="4" s="1"/>
  <c r="F19" i="4"/>
  <c r="F21" i="4" s="1"/>
  <c r="E19" i="4"/>
  <c r="E21" i="4" s="1"/>
  <c r="D19" i="4"/>
  <c r="D21" i="4" s="1"/>
  <c r="C19" i="4"/>
  <c r="C21" i="4" s="1"/>
  <c r="N14" i="4"/>
  <c r="N16" i="4" s="1"/>
  <c r="M14" i="4"/>
  <c r="M16" i="4" s="1"/>
  <c r="L14" i="4"/>
  <c r="L16" i="4" s="1"/>
  <c r="K14" i="4"/>
  <c r="K16" i="4" s="1"/>
  <c r="J14" i="4"/>
  <c r="J16" i="4" s="1"/>
  <c r="I14" i="4"/>
  <c r="I16" i="4" s="1"/>
  <c r="H14" i="4"/>
  <c r="H16" i="4" s="1"/>
  <c r="G14" i="4"/>
  <c r="G16" i="4" s="1"/>
  <c r="F14" i="4"/>
  <c r="F16" i="4" s="1"/>
  <c r="E14" i="4"/>
  <c r="E16" i="4" s="1"/>
  <c r="D14" i="4"/>
  <c r="D16" i="4" s="1"/>
  <c r="C14" i="4"/>
  <c r="M9" i="4"/>
  <c r="M11" i="4" s="1"/>
  <c r="L9" i="4"/>
  <c r="K9" i="4"/>
  <c r="J9" i="4"/>
  <c r="I9" i="4"/>
  <c r="H9" i="4"/>
  <c r="G9" i="4"/>
  <c r="F9" i="4"/>
  <c r="F11" i="4" s="1"/>
  <c r="E9" i="4"/>
  <c r="E11" i="4" s="1"/>
  <c r="D9" i="4"/>
  <c r="D4" i="8"/>
  <c r="F6" i="8"/>
  <c r="F32" i="8"/>
  <c r="D32" i="8" s="1"/>
  <c r="C32" i="8" s="1"/>
  <c r="F31" i="8"/>
  <c r="D31" i="8" s="1"/>
  <c r="C31" i="8" s="1"/>
  <c r="F30" i="8"/>
  <c r="D30" i="8" s="1"/>
  <c r="C30" i="8" s="1"/>
  <c r="F29" i="8"/>
  <c r="D29" i="8" s="1"/>
  <c r="C29" i="8" s="1"/>
  <c r="F28" i="8"/>
  <c r="D28" i="8" s="1"/>
  <c r="C28" i="8" s="1"/>
  <c r="F27" i="8"/>
  <c r="D27" i="8" s="1"/>
  <c r="C27" i="8" s="1"/>
  <c r="F26" i="8"/>
  <c r="D26" i="8" s="1"/>
  <c r="C26" i="8" s="1"/>
  <c r="F25" i="8"/>
  <c r="D25" i="8"/>
  <c r="C25" i="8"/>
  <c r="F24" i="8"/>
  <c r="D24" i="8"/>
  <c r="C24" i="8"/>
  <c r="F23" i="8"/>
  <c r="D23" i="8" s="1"/>
  <c r="C23" i="8" s="1"/>
  <c r="F22" i="8"/>
  <c r="D22" i="8"/>
  <c r="C22" i="8" s="1"/>
  <c r="F21" i="8"/>
  <c r="D21" i="8"/>
  <c r="C21" i="8" s="1"/>
  <c r="F15" i="8"/>
  <c r="D15" i="8" s="1"/>
  <c r="C15" i="8" s="1"/>
  <c r="F14" i="8"/>
  <c r="D14" i="8" s="1"/>
  <c r="C14" i="8" s="1"/>
  <c r="F13" i="8"/>
  <c r="D13" i="8" s="1"/>
  <c r="C13" i="8" s="1"/>
  <c r="F12" i="8"/>
  <c r="D12" i="8"/>
  <c r="C12" i="8"/>
  <c r="F11" i="8"/>
  <c r="D11" i="8"/>
  <c r="C11" i="8"/>
  <c r="F10" i="8"/>
  <c r="D10" i="8"/>
  <c r="C10" i="8" s="1"/>
  <c r="F9" i="8"/>
  <c r="D9" i="8"/>
  <c r="C9" i="8" s="1"/>
  <c r="F8" i="8"/>
  <c r="D8" i="8"/>
  <c r="C8" i="8" s="1"/>
  <c r="F7" i="8"/>
  <c r="D7" i="8" s="1"/>
  <c r="C7" i="8" s="1"/>
  <c r="D6" i="8"/>
  <c r="C6" i="8" s="1"/>
  <c r="F5" i="8"/>
  <c r="D5" i="8" s="1"/>
  <c r="C5" i="8" s="1"/>
  <c r="F4" i="8"/>
  <c r="C4" i="8"/>
  <c r="N21" i="3"/>
  <c r="M21" i="3"/>
  <c r="L21" i="3"/>
  <c r="K21" i="3"/>
  <c r="J21" i="3"/>
  <c r="I21" i="3"/>
  <c r="H21" i="3"/>
  <c r="G21" i="3"/>
  <c r="F21" i="3"/>
  <c r="E21" i="3"/>
  <c r="D21" i="3"/>
  <c r="C21" i="3"/>
  <c r="N33" i="2"/>
  <c r="M33" i="2"/>
  <c r="L33" i="2"/>
  <c r="K33" i="2"/>
  <c r="J33" i="2"/>
  <c r="I33" i="2"/>
  <c r="H33" i="2"/>
  <c r="G33" i="2"/>
  <c r="F33" i="2"/>
  <c r="E33" i="2"/>
  <c r="D33" i="2"/>
  <c r="C33" i="2"/>
  <c r="C33" i="4" l="1"/>
  <c r="P31" i="4"/>
  <c r="R30" i="4"/>
  <c r="R31" i="4" s="1"/>
  <c r="Q30" i="4"/>
  <c r="Q31" i="4" s="1"/>
  <c r="O26" i="4"/>
  <c r="P26" i="4"/>
  <c r="G33" i="4"/>
  <c r="H33" i="4"/>
  <c r="K33" i="4"/>
  <c r="D33" i="4"/>
  <c r="L33" i="4"/>
  <c r="E33" i="4"/>
  <c r="M33" i="4"/>
  <c r="G11" i="4"/>
  <c r="G34" i="4" s="1"/>
  <c r="H11" i="4"/>
  <c r="H34" i="4" s="1"/>
  <c r="C16" i="4"/>
  <c r="C34" i="4" s="1"/>
  <c r="I33" i="4"/>
  <c r="J33" i="4"/>
  <c r="E34" i="4"/>
  <c r="M34" i="4"/>
  <c r="F34" i="4"/>
  <c r="N33" i="4"/>
  <c r="I11" i="4"/>
  <c r="I34" i="4" s="1"/>
  <c r="J11" i="4"/>
  <c r="J34" i="4" s="1"/>
  <c r="K11" i="4"/>
  <c r="K34" i="4" s="1"/>
  <c r="F33" i="4"/>
  <c r="D11" i="4"/>
  <c r="D34" i="4" s="1"/>
  <c r="L11" i="4"/>
  <c r="L34" i="4" s="1"/>
  <c r="O10" i="3"/>
  <c r="Y21" i="3"/>
  <c r="T16" i="3"/>
  <c r="W16" i="3"/>
  <c r="S16" i="3"/>
  <c r="V16" i="3"/>
  <c r="Z16" i="3"/>
  <c r="R16" i="3"/>
  <c r="U16" i="3"/>
  <c r="Y16" i="3"/>
  <c r="Q16" i="3"/>
  <c r="X16" i="3"/>
  <c r="P16" i="3"/>
  <c r="P11" i="3"/>
  <c r="Q11" i="3" s="1"/>
  <c r="R11" i="3" s="1"/>
  <c r="T27" i="2"/>
  <c r="T28" i="2" s="1"/>
  <c r="U27" i="2"/>
  <c r="U28" i="2" s="1"/>
  <c r="W27" i="2"/>
  <c r="W28" i="2" s="1"/>
  <c r="V27" i="2"/>
  <c r="V28" i="2" s="1"/>
  <c r="O28" i="2"/>
  <c r="O30" i="2" s="1"/>
  <c r="O19" i="4" s="1"/>
  <c r="O21" i="4" s="1"/>
  <c r="P27" i="2"/>
  <c r="P28" i="2" s="1"/>
  <c r="P30" i="2" s="1"/>
  <c r="P19" i="4" s="1"/>
  <c r="P21" i="4" s="1"/>
  <c r="Q27" i="2"/>
  <c r="Q28" i="2" s="1"/>
  <c r="R27" i="2"/>
  <c r="R28" i="2" s="1"/>
  <c r="S27" i="2"/>
  <c r="S28" i="2" s="1"/>
  <c r="U20" i="2"/>
  <c r="T32" i="2"/>
  <c r="T20" i="2"/>
  <c r="S20" i="2"/>
  <c r="S22" i="2" s="1"/>
  <c r="S14" i="4" s="1"/>
  <c r="O20" i="2"/>
  <c r="O22" i="2" s="1"/>
  <c r="O14" i="4" s="1"/>
  <c r="O16" i="4" s="1"/>
  <c r="P32" i="2"/>
  <c r="P20" i="2"/>
  <c r="P22" i="2" s="1"/>
  <c r="P14" i="4" s="1"/>
  <c r="P16" i="4" s="1"/>
  <c r="Q20" i="2"/>
  <c r="Q22" i="2" s="1"/>
  <c r="Q14" i="4" s="1"/>
  <c r="Q16" i="4" s="1"/>
  <c r="R20" i="2"/>
  <c r="R22" i="2" s="1"/>
  <c r="R14" i="4" s="1"/>
  <c r="R16" i="4" s="1"/>
  <c r="S12" i="2"/>
  <c r="S32" i="2"/>
  <c r="P12" i="2"/>
  <c r="P14" i="2" s="1"/>
  <c r="Q12" i="2"/>
  <c r="O12" i="2"/>
  <c r="O14" i="2" s="1"/>
  <c r="O9" i="4" s="1"/>
  <c r="R12" i="2"/>
  <c r="O32" i="2"/>
  <c r="Q32" i="2"/>
  <c r="R32" i="2"/>
  <c r="N34" i="4"/>
  <c r="Q25" i="4"/>
  <c r="Q26" i="4" s="1"/>
  <c r="R15" i="4"/>
  <c r="S15" i="4"/>
  <c r="Q29" i="2"/>
  <c r="R29" i="2" s="1"/>
  <c r="S29" i="2" s="1"/>
  <c r="T21" i="2"/>
  <c r="Q13" i="2"/>
  <c r="W21" i="3"/>
  <c r="U21" i="3"/>
  <c r="X21" i="3"/>
  <c r="P21" i="3"/>
  <c r="V21" i="3"/>
  <c r="Z21" i="3"/>
  <c r="R21" i="3"/>
  <c r="Q21" i="3"/>
  <c r="T21" i="3"/>
  <c r="O21" i="3"/>
  <c r="S21" i="3"/>
  <c r="D43" i="10"/>
  <c r="I27" i="10"/>
  <c r="D40" i="10"/>
  <c r="H28" i="10"/>
  <c r="J28" i="10" s="1"/>
  <c r="D30" i="10"/>
  <c r="F30" i="10" s="1"/>
  <c r="H30" i="10" s="1"/>
  <c r="J30" i="10" s="1"/>
  <c r="H27" i="10"/>
  <c r="D33" i="10"/>
  <c r="F33" i="10" s="1"/>
  <c r="H33" i="10" s="1"/>
  <c r="J33" i="10" s="1"/>
  <c r="D43" i="9"/>
  <c r="I27" i="9"/>
  <c r="D40" i="9"/>
  <c r="C40" i="9"/>
  <c r="H27" i="9"/>
  <c r="D31" i="9"/>
  <c r="F31" i="9" s="1"/>
  <c r="H31" i="9" s="1"/>
  <c r="J31" i="9" s="1"/>
  <c r="C32" i="2"/>
  <c r="J48" i="7"/>
  <c r="H48" i="7"/>
  <c r="G48" i="7" s="1"/>
  <c r="F48" i="7" s="1"/>
  <c r="J47" i="7"/>
  <c r="H47" i="7"/>
  <c r="G47" i="7"/>
  <c r="F47" i="7"/>
  <c r="J46" i="7"/>
  <c r="H46" i="7"/>
  <c r="G46" i="7" s="1"/>
  <c r="F46" i="7" s="1"/>
  <c r="J45" i="7"/>
  <c r="H45" i="7"/>
  <c r="G45" i="7"/>
  <c r="F45" i="7"/>
  <c r="J44" i="7"/>
  <c r="H44" i="7"/>
  <c r="G44" i="7"/>
  <c r="F44" i="7" s="1"/>
  <c r="J43" i="7"/>
  <c r="H43" i="7"/>
  <c r="G43" i="7"/>
  <c r="F43" i="7"/>
  <c r="J42" i="7"/>
  <c r="H42" i="7"/>
  <c r="G42" i="7"/>
  <c r="F42" i="7" s="1"/>
  <c r="J41" i="7"/>
  <c r="H41" i="7"/>
  <c r="G41" i="7"/>
  <c r="F41" i="7"/>
  <c r="J40" i="7"/>
  <c r="H40" i="7"/>
  <c r="G40" i="7"/>
  <c r="F40" i="7" s="1"/>
  <c r="J39" i="7"/>
  <c r="H39" i="7"/>
  <c r="G39" i="7"/>
  <c r="F39" i="7"/>
  <c r="J38" i="7"/>
  <c r="H38" i="7"/>
  <c r="G38" i="7"/>
  <c r="F38" i="7" s="1"/>
  <c r="J37" i="7"/>
  <c r="H37" i="7"/>
  <c r="G37" i="7"/>
  <c r="F37" i="7"/>
  <c r="E37" i="7"/>
  <c r="D37" i="7" s="1"/>
  <c r="J32" i="7"/>
  <c r="H32" i="7"/>
  <c r="G32" i="7"/>
  <c r="F32" i="7" s="1"/>
  <c r="D32" i="7" s="1"/>
  <c r="J31" i="7"/>
  <c r="H31" i="7"/>
  <c r="G31" i="7" s="1"/>
  <c r="F31" i="7" s="1"/>
  <c r="D31" i="7" s="1"/>
  <c r="J30" i="7"/>
  <c r="H30" i="7"/>
  <c r="G30" i="7"/>
  <c r="F30" i="7"/>
  <c r="D30" i="7"/>
  <c r="J29" i="7"/>
  <c r="H29" i="7"/>
  <c r="G29" i="7"/>
  <c r="F29" i="7"/>
  <c r="D29" i="7" s="1"/>
  <c r="J28" i="7"/>
  <c r="H28" i="7"/>
  <c r="G28" i="7"/>
  <c r="F28" i="7" s="1"/>
  <c r="D28" i="7" s="1"/>
  <c r="J27" i="7"/>
  <c r="H27" i="7"/>
  <c r="G27" i="7" s="1"/>
  <c r="F27" i="7" s="1"/>
  <c r="D27" i="7" s="1"/>
  <c r="J26" i="7"/>
  <c r="H26" i="7"/>
  <c r="G26" i="7"/>
  <c r="F26" i="7"/>
  <c r="D26" i="7"/>
  <c r="J25" i="7"/>
  <c r="H25" i="7"/>
  <c r="G25" i="7"/>
  <c r="F25" i="7"/>
  <c r="D25" i="7" s="1"/>
  <c r="J24" i="7"/>
  <c r="H24" i="7"/>
  <c r="G24" i="7"/>
  <c r="F24" i="7" s="1"/>
  <c r="D24" i="7" s="1"/>
  <c r="J23" i="7"/>
  <c r="H23" i="7"/>
  <c r="G23" i="7" s="1"/>
  <c r="F23" i="7" s="1"/>
  <c r="D23" i="7" s="1"/>
  <c r="J22" i="7"/>
  <c r="H22" i="7"/>
  <c r="G22" i="7"/>
  <c r="F22" i="7"/>
  <c r="D22" i="7"/>
  <c r="J21" i="7"/>
  <c r="H21" i="7"/>
  <c r="G21" i="7"/>
  <c r="F21" i="7"/>
  <c r="D21" i="7" s="1"/>
  <c r="J15" i="7"/>
  <c r="H15" i="7"/>
  <c r="G15" i="7"/>
  <c r="F15" i="7" s="1"/>
  <c r="D15" i="7" s="1"/>
  <c r="E15" i="7"/>
  <c r="E48" i="7" s="1"/>
  <c r="D48" i="7" s="1"/>
  <c r="J14" i="7"/>
  <c r="H14" i="7"/>
  <c r="G14" i="7"/>
  <c r="F14" i="7"/>
  <c r="E14" i="7"/>
  <c r="E47" i="7" s="1"/>
  <c r="D47" i="7" s="1"/>
  <c r="J13" i="7"/>
  <c r="H13" i="7"/>
  <c r="G13" i="7"/>
  <c r="F13" i="7" s="1"/>
  <c r="D13" i="7" s="1"/>
  <c r="E13" i="7"/>
  <c r="E46" i="7" s="1"/>
  <c r="J12" i="7"/>
  <c r="H12" i="7"/>
  <c r="G12" i="7"/>
  <c r="F12" i="7"/>
  <c r="E12" i="7"/>
  <c r="D12" i="7" s="1"/>
  <c r="J11" i="7"/>
  <c r="H11" i="7"/>
  <c r="G11" i="7"/>
  <c r="F11" i="7" s="1"/>
  <c r="D11" i="7" s="1"/>
  <c r="E11" i="7"/>
  <c r="E44" i="7" s="1"/>
  <c r="J10" i="7"/>
  <c r="H10" i="7"/>
  <c r="G10" i="7"/>
  <c r="F10" i="7"/>
  <c r="E10" i="7"/>
  <c r="E43" i="7" s="1"/>
  <c r="D43" i="7" s="1"/>
  <c r="J9" i="7"/>
  <c r="H9" i="7"/>
  <c r="G9" i="7"/>
  <c r="F9" i="7" s="1"/>
  <c r="D9" i="7" s="1"/>
  <c r="E9" i="7"/>
  <c r="E42" i="7" s="1"/>
  <c r="J8" i="7"/>
  <c r="H8" i="7"/>
  <c r="G8" i="7"/>
  <c r="F8" i="7"/>
  <c r="E8" i="7"/>
  <c r="D8" i="7" s="1"/>
  <c r="J7" i="7"/>
  <c r="H7" i="7"/>
  <c r="G7" i="7"/>
  <c r="F7" i="7" s="1"/>
  <c r="D7" i="7" s="1"/>
  <c r="E7" i="7"/>
  <c r="E40" i="7" s="1"/>
  <c r="D40" i="7" s="1"/>
  <c r="J6" i="7"/>
  <c r="H6" i="7"/>
  <c r="G6" i="7"/>
  <c r="F6" i="7"/>
  <c r="E6" i="7"/>
  <c r="D6" i="7" s="1"/>
  <c r="J5" i="7"/>
  <c r="H5" i="7"/>
  <c r="G5" i="7"/>
  <c r="F5" i="7" s="1"/>
  <c r="D5" i="7" s="1"/>
  <c r="E5" i="7"/>
  <c r="E38" i="7" s="1"/>
  <c r="D38" i="7" s="1"/>
  <c r="J4" i="7"/>
  <c r="H4" i="7"/>
  <c r="G4" i="7"/>
  <c r="F4" i="7"/>
  <c r="D4" i="7"/>
  <c r="S30" i="4" l="1"/>
  <c r="S31" i="4" s="1"/>
  <c r="S16" i="4"/>
  <c r="O22" i="3"/>
  <c r="Q10" i="3"/>
  <c r="Q22" i="3" s="1"/>
  <c r="P10" i="3"/>
  <c r="P22" i="3" s="1"/>
  <c r="S11" i="3"/>
  <c r="R10" i="3"/>
  <c r="R22" i="3" s="1"/>
  <c r="U32" i="2"/>
  <c r="V20" i="2"/>
  <c r="T12" i="2"/>
  <c r="U12" i="2"/>
  <c r="X27" i="2"/>
  <c r="X28" i="2" s="1"/>
  <c r="P9" i="4"/>
  <c r="P33" i="2"/>
  <c r="O11" i="4"/>
  <c r="O34" i="4" s="1"/>
  <c r="O33" i="4"/>
  <c r="V12" i="2"/>
  <c r="T30" i="4"/>
  <c r="T31" i="4" s="1"/>
  <c r="R25" i="4"/>
  <c r="R26" i="4" s="1"/>
  <c r="T15" i="4"/>
  <c r="U15" i="4" s="1"/>
  <c r="T10" i="4"/>
  <c r="U10" i="4"/>
  <c r="T29" i="2"/>
  <c r="S30" i="2"/>
  <c r="S19" i="4" s="1"/>
  <c r="S21" i="4" s="1"/>
  <c r="R30" i="2"/>
  <c r="R19" i="4" s="1"/>
  <c r="R21" i="4" s="1"/>
  <c r="Q30" i="2"/>
  <c r="U21" i="2"/>
  <c r="T22" i="2"/>
  <c r="T14" i="4" s="1"/>
  <c r="V32" i="2"/>
  <c r="O33" i="2"/>
  <c r="R13" i="2"/>
  <c r="Q14" i="2"/>
  <c r="Q9" i="4" s="1"/>
  <c r="J32" i="2"/>
  <c r="K32" i="2"/>
  <c r="D32" i="2"/>
  <c r="L32" i="2"/>
  <c r="M32" i="2"/>
  <c r="N32" i="2"/>
  <c r="G32" i="2"/>
  <c r="F32" i="2"/>
  <c r="H32" i="2"/>
  <c r="E32" i="2"/>
  <c r="I32" i="2"/>
  <c r="C40" i="10"/>
  <c r="J27" i="10"/>
  <c r="C41" i="10" s="1"/>
  <c r="C42" i="10"/>
  <c r="C43" i="10"/>
  <c r="K27" i="10"/>
  <c r="D41" i="10" s="1"/>
  <c r="D42" i="10"/>
  <c r="J27" i="9"/>
  <c r="C41" i="9" s="1"/>
  <c r="C42" i="9"/>
  <c r="K27" i="9"/>
  <c r="D41" i="9" s="1"/>
  <c r="D42" i="9"/>
  <c r="C43" i="9"/>
  <c r="D42" i="7"/>
  <c r="D46" i="7"/>
  <c r="D44" i="7"/>
  <c r="E39" i="7"/>
  <c r="D39" i="7" s="1"/>
  <c r="D10" i="7"/>
  <c r="D14" i="7"/>
  <c r="E41" i="7"/>
  <c r="D41" i="7" s="1"/>
  <c r="E45" i="7"/>
  <c r="D45" i="7" s="1"/>
  <c r="U30" i="4" l="1"/>
  <c r="U31" i="4" s="1"/>
  <c r="V30" i="4"/>
  <c r="V31" i="4" s="1"/>
  <c r="T16" i="4"/>
  <c r="W20" i="2"/>
  <c r="T11" i="3"/>
  <c r="S10" i="3"/>
  <c r="S22" i="3" s="1"/>
  <c r="Q33" i="2"/>
  <c r="Q19" i="4"/>
  <c r="Q21" i="4" s="1"/>
  <c r="Y27" i="2"/>
  <c r="Y28" i="2" s="1"/>
  <c r="Q11" i="4"/>
  <c r="W12" i="2"/>
  <c r="P11" i="4"/>
  <c r="P34" i="4" s="1"/>
  <c r="P33" i="4"/>
  <c r="W30" i="4"/>
  <c r="W31" i="4" s="1"/>
  <c r="S25" i="4"/>
  <c r="S26" i="4" s="1"/>
  <c r="V15" i="4"/>
  <c r="V10" i="4"/>
  <c r="W10" i="4" s="1"/>
  <c r="U29" i="2"/>
  <c r="T30" i="2"/>
  <c r="T19" i="4" s="1"/>
  <c r="T21" i="4" s="1"/>
  <c r="U22" i="2"/>
  <c r="U14" i="4" s="1"/>
  <c r="U16" i="4" s="1"/>
  <c r="V21" i="2"/>
  <c r="W32" i="2"/>
  <c r="X20" i="2"/>
  <c r="S13" i="2"/>
  <c r="R14" i="2"/>
  <c r="R9" i="4" s="1"/>
  <c r="R33" i="2" l="1"/>
  <c r="Q33" i="4"/>
  <c r="Q34" i="4"/>
  <c r="U11" i="3"/>
  <c r="T10" i="3"/>
  <c r="T22" i="3" s="1"/>
  <c r="Z27" i="2"/>
  <c r="Z28" i="2" s="1"/>
  <c r="R33" i="4"/>
  <c r="R11" i="4"/>
  <c r="R34" i="4" s="1"/>
  <c r="X12" i="2"/>
  <c r="X30" i="4"/>
  <c r="T25" i="4"/>
  <c r="T26" i="4" s="1"/>
  <c r="W15" i="4"/>
  <c r="X10" i="4"/>
  <c r="U30" i="2"/>
  <c r="U19" i="4" s="1"/>
  <c r="U21" i="4" s="1"/>
  <c r="V29" i="2"/>
  <c r="V22" i="2"/>
  <c r="V14" i="4" s="1"/>
  <c r="V16" i="4" s="1"/>
  <c r="W21" i="2"/>
  <c r="Y20" i="2"/>
  <c r="X32" i="2"/>
  <c r="T13" i="2"/>
  <c r="S14" i="2"/>
  <c r="S9" i="4" s="1"/>
  <c r="Y30" i="4" l="1"/>
  <c r="Y31" i="4" s="1"/>
  <c r="X31" i="4"/>
  <c r="U25" i="4"/>
  <c r="U26" i="4" s="1"/>
  <c r="S33" i="2"/>
  <c r="V11" i="3"/>
  <c r="U10" i="3"/>
  <c r="U22" i="3" s="1"/>
  <c r="Z12" i="2"/>
  <c r="Y12" i="2"/>
  <c r="S11" i="4"/>
  <c r="S34" i="4" s="1"/>
  <c r="S33" i="4"/>
  <c r="V25" i="4"/>
  <c r="V26" i="4" s="1"/>
  <c r="X15" i="4"/>
  <c r="Y10" i="4"/>
  <c r="Z10" i="4" s="1"/>
  <c r="V30" i="2"/>
  <c r="V19" i="4" s="1"/>
  <c r="V21" i="4" s="1"/>
  <c r="W29" i="2"/>
  <c r="X21" i="2"/>
  <c r="W22" i="2"/>
  <c r="W14" i="4" s="1"/>
  <c r="W16" i="4" s="1"/>
  <c r="Y32" i="2"/>
  <c r="U13" i="2"/>
  <c r="T14" i="2"/>
  <c r="T9" i="4" s="1"/>
  <c r="Z30" i="4" l="1"/>
  <c r="Z31" i="4" s="1"/>
  <c r="W11" i="3"/>
  <c r="V10" i="3"/>
  <c r="V22" i="3" s="1"/>
  <c r="T33" i="2"/>
  <c r="Z32" i="2"/>
  <c r="Z20" i="2"/>
  <c r="T33" i="4"/>
  <c r="T11" i="4"/>
  <c r="T34" i="4" s="1"/>
  <c r="W25" i="4"/>
  <c r="W26" i="4" s="1"/>
  <c r="Y15" i="4"/>
  <c r="Z15" i="4" s="1"/>
  <c r="W30" i="2"/>
  <c r="W19" i="4" s="1"/>
  <c r="W21" i="4" s="1"/>
  <c r="X29" i="2"/>
  <c r="Y21" i="2"/>
  <c r="X22" i="2"/>
  <c r="X14" i="4" s="1"/>
  <c r="X16" i="4" s="1"/>
  <c r="V13" i="2"/>
  <c r="U14" i="2"/>
  <c r="U9" i="4" s="1"/>
  <c r="X25" i="4" l="1"/>
  <c r="X26" i="4" s="1"/>
  <c r="U33" i="2"/>
  <c r="X11" i="3"/>
  <c r="W10" i="3"/>
  <c r="W22" i="3" s="1"/>
  <c r="U33" i="4"/>
  <c r="U11" i="4"/>
  <c r="U34" i="4" s="1"/>
  <c r="Y25" i="4"/>
  <c r="X30" i="2"/>
  <c r="X19" i="4" s="1"/>
  <c r="X21" i="4" s="1"/>
  <c r="Y29" i="2"/>
  <c r="Z21" i="2"/>
  <c r="Z22" i="2" s="1"/>
  <c r="Z14" i="4" s="1"/>
  <c r="Z16" i="4" s="1"/>
  <c r="Y22" i="2"/>
  <c r="Y14" i="4" s="1"/>
  <c r="Y16" i="4" s="1"/>
  <c r="W13" i="2"/>
  <c r="V14" i="2"/>
  <c r="V9" i="4" s="1"/>
  <c r="Z25" i="4" l="1"/>
  <c r="Z26" i="4" s="1"/>
  <c r="Y26" i="4"/>
  <c r="V33" i="2"/>
  <c r="Y11" i="3"/>
  <c r="X10" i="3"/>
  <c r="X22" i="3" s="1"/>
  <c r="V33" i="4"/>
  <c r="V11" i="4"/>
  <c r="V34" i="4" s="1"/>
  <c r="Z29" i="2"/>
  <c r="Z30" i="2" s="1"/>
  <c r="Z19" i="4" s="1"/>
  <c r="Z21" i="4" s="1"/>
  <c r="Y30" i="2"/>
  <c r="Y19" i="4" s="1"/>
  <c r="Y21" i="4" s="1"/>
  <c r="X13" i="2"/>
  <c r="W14" i="2"/>
  <c r="W9" i="4" s="1"/>
  <c r="W33" i="2" l="1"/>
  <c r="Z11" i="3"/>
  <c r="Z10" i="3" s="1"/>
  <c r="Z22" i="3" s="1"/>
  <c r="Y10" i="3"/>
  <c r="Y22" i="3" s="1"/>
  <c r="W33" i="4"/>
  <c r="W11" i="4"/>
  <c r="W34" i="4" s="1"/>
  <c r="Y13" i="2"/>
  <c r="X14" i="2"/>
  <c r="X9" i="4" s="1"/>
  <c r="X33" i="2" l="1"/>
  <c r="X11" i="4"/>
  <c r="X34" i="4" s="1"/>
  <c r="X33" i="4"/>
  <c r="Z13" i="2"/>
  <c r="Z14" i="2" s="1"/>
  <c r="Z9" i="4" s="1"/>
  <c r="Y14" i="2"/>
  <c r="Y9" i="4" s="1"/>
  <c r="Z33" i="2"/>
  <c r="Y33" i="4" l="1"/>
  <c r="Y11" i="4"/>
  <c r="Y34" i="4" s="1"/>
  <c r="Z33" i="4"/>
  <c r="Z11" i="4"/>
  <c r="Z34" i="4" s="1"/>
  <c r="Y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0" authorId="0" shapeId="0" xr:uid="{04E7E662-40C6-F34C-9AE0-33575B24EDCD}">
      <text>
        <r>
          <rPr>
            <b/>
            <sz val="10"/>
            <color rgb="FF000000"/>
            <rFont val="Tahoma"/>
            <family val="2"/>
          </rPr>
          <t>Microsoft Office User:</t>
        </r>
        <r>
          <rPr>
            <sz val="10"/>
            <color rgb="FF000000"/>
            <rFont val="Tahoma"/>
            <family val="2"/>
          </rPr>
          <t xml:space="preserve">
</t>
        </r>
        <r>
          <rPr>
            <sz val="10"/>
            <color rgb="FF000000"/>
            <rFont val="Tahoma"/>
            <family val="2"/>
          </rPr>
          <t>Subestimado</t>
        </r>
      </text>
    </comment>
    <comment ref="D40" authorId="0" shapeId="0" xr:uid="{35F286BB-DE72-8F44-BE3A-93FD841621AF}">
      <text>
        <r>
          <rPr>
            <b/>
            <sz val="10"/>
            <color rgb="FF000000"/>
            <rFont val="Tahoma"/>
            <family val="2"/>
          </rPr>
          <t>Microsoft Office User:</t>
        </r>
        <r>
          <rPr>
            <sz val="10"/>
            <color rgb="FF000000"/>
            <rFont val="Tahoma"/>
            <family val="2"/>
          </rPr>
          <t xml:space="preserve">
</t>
        </r>
        <r>
          <rPr>
            <sz val="10"/>
            <color rgb="FF000000"/>
            <rFont val="Tahoma"/>
            <family val="2"/>
          </rPr>
          <t>Superestimado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40" authorId="0" shapeId="0" xr:uid="{8B06A700-2E39-1B41-8719-E8A8D4B8B25C}">
      <text>
        <r>
          <rPr>
            <b/>
            <sz val="10"/>
            <color rgb="FF000000"/>
            <rFont val="Tahoma"/>
            <family val="2"/>
          </rPr>
          <t>Microsoft Office User:</t>
        </r>
        <r>
          <rPr>
            <sz val="10"/>
            <color rgb="FF000000"/>
            <rFont val="Tahoma"/>
            <family val="2"/>
          </rPr>
          <t xml:space="preserve">
</t>
        </r>
        <r>
          <rPr>
            <sz val="10"/>
            <color rgb="FF000000"/>
            <rFont val="Tahoma"/>
            <family val="2"/>
          </rPr>
          <t>Subestimado</t>
        </r>
      </text>
    </comment>
    <comment ref="D40" authorId="0" shapeId="0" xr:uid="{B915D9F8-6CEB-C14D-9982-BBC2269A6D30}">
      <text>
        <r>
          <rPr>
            <b/>
            <sz val="10"/>
            <color rgb="FF000000"/>
            <rFont val="Tahoma"/>
            <family val="2"/>
          </rPr>
          <t>Microsoft Office User:</t>
        </r>
        <r>
          <rPr>
            <sz val="10"/>
            <color rgb="FF000000"/>
            <rFont val="Tahoma"/>
            <family val="2"/>
          </rPr>
          <t xml:space="preserve">
</t>
        </r>
        <r>
          <rPr>
            <sz val="10"/>
            <color rgb="FF000000"/>
            <rFont val="Tahoma"/>
            <family val="2"/>
          </rPr>
          <t>Superestimado</t>
        </r>
      </text>
    </comment>
  </commentList>
</comments>
</file>

<file path=xl/sharedStrings.xml><?xml version="1.0" encoding="utf-8"?>
<sst xmlns="http://schemas.openxmlformats.org/spreadsheetml/2006/main" count="376" uniqueCount="137">
  <si>
    <t>1. Google Search</t>
  </si>
  <si>
    <t>Clicks</t>
  </si>
  <si>
    <t>2. Google Display</t>
  </si>
  <si>
    <t>3. Facebook</t>
  </si>
  <si>
    <t>TOTAL LEADS</t>
  </si>
  <si>
    <t>SEARCH</t>
  </si>
  <si>
    <t>Data</t>
  </si>
  <si>
    <t>Campanha</t>
  </si>
  <si>
    <t>Custo</t>
  </si>
  <si>
    <t>CPC</t>
  </si>
  <si>
    <t>Click</t>
  </si>
  <si>
    <t>Usuários</t>
  </si>
  <si>
    <t>Sessóes</t>
  </si>
  <si>
    <t>Taxa de conversão</t>
  </si>
  <si>
    <t>Conclusões da meta 1</t>
  </si>
  <si>
    <t>Leads</t>
  </si>
  <si>
    <t>2017-06</t>
  </si>
  <si>
    <t>SEARCH-1</t>
  </si>
  <si>
    <t>2017-07</t>
  </si>
  <si>
    <t>2017-08</t>
  </si>
  <si>
    <t>2017-09</t>
  </si>
  <si>
    <t>2017-10</t>
  </si>
  <si>
    <t>2017-11</t>
  </si>
  <si>
    <t>2017-12</t>
  </si>
  <si>
    <t>2018-01</t>
  </si>
  <si>
    <t>2018-02</t>
  </si>
  <si>
    <t>2018-03</t>
  </si>
  <si>
    <t>2018-04</t>
  </si>
  <si>
    <t>2018-05</t>
  </si>
  <si>
    <t>DISPLAY</t>
  </si>
  <si>
    <t>DISPLAY-1</t>
  </si>
  <si>
    <t>OTHER- FACEBOOK</t>
  </si>
  <si>
    <t>FACE-ADS-1</t>
  </si>
  <si>
    <t>1. Email</t>
  </si>
  <si>
    <t>2. Outros</t>
  </si>
  <si>
    <t>EMAIL</t>
  </si>
  <si>
    <t>OUTROS</t>
  </si>
  <si>
    <t>4. Email</t>
  </si>
  <si>
    <t>LEAD ORGANICO</t>
  </si>
  <si>
    <t>Mes</t>
  </si>
  <si>
    <t>Leads Organicas</t>
  </si>
  <si>
    <t>Exponential Smoothing</t>
  </si>
  <si>
    <t>Coeficientes de Regressao</t>
  </si>
  <si>
    <t>Alfa mes (-2)</t>
  </si>
  <si>
    <t>a</t>
  </si>
  <si>
    <t>Alfa mes anterior (-1)</t>
  </si>
  <si>
    <t>c</t>
  </si>
  <si>
    <t>Previsao Exponential smoothing</t>
  </si>
  <si>
    <t>Regressao Linear</t>
  </si>
  <si>
    <t>Erro Exp. Smoothing</t>
  </si>
  <si>
    <t>Erro Regressao Linear</t>
  </si>
  <si>
    <t>Abs. Error Exp. Smoothing</t>
  </si>
  <si>
    <t>Abs. Error Regressao Linear</t>
  </si>
  <si>
    <t>Abs Error % Exp. Smoothing</t>
  </si>
  <si>
    <t>Abs Error % Regressao Linear</t>
  </si>
  <si>
    <t>Metricas de Avaliacao</t>
  </si>
  <si>
    <t>Exp. Smoothing</t>
  </si>
  <si>
    <t>Bias Forecast Error</t>
  </si>
  <si>
    <t>MAPE</t>
  </si>
  <si>
    <t>nao gosto dessa metrica</t>
  </si>
  <si>
    <t>MAE</t>
  </si>
  <si>
    <t>melhor metrica</t>
  </si>
  <si>
    <t>RMSE</t>
  </si>
  <si>
    <t>MAE esta igual aplicar a RSME</t>
  </si>
  <si>
    <t>Regressao linear e o melhor metodo para fazer as projecoes</t>
  </si>
  <si>
    <t>b</t>
  </si>
  <si>
    <t>TOTAL SESSIONS</t>
  </si>
  <si>
    <t>FACEBOOK</t>
  </si>
  <si>
    <t>MEDIA</t>
  </si>
  <si>
    <t>DESVIO PADRAO</t>
  </si>
  <si>
    <t>CPC PREVISTO</t>
  </si>
  <si>
    <t>METODOLOGIA 1 - NAO GOSTO</t>
  </si>
  <si>
    <t>LIMIAR</t>
  </si>
  <si>
    <t>VALOR CPC</t>
  </si>
  <si>
    <t>PROBABILIDADE</t>
  </si>
  <si>
    <t>% AUMENTO DO CPC</t>
  </si>
  <si>
    <t>CPC ESPERADO</t>
  </si>
  <si>
    <t>METODO 3 - PROBABILIDADE DISCRETA - USAR APENAS EM BLACK FRIDAY AND CYBER MONDAY (PORQUE ELE SO CONSIDERADA A PROBABILIDADE, NAO CONSIDERA O AUMENTO DO INVESTIMENTO EM CLICKS)</t>
  </si>
  <si>
    <t>USAR APENAS NOS MESES DE NOVEMBRO NA SAZONALIDADE</t>
  </si>
  <si>
    <t>METODO 4 - GESTOR DE TRAFEFO DA UM CHUTE EDUCADO</t>
  </si>
  <si>
    <t>PROPOR UMA FUNCAO BASEADOO NO INVESTIMENTO</t>
  </si>
  <si>
    <t>REGRINHA DE 3</t>
  </si>
  <si>
    <t>X% DE CRESCIMENTO EM ORCAMENTO = Y% DE CRESCIMENTO EM CPC</t>
  </si>
  <si>
    <t>FUNCIONA BEM PARA EMPRESAS PEQUENAS/MEDIAS</t>
  </si>
  <si>
    <t>Total Leads</t>
  </si>
  <si>
    <t>karlajordania@gmail.com</t>
  </si>
  <si>
    <t>Assumptions</t>
  </si>
  <si>
    <t>Karla Giordan</t>
  </si>
  <si>
    <t>GOOGLE SEARCH</t>
  </si>
  <si>
    <t>GOOGLE DISPLAY</t>
  </si>
  <si>
    <t>Forecast E-commerce</t>
  </si>
  <si>
    <t>Author:</t>
  </si>
  <si>
    <t>Contact</t>
  </si>
  <si>
    <t>Date Last Updated:</t>
  </si>
  <si>
    <t>Description:</t>
  </si>
  <si>
    <t>Forecst E-commerce (Olist) from June 2018 to May 2019</t>
  </si>
  <si>
    <t>Forecast leads by channels</t>
  </si>
  <si>
    <t>Shortcuts</t>
  </si>
  <si>
    <t>Leads - Paid Traffic</t>
  </si>
  <si>
    <t>Leads - Organic Traffic</t>
  </si>
  <si>
    <t>Sales Performance</t>
  </si>
  <si>
    <t>ORGANIC</t>
  </si>
  <si>
    <t>Linear Regression - Email</t>
  </si>
  <si>
    <t>Website Conversion rate</t>
  </si>
  <si>
    <t>Website Conversion Rate</t>
  </si>
  <si>
    <t>Investment increase rate</t>
  </si>
  <si>
    <t>CPC increase rate</t>
  </si>
  <si>
    <t>Linear Regression - Facebook</t>
  </si>
  <si>
    <t>Convertion Rate</t>
  </si>
  <si>
    <t>Sales</t>
  </si>
  <si>
    <t>Convertion rate (except facebook)</t>
  </si>
  <si>
    <t>average from the last 3 months</t>
  </si>
  <si>
    <t>Paid Traffic</t>
  </si>
  <si>
    <t>Investment Search</t>
  </si>
  <si>
    <t>Convertion rate</t>
  </si>
  <si>
    <t>Investment Display</t>
  </si>
  <si>
    <t>Investment Facebook</t>
  </si>
  <si>
    <t>TOTAL INVESTMENT</t>
  </si>
  <si>
    <t>LEADS TOTAL</t>
  </si>
  <si>
    <t>Sessions</t>
  </si>
  <si>
    <t>Page convertions</t>
  </si>
  <si>
    <t>Total leads email</t>
  </si>
  <si>
    <t>Total leads organic</t>
  </si>
  <si>
    <t>Organic Traffic</t>
  </si>
  <si>
    <t>direct_traffic</t>
  </si>
  <si>
    <t>organic</t>
  </si>
  <si>
    <t>organic_search</t>
  </si>
  <si>
    <t>referral</t>
  </si>
  <si>
    <t>social</t>
  </si>
  <si>
    <t>Sales convertion</t>
  </si>
  <si>
    <t>Total sales Search</t>
  </si>
  <si>
    <t>Total sales Display</t>
  </si>
  <si>
    <t>Total sales Facebook</t>
  </si>
  <si>
    <t>Total sales Email</t>
  </si>
  <si>
    <t>Total sales Organic</t>
  </si>
  <si>
    <t>5. Organic</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</si>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</sst>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5" formatCode="_-[$R$-416]\ * #,##0.00_-;\-[$R$-416]\ * #,##0.00_-;_-[$R$-416]\ * &quot;-&quot;??_-;_-@_-"/>
    <numFmt numFmtId="166" formatCode="yyyy\-mm"/>
    <numFmt numFmtId="168" formatCode="_(* #,##0_);_(* \(#,##0\);_(* &quot;-&quot;??_);_(@_)"/>
    <numFmt numFmtId="173" formatCode="0.0000%"/>
  </numFmts>
  <fonts count="36">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6"/>
      <color theme="1"/>
      <name val="Calibri"/>
      <family val="2"/>
      <scheme val="minor"/>
    </font>
    <font>
      <sz val="12"/>
      <color rgb="FF000000"/>
      <name val="Calibri"/>
      <family val="2"/>
      <scheme val="minor"/>
    </font>
    <font>
      <sz val="20"/>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0"/>
      <color rgb="FF000000"/>
      <name val="Tahoma"/>
      <family val="2"/>
    </font>
    <font>
      <sz val="10"/>
      <color rgb="FF000000"/>
      <name val="Tahoma"/>
      <family val="2"/>
    </font>
    <font>
      <sz val="8"/>
      <name val="Calibri"/>
      <family val="2"/>
      <scheme val="minor"/>
    </font>
    <font>
      <sz val="12"/>
      <color rgb="FFFF40FF"/>
      <name val="Calibri"/>
      <family val="2"/>
      <scheme val="minor"/>
    </font>
    <font>
      <u/>
      <sz val="12"/>
      <color theme="10"/>
      <name val="Calibri"/>
      <family val="2"/>
      <scheme val="minor"/>
    </font>
    <font>
      <sz val="12"/>
      <color theme="4"/>
      <name val="Calibri"/>
      <family val="2"/>
      <scheme val="minor"/>
    </font>
    <font>
      <sz val="12"/>
      <color theme="9"/>
      <name val="Calibri"/>
      <family val="2"/>
      <scheme val="minor"/>
    </font>
    <font>
      <sz val="12"/>
      <color rgb="FF0070C0"/>
      <name val="Calibri"/>
      <family val="2"/>
      <scheme val="minor"/>
    </font>
    <font>
      <sz val="20"/>
      <color theme="4"/>
      <name val="Calibri"/>
      <family val="2"/>
      <scheme val="minor"/>
    </font>
    <font>
      <b/>
      <sz val="12"/>
      <color theme="0"/>
      <name val="Helvetica"/>
      <family val="2"/>
    </font>
    <font>
      <sz val="12"/>
      <color theme="1"/>
      <name val="Helvetica"/>
      <family val="2"/>
    </font>
    <font>
      <b/>
      <sz val="12"/>
      <color theme="1"/>
      <name val="Helvetica"/>
      <family val="2"/>
    </font>
    <font>
      <sz val="16"/>
      <color theme="1"/>
      <name val="Helvetica"/>
      <family val="2"/>
    </font>
    <font>
      <u/>
      <sz val="16"/>
      <color theme="10"/>
      <name val="Helvetica"/>
      <family val="2"/>
    </font>
    <font>
      <i/>
      <sz val="12"/>
      <color theme="1"/>
      <name val="Helvetica"/>
      <family val="2"/>
    </font>
    <font>
      <u/>
      <sz val="12"/>
      <color theme="10"/>
      <name val="Helvetica"/>
      <family val="2"/>
    </font>
    <font>
      <b/>
      <sz val="23"/>
      <color theme="4" tint="-0.499984740745262"/>
      <name val="Helvetica"/>
      <family val="2"/>
    </font>
    <font>
      <b/>
      <sz val="16"/>
      <color theme="0"/>
      <name val="Helvetica"/>
      <family val="2"/>
    </font>
    <font>
      <sz val="12"/>
      <color theme="0"/>
      <name val="Helvetica"/>
      <family val="2"/>
    </font>
    <font>
      <sz val="12"/>
      <color theme="4"/>
      <name val="Helvetica"/>
      <family val="2"/>
    </font>
    <font>
      <sz val="11"/>
      <color theme="0"/>
      <name val="Calibri"/>
      <family val="2"/>
      <scheme val="minor"/>
    </font>
    <font>
      <sz val="20"/>
      <color theme="4"/>
      <name val="Helvetica"/>
      <family val="2"/>
    </font>
    <font>
      <sz val="12"/>
      <color theme="9"/>
      <name val="Helvetica"/>
      <family val="2"/>
    </font>
    <font>
      <sz val="12"/>
      <color rgb="FFFF40FF"/>
      <name val="Helvetica"/>
      <family val="2"/>
    </font>
    <font>
      <b/>
      <sz val="11"/>
      <color theme="1"/>
      <name val="Helvetica"/>
      <family val="2"/>
    </font>
    <font>
      <sz val="12"/>
      <name val="Helvetica"/>
      <family val="2"/>
    </font>
  </fonts>
  <fills count="7">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rgb="FF0070C0"/>
        <bgColor indexed="64"/>
      </patternFill>
    </fill>
    <fill>
      <patternFill patternType="solid">
        <fgColor theme="5"/>
        <bgColor indexed="64"/>
      </patternFill>
    </fill>
    <fill>
      <patternFill patternType="solid">
        <fgColor theme="8"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14" fillId="0" borderId="0" applyNumberFormat="0" applyFill="0" applyBorder="0" applyAlignment="0" applyProtection="0"/>
  </cellStyleXfs>
  <cellXfs count="96">
    <xf numFmtId="0" fontId="0" fillId="0" borderId="0" xfId="0"/>
    <xf numFmtId="0" fontId="4" fillId="0" borderId="0" xfId="0" applyFont="1"/>
    <xf numFmtId="0" fontId="0" fillId="0" borderId="1" xfId="0" applyBorder="1"/>
    <xf numFmtId="165" fontId="0" fillId="0" borderId="1" xfId="2" applyNumberFormat="1" applyFont="1" applyBorder="1"/>
    <xf numFmtId="9" fontId="0" fillId="0" borderId="1" xfId="0" applyNumberFormat="1" applyBorder="1"/>
    <xf numFmtId="1" fontId="0" fillId="0" borderId="1" xfId="0" applyNumberFormat="1" applyBorder="1"/>
    <xf numFmtId="0" fontId="5" fillId="0" borderId="1" xfId="0" applyFont="1" applyBorder="1"/>
    <xf numFmtId="0" fontId="0" fillId="0" borderId="1" xfId="0" applyBorder="1" applyAlignment="1">
      <alignment horizontal="left"/>
    </xf>
    <xf numFmtId="0" fontId="0" fillId="0" borderId="0" xfId="0" applyAlignment="1">
      <alignment horizontal="left"/>
    </xf>
    <xf numFmtId="166" fontId="0" fillId="0" borderId="0" xfId="0" applyNumberFormat="1" applyBorder="1"/>
    <xf numFmtId="0" fontId="6" fillId="0" borderId="0" xfId="0" applyFont="1"/>
    <xf numFmtId="0" fontId="7" fillId="0" borderId="0" xfId="4"/>
    <xf numFmtId="0" fontId="8" fillId="0" borderId="1" xfId="4" applyFont="1" applyBorder="1"/>
    <xf numFmtId="0" fontId="8" fillId="0" borderId="1" xfId="4" applyFont="1" applyBorder="1" applyAlignment="1">
      <alignment horizontal="left"/>
    </xf>
    <xf numFmtId="0" fontId="7" fillId="0" borderId="1" xfId="4" applyBorder="1"/>
    <xf numFmtId="0" fontId="8" fillId="0" borderId="0" xfId="4" applyFont="1" applyAlignment="1">
      <alignment horizontal="left"/>
    </xf>
    <xf numFmtId="0" fontId="8" fillId="0" borderId="0" xfId="4" applyFont="1"/>
    <xf numFmtId="0" fontId="7" fillId="0" borderId="1" xfId="4" applyBorder="1" applyAlignment="1">
      <alignment horizontal="left"/>
    </xf>
    <xf numFmtId="3" fontId="7" fillId="0" borderId="1" xfId="4" applyNumberFormat="1" applyBorder="1"/>
    <xf numFmtId="0" fontId="7" fillId="2" borderId="1" xfId="4" applyFill="1" applyBorder="1"/>
    <xf numFmtId="0" fontId="9" fillId="3" borderId="1" xfId="4" applyFont="1" applyFill="1" applyBorder="1" applyAlignment="1">
      <alignment horizontal="center"/>
    </xf>
    <xf numFmtId="168" fontId="0" fillId="0" borderId="1" xfId="5" applyNumberFormat="1" applyFont="1" applyBorder="1"/>
    <xf numFmtId="9" fontId="0" fillId="0" borderId="1" xfId="6" applyFont="1" applyBorder="1"/>
    <xf numFmtId="0" fontId="8" fillId="0" borderId="1" xfId="4" applyFont="1" applyBorder="1" applyAlignment="1">
      <alignment horizontal="center"/>
    </xf>
    <xf numFmtId="9" fontId="0" fillId="2" borderId="1" xfId="6" applyFont="1" applyFill="1" applyBorder="1"/>
    <xf numFmtId="9" fontId="7" fillId="2" borderId="1" xfId="4" applyNumberFormat="1" applyFill="1" applyBorder="1"/>
    <xf numFmtId="9" fontId="7" fillId="0" borderId="1" xfId="4" applyNumberFormat="1" applyBorder="1"/>
    <xf numFmtId="10" fontId="7" fillId="0" borderId="0" xfId="4" applyNumberFormat="1"/>
    <xf numFmtId="1" fontId="7" fillId="0" borderId="1" xfId="4" applyNumberFormat="1" applyBorder="1"/>
    <xf numFmtId="1" fontId="7" fillId="2" borderId="1" xfId="4" applyNumberFormat="1" applyFill="1" applyBorder="1"/>
    <xf numFmtId="4" fontId="7" fillId="0" borderId="1" xfId="4" applyNumberFormat="1" applyBorder="1"/>
    <xf numFmtId="9" fontId="0" fillId="0" borderId="1" xfId="6" applyFont="1" applyFill="1" applyBorder="1"/>
    <xf numFmtId="9" fontId="0" fillId="0" borderId="0" xfId="0" applyNumberFormat="1"/>
    <xf numFmtId="3" fontId="0" fillId="0" borderId="1" xfId="0" applyNumberFormat="1" applyBorder="1"/>
    <xf numFmtId="165" fontId="0" fillId="0" borderId="0" xfId="0" applyNumberFormat="1"/>
    <xf numFmtId="0" fontId="0" fillId="0" borderId="0" xfId="0" applyAlignment="1">
      <alignment horizontal="center"/>
    </xf>
    <xf numFmtId="0" fontId="14" fillId="0" borderId="0" xfId="7"/>
    <xf numFmtId="17" fontId="2" fillId="4" borderId="1" xfId="0" applyNumberFormat="1" applyFont="1" applyFill="1" applyBorder="1"/>
    <xf numFmtId="0" fontId="2" fillId="4" borderId="0" xfId="0" applyFont="1" applyFill="1"/>
    <xf numFmtId="0" fontId="18" fillId="0" borderId="0" xfId="0" applyFont="1"/>
    <xf numFmtId="0" fontId="3" fillId="0" borderId="1" xfId="0" applyFont="1" applyBorder="1"/>
    <xf numFmtId="9" fontId="16" fillId="0" borderId="1" xfId="0" applyNumberFormat="1" applyFont="1" applyBorder="1"/>
    <xf numFmtId="165" fontId="16" fillId="0" borderId="1" xfId="0" applyNumberFormat="1" applyFont="1" applyBorder="1"/>
    <xf numFmtId="165" fontId="13" fillId="0" borderId="1" xfId="0" applyNumberFormat="1" applyFont="1" applyBorder="1"/>
    <xf numFmtId="165" fontId="0" fillId="0" borderId="1" xfId="0" applyNumberFormat="1" applyBorder="1"/>
    <xf numFmtId="3" fontId="16" fillId="0" borderId="1" xfId="0" applyNumberFormat="1" applyFont="1" applyBorder="1"/>
    <xf numFmtId="3" fontId="0" fillId="0" borderId="1" xfId="1" applyNumberFormat="1" applyFont="1" applyBorder="1"/>
    <xf numFmtId="9" fontId="16" fillId="0" borderId="1" xfId="3" applyFont="1" applyBorder="1"/>
    <xf numFmtId="0" fontId="17" fillId="0" borderId="1" xfId="0" applyFont="1" applyBorder="1"/>
    <xf numFmtId="168" fontId="0" fillId="0" borderId="1" xfId="0" applyNumberFormat="1" applyBorder="1"/>
    <xf numFmtId="165" fontId="3" fillId="0" borderId="1" xfId="0" applyNumberFormat="1" applyFont="1" applyBorder="1"/>
    <xf numFmtId="168" fontId="16" fillId="0" borderId="1" xfId="1" applyNumberFormat="1" applyFont="1" applyBorder="1"/>
    <xf numFmtId="168" fontId="0" fillId="0" borderId="1" xfId="1" applyNumberFormat="1" applyFont="1" applyBorder="1"/>
    <xf numFmtId="168" fontId="15" fillId="0" borderId="1" xfId="1" applyNumberFormat="1" applyFont="1" applyBorder="1"/>
    <xf numFmtId="168" fontId="13" fillId="0" borderId="1" xfId="1" applyNumberFormat="1" applyFont="1" applyBorder="1"/>
    <xf numFmtId="168" fontId="3" fillId="0" borderId="1" xfId="1" applyNumberFormat="1" applyFont="1" applyBorder="1"/>
    <xf numFmtId="0" fontId="19" fillId="4" borderId="0" xfId="0" applyFont="1" applyFill="1"/>
    <xf numFmtId="0" fontId="20" fillId="0" borderId="0" xfId="0" applyFont="1"/>
    <xf numFmtId="0" fontId="21" fillId="0" borderId="0" xfId="0" applyFont="1"/>
    <xf numFmtId="0" fontId="22" fillId="0" borderId="0" xfId="0" applyFont="1"/>
    <xf numFmtId="0" fontId="23" fillId="0" borderId="0" xfId="7" applyFont="1"/>
    <xf numFmtId="15" fontId="22" fillId="0" borderId="0" xfId="0" applyNumberFormat="1" applyFont="1"/>
    <xf numFmtId="0" fontId="24" fillId="0" borderId="0" xfId="0" applyFont="1"/>
    <xf numFmtId="0" fontId="25" fillId="0" borderId="0" xfId="7" applyFont="1"/>
    <xf numFmtId="0" fontId="26" fillId="0" borderId="0" xfId="0" applyFont="1"/>
    <xf numFmtId="0" fontId="27" fillId="4" borderId="0" xfId="0" applyFont="1" applyFill="1"/>
    <xf numFmtId="0" fontId="28" fillId="4" borderId="0" xfId="0" applyFont="1" applyFill="1"/>
    <xf numFmtId="0" fontId="20" fillId="0" borderId="1" xfId="0" applyFont="1" applyBorder="1"/>
    <xf numFmtId="2" fontId="29" fillId="0" borderId="1" xfId="0" applyNumberFormat="1" applyFont="1" applyBorder="1"/>
    <xf numFmtId="9" fontId="29" fillId="0" borderId="1" xfId="0" applyNumberFormat="1" applyFont="1" applyBorder="1"/>
    <xf numFmtId="0" fontId="20" fillId="4" borderId="0" xfId="0" applyFont="1" applyFill="1"/>
    <xf numFmtId="0" fontId="27" fillId="5" borderId="0" xfId="0" applyFont="1" applyFill="1"/>
    <xf numFmtId="0" fontId="28" fillId="5" borderId="0" xfId="0" applyFont="1" applyFill="1"/>
    <xf numFmtId="0" fontId="20" fillId="0" borderId="0" xfId="0" applyFont="1" applyAlignment="1">
      <alignment vertical="center"/>
    </xf>
    <xf numFmtId="0" fontId="20" fillId="0" borderId="0" xfId="0" applyFont="1" applyAlignment="1"/>
    <xf numFmtId="0" fontId="8" fillId="0" borderId="1" xfId="0" applyFont="1" applyBorder="1"/>
    <xf numFmtId="3" fontId="3" fillId="0" borderId="1" xfId="0" applyNumberFormat="1" applyFont="1" applyBorder="1"/>
    <xf numFmtId="166" fontId="30" fillId="6" borderId="1" xfId="0" applyNumberFormat="1" applyFont="1" applyFill="1" applyBorder="1"/>
    <xf numFmtId="0" fontId="0" fillId="0" borderId="0" xfId="0" applyAlignment="1">
      <alignment horizontal="left" indent="1"/>
    </xf>
    <xf numFmtId="9" fontId="0" fillId="0" borderId="0" xfId="6" applyFont="1"/>
    <xf numFmtId="0" fontId="31" fillId="0" borderId="0" xfId="0" applyFont="1"/>
    <xf numFmtId="17" fontId="19" fillId="4" borderId="1" xfId="0" applyNumberFormat="1" applyFont="1" applyFill="1" applyBorder="1"/>
    <xf numFmtId="166" fontId="20" fillId="0" borderId="0" xfId="0" applyNumberFormat="1" applyFont="1" applyBorder="1"/>
    <xf numFmtId="173" fontId="20" fillId="0" borderId="0" xfId="3" applyNumberFormat="1" applyFont="1"/>
    <xf numFmtId="0" fontId="32" fillId="0" borderId="1" xfId="0" applyFont="1" applyBorder="1"/>
    <xf numFmtId="9" fontId="33" fillId="0" borderId="1" xfId="0" applyNumberFormat="1" applyFont="1" applyBorder="1"/>
    <xf numFmtId="9" fontId="20" fillId="0" borderId="1" xfId="0" applyNumberFormat="1" applyFont="1" applyBorder="1"/>
    <xf numFmtId="0" fontId="34" fillId="0" borderId="1" xfId="0" applyFont="1" applyBorder="1"/>
    <xf numFmtId="0" fontId="21" fillId="0" borderId="1" xfId="0" applyFont="1" applyBorder="1"/>
    <xf numFmtId="9" fontId="20" fillId="0" borderId="0" xfId="3" applyFont="1"/>
    <xf numFmtId="43" fontId="20" fillId="0" borderId="0" xfId="1" applyFont="1"/>
    <xf numFmtId="9" fontId="32" fillId="0" borderId="1" xfId="0" applyNumberFormat="1" applyFont="1" applyBorder="1"/>
    <xf numFmtId="9" fontId="35" fillId="0" borderId="1" xfId="0" applyNumberFormat="1" applyFont="1" applyBorder="1"/>
    <xf numFmtId="10" fontId="33" fillId="0" borderId="0" xfId="0" applyNumberFormat="1" applyFont="1"/>
    <xf numFmtId="1" fontId="32" fillId="0" borderId="1" xfId="0" applyNumberFormat="1" applyFont="1" applyBorder="1"/>
    <xf numFmtId="1" fontId="21" fillId="0" borderId="1" xfId="0" applyNumberFormat="1" applyFont="1" applyBorder="1"/>
  </cellXfs>
  <cellStyles count="8">
    <cellStyle name="Comma" xfId="1" builtinId="3"/>
    <cellStyle name="Comma 2" xfId="5" xr:uid="{03C243FD-938B-584B-9315-4AD5162BD460}"/>
    <cellStyle name="Currency" xfId="2" builtinId="4"/>
    <cellStyle name="Hyperlink" xfId="7" builtinId="8"/>
    <cellStyle name="Normal" xfId="0" builtinId="0"/>
    <cellStyle name="Normal 2" xfId="4" xr:uid="{A60B4728-BCBB-D848-B696-D7402A9E4DAF}"/>
    <cellStyle name="Percent" xfId="3" builtinId="5"/>
    <cellStyle name="Percent 2" xfId="6" xr:uid="{1526E8C8-1B21-E240-9684-F7F47D4A8D63}"/>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50000"/>
                  </a:schemeClr>
                </a:solidFill>
                <a:latin typeface="Helvetica" pitchFamily="2" charset="0"/>
                <a:ea typeface="+mn-ea"/>
                <a:cs typeface="+mn-cs"/>
              </a:defRPr>
            </a:pPr>
            <a:r>
              <a:rPr lang="pt-BR" sz="1800" b="1">
                <a:solidFill>
                  <a:schemeClr val="accent1">
                    <a:lumMod val="50000"/>
                  </a:schemeClr>
                </a:solidFill>
              </a:rPr>
              <a:t>Evolution</a:t>
            </a:r>
            <a:r>
              <a:rPr lang="pt-BR" sz="1800" b="1" baseline="0">
                <a:solidFill>
                  <a:schemeClr val="accent1">
                    <a:lumMod val="50000"/>
                  </a:schemeClr>
                </a:solidFill>
              </a:rPr>
              <a:t> in the numbers of paid leads: Real vs Foecast (12 months)</a:t>
            </a:r>
            <a:endParaRPr lang="en-CA" sz="1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50000"/>
                </a:schemeClr>
              </a:solidFill>
              <a:latin typeface="Helvetica" pitchFamily="2" charset="0"/>
              <a:ea typeface="+mn-ea"/>
              <a:cs typeface="+mn-cs"/>
            </a:defRPr>
          </a:pPr>
          <a:endParaRPr lang="en-US"/>
        </a:p>
      </c:txPr>
    </c:title>
    <c:autoTitleDeleted val="0"/>
    <c:plotArea>
      <c:layout/>
      <c:lineChart>
        <c:grouping val="standard"/>
        <c:varyColors val="0"/>
        <c:ser>
          <c:idx val="0"/>
          <c:order val="0"/>
          <c:tx>
            <c:strRef>
              <c:f>'INPUTS LEADS - Paid Traffic'!$B$14</c:f>
              <c:strCache>
                <c:ptCount val="1"/>
                <c:pt idx="0">
                  <c:v>Total leads Google Search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accent1"/>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Traffic'!$C$14:$Z$14</c:f>
              <c:numCache>
                <c:formatCode>General</c:formatCode>
                <c:ptCount val="17"/>
                <c:pt idx="0">
                  <c:v>170</c:v>
                </c:pt>
                <c:pt idx="1">
                  <c:v>212</c:v>
                </c:pt>
                <c:pt idx="2">
                  <c:v>262</c:v>
                </c:pt>
                <c:pt idx="3">
                  <c:v>272</c:v>
                </c:pt>
                <c:pt idx="4">
                  <c:v>266</c:v>
                </c:pt>
                <c:pt idx="5" formatCode="#,##0">
                  <c:v>298</c:v>
                </c:pt>
                <c:pt idx="6" formatCode="_(* #,##0_);_(* \(#,##0\);_(* &quot;-&quot;??_);_(@_)">
                  <c:v>310</c:v>
                </c:pt>
                <c:pt idx="7" formatCode="_(* #,##0_);_(* \(#,##0\);_(* &quot;-&quot;??_);_(@_)">
                  <c:v>323</c:v>
                </c:pt>
                <c:pt idx="8" formatCode="_(* #,##0_);_(* \(#,##0\);_(* &quot;-&quot;??_);_(@_)">
                  <c:v>335</c:v>
                </c:pt>
                <c:pt idx="9" formatCode="_(* #,##0_);_(* \(#,##0\);_(* &quot;-&quot;??_);_(@_)">
                  <c:v>349</c:v>
                </c:pt>
                <c:pt idx="10" formatCode="_(* #,##0_);_(* \(#,##0\);_(* &quot;-&quot;??_);_(@_)">
                  <c:v>363</c:v>
                </c:pt>
                <c:pt idx="11" formatCode="_(* #,##0_);_(* \(#,##0\);_(* &quot;-&quot;??_);_(@_)">
                  <c:v>377</c:v>
                </c:pt>
                <c:pt idx="12" formatCode="_(* #,##0_);_(* \(#,##0\);_(* &quot;-&quot;??_);_(@_)">
                  <c:v>392</c:v>
                </c:pt>
                <c:pt idx="13" formatCode="_(* #,##0_);_(* \(#,##0\);_(* &quot;-&quot;??_);_(@_)">
                  <c:v>408</c:v>
                </c:pt>
                <c:pt idx="14" formatCode="_(* #,##0_);_(* \(#,##0\);_(* &quot;-&quot;??_);_(@_)">
                  <c:v>424</c:v>
                </c:pt>
                <c:pt idx="15" formatCode="_(* #,##0_);_(* \(#,##0\);_(* &quot;-&quot;??_);_(@_)">
                  <c:v>441</c:v>
                </c:pt>
                <c:pt idx="16" formatCode="_(* #,##0_);_(* \(#,##0\);_(* &quot;-&quot;??_);_(@_)">
                  <c:v>458</c:v>
                </c:pt>
              </c:numCache>
            </c:numRef>
          </c:val>
          <c:smooth val="0"/>
          <c:extLst>
            <c:ext xmlns:c16="http://schemas.microsoft.com/office/drawing/2014/chart" uri="{C3380CC4-5D6E-409C-BE32-E72D297353CC}">
              <c16:uniqueId val="{00000000-0C7B-074A-BEDB-8FF166168E15}"/>
            </c:ext>
          </c:extLst>
        </c:ser>
        <c:ser>
          <c:idx val="1"/>
          <c:order val="1"/>
          <c:tx>
            <c:strRef>
              <c:f>'INPUTS LEADS - Paid Traffic'!$B$22</c:f>
              <c:strCache>
                <c:ptCount val="1"/>
                <c:pt idx="0">
                  <c:v>Total leads Google Display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Traffic'!$C$22:$Z$22</c:f>
              <c:numCache>
                <c:formatCode>General</c:formatCode>
                <c:ptCount val="17"/>
                <c:pt idx="0">
                  <c:v>11</c:v>
                </c:pt>
                <c:pt idx="1">
                  <c:v>18</c:v>
                </c:pt>
                <c:pt idx="2">
                  <c:v>16</c:v>
                </c:pt>
                <c:pt idx="3">
                  <c:v>19</c:v>
                </c:pt>
                <c:pt idx="4">
                  <c:v>11</c:v>
                </c:pt>
                <c:pt idx="5" formatCode="_(* #,##0_);_(* \(#,##0\);_(* &quot;-&quot;??_);_(@_)">
                  <c:v>12</c:v>
                </c:pt>
                <c:pt idx="6" formatCode="_(* #,##0_);_(* \(#,##0\);_(* &quot;-&quot;??_);_(@_)">
                  <c:v>12</c:v>
                </c:pt>
                <c:pt idx="7" formatCode="_(* #,##0_);_(* \(#,##0\);_(* &quot;-&quot;??_);_(@_)">
                  <c:v>13</c:v>
                </c:pt>
                <c:pt idx="8" formatCode="_(* #,##0_);_(* \(#,##0\);_(* &quot;-&quot;??_);_(@_)">
                  <c:v>13</c:v>
                </c:pt>
                <c:pt idx="9" formatCode="_(* #,##0_);_(* \(#,##0\);_(* &quot;-&quot;??_);_(@_)">
                  <c:v>14</c:v>
                </c:pt>
                <c:pt idx="10" formatCode="_(* #,##0_);_(* \(#,##0\);_(* &quot;-&quot;??_);_(@_)">
                  <c:v>14</c:v>
                </c:pt>
                <c:pt idx="11" formatCode="_(* #,##0_);_(* \(#,##0\);_(* &quot;-&quot;??_);_(@_)">
                  <c:v>15</c:v>
                </c:pt>
                <c:pt idx="12" formatCode="_(* #,##0_);_(* \(#,##0\);_(* &quot;-&quot;??_);_(@_)">
                  <c:v>16</c:v>
                </c:pt>
                <c:pt idx="13" formatCode="_(* #,##0_);_(* \(#,##0\);_(* &quot;-&quot;??_);_(@_)">
                  <c:v>16</c:v>
                </c:pt>
                <c:pt idx="14" formatCode="_(* #,##0_);_(* \(#,##0\);_(* &quot;-&quot;??_);_(@_)">
                  <c:v>17</c:v>
                </c:pt>
                <c:pt idx="15" formatCode="_(* #,##0_);_(* \(#,##0\);_(* &quot;-&quot;??_);_(@_)">
                  <c:v>18</c:v>
                </c:pt>
                <c:pt idx="16" formatCode="_(* #,##0_);_(* \(#,##0\);_(* &quot;-&quot;??_);_(@_)">
                  <c:v>19</c:v>
                </c:pt>
              </c:numCache>
            </c:numRef>
          </c:val>
          <c:smooth val="0"/>
          <c:extLst>
            <c:ext xmlns:c16="http://schemas.microsoft.com/office/drawing/2014/chart" uri="{C3380CC4-5D6E-409C-BE32-E72D297353CC}">
              <c16:uniqueId val="{00000001-0C7B-074A-BEDB-8FF166168E15}"/>
            </c:ext>
          </c:extLst>
        </c:ser>
        <c:ser>
          <c:idx val="2"/>
          <c:order val="2"/>
          <c:tx>
            <c:strRef>
              <c:f>'INPUTS LEADS - Paid Traffic'!$B$30</c:f>
              <c:strCache>
                <c:ptCount val="1"/>
                <c:pt idx="0">
                  <c:v>Total leads Facebook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Traffic'!$C$30:$Z$30</c:f>
              <c:numCache>
                <c:formatCode>General</c:formatCode>
                <c:ptCount val="17"/>
                <c:pt idx="0">
                  <c:v>7</c:v>
                </c:pt>
                <c:pt idx="1">
                  <c:v>5</c:v>
                </c:pt>
                <c:pt idx="2">
                  <c:v>8</c:v>
                </c:pt>
                <c:pt idx="3">
                  <c:v>12</c:v>
                </c:pt>
                <c:pt idx="4">
                  <c:v>9</c:v>
                </c:pt>
                <c:pt idx="5" formatCode="_(* #,##0_);_(* \(#,##0\);_(* &quot;-&quot;??_);_(@_)">
                  <c:v>10</c:v>
                </c:pt>
                <c:pt idx="6" formatCode="_(* #,##0_);_(* \(#,##0\);_(* &quot;-&quot;??_);_(@_)">
                  <c:v>10</c:v>
                </c:pt>
                <c:pt idx="7" formatCode="_(* #,##0_);_(* \(#,##0\);_(* &quot;-&quot;??_);_(@_)">
                  <c:v>11</c:v>
                </c:pt>
                <c:pt idx="8" formatCode="_(* #,##0_);_(* \(#,##0\);_(* &quot;-&quot;??_);_(@_)">
                  <c:v>12</c:v>
                </c:pt>
                <c:pt idx="9" formatCode="_(* #,##0_);_(* \(#,##0\);_(* &quot;-&quot;??_);_(@_)">
                  <c:v>12</c:v>
                </c:pt>
                <c:pt idx="10" formatCode="_(* #,##0_);_(* \(#,##0\);_(* &quot;-&quot;??_);_(@_)">
                  <c:v>13</c:v>
                </c:pt>
                <c:pt idx="11" formatCode="_(* #,##0_);_(* \(#,##0\);_(* &quot;-&quot;??_);_(@_)">
                  <c:v>13</c:v>
                </c:pt>
                <c:pt idx="12" formatCode="_(* #,##0_);_(* \(#,##0\);_(* &quot;-&quot;??_);_(@_)">
                  <c:v>14</c:v>
                </c:pt>
                <c:pt idx="13" formatCode="_(* #,##0_);_(* \(#,##0\);_(* &quot;-&quot;??_);_(@_)">
                  <c:v>15</c:v>
                </c:pt>
                <c:pt idx="14" formatCode="_(* #,##0_);_(* \(#,##0\);_(* &quot;-&quot;??_);_(@_)">
                  <c:v>15</c:v>
                </c:pt>
                <c:pt idx="15" formatCode="_(* #,##0_);_(* \(#,##0\);_(* &quot;-&quot;??_);_(@_)">
                  <c:v>16</c:v>
                </c:pt>
                <c:pt idx="16" formatCode="_(* #,##0_);_(* \(#,##0\);_(* &quot;-&quot;??_);_(@_)">
                  <c:v>17</c:v>
                </c:pt>
              </c:numCache>
            </c:numRef>
          </c:val>
          <c:smooth val="0"/>
          <c:extLst>
            <c:ext xmlns:c16="http://schemas.microsoft.com/office/drawing/2014/chart" uri="{C3380CC4-5D6E-409C-BE32-E72D297353CC}">
              <c16:uniqueId val="{00000002-0C7B-074A-BEDB-8FF166168E15}"/>
            </c:ext>
          </c:extLst>
        </c:ser>
        <c:dLbls>
          <c:showLegendKey val="0"/>
          <c:showVal val="0"/>
          <c:showCatName val="0"/>
          <c:showSerName val="0"/>
          <c:showPercent val="0"/>
          <c:showBubbleSize val="0"/>
        </c:dLbls>
        <c:marker val="1"/>
        <c:smooth val="0"/>
        <c:axId val="1540909824"/>
        <c:axId val="1764171104"/>
      </c:lineChart>
      <c:dateAx>
        <c:axId val="154090982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crossAx val="1764171104"/>
        <c:crosses val="autoZero"/>
        <c:auto val="1"/>
        <c:lblOffset val="100"/>
        <c:baseTimeUnit val="months"/>
      </c:dateAx>
      <c:valAx>
        <c:axId val="1764171104"/>
        <c:scaling>
          <c:orientation val="minMax"/>
        </c:scaling>
        <c:delete val="1"/>
        <c:axPos val="l"/>
        <c:numFmt formatCode="General" sourceLinked="1"/>
        <c:majorTickMark val="none"/>
        <c:minorTickMark val="none"/>
        <c:tickLblPos val="nextTo"/>
        <c:crossAx val="154090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50000"/>
                  </a:schemeClr>
                </a:solidFill>
                <a:latin typeface="Helvetica" pitchFamily="2" charset="0"/>
                <a:ea typeface="+mn-ea"/>
                <a:cs typeface="+mn-cs"/>
              </a:defRPr>
            </a:pPr>
            <a:r>
              <a:rPr lang="pt-BR" sz="1800" b="1">
                <a:solidFill>
                  <a:schemeClr val="accent1">
                    <a:lumMod val="50000"/>
                  </a:schemeClr>
                </a:solidFill>
              </a:rPr>
              <a:t>Evolution of the investment in paid media - Real</a:t>
            </a:r>
            <a:r>
              <a:rPr lang="pt-BR" sz="1800" b="1" baseline="0">
                <a:solidFill>
                  <a:schemeClr val="accent1">
                    <a:lumMod val="50000"/>
                  </a:schemeClr>
                </a:solidFill>
              </a:rPr>
              <a:t> vs Forecast (12 months)</a:t>
            </a:r>
            <a:endParaRPr lang="en-CA" sz="18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50000"/>
                </a:schemeClr>
              </a:solidFill>
              <a:latin typeface="Helvetica" pitchFamily="2" charset="0"/>
              <a:ea typeface="+mn-ea"/>
              <a:cs typeface="+mn-cs"/>
            </a:defRPr>
          </a:pPr>
          <a:endParaRPr lang="en-US"/>
        </a:p>
      </c:txPr>
    </c:title>
    <c:autoTitleDeleted val="0"/>
    <c:plotArea>
      <c:layout/>
      <c:barChart>
        <c:barDir val="col"/>
        <c:grouping val="stacked"/>
        <c:varyColors val="0"/>
        <c:ser>
          <c:idx val="0"/>
          <c:order val="0"/>
          <c:tx>
            <c:strRef>
              <c:f>'INPUTS LEADS - Paid Traffic'!$B$10</c:f>
              <c:strCache>
                <c:ptCount val="1"/>
                <c:pt idx="0">
                  <c:v>Investment Search</c:v>
                </c:pt>
              </c:strCache>
            </c:strRef>
          </c:tx>
          <c:spPr>
            <a:solidFill>
              <a:schemeClr val="accent1"/>
            </a:solidFill>
            <a:ln>
              <a:noFill/>
            </a:ln>
            <a:effectLst/>
          </c:spPr>
          <c:invertIfNegative val="0"/>
          <c:dLbls>
            <c:numFmt formatCode="[$R$-416]\ #,##0" sourceLinked="0"/>
            <c:spPr>
              <a:noFill/>
              <a:ln>
                <a:noFill/>
              </a:ln>
              <a:effectLst/>
            </c:spPr>
            <c:txPr>
              <a:bodyPr rot="-5400000" spcFirstLastPara="1" vertOverflow="ellipsis" vert="horz" wrap="square" anchor="ctr" anchorCtr="1"/>
              <a:lstStyle/>
              <a:p>
                <a:pPr>
                  <a:defRPr sz="1200" b="1" i="0" u="none" strike="noStrike" kern="1200" baseline="0">
                    <a:solidFill>
                      <a:schemeClr val="bg1">
                        <a:lumMod val="9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Traffic'!$C$10:$Z$10</c:f>
              <c:numCache>
                <c:formatCode>_-[$R$-416]\ * #,##0.00_-;\-[$R$-416]\ * #,##0.00_-;_-[$R$-416]\ * "-"??_-;_-@_-</c:formatCode>
                <c:ptCount val="17"/>
                <c:pt idx="0">
                  <c:v>2512.125</c:v>
                </c:pt>
                <c:pt idx="1">
                  <c:v>2717.0099999999998</c:v>
                </c:pt>
                <c:pt idx="2">
                  <c:v>4119.4412999999995</c:v>
                </c:pt>
                <c:pt idx="3">
                  <c:v>4479.1949999999997</c:v>
                </c:pt>
                <c:pt idx="4">
                  <c:v>3982.86</c:v>
                </c:pt>
                <c:pt idx="5">
                  <c:v>4182.0030000000006</c:v>
                </c:pt>
                <c:pt idx="6">
                  <c:v>4391.1031500000008</c:v>
                </c:pt>
                <c:pt idx="7">
                  <c:v>4610.6583075000008</c:v>
                </c:pt>
                <c:pt idx="8">
                  <c:v>4841.1912228750007</c:v>
                </c:pt>
                <c:pt idx="9">
                  <c:v>5083.2507840187509</c:v>
                </c:pt>
                <c:pt idx="10">
                  <c:v>5337.4133232196882</c:v>
                </c:pt>
                <c:pt idx="11">
                  <c:v>5604.2839893806731</c:v>
                </c:pt>
                <c:pt idx="12">
                  <c:v>5884.4981888497068</c:v>
                </c:pt>
                <c:pt idx="13">
                  <c:v>6178.7230982921928</c:v>
                </c:pt>
                <c:pt idx="14">
                  <c:v>6487.6592532068025</c:v>
                </c:pt>
                <c:pt idx="15">
                  <c:v>6812.0422158671427</c:v>
                </c:pt>
                <c:pt idx="16">
                  <c:v>7152.6443266605002</c:v>
                </c:pt>
              </c:numCache>
            </c:numRef>
          </c:val>
          <c:extLst>
            <c:ext xmlns:c16="http://schemas.microsoft.com/office/drawing/2014/chart" uri="{C3380CC4-5D6E-409C-BE32-E72D297353CC}">
              <c16:uniqueId val="{00000000-D73C-EA4C-8C61-5379DD5235AA}"/>
            </c:ext>
          </c:extLst>
        </c:ser>
        <c:ser>
          <c:idx val="1"/>
          <c:order val="1"/>
          <c:tx>
            <c:strRef>
              <c:f>'INPUTS LEADS - Paid Traffic'!$B$18</c:f>
              <c:strCache>
                <c:ptCount val="1"/>
                <c:pt idx="0">
                  <c:v>Investment Display</c:v>
                </c:pt>
              </c:strCache>
            </c:strRef>
          </c:tx>
          <c:spPr>
            <a:solidFill>
              <a:schemeClr val="accent2"/>
            </a:solidFill>
            <a:ln>
              <a:noFill/>
            </a:ln>
            <a:effectLst/>
          </c:spPr>
          <c:invertIfNegative val="0"/>
          <c:dLbls>
            <c:dLbl>
              <c:idx val="0"/>
              <c:layout>
                <c:manualLayout>
                  <c:x val="2.472701355981222E-2"/>
                  <c:y val="1.6241197123086758E-2"/>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3C-EA4C-8C61-5379DD5235AA}"/>
                </c:ext>
              </c:extLst>
            </c:dLbl>
            <c:dLbl>
              <c:idx val="1"/>
              <c:layout>
                <c:manualLayout>
                  <c:x val="2.5395311223590941E-2"/>
                  <c:y val="1.235913692606606E-2"/>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3C-EA4C-8C61-5379DD5235AA}"/>
                </c:ext>
              </c:extLst>
            </c:dLbl>
            <c:dLbl>
              <c:idx val="2"/>
              <c:layout>
                <c:manualLayout>
                  <c:x val="2.6731906551148345E-2"/>
                  <c:y val="6.0261103725670652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3C-EA4C-8C61-5379DD5235AA}"/>
                </c:ext>
              </c:extLst>
            </c:dLbl>
            <c:dLbl>
              <c:idx val="3"/>
              <c:layout>
                <c:manualLayout>
                  <c:x val="2.6731906551148345E-2"/>
                  <c:y val="2.4765995159695946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3C-EA4C-8C61-5379DD5235AA}"/>
                </c:ext>
              </c:extLst>
            </c:dLbl>
            <c:dLbl>
              <c:idx val="4"/>
              <c:layout>
                <c:manualLayout>
                  <c:x val="2.6731906551148394E-2"/>
                  <c:y val="1.0680164979377514E-2"/>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3C-EA4C-8C61-5379DD5235AA}"/>
                </c:ext>
              </c:extLst>
            </c:dLbl>
            <c:dLbl>
              <c:idx val="5"/>
              <c:layout>
                <c:manualLayout>
                  <c:x val="2.6731932862079991E-2"/>
                  <c:y val="1.1950369840133555E-2"/>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1209500898465688E-2"/>
                      <c:h val="2.9428639601867947E-2"/>
                    </c:manualLayout>
                  </c15:layout>
                </c:ext>
                <c:ext xmlns:c16="http://schemas.microsoft.com/office/drawing/2014/chart" uri="{C3380CC4-5D6E-409C-BE32-E72D297353CC}">
                  <c16:uniqueId val="{0000000A-D73C-EA4C-8C61-5379DD5235AA}"/>
                </c:ext>
              </c:extLst>
            </c:dLbl>
            <c:dLbl>
              <c:idx val="6"/>
              <c:layout>
                <c:manualLayout>
                  <c:x val="2.8068501878705812E-2"/>
                  <c:y val="6.2709888536660189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3C-EA4C-8C61-5379DD5235AA}"/>
                </c:ext>
              </c:extLst>
            </c:dLbl>
            <c:dLbl>
              <c:idx val="7"/>
              <c:layout>
                <c:manualLayout>
                  <c:x val="2.7400204214927056E-2"/>
                  <c:y val="7.4938814466373521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73C-EA4C-8C61-5379DD5235AA}"/>
                </c:ext>
              </c:extLst>
            </c:dLbl>
            <c:dLbl>
              <c:idx val="8"/>
              <c:layout>
                <c:manualLayout>
                  <c:x val="2.7400204214927056E-2"/>
                  <c:y val="6.9596754951085664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73C-EA4C-8C61-5379DD5235AA}"/>
                </c:ext>
              </c:extLst>
            </c:dLbl>
            <c:dLbl>
              <c:idx val="9"/>
              <c:layout>
                <c:manualLayout>
                  <c:x val="2.8068501878705764E-2"/>
                  <c:y val="6.3987456113439728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73C-EA4C-8C61-5379DD5235AA}"/>
                </c:ext>
              </c:extLst>
            </c:dLbl>
            <c:dLbl>
              <c:idx val="10"/>
              <c:layout>
                <c:manualLayout>
                  <c:x val="2.9405123517194827E-2"/>
                  <c:y val="6.6755973685106908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3.4550989217359232E-2"/>
                      <c:h val="3.462344479667314E-2"/>
                    </c:manualLayout>
                  </c15:layout>
                </c:ext>
                <c:ext xmlns:c16="http://schemas.microsoft.com/office/drawing/2014/chart" uri="{C3380CC4-5D6E-409C-BE32-E72D297353CC}">
                  <c16:uniqueId val="{0000000F-D73C-EA4C-8C61-5379DD5235AA}"/>
                </c:ext>
              </c:extLst>
            </c:dLbl>
            <c:dLbl>
              <c:idx val="11"/>
              <c:layout>
                <c:manualLayout>
                  <c:x val="2.6731906551148345E-2"/>
                  <c:y val="6.9229982615809389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3C-EA4C-8C61-5379DD5235AA}"/>
                </c:ext>
              </c:extLst>
            </c:dLbl>
            <c:dLbl>
              <c:idx val="12"/>
              <c:layout>
                <c:manualLayout>
                  <c:x val="2.8068501878705764E-2"/>
                  <c:y val="6.2737157855268094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73C-EA4C-8C61-5379DD5235AA}"/>
                </c:ext>
              </c:extLst>
            </c:dLbl>
            <c:dLbl>
              <c:idx val="13"/>
              <c:layout>
                <c:manualLayout>
                  <c:x val="2.7400204214926956E-2"/>
                  <c:y val="2.1287793571258457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73C-EA4C-8C61-5379DD5235AA}"/>
                </c:ext>
              </c:extLst>
            </c:dLbl>
            <c:dLbl>
              <c:idx val="14"/>
              <c:layout>
                <c:manualLayout>
                  <c:x val="2.8068501878705666E-2"/>
                  <c:y val="3.1445614752701368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73C-EA4C-8C61-5379DD5235AA}"/>
                </c:ext>
              </c:extLst>
            </c:dLbl>
            <c:dLbl>
              <c:idx val="15"/>
              <c:layout>
                <c:manualLayout>
                  <c:x val="2.5395311223590927E-2"/>
                  <c:y val="4.1244844394450692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73C-EA4C-8C61-5379DD5235AA}"/>
                </c:ext>
              </c:extLst>
            </c:dLbl>
            <c:dLbl>
              <c:idx val="16"/>
              <c:layout>
                <c:manualLayout>
                  <c:x val="2.1385525240918482E-2"/>
                  <c:y val="3.3351740123393351E-3"/>
                </c:manualLayout>
              </c:layout>
              <c:numFmt formatCode="[$R$-416]\ #,##0" sourceLinked="0"/>
              <c:spPr>
                <a:noFill/>
                <a:ln>
                  <a:noFill/>
                </a:ln>
                <a:effectLst/>
              </c:spPr>
              <c:txPr>
                <a:bodyPr rot="0" spcFirstLastPara="1" vertOverflow="ellipsis" vert="horz" wrap="square" anchor="b" anchorCtr="0"/>
                <a:lstStyle/>
                <a:p>
                  <a:pPr>
                    <a:defRPr sz="1200" b="1" i="0" u="none" strike="noStrike" kern="1200" baseline="0">
                      <a:solidFill>
                        <a:schemeClr val="accent2"/>
                      </a:solidFill>
                      <a:latin typeface="Helvetica" pitchFamily="2"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3C-EA4C-8C61-5379DD5235AA}"/>
                </c:ext>
              </c:extLst>
            </c:dLbl>
            <c:numFmt formatCode="[$R$-416]\ #,##0" sourceLinked="0"/>
            <c:spPr>
              <a:noFill/>
              <a:ln>
                <a:noFill/>
              </a:ln>
              <a:effectLst/>
            </c:spPr>
            <c:txPr>
              <a:bodyPr rot="0" spcFirstLastPara="1" vertOverflow="ellipsis" vert="horz" wrap="square" anchor="b" anchorCtr="0"/>
              <a:lstStyle/>
              <a:p>
                <a:pPr>
                  <a:defRPr sz="1200" b="0" i="0" u="none" strike="noStrike" kern="1200" baseline="0">
                    <a:solidFill>
                      <a:schemeClr val="accent2"/>
                    </a:solidFill>
                    <a:latin typeface="Helvetica" pitchFamily="2"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Traffic'!$C$18:$Z$18</c:f>
              <c:numCache>
                <c:formatCode>_-[$R$-416]\ * #,##0.00_-;\-[$R$-416]\ * #,##0.00_-;_-[$R$-416]\ * "-"??_-;_-@_-</c:formatCode>
                <c:ptCount val="17"/>
                <c:pt idx="0">
                  <c:v>181.5</c:v>
                </c:pt>
                <c:pt idx="1">
                  <c:v>261</c:v>
                </c:pt>
                <c:pt idx="2">
                  <c:v>284.31</c:v>
                </c:pt>
                <c:pt idx="3">
                  <c:v>357</c:v>
                </c:pt>
                <c:pt idx="4">
                  <c:v>189</c:v>
                </c:pt>
                <c:pt idx="5">
                  <c:v>198.45000000000002</c:v>
                </c:pt>
                <c:pt idx="6">
                  <c:v>208.37250000000003</c:v>
                </c:pt>
                <c:pt idx="7">
                  <c:v>218.79112500000005</c:v>
                </c:pt>
                <c:pt idx="8">
                  <c:v>229.73068125000006</c:v>
                </c:pt>
                <c:pt idx="9">
                  <c:v>241.21721531250009</c:v>
                </c:pt>
                <c:pt idx="10">
                  <c:v>253.27807607812511</c:v>
                </c:pt>
                <c:pt idx="11">
                  <c:v>265.94197988203138</c:v>
                </c:pt>
                <c:pt idx="12">
                  <c:v>279.23907887613296</c:v>
                </c:pt>
                <c:pt idx="13">
                  <c:v>293.2010328199396</c:v>
                </c:pt>
                <c:pt idx="14">
                  <c:v>307.86108446093658</c:v>
                </c:pt>
                <c:pt idx="15">
                  <c:v>323.2541386839834</c:v>
                </c:pt>
                <c:pt idx="16">
                  <c:v>339.41684561818261</c:v>
                </c:pt>
              </c:numCache>
            </c:numRef>
          </c:val>
          <c:extLst>
            <c:ext xmlns:c16="http://schemas.microsoft.com/office/drawing/2014/chart" uri="{C3380CC4-5D6E-409C-BE32-E72D297353CC}">
              <c16:uniqueId val="{00000001-D73C-EA4C-8C61-5379DD5235AA}"/>
            </c:ext>
          </c:extLst>
        </c:ser>
        <c:ser>
          <c:idx val="2"/>
          <c:order val="2"/>
          <c:tx>
            <c:strRef>
              <c:f>'INPUTS LEADS - Paid Traffic'!$B$26</c:f>
              <c:strCache>
                <c:ptCount val="1"/>
                <c:pt idx="0">
                  <c:v>Investment Facebook</c:v>
                </c:pt>
              </c:strCache>
            </c:strRef>
          </c:tx>
          <c:spPr>
            <a:solidFill>
              <a:schemeClr val="accent3"/>
            </a:solidFill>
            <a:ln>
              <a:noFill/>
            </a:ln>
            <a:effectLst/>
          </c:spPr>
          <c:invertIfNegative val="0"/>
          <c:dLbls>
            <c:dLbl>
              <c:idx val="0"/>
              <c:layout>
                <c:manualLayout>
                  <c:x val="2.2507242140395987E-2"/>
                  <c:y val="0"/>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73C-EA4C-8C61-5379DD5235AA}"/>
                </c:ext>
              </c:extLst>
            </c:dLbl>
            <c:dLbl>
              <c:idx val="1"/>
              <c:layout>
                <c:manualLayout>
                  <c:x val="2.1183286720372705E-2"/>
                  <c:y val="1.7316017316017316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73C-EA4C-8C61-5379DD5235AA}"/>
                </c:ext>
              </c:extLst>
            </c:dLbl>
            <c:dLbl>
              <c:idx val="2"/>
              <c:layout>
                <c:manualLayout>
                  <c:x val="2.2507242140395987E-2"/>
                  <c:y val="-6.3491330034800998E-17"/>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73C-EA4C-8C61-5379DD5235AA}"/>
                </c:ext>
              </c:extLst>
            </c:dLbl>
            <c:dLbl>
              <c:idx val="3"/>
              <c:layout>
                <c:manualLayout>
                  <c:x val="2.6479108400465842E-2"/>
                  <c:y val="3.4632034632034632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73C-EA4C-8C61-5379DD5235AA}"/>
                </c:ext>
              </c:extLst>
            </c:dLbl>
            <c:dLbl>
              <c:idx val="4"/>
              <c:layout>
                <c:manualLayout>
                  <c:x val="2.4493175270430878E-2"/>
                  <c:y val="-6.3491330034800998E-17"/>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73C-EA4C-8C61-5379DD5235AA}"/>
                </c:ext>
              </c:extLst>
            </c:dLbl>
            <c:dLbl>
              <c:idx val="5"/>
              <c:layout>
                <c:manualLayout>
                  <c:x val="2.2507242140395987E-2"/>
                  <c:y val="0"/>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73C-EA4C-8C61-5379DD5235AA}"/>
                </c:ext>
              </c:extLst>
            </c:dLbl>
            <c:dLbl>
              <c:idx val="6"/>
              <c:layout>
                <c:manualLayout>
                  <c:x val="2.2507242140395987E-2"/>
                  <c:y val="0"/>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73C-EA4C-8C61-5379DD5235AA}"/>
                </c:ext>
              </c:extLst>
            </c:dLbl>
            <c:dLbl>
              <c:idx val="7"/>
              <c:layout>
                <c:manualLayout>
                  <c:x val="2.1183286720372691E-2"/>
                  <c:y val="-1.7316017316017316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73C-EA4C-8C61-5379DD5235AA}"/>
                </c:ext>
              </c:extLst>
            </c:dLbl>
            <c:dLbl>
              <c:idx val="8"/>
              <c:layout>
                <c:manualLayout>
                  <c:x val="2.250724214039589E-2"/>
                  <c:y val="0"/>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73C-EA4C-8C61-5379DD5235AA}"/>
                </c:ext>
              </c:extLst>
            </c:dLbl>
            <c:dLbl>
              <c:idx val="9"/>
              <c:layout>
                <c:manualLayout>
                  <c:x val="2.250724214039589E-2"/>
                  <c:y val="-6.3491330034800998E-17"/>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73C-EA4C-8C61-5379DD5235AA}"/>
                </c:ext>
              </c:extLst>
            </c:dLbl>
            <c:dLbl>
              <c:idx val="10"/>
              <c:layout>
                <c:manualLayout>
                  <c:x val="2.1183286720372691E-2"/>
                  <c:y val="1.7316017316016681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73C-EA4C-8C61-5379DD5235AA}"/>
                </c:ext>
              </c:extLst>
            </c:dLbl>
            <c:dLbl>
              <c:idx val="11"/>
              <c:layout>
                <c:manualLayout>
                  <c:x val="2.3169219850407631E-2"/>
                  <c:y val="1.7316017316017316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73C-EA4C-8C61-5379DD5235AA}"/>
                </c:ext>
              </c:extLst>
            </c:dLbl>
            <c:dLbl>
              <c:idx val="12"/>
              <c:layout>
                <c:manualLayout>
                  <c:x val="2.1385525240918676E-2"/>
                  <c:y val="1.7316017316016999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3C-EA4C-8C61-5379DD5235AA}"/>
                </c:ext>
              </c:extLst>
            </c:dLbl>
            <c:dLbl>
              <c:idx val="13"/>
              <c:layout>
                <c:manualLayout>
                  <c:x val="2.5155152980442571E-2"/>
                  <c:y val="-3.1745665017400499E-17"/>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73C-EA4C-8C61-5379DD5235AA}"/>
                </c:ext>
              </c:extLst>
            </c:dLbl>
            <c:dLbl>
              <c:idx val="14"/>
              <c:layout>
                <c:manualLayout>
                  <c:x val="2.3169219850407534E-2"/>
                  <c:y val="1.7316017316016999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73C-EA4C-8C61-5379DD5235AA}"/>
                </c:ext>
              </c:extLst>
            </c:dLbl>
            <c:dLbl>
              <c:idx val="15"/>
              <c:layout>
                <c:manualLayout>
                  <c:x val="2.2507242140395987E-2"/>
                  <c:y val="0"/>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73C-EA4C-8C61-5379DD5235AA}"/>
                </c:ext>
              </c:extLst>
            </c:dLbl>
            <c:dLbl>
              <c:idx val="16"/>
              <c:layout>
                <c:manualLayout>
                  <c:x val="1.6549442750291167E-2"/>
                  <c:y val="1.7316017316017158E-3"/>
                </c:manualLayout>
              </c:layout>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Helvetica" pitchFamily="2" charset="0"/>
                      <a:ea typeface="+mn-ea"/>
                      <a:cs typeface="+mn-cs"/>
                    </a:defRPr>
                  </a:pPr>
                  <a:endParaRPr lang="en-US"/>
                </a:p>
              </c:txPr>
              <c:dLblPos val="ct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73C-EA4C-8C61-5379DD5235AA}"/>
                </c:ext>
              </c:extLst>
            </c:dLbl>
            <c:numFmt formatCode="[$R$-416]\ #,##0;[Red][$R$-416]\ #,##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Traffic'!$C$26:$Z$26</c:f>
              <c:numCache>
                <c:formatCode>_-[$R$-416]\ * #,##0.00_-;\-[$R$-416]\ * #,##0.00_-;_-[$R$-416]\ * "-"??_-;_-@_-</c:formatCode>
                <c:ptCount val="17"/>
                <c:pt idx="0">
                  <c:v>135.65475000000001</c:v>
                </c:pt>
                <c:pt idx="1">
                  <c:v>81.040499999999994</c:v>
                </c:pt>
                <c:pt idx="2">
                  <c:v>164.8998</c:v>
                </c:pt>
                <c:pt idx="3">
                  <c:v>263.08800000000002</c:v>
                </c:pt>
                <c:pt idx="4">
                  <c:v>172.65150000000003</c:v>
                </c:pt>
                <c:pt idx="5">
                  <c:v>184.73710500000004</c:v>
                </c:pt>
                <c:pt idx="6">
                  <c:v>197.66870235000005</c:v>
                </c:pt>
                <c:pt idx="7">
                  <c:v>211.50551151450006</c:v>
                </c:pt>
                <c:pt idx="8">
                  <c:v>226.31089732051507</c:v>
                </c:pt>
                <c:pt idx="9">
                  <c:v>242.15266013295113</c:v>
                </c:pt>
                <c:pt idx="10">
                  <c:v>259.10334634225774</c:v>
                </c:pt>
                <c:pt idx="11">
                  <c:v>277.2405805862158</c:v>
                </c:pt>
                <c:pt idx="12">
                  <c:v>296.6474212272509</c:v>
                </c:pt>
                <c:pt idx="13">
                  <c:v>317.41274071315848</c:v>
                </c:pt>
                <c:pt idx="14">
                  <c:v>339.63163256307962</c:v>
                </c:pt>
                <c:pt idx="15">
                  <c:v>363.40584684249524</c:v>
                </c:pt>
                <c:pt idx="16">
                  <c:v>388.84425612146993</c:v>
                </c:pt>
              </c:numCache>
            </c:numRef>
          </c:val>
          <c:extLst>
            <c:ext xmlns:c16="http://schemas.microsoft.com/office/drawing/2014/chart" uri="{C3380CC4-5D6E-409C-BE32-E72D297353CC}">
              <c16:uniqueId val="{00000002-D73C-EA4C-8C61-5379DD5235AA}"/>
            </c:ext>
          </c:extLst>
        </c:ser>
        <c:ser>
          <c:idx val="3"/>
          <c:order val="3"/>
          <c:tx>
            <c:strRef>
              <c:f>'INPUTS LEADS - Paid Traffic'!$B$32</c:f>
              <c:strCache>
                <c:ptCount val="1"/>
                <c:pt idx="0">
                  <c:v>TOTAL INVESTMENT</c:v>
                </c:pt>
              </c:strCache>
            </c:strRef>
          </c:tx>
          <c:spPr>
            <a:noFill/>
            <a:ln>
              <a:noFill/>
            </a:ln>
            <a:effectLst/>
          </c:spPr>
          <c:invertIfNegative val="0"/>
          <c:dLbls>
            <c:numFmt formatCode="[$R$-416]\ #,##0"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Helvetica" pitchFamily="2"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Paid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Paid Traffic'!$C$32:$Z$32</c:f>
              <c:numCache>
                <c:formatCode>_-[$R$-416]\ * #,##0.00_-;\-[$R$-416]\ * #,##0.00_-;_-[$R$-416]\ * "-"??_-;_-@_-</c:formatCode>
                <c:ptCount val="17"/>
                <c:pt idx="0">
                  <c:v>2829.2797500000001</c:v>
                </c:pt>
                <c:pt idx="1">
                  <c:v>3059.0504999999998</c:v>
                </c:pt>
                <c:pt idx="2">
                  <c:v>4568.6510999999991</c:v>
                </c:pt>
                <c:pt idx="3">
                  <c:v>5099.2829999999994</c:v>
                </c:pt>
                <c:pt idx="4">
                  <c:v>4344.5115000000005</c:v>
                </c:pt>
                <c:pt idx="5">
                  <c:v>4565.1901050000006</c:v>
                </c:pt>
                <c:pt idx="6">
                  <c:v>4797.1443523500011</c:v>
                </c:pt>
                <c:pt idx="7">
                  <c:v>5040.9549440145011</c:v>
                </c:pt>
                <c:pt idx="8">
                  <c:v>5297.2328014455161</c:v>
                </c:pt>
                <c:pt idx="9">
                  <c:v>5566.6206594642017</c:v>
                </c:pt>
                <c:pt idx="10">
                  <c:v>5849.7947456400707</c:v>
                </c:pt>
                <c:pt idx="11">
                  <c:v>6147.4665498489203</c:v>
                </c:pt>
                <c:pt idx="12">
                  <c:v>6460.3846889530905</c:v>
                </c:pt>
                <c:pt idx="13">
                  <c:v>6789.3368718252914</c:v>
                </c:pt>
                <c:pt idx="14">
                  <c:v>7135.1519702308187</c:v>
                </c:pt>
                <c:pt idx="15">
                  <c:v>7498.7022013936212</c:v>
                </c:pt>
                <c:pt idx="16">
                  <c:v>7880.9054284001522</c:v>
                </c:pt>
              </c:numCache>
            </c:numRef>
          </c:val>
          <c:extLst>
            <c:ext xmlns:c16="http://schemas.microsoft.com/office/drawing/2014/chart" uri="{C3380CC4-5D6E-409C-BE32-E72D297353CC}">
              <c16:uniqueId val="{00000003-D73C-EA4C-8C61-5379DD5235AA}"/>
            </c:ext>
          </c:extLst>
        </c:ser>
        <c:dLbls>
          <c:showLegendKey val="0"/>
          <c:showVal val="0"/>
          <c:showCatName val="0"/>
          <c:showSerName val="0"/>
          <c:showPercent val="0"/>
          <c:showBubbleSize val="0"/>
        </c:dLbls>
        <c:gapWidth val="150"/>
        <c:overlap val="100"/>
        <c:axId val="1467079088"/>
        <c:axId val="755644239"/>
      </c:barChart>
      <c:dateAx>
        <c:axId val="146707908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crossAx val="755644239"/>
        <c:crosses val="autoZero"/>
        <c:auto val="1"/>
        <c:lblOffset val="100"/>
        <c:baseTimeUnit val="months"/>
      </c:dateAx>
      <c:valAx>
        <c:axId val="755644239"/>
        <c:scaling>
          <c:orientation val="minMax"/>
          <c:max val="8500"/>
        </c:scaling>
        <c:delete val="1"/>
        <c:axPos val="l"/>
        <c:numFmt formatCode="_-[$R$-416]\ * #,##0.00_-;\-[$R$-416]\ * #,##0.00_-;_-[$R$-416]\ * &quot;-&quot;??_-;_-@_-" sourceLinked="1"/>
        <c:majorTickMark val="none"/>
        <c:minorTickMark val="none"/>
        <c:tickLblPos val="nextTo"/>
        <c:crossAx val="1467079088"/>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'Source - Trafego Pago'!$E$36</c:f>
              <c:strCache>
                <c:ptCount val="1"/>
                <c:pt idx="0">
                  <c:v>CPC</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4033799134791949E-3"/>
                  <c:y val="0.127895791583166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'Source - Trafego Pago'!$D$38:$D$48</c:f>
              <c:numCache>
                <c:formatCode>_-[$R$-416]\ * #,##0.00_-;\-[$R$-416]\ * #,##0.00_-;_-[$R$-416]\ * "-"??_-;_-@_-</c:formatCode>
                <c:ptCount val="11"/>
                <c:pt idx="0">
                  <c:v>41.929649999999995</c:v>
                </c:pt>
                <c:pt idx="1">
                  <c:v>23.677920000000004</c:v>
                </c:pt>
                <c:pt idx="2">
                  <c:v>59.899499999999996</c:v>
                </c:pt>
                <c:pt idx="3">
                  <c:v>177.58440000000002</c:v>
                </c:pt>
                <c:pt idx="4">
                  <c:v>47.567250000000008</c:v>
                </c:pt>
                <c:pt idx="5">
                  <c:v>8.4564000000000021</c:v>
                </c:pt>
                <c:pt idx="6">
                  <c:v>135.65475000000001</c:v>
                </c:pt>
                <c:pt idx="7">
                  <c:v>81.040499999999994</c:v>
                </c:pt>
                <c:pt idx="8">
                  <c:v>164.8998</c:v>
                </c:pt>
                <c:pt idx="9">
                  <c:v>263.08800000000002</c:v>
                </c:pt>
                <c:pt idx="10">
                  <c:v>172.65150000000003</c:v>
                </c:pt>
              </c:numCache>
            </c:numRef>
          </c:xVal>
          <c:yVal>
            <c:numRef>
              <c:f>'Source - Trafego Pago'!$E$38:$E$48</c:f>
              <c:numCache>
                <c:formatCode>_-[$R$-416]\ * #,##0.00_-;\-[$R$-416]\ * #,##0.00_-;_-[$R$-416]\ * "-"??_-;_-@_-</c:formatCode>
                <c:ptCount val="11"/>
                <c:pt idx="0">
                  <c:v>2.9949749999999997</c:v>
                </c:pt>
                <c:pt idx="1">
                  <c:v>2.9597400000000005</c:v>
                </c:pt>
                <c:pt idx="2">
                  <c:v>3.5234999999999999</c:v>
                </c:pt>
                <c:pt idx="3">
                  <c:v>3.2886000000000002</c:v>
                </c:pt>
                <c:pt idx="4">
                  <c:v>3.1711500000000004</c:v>
                </c:pt>
                <c:pt idx="5">
                  <c:v>2.8188000000000004</c:v>
                </c:pt>
                <c:pt idx="6">
                  <c:v>3.8758500000000002</c:v>
                </c:pt>
                <c:pt idx="7">
                  <c:v>3.5234999999999999</c:v>
                </c:pt>
                <c:pt idx="8">
                  <c:v>4.1224949999999998</c:v>
                </c:pt>
                <c:pt idx="9">
                  <c:v>4.1107500000000003</c:v>
                </c:pt>
                <c:pt idx="10">
                  <c:v>4.1107500000000003</c:v>
                </c:pt>
              </c:numCache>
            </c:numRef>
          </c:yVal>
          <c:smooth val="0"/>
          <c:extLst>
            <c:ext xmlns:c16="http://schemas.microsoft.com/office/drawing/2014/chart" uri="{C3380CC4-5D6E-409C-BE32-E72D297353CC}">
              <c16:uniqueId val="{00000000-72BC-8749-8CC9-46DE774CF316}"/>
            </c:ext>
          </c:extLst>
        </c:ser>
        <c:dLbls>
          <c:showLegendKey val="0"/>
          <c:showVal val="0"/>
          <c:showCatName val="0"/>
          <c:showSerName val="0"/>
          <c:showPercent val="0"/>
          <c:showBubbleSize val="0"/>
        </c:dLbls>
        <c:axId val="1286004735"/>
        <c:axId val="1012946191"/>
      </c:scatterChart>
      <c:valAx>
        <c:axId val="1286004735"/>
        <c:scaling>
          <c:orientation val="minMax"/>
        </c:scaling>
        <c:delete val="0"/>
        <c:axPos val="b"/>
        <c:majorGridlines>
          <c:spPr>
            <a:ln w="9525" cap="flat" cmpd="sng" algn="ctr">
              <a:solidFill>
                <a:schemeClr val="tx1">
                  <a:lumMod val="15000"/>
                  <a:lumOff val="85000"/>
                </a:schemeClr>
              </a:solidFill>
              <a:round/>
            </a:ln>
            <a:effectLst/>
          </c:spPr>
        </c:majorGridlines>
        <c:numFmt formatCode="_-[$R$-416]\ * #,##0.00_-;\-[$R$-416]\ * #,##0.00_-;_-[$R$-416]\ *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191"/>
        <c:crosses val="autoZero"/>
        <c:crossBetween val="midCat"/>
      </c:valAx>
      <c:valAx>
        <c:axId val="1012946191"/>
        <c:scaling>
          <c:orientation val="minMax"/>
        </c:scaling>
        <c:delete val="0"/>
        <c:axPos val="l"/>
        <c:majorGridlines>
          <c:spPr>
            <a:ln w="9525" cap="flat" cmpd="sng" algn="ctr">
              <a:solidFill>
                <a:schemeClr val="tx1">
                  <a:lumMod val="15000"/>
                  <a:lumOff val="85000"/>
                </a:schemeClr>
              </a:solidFill>
              <a:round/>
            </a:ln>
            <a:effectLst/>
          </c:spPr>
        </c:majorGridlines>
        <c:numFmt formatCode="_-[$R$-416]\ * #,##0.00_-;\-[$R$-416]\ * #,##0.00_-;_-[$R$-416]\ *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004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Helvetica" pitchFamily="2" charset="0"/>
                <a:ea typeface="+mn-ea"/>
                <a:cs typeface="+mn-cs"/>
              </a:defRPr>
            </a:pPr>
            <a:r>
              <a:rPr lang="pt-BR" b="1">
                <a:solidFill>
                  <a:schemeClr val="accent1">
                    <a:lumMod val="50000"/>
                  </a:schemeClr>
                </a:solidFill>
              </a:rPr>
              <a:t>Evolution</a:t>
            </a:r>
            <a:r>
              <a:rPr lang="pt-BR" b="1" baseline="0">
                <a:solidFill>
                  <a:schemeClr val="accent1">
                    <a:lumMod val="50000"/>
                  </a:schemeClr>
                </a:solidFill>
              </a:rPr>
              <a:t> in the number of organic leads: Real vs Forecast (12 months)</a:t>
            </a:r>
            <a:endParaRPr lang="en-CA"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Helvetica" pitchFamily="2" charset="0"/>
              <a:ea typeface="+mn-ea"/>
              <a:cs typeface="+mn-cs"/>
            </a:defRPr>
          </a:pPr>
          <a:endParaRPr lang="en-US"/>
        </a:p>
      </c:txPr>
    </c:title>
    <c:autoTitleDeleted val="0"/>
    <c:plotArea>
      <c:layout/>
      <c:lineChart>
        <c:grouping val="standard"/>
        <c:varyColors val="0"/>
        <c:ser>
          <c:idx val="0"/>
          <c:order val="0"/>
          <c:tx>
            <c:strRef>
              <c:f>'INPUTS LEADS - Organic Traffic'!$B$12</c:f>
              <c:strCache>
                <c:ptCount val="1"/>
                <c:pt idx="0">
                  <c:v>Total leads email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Organic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Organic Traffic'!$C$12:$Z$12</c:f>
              <c:numCache>
                <c:formatCode>_(* #,##0_);_(* \(#,##0\);_(* "-"??_);_(@_)</c:formatCode>
                <c:ptCount val="17"/>
                <c:pt idx="0">
                  <c:v>61</c:v>
                </c:pt>
                <c:pt idx="1">
                  <c:v>68</c:v>
                </c:pt>
                <c:pt idx="2">
                  <c:v>74</c:v>
                </c:pt>
                <c:pt idx="3">
                  <c:v>50</c:v>
                </c:pt>
                <c:pt idx="4">
                  <c:v>94</c:v>
                </c:pt>
                <c:pt idx="5">
                  <c:v>91</c:v>
                </c:pt>
                <c:pt idx="6">
                  <c:v>97</c:v>
                </c:pt>
                <c:pt idx="7">
                  <c:v>104</c:v>
                </c:pt>
                <c:pt idx="8">
                  <c:v>111</c:v>
                </c:pt>
                <c:pt idx="9">
                  <c:v>117</c:v>
                </c:pt>
                <c:pt idx="10">
                  <c:v>124</c:v>
                </c:pt>
                <c:pt idx="11">
                  <c:v>131</c:v>
                </c:pt>
                <c:pt idx="12">
                  <c:v>137</c:v>
                </c:pt>
                <c:pt idx="13">
                  <c:v>144</c:v>
                </c:pt>
                <c:pt idx="14">
                  <c:v>151</c:v>
                </c:pt>
                <c:pt idx="15">
                  <c:v>157</c:v>
                </c:pt>
                <c:pt idx="16">
                  <c:v>164</c:v>
                </c:pt>
              </c:numCache>
            </c:numRef>
          </c:val>
          <c:smooth val="0"/>
          <c:extLst>
            <c:ext xmlns:c16="http://schemas.microsoft.com/office/drawing/2014/chart" uri="{C3380CC4-5D6E-409C-BE32-E72D297353CC}">
              <c16:uniqueId val="{00000000-CDB9-DF4F-815B-9184D0D3C1D4}"/>
            </c:ext>
          </c:extLst>
        </c:ser>
        <c:ser>
          <c:idx val="1"/>
          <c:order val="1"/>
          <c:tx>
            <c:strRef>
              <c:f>'INPUTS LEADS - Organic Traffic'!$B$18</c:f>
              <c:strCache>
                <c:ptCount val="1"/>
                <c:pt idx="0">
                  <c:v>Total leads organic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'INPUTS LEADS - Organic Traffic'!$C$6:$Z$6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'INPUTS LEADS - Organic Traffic'!$C$18:$Z$18</c:f>
              <c:numCache>
                <c:formatCode>_(* #,##0_);_(* \(#,##0\);_(* "-"??_);_(@_)</c:formatCode>
                <c:ptCount val="17"/>
                <c:pt idx="0">
                  <c:v>892</c:v>
                </c:pt>
                <c:pt idx="1">
                  <c:v>725</c:v>
                </c:pt>
                <c:pt idx="2">
                  <c:v>814</c:v>
                </c:pt>
                <c:pt idx="3">
                  <c:v>999</c:v>
                </c:pt>
                <c:pt idx="4">
                  <c:v>923</c:v>
                </c:pt>
                <c:pt idx="5">
                  <c:v>1161.1300000000001</c:v>
                </c:pt>
                <c:pt idx="6">
                  <c:v>1252.5119999999999</c:v>
                </c:pt>
                <c:pt idx="7">
                  <c:v>1343.894</c:v>
                </c:pt>
                <c:pt idx="8">
                  <c:v>1435.2760000000001</c:v>
                </c:pt>
                <c:pt idx="9">
                  <c:v>1526.6580000000001</c:v>
                </c:pt>
                <c:pt idx="10">
                  <c:v>1618.0400000000002</c:v>
                </c:pt>
                <c:pt idx="11">
                  <c:v>1709.422</c:v>
                </c:pt>
                <c:pt idx="12">
                  <c:v>1800.8040000000001</c:v>
                </c:pt>
                <c:pt idx="13">
                  <c:v>1892.1860000000001</c:v>
                </c:pt>
                <c:pt idx="14">
                  <c:v>1983.568</c:v>
                </c:pt>
                <c:pt idx="15">
                  <c:v>2074.9500000000003</c:v>
                </c:pt>
                <c:pt idx="16">
                  <c:v>2166.3320000000003</c:v>
                </c:pt>
              </c:numCache>
            </c:numRef>
          </c:val>
          <c:smooth val="0"/>
          <c:extLst>
            <c:ext xmlns:c16="http://schemas.microsoft.com/office/drawing/2014/chart" uri="{C3380CC4-5D6E-409C-BE32-E72D297353CC}">
              <c16:uniqueId val="{00000001-CDB9-DF4F-815B-9184D0D3C1D4}"/>
            </c:ext>
          </c:extLst>
        </c:ser>
        <c:dLbls>
          <c:showLegendKey val="0"/>
          <c:showVal val="0"/>
          <c:showCatName val="0"/>
          <c:showSerName val="0"/>
          <c:showPercent val="0"/>
          <c:showBubbleSize val="0"/>
        </c:dLbls>
        <c:marker val="1"/>
        <c:smooth val="0"/>
        <c:axId val="1193808528"/>
        <c:axId val="1634978480"/>
      </c:lineChart>
      <c:dateAx>
        <c:axId val="1193808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crossAx val="1634978480"/>
        <c:crosses val="autoZero"/>
        <c:auto val="1"/>
        <c:lblOffset val="100"/>
        <c:baseTimeUnit val="months"/>
      </c:dateAx>
      <c:valAx>
        <c:axId val="1634978480"/>
        <c:scaling>
          <c:orientation val="minMax"/>
        </c:scaling>
        <c:delete val="1"/>
        <c:axPos val="l"/>
        <c:numFmt formatCode="_(* #,##0_);_(* \(#,##0\);_(* &quot;-&quot;??_);_(@_)" sourceLinked="1"/>
        <c:majorTickMark val="none"/>
        <c:minorTickMark val="none"/>
        <c:tickLblPos val="nextTo"/>
        <c:crossAx val="1193808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Helvetica" pitchFamily="2" charset="0"/>
                <a:ea typeface="+mj-ea"/>
                <a:cs typeface="+mj-cs"/>
              </a:defRPr>
            </a:pPr>
            <a:r>
              <a:rPr lang="en-US" sz="1600" b="1">
                <a:solidFill>
                  <a:schemeClr val="accent1">
                    <a:lumMod val="50000"/>
                  </a:schemeClr>
                </a:solidFill>
              </a:rPr>
              <a:t>Convertion rates details organic channels (historical</a:t>
            </a:r>
            <a:r>
              <a:rPr lang="en-US" sz="1600" b="1" baseline="0">
                <a:solidFill>
                  <a:schemeClr val="accent1">
                    <a:lumMod val="50000"/>
                  </a:schemeClr>
                </a:solidFill>
              </a:rPr>
              <a:t> data)</a:t>
            </a:r>
            <a:endParaRPr lang="en-US" sz="1600"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1">
                  <a:lumMod val="50000"/>
                </a:schemeClr>
              </a:solidFill>
              <a:latin typeface="Helvetica" pitchFamily="2" charset="0"/>
              <a:ea typeface="+mj-ea"/>
              <a:cs typeface="+mj-cs"/>
            </a:defRPr>
          </a:pPr>
          <a:endParaRPr lang="en-US"/>
        </a:p>
      </c:txPr>
    </c:title>
    <c:autoTitleDeleted val="0"/>
    <c:plotArea>
      <c:layout/>
      <c:barChart>
        <c:barDir val="col"/>
        <c:grouping val="stacked"/>
        <c:varyColors val="0"/>
        <c:ser>
          <c:idx val="0"/>
          <c:order val="0"/>
          <c:tx>
            <c:strRef>
              <c:f>'Organic Traffic details'!$B$4</c:f>
              <c:strCache>
                <c:ptCount val="1"/>
                <c:pt idx="0">
                  <c:v>direct_traffic</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2-F577-B842-AC7A-5DA4F3E6842D}"/>
                </c:ext>
              </c:extLst>
            </c:dLbl>
            <c:dLbl>
              <c:idx val="1"/>
              <c:delete val="1"/>
              <c:extLst>
                <c:ext xmlns:c15="http://schemas.microsoft.com/office/drawing/2012/chart" uri="{CE6537A1-D6FC-4f65-9D91-7224C49458BB}"/>
                <c:ext xmlns:c16="http://schemas.microsoft.com/office/drawing/2014/chart" uri="{C3380CC4-5D6E-409C-BE32-E72D297353CC}">
                  <c16:uniqueId val="{00000015-F577-B842-AC7A-5DA4F3E6842D}"/>
                </c:ext>
              </c:extLst>
            </c:dLbl>
            <c:dLbl>
              <c:idx val="2"/>
              <c:delete val="1"/>
              <c:extLst>
                <c:ext xmlns:c15="http://schemas.microsoft.com/office/drawing/2012/chart" uri="{CE6537A1-D6FC-4f65-9D91-7224C49458BB}"/>
                <c:ext xmlns:c16="http://schemas.microsoft.com/office/drawing/2014/chart" uri="{C3380CC4-5D6E-409C-BE32-E72D297353CC}">
                  <c16:uniqueId val="{00000023-F577-B842-AC7A-5DA4F3E6842D}"/>
                </c:ext>
              </c:extLst>
            </c:dLbl>
            <c:dLbl>
              <c:idx val="3"/>
              <c:delete val="1"/>
              <c:extLst>
                <c:ext xmlns:c15="http://schemas.microsoft.com/office/drawing/2012/chart" uri="{CE6537A1-D6FC-4f65-9D91-7224C49458BB}"/>
                <c:ext xmlns:c16="http://schemas.microsoft.com/office/drawing/2014/chart" uri="{C3380CC4-5D6E-409C-BE32-E72D297353CC}">
                  <c16:uniqueId val="{0000001A-F577-B842-AC7A-5DA4F3E6842D}"/>
                </c:ext>
              </c:extLst>
            </c:dLbl>
            <c:dLbl>
              <c:idx val="4"/>
              <c:delete val="1"/>
              <c:extLst>
                <c:ext xmlns:c15="http://schemas.microsoft.com/office/drawing/2012/chart" uri="{CE6537A1-D6FC-4f65-9D91-7224C49458BB}"/>
                <c:ext xmlns:c16="http://schemas.microsoft.com/office/drawing/2014/chart" uri="{C3380CC4-5D6E-409C-BE32-E72D297353CC}">
                  <c16:uniqueId val="{0000001B-F577-B842-AC7A-5DA4F3E6842D}"/>
                </c:ext>
              </c:extLst>
            </c:dLbl>
            <c:dLbl>
              <c:idx val="5"/>
              <c:delete val="1"/>
              <c:extLst>
                <c:ext xmlns:c15="http://schemas.microsoft.com/office/drawing/2012/chart" uri="{CE6537A1-D6FC-4f65-9D91-7224C49458BB}"/>
                <c:ext xmlns:c16="http://schemas.microsoft.com/office/drawing/2014/chart" uri="{C3380CC4-5D6E-409C-BE32-E72D297353CC}">
                  <c16:uniqueId val="{0000001F-F577-B842-AC7A-5DA4F3E6842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'Organic Traffic details'!$C$3:$N$3</c:f>
              <c:strCache>
                <c:ptCount val="12"/>
                <c:pt idx="0">
                  <c:v>2017-06</c:v>
                </c:pt>
                <c:pt idx="1">
                  <c:v>2017-07</c:v>
                </c:pt>
                <c:pt idx="2">
                  <c:v>2017-08</c:v>
                </c:pt>
                <c:pt idx="3">
                  <c:v>2017-09</c:v>
                </c:pt>
                <c:pt idx="4">
                  <c:v>2017-10</c:v>
                </c:pt>
                <c:pt idx="5">
                  <c:v>2017-11</c:v>
                </c:pt>
                <c:pt idx="6">
                  <c:v>2017-12</c:v>
                </c:pt>
                <c:pt idx="7">
                  <c:v>2018-01</c:v>
                </c:pt>
                <c:pt idx="8">
                  <c:v>2018-02</c:v>
                </c:pt>
                <c:pt idx="9">
                  <c:v>2018-03</c:v>
                </c:pt>
                <c:pt idx="10">
                  <c:v>2018-04</c:v>
                </c:pt>
                <c:pt idx="11">
                  <c:v>2018-05</c:v>
                </c:pt>
              </c:strCache>
            </c:strRef>
          </c:cat>
          <c:val>
            <c:numRef>
              <c:f>'Organic Traffic details'!$C$4:$N$4</c:f>
              <c:numCache>
                <c:formatCode>0%</c:formatCode>
                <c:ptCount val="12"/>
                <c:pt idx="0">
                  <c:v>0</c:v>
                </c:pt>
                <c:pt idx="1">
                  <c:v>0</c:v>
                </c:pt>
                <c:pt idx="2">
                  <c:v>0</c:v>
                </c:pt>
                <c:pt idx="3">
                  <c:v>0</c:v>
                </c:pt>
                <c:pt idx="4">
                  <c:v>0</c:v>
                </c:pt>
                <c:pt idx="5">
                  <c:v>0</c:v>
                </c:pt>
                <c:pt idx="6">
                  <c:v>0.2</c:v>
                </c:pt>
                <c:pt idx="7">
                  <c:v>0.21951219512195122</c:v>
                </c:pt>
                <c:pt idx="8">
                  <c:v>0.13846153846153847</c:v>
                </c:pt>
                <c:pt idx="9">
                  <c:v>8.7499999999999994E-2</c:v>
                </c:pt>
                <c:pt idx="10">
                  <c:v>0.17333333333333334</c:v>
                </c:pt>
                <c:pt idx="11">
                  <c:v>8.9743589743589744E-2</c:v>
                </c:pt>
              </c:numCache>
            </c:numRef>
          </c:val>
          <c:extLst>
            <c:ext xmlns:c16="http://schemas.microsoft.com/office/drawing/2014/chart" uri="{C3380CC4-5D6E-409C-BE32-E72D297353CC}">
              <c16:uniqueId val="{00000000-F577-B842-AC7A-5DA4F3E6842D}"/>
            </c:ext>
          </c:extLst>
        </c:ser>
        <c:ser>
          <c:idx val="1"/>
          <c:order val="1"/>
          <c:tx>
            <c:strRef>
              <c:f>'Organic Traffic details'!$B$5</c:f>
              <c:strCache>
                <c:ptCount val="1"/>
                <c:pt idx="0">
                  <c:v>organic</c:v>
                </c:pt>
              </c:strCache>
            </c:strRef>
          </c:tx>
          <c:spPr>
            <a:solidFill>
              <a:schemeClr val="accent2"/>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1-F577-B842-AC7A-5DA4F3E6842D}"/>
                </c:ext>
              </c:extLst>
            </c:dLbl>
            <c:dLbl>
              <c:idx val="2"/>
              <c:layout>
                <c:manualLayout>
                  <c:x val="7.3529411764705586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577-B842-AC7A-5DA4F3E6842D}"/>
                </c:ext>
              </c:extLst>
            </c:dLbl>
            <c:dLbl>
              <c:idx val="3"/>
              <c:delete val="1"/>
              <c:extLst>
                <c:ext xmlns:c15="http://schemas.microsoft.com/office/drawing/2012/chart" uri="{CE6537A1-D6FC-4f65-9D91-7224C49458BB}"/>
                <c:ext xmlns:c16="http://schemas.microsoft.com/office/drawing/2014/chart" uri="{C3380CC4-5D6E-409C-BE32-E72D297353CC}">
                  <c16:uniqueId val="{00000019-F577-B842-AC7A-5DA4F3E6842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'Organic Traffic details'!$C$3:$N$3</c:f>
              <c:strCache>
                <c:ptCount val="12"/>
                <c:pt idx="0">
                  <c:v>2017-06</c:v>
                </c:pt>
                <c:pt idx="1">
                  <c:v>2017-07</c:v>
                </c:pt>
                <c:pt idx="2">
                  <c:v>2017-08</c:v>
                </c:pt>
                <c:pt idx="3">
                  <c:v>2017-09</c:v>
                </c:pt>
                <c:pt idx="4">
                  <c:v>2017-10</c:v>
                </c:pt>
                <c:pt idx="5">
                  <c:v>2017-11</c:v>
                </c:pt>
                <c:pt idx="6">
                  <c:v>2017-12</c:v>
                </c:pt>
                <c:pt idx="7">
                  <c:v>2018-01</c:v>
                </c:pt>
                <c:pt idx="8">
                  <c:v>2018-02</c:v>
                </c:pt>
                <c:pt idx="9">
                  <c:v>2018-03</c:v>
                </c:pt>
                <c:pt idx="10">
                  <c:v>2018-04</c:v>
                </c:pt>
                <c:pt idx="11">
                  <c:v>2018-05</c:v>
                </c:pt>
              </c:strCache>
            </c:strRef>
          </c:cat>
          <c:val>
            <c:numRef>
              <c:f>'Organic Traffic details'!$C$5:$N$5</c:f>
              <c:numCache>
                <c:formatCode>0%</c:formatCode>
                <c:ptCount val="12"/>
                <c:pt idx="0">
                  <c:v>0</c:v>
                </c:pt>
                <c:pt idx="1">
                  <c:v>3.8461538461538464E-2</c:v>
                </c:pt>
                <c:pt idx="2">
                  <c:v>1.3513513513513514E-2</c:v>
                </c:pt>
                <c:pt idx="3">
                  <c:v>0</c:v>
                </c:pt>
                <c:pt idx="4">
                  <c:v>4.8387096774193547E-2</c:v>
                </c:pt>
                <c:pt idx="5">
                  <c:v>5.9701492537313432E-2</c:v>
                </c:pt>
                <c:pt idx="6">
                  <c:v>6.8965517241379309E-2</c:v>
                </c:pt>
                <c:pt idx="7">
                  <c:v>0.18974358974358974</c:v>
                </c:pt>
                <c:pt idx="8">
                  <c:v>0.19553072625698323</c:v>
                </c:pt>
                <c:pt idx="9">
                  <c:v>0.20737327188940091</c:v>
                </c:pt>
                <c:pt idx="10">
                  <c:v>0.19024390243902439</c:v>
                </c:pt>
                <c:pt idx="11">
                  <c:v>0.16201117318435754</c:v>
                </c:pt>
              </c:numCache>
            </c:numRef>
          </c:val>
          <c:extLst>
            <c:ext xmlns:c16="http://schemas.microsoft.com/office/drawing/2014/chart" uri="{C3380CC4-5D6E-409C-BE32-E72D297353CC}">
              <c16:uniqueId val="{00000001-F577-B842-AC7A-5DA4F3E6842D}"/>
            </c:ext>
          </c:extLst>
        </c:ser>
        <c:ser>
          <c:idx val="2"/>
          <c:order val="2"/>
          <c:tx>
            <c:strRef>
              <c:f>'Organic Traffic details'!$B$6</c:f>
              <c:strCache>
                <c:ptCount val="1"/>
                <c:pt idx="0">
                  <c:v>organic_search</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0-F577-B842-AC7A-5DA4F3E6842D}"/>
                </c:ext>
              </c:extLst>
            </c:dLbl>
            <c:dLbl>
              <c:idx val="1"/>
              <c:delete val="1"/>
              <c:extLst>
                <c:ext xmlns:c15="http://schemas.microsoft.com/office/drawing/2012/chart" uri="{CE6537A1-D6FC-4f65-9D91-7224C49458BB}"/>
                <c:ext xmlns:c16="http://schemas.microsoft.com/office/drawing/2014/chart" uri="{C3380CC4-5D6E-409C-BE32-E72D297353CC}">
                  <c16:uniqueId val="{00000016-F577-B842-AC7A-5DA4F3E6842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'Organic Traffic details'!$C$3:$N$3</c:f>
              <c:strCache>
                <c:ptCount val="12"/>
                <c:pt idx="0">
                  <c:v>2017-06</c:v>
                </c:pt>
                <c:pt idx="1">
                  <c:v>2017-07</c:v>
                </c:pt>
                <c:pt idx="2">
                  <c:v>2017-08</c:v>
                </c:pt>
                <c:pt idx="3">
                  <c:v>2017-09</c:v>
                </c:pt>
                <c:pt idx="4">
                  <c:v>2017-10</c:v>
                </c:pt>
                <c:pt idx="5">
                  <c:v>2017-11</c:v>
                </c:pt>
                <c:pt idx="6">
                  <c:v>2017-12</c:v>
                </c:pt>
                <c:pt idx="7">
                  <c:v>2018-01</c:v>
                </c:pt>
                <c:pt idx="8">
                  <c:v>2018-02</c:v>
                </c:pt>
                <c:pt idx="9">
                  <c:v>2018-03</c:v>
                </c:pt>
                <c:pt idx="10">
                  <c:v>2018-04</c:v>
                </c:pt>
                <c:pt idx="11">
                  <c:v>2018-05</c:v>
                </c:pt>
              </c:strCache>
            </c:strRef>
          </c:cat>
          <c:val>
            <c:numRef>
              <c:f>'Organic Traffic details'!$C$6:$N$6</c:f>
              <c:numCache>
                <c:formatCode>0%</c:formatCode>
                <c:ptCount val="12"/>
                <c:pt idx="0">
                  <c:v>0</c:v>
                </c:pt>
                <c:pt idx="1">
                  <c:v>0</c:v>
                </c:pt>
                <c:pt idx="2">
                  <c:v>1.6393442622950821E-2</c:v>
                </c:pt>
                <c:pt idx="3">
                  <c:v>6.4102564102564097E-2</c:v>
                </c:pt>
                <c:pt idx="4">
                  <c:v>8.0000000000000002E-3</c:v>
                </c:pt>
                <c:pt idx="5">
                  <c:v>3.3057851239669422E-2</c:v>
                </c:pt>
                <c:pt idx="6">
                  <c:v>6.6666666666666666E-2</c:v>
                </c:pt>
                <c:pt idx="7">
                  <c:v>0.15291262135922329</c:v>
                </c:pt>
                <c:pt idx="8">
                  <c:v>0.13402061855670103</c:v>
                </c:pt>
                <c:pt idx="9">
                  <c:v>0.15294117647058825</c:v>
                </c:pt>
                <c:pt idx="10">
                  <c:v>0.16905444126074498</c:v>
                </c:pt>
                <c:pt idx="11">
                  <c:v>0.12209302325581395</c:v>
                </c:pt>
              </c:numCache>
            </c:numRef>
          </c:val>
          <c:extLst>
            <c:ext xmlns:c16="http://schemas.microsoft.com/office/drawing/2014/chart" uri="{C3380CC4-5D6E-409C-BE32-E72D297353CC}">
              <c16:uniqueId val="{00000002-F577-B842-AC7A-5DA4F3E6842D}"/>
            </c:ext>
          </c:extLst>
        </c:ser>
        <c:ser>
          <c:idx val="3"/>
          <c:order val="3"/>
          <c:tx>
            <c:strRef>
              <c:f>'Organic Traffic details'!$B$7</c:f>
              <c:strCache>
                <c:ptCount val="1"/>
                <c:pt idx="0">
                  <c:v>referral</c:v>
                </c:pt>
              </c:strCache>
            </c:strRef>
          </c:tx>
          <c:spPr>
            <a:solidFill>
              <a:schemeClr val="accent4"/>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F577-B842-AC7A-5DA4F3E6842D}"/>
                </c:ext>
              </c:extLst>
            </c:dLbl>
            <c:dLbl>
              <c:idx val="1"/>
              <c:delete val="1"/>
              <c:extLst>
                <c:ext xmlns:c15="http://schemas.microsoft.com/office/drawing/2012/chart" uri="{CE6537A1-D6FC-4f65-9D91-7224C49458BB}"/>
                <c:ext xmlns:c16="http://schemas.microsoft.com/office/drawing/2014/chart" uri="{C3380CC4-5D6E-409C-BE32-E72D297353CC}">
                  <c16:uniqueId val="{00000014-F577-B842-AC7A-5DA4F3E6842D}"/>
                </c:ext>
              </c:extLst>
            </c:dLbl>
            <c:dLbl>
              <c:idx val="2"/>
              <c:delete val="1"/>
              <c:extLst>
                <c:ext xmlns:c15="http://schemas.microsoft.com/office/drawing/2012/chart" uri="{CE6537A1-D6FC-4f65-9D91-7224C49458BB}"/>
                <c:ext xmlns:c16="http://schemas.microsoft.com/office/drawing/2014/chart" uri="{C3380CC4-5D6E-409C-BE32-E72D297353CC}">
                  <c16:uniqueId val="{00000021-F577-B842-AC7A-5DA4F3E6842D}"/>
                </c:ext>
              </c:extLst>
            </c:dLbl>
            <c:dLbl>
              <c:idx val="3"/>
              <c:delete val="1"/>
              <c:extLst>
                <c:ext xmlns:c15="http://schemas.microsoft.com/office/drawing/2012/chart" uri="{CE6537A1-D6FC-4f65-9D91-7224C49458BB}"/>
                <c:ext xmlns:c16="http://schemas.microsoft.com/office/drawing/2014/chart" uri="{C3380CC4-5D6E-409C-BE32-E72D297353CC}">
                  <c16:uniqueId val="{00000018-F577-B842-AC7A-5DA4F3E6842D}"/>
                </c:ext>
              </c:extLst>
            </c:dLbl>
            <c:dLbl>
              <c:idx val="4"/>
              <c:delete val="1"/>
              <c:extLst>
                <c:ext xmlns:c15="http://schemas.microsoft.com/office/drawing/2012/chart" uri="{CE6537A1-D6FC-4f65-9D91-7224C49458BB}">
                  <c15:layout>
                    <c:manualLayout>
                      <c:w val="3.7585752148628478E-2"/>
                      <c:h val="5.8187934841478148E-2"/>
                    </c:manualLayout>
                  </c15:layout>
                </c:ext>
                <c:ext xmlns:c16="http://schemas.microsoft.com/office/drawing/2014/chart" uri="{C3380CC4-5D6E-409C-BE32-E72D297353CC}">
                  <c16:uniqueId val="{00000020-F577-B842-AC7A-5DA4F3E6842D}"/>
                </c:ext>
              </c:extLst>
            </c:dLbl>
            <c:dLbl>
              <c:idx val="5"/>
              <c:delete val="1"/>
              <c:extLst>
                <c:ext xmlns:c15="http://schemas.microsoft.com/office/drawing/2012/chart" uri="{CE6537A1-D6FC-4f65-9D91-7224C49458BB}"/>
                <c:ext xmlns:c16="http://schemas.microsoft.com/office/drawing/2014/chart" uri="{C3380CC4-5D6E-409C-BE32-E72D297353CC}">
                  <c16:uniqueId val="{0000001E-F577-B842-AC7A-5DA4F3E6842D}"/>
                </c:ext>
              </c:extLst>
            </c:dLbl>
            <c:dLbl>
              <c:idx val="6"/>
              <c:delete val="1"/>
              <c:extLst>
                <c:ext xmlns:c15="http://schemas.microsoft.com/office/drawing/2012/chart" uri="{CE6537A1-D6FC-4f65-9D91-7224C49458BB}"/>
                <c:ext xmlns:c16="http://schemas.microsoft.com/office/drawing/2014/chart" uri="{C3380CC4-5D6E-409C-BE32-E72D297353CC}">
                  <c16:uniqueId val="{0000001D-F577-B842-AC7A-5DA4F3E6842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'Organic Traffic details'!$C$3:$N$3</c:f>
              <c:strCache>
                <c:ptCount val="12"/>
                <c:pt idx="0">
                  <c:v>2017-06</c:v>
                </c:pt>
                <c:pt idx="1">
                  <c:v>2017-07</c:v>
                </c:pt>
                <c:pt idx="2">
                  <c:v>2017-08</c:v>
                </c:pt>
                <c:pt idx="3">
                  <c:v>2017-09</c:v>
                </c:pt>
                <c:pt idx="4">
                  <c:v>2017-10</c:v>
                </c:pt>
                <c:pt idx="5">
                  <c:v>2017-11</c:v>
                </c:pt>
                <c:pt idx="6">
                  <c:v>2017-12</c:v>
                </c:pt>
                <c:pt idx="7">
                  <c:v>2018-01</c:v>
                </c:pt>
                <c:pt idx="8">
                  <c:v>2018-02</c:v>
                </c:pt>
                <c:pt idx="9">
                  <c:v>2018-03</c:v>
                </c:pt>
                <c:pt idx="10">
                  <c:v>2018-04</c:v>
                </c:pt>
                <c:pt idx="11">
                  <c:v>2018-05</c:v>
                </c:pt>
              </c:strCache>
            </c:strRef>
          </c:cat>
          <c:val>
            <c:numRef>
              <c:f>'Organic Traffic details'!$C$7:$N$7</c:f>
              <c:numCache>
                <c:formatCode>0%</c:formatCode>
                <c:ptCount val="12"/>
                <c:pt idx="0">
                  <c:v>0</c:v>
                </c:pt>
                <c:pt idx="1">
                  <c:v>0</c:v>
                </c:pt>
                <c:pt idx="2">
                  <c:v>0</c:v>
                </c:pt>
                <c:pt idx="3">
                  <c:v>0</c:v>
                </c:pt>
                <c:pt idx="4">
                  <c:v>0</c:v>
                </c:pt>
                <c:pt idx="5">
                  <c:v>0</c:v>
                </c:pt>
                <c:pt idx="6">
                  <c:v>0</c:v>
                </c:pt>
                <c:pt idx="7">
                  <c:v>7.3170731707317069E-2</c:v>
                </c:pt>
                <c:pt idx="8">
                  <c:v>8.8235294117647065E-2</c:v>
                </c:pt>
                <c:pt idx="9">
                  <c:v>5.2631578947368418E-2</c:v>
                </c:pt>
                <c:pt idx="10">
                  <c:v>0.17777777777777778</c:v>
                </c:pt>
                <c:pt idx="11">
                  <c:v>0.15094339622641509</c:v>
                </c:pt>
              </c:numCache>
            </c:numRef>
          </c:val>
          <c:extLst>
            <c:ext xmlns:c16="http://schemas.microsoft.com/office/drawing/2014/chart" uri="{C3380CC4-5D6E-409C-BE32-E72D297353CC}">
              <c16:uniqueId val="{00000003-F577-B842-AC7A-5DA4F3E6842D}"/>
            </c:ext>
          </c:extLst>
        </c:ser>
        <c:ser>
          <c:idx val="4"/>
          <c:order val="4"/>
          <c:tx>
            <c:strRef>
              <c:f>'Organic Traffic details'!$B$8</c:f>
              <c:strCache>
                <c:ptCount val="1"/>
                <c:pt idx="0">
                  <c:v>social</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F577-B842-AC7A-5DA4F3E6842D}"/>
                </c:ext>
              </c:extLst>
            </c:dLbl>
            <c:dLbl>
              <c:idx val="1"/>
              <c:delete val="1"/>
              <c:extLst>
                <c:ext xmlns:c15="http://schemas.microsoft.com/office/drawing/2012/chart" uri="{CE6537A1-D6FC-4f65-9D91-7224C49458BB}"/>
                <c:ext xmlns:c16="http://schemas.microsoft.com/office/drawing/2014/chart" uri="{C3380CC4-5D6E-409C-BE32-E72D297353CC}">
                  <c16:uniqueId val="{00000013-F577-B842-AC7A-5DA4F3E6842D}"/>
                </c:ext>
              </c:extLst>
            </c:dLbl>
            <c:dLbl>
              <c:idx val="3"/>
              <c:delete val="1"/>
              <c:extLst>
                <c:ext xmlns:c15="http://schemas.microsoft.com/office/drawing/2012/chart" uri="{CE6537A1-D6FC-4f65-9D91-7224C49458BB}"/>
                <c:ext xmlns:c16="http://schemas.microsoft.com/office/drawing/2014/chart" uri="{C3380CC4-5D6E-409C-BE32-E72D297353CC}">
                  <c16:uniqueId val="{00000017-F577-B842-AC7A-5DA4F3E6842D}"/>
                </c:ext>
              </c:extLst>
            </c:dLbl>
            <c:dLbl>
              <c:idx val="6"/>
              <c:delete val="1"/>
              <c:extLst>
                <c:ext xmlns:c15="http://schemas.microsoft.com/office/drawing/2012/chart" uri="{CE6537A1-D6FC-4f65-9D91-7224C49458BB}"/>
                <c:ext xmlns:c16="http://schemas.microsoft.com/office/drawing/2014/chart" uri="{C3380CC4-5D6E-409C-BE32-E72D297353CC}">
                  <c16:uniqueId val="{0000001C-F577-B842-AC7A-5DA4F3E6842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'Organic Traffic details'!$C$3:$N$3</c:f>
              <c:strCache>
                <c:ptCount val="12"/>
                <c:pt idx="0">
                  <c:v>2017-06</c:v>
                </c:pt>
                <c:pt idx="1">
                  <c:v>2017-07</c:v>
                </c:pt>
                <c:pt idx="2">
                  <c:v>2017-08</c:v>
                </c:pt>
                <c:pt idx="3">
                  <c:v>2017-09</c:v>
                </c:pt>
                <c:pt idx="4">
                  <c:v>2017-10</c:v>
                </c:pt>
                <c:pt idx="5">
                  <c:v>2017-11</c:v>
                </c:pt>
                <c:pt idx="6">
                  <c:v>2017-12</c:v>
                </c:pt>
                <c:pt idx="7">
                  <c:v>2018-01</c:v>
                </c:pt>
                <c:pt idx="8">
                  <c:v>2018-02</c:v>
                </c:pt>
                <c:pt idx="9">
                  <c:v>2018-03</c:v>
                </c:pt>
                <c:pt idx="10">
                  <c:v>2018-04</c:v>
                </c:pt>
                <c:pt idx="11">
                  <c:v>2018-05</c:v>
                </c:pt>
              </c:strCache>
            </c:strRef>
          </c:cat>
          <c:val>
            <c:numRef>
              <c:f>'Organic Traffic details'!$C$8:$N$8</c:f>
              <c:numCache>
                <c:formatCode>0%</c:formatCode>
                <c:ptCount val="12"/>
                <c:pt idx="0">
                  <c:v>0</c:v>
                </c:pt>
                <c:pt idx="1">
                  <c:v>0</c:v>
                </c:pt>
                <c:pt idx="2">
                  <c:v>6.6666666666666666E-2</c:v>
                </c:pt>
                <c:pt idx="3">
                  <c:v>0</c:v>
                </c:pt>
                <c:pt idx="4">
                  <c:v>3.8461538461538464E-2</c:v>
                </c:pt>
                <c:pt idx="5">
                  <c:v>4.2105263157894736E-2</c:v>
                </c:pt>
                <c:pt idx="6">
                  <c:v>0</c:v>
                </c:pt>
                <c:pt idx="7">
                  <c:v>4.9382716049382713E-2</c:v>
                </c:pt>
                <c:pt idx="8">
                  <c:v>9.6153846153846159E-2</c:v>
                </c:pt>
                <c:pt idx="9">
                  <c:v>0.11510791366906475</c:v>
                </c:pt>
                <c:pt idx="10">
                  <c:v>4.9230769230769231E-2</c:v>
                </c:pt>
                <c:pt idx="11">
                  <c:v>4.0892193308550186E-2</c:v>
                </c:pt>
              </c:numCache>
            </c:numRef>
          </c:val>
          <c:extLst>
            <c:ext xmlns:c16="http://schemas.microsoft.com/office/drawing/2014/chart" uri="{C3380CC4-5D6E-409C-BE32-E72D297353CC}">
              <c16:uniqueId val="{00000004-F577-B842-AC7A-5DA4F3E6842D}"/>
            </c:ext>
          </c:extLst>
        </c:ser>
        <c:dLbls>
          <c:dLblPos val="ctr"/>
          <c:showLegendKey val="0"/>
          <c:showVal val="1"/>
          <c:showCatName val="0"/>
          <c:showSerName val="0"/>
          <c:showPercent val="0"/>
          <c:showBubbleSize val="0"/>
        </c:dLbls>
        <c:gapWidth val="150"/>
        <c:overlap val="100"/>
        <c:axId val="1195335088"/>
        <c:axId val="1238435920"/>
      </c:barChart>
      <c:catAx>
        <c:axId val="119533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Helvetica" pitchFamily="2" charset="0"/>
                <a:ea typeface="+mn-ea"/>
                <a:cs typeface="+mn-cs"/>
              </a:defRPr>
            </a:pPr>
            <a:endParaRPr lang="en-US"/>
          </a:p>
        </c:txPr>
        <c:crossAx val="1238435920"/>
        <c:crosses val="autoZero"/>
        <c:auto val="1"/>
        <c:lblAlgn val="ctr"/>
        <c:lblOffset val="100"/>
        <c:noMultiLvlLbl val="0"/>
      </c:catAx>
      <c:valAx>
        <c:axId val="1238435920"/>
        <c:scaling>
          <c:orientation val="minMax"/>
        </c:scaling>
        <c:delete val="1"/>
        <c:axPos val="l"/>
        <c:numFmt formatCode="0%" sourceLinked="1"/>
        <c:majorTickMark val="none"/>
        <c:minorTickMark val="none"/>
        <c:tickLblPos val="nextTo"/>
        <c:crossAx val="1195335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Helvetica" pitchFamily="2" charset="0"/>
                <a:ea typeface="+mn-ea"/>
                <a:cs typeface="+mn-cs"/>
              </a:defRPr>
            </a:pPr>
            <a:r>
              <a:rPr lang="en-US" b="1">
                <a:solidFill>
                  <a:schemeClr val="accent1">
                    <a:lumMod val="50000"/>
                  </a:schemeClr>
                </a:solidFill>
              </a:rPr>
              <a:t>Evolution in the of sales Real vs Forecast (12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Helvetica" pitchFamily="2" charset="0"/>
              <a:ea typeface="+mn-ea"/>
              <a:cs typeface="+mn-cs"/>
            </a:defRPr>
          </a:pPr>
          <a:endParaRPr lang="en-US"/>
        </a:p>
      </c:txPr>
    </c:title>
    <c:autoTitleDeleted val="0"/>
    <c:plotArea>
      <c:layout/>
      <c:lineChart>
        <c:grouping val="standard"/>
        <c:varyColors val="0"/>
        <c:ser>
          <c:idx val="0"/>
          <c:order val="0"/>
          <c:tx>
            <c:strRef>
              <c:f>'OUTPUT - Sales Performance'!$B$11</c:f>
              <c:strCache>
                <c:ptCount val="1"/>
                <c:pt idx="0">
                  <c:v>Total sales Search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1">
                        <a:lumMod val="75000"/>
                      </a:schemeClr>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 - Sales Performance'!$C$6:$Z$6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'OUTPUT - Sales Performance'!$C$11:$Z$11</c:f>
              <c:numCache>
                <c:formatCode>General</c:formatCode>
                <c:ptCount val="17"/>
                <c:pt idx="0">
                  <c:v>20</c:v>
                </c:pt>
                <c:pt idx="1">
                  <c:v>43</c:v>
                </c:pt>
                <c:pt idx="2">
                  <c:v>39</c:v>
                </c:pt>
                <c:pt idx="3">
                  <c:v>43</c:v>
                </c:pt>
                <c:pt idx="4">
                  <c:v>30</c:v>
                </c:pt>
                <c:pt idx="5">
                  <c:v>41</c:v>
                </c:pt>
                <c:pt idx="6">
                  <c:v>42</c:v>
                </c:pt>
                <c:pt idx="7">
                  <c:v>41</c:v>
                </c:pt>
                <c:pt idx="8">
                  <c:v>45</c:v>
                </c:pt>
                <c:pt idx="9">
                  <c:v>46</c:v>
                </c:pt>
                <c:pt idx="10">
                  <c:v>48</c:v>
                </c:pt>
                <c:pt idx="11">
                  <c:v>50</c:v>
                </c:pt>
                <c:pt idx="12">
                  <c:v>52</c:v>
                </c:pt>
                <c:pt idx="13">
                  <c:v>54</c:v>
                </c:pt>
                <c:pt idx="14">
                  <c:v>56</c:v>
                </c:pt>
                <c:pt idx="15">
                  <c:v>59</c:v>
                </c:pt>
                <c:pt idx="16">
                  <c:v>61</c:v>
                </c:pt>
              </c:numCache>
            </c:numRef>
          </c:val>
          <c:smooth val="0"/>
          <c:extLst>
            <c:ext xmlns:c16="http://schemas.microsoft.com/office/drawing/2014/chart" uri="{C3380CC4-5D6E-409C-BE32-E72D297353CC}">
              <c16:uniqueId val="{00000000-DD0D-4041-A234-8A041CA0711E}"/>
            </c:ext>
          </c:extLst>
        </c:ser>
        <c:ser>
          <c:idx val="1"/>
          <c:order val="1"/>
          <c:tx>
            <c:strRef>
              <c:f>'OUTPUT - Sales Performance'!$B$16</c:f>
              <c:strCache>
                <c:ptCount val="1"/>
                <c:pt idx="0">
                  <c:v>Total sales Display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'OUTPUT - Sales Performance'!$C$6:$Z$6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'OUTPUT - Sales Performance'!$C$16:$Z$16</c:f>
              <c:numCache>
                <c:formatCode>General</c:formatCode>
                <c:ptCount val="17"/>
                <c:pt idx="0">
                  <c:v>0</c:v>
                </c:pt>
                <c:pt idx="1">
                  <c:v>1</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smooth val="0"/>
          <c:extLst>
            <c:ext xmlns:c16="http://schemas.microsoft.com/office/drawing/2014/chart" uri="{C3380CC4-5D6E-409C-BE32-E72D297353CC}">
              <c16:uniqueId val="{00000001-DD0D-4041-A234-8A041CA0711E}"/>
            </c:ext>
          </c:extLst>
        </c:ser>
        <c:ser>
          <c:idx val="2"/>
          <c:order val="2"/>
          <c:tx>
            <c:strRef>
              <c:f>'OUTPUT - Sales Performance'!$B$21</c:f>
              <c:strCache>
                <c:ptCount val="1"/>
                <c:pt idx="0">
                  <c:v>Total sales Facebook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 - Sales Performance'!$C$6:$Z$6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'OUTPUT - Sales Performance'!$C$21:$Z$21</c:f>
              <c:numCache>
                <c:formatCode>General</c:formatCode>
                <c:ptCount val="17"/>
                <c:pt idx="0">
                  <c:v>2</c:v>
                </c:pt>
                <c:pt idx="1">
                  <c:v>0</c:v>
                </c:pt>
                <c:pt idx="2">
                  <c:v>1</c:v>
                </c:pt>
                <c:pt idx="3">
                  <c:v>0</c:v>
                </c:pt>
                <c:pt idx="4">
                  <c:v>0</c:v>
                </c:pt>
                <c:pt idx="5">
                  <c:v>1</c:v>
                </c:pt>
                <c:pt idx="6">
                  <c:v>1</c:v>
                </c:pt>
                <c:pt idx="7">
                  <c:v>1</c:v>
                </c:pt>
                <c:pt idx="8">
                  <c:v>1</c:v>
                </c:pt>
                <c:pt idx="9">
                  <c:v>1</c:v>
                </c:pt>
                <c:pt idx="10">
                  <c:v>1</c:v>
                </c:pt>
                <c:pt idx="11">
                  <c:v>1</c:v>
                </c:pt>
                <c:pt idx="12">
                  <c:v>1</c:v>
                </c:pt>
                <c:pt idx="13">
                  <c:v>1</c:v>
                </c:pt>
                <c:pt idx="14">
                  <c:v>1</c:v>
                </c:pt>
                <c:pt idx="15">
                  <c:v>2</c:v>
                </c:pt>
                <c:pt idx="16">
                  <c:v>2</c:v>
                </c:pt>
              </c:numCache>
            </c:numRef>
          </c:val>
          <c:smooth val="0"/>
          <c:extLst>
            <c:ext xmlns:c16="http://schemas.microsoft.com/office/drawing/2014/chart" uri="{C3380CC4-5D6E-409C-BE32-E72D297353CC}">
              <c16:uniqueId val="{00000002-DD0D-4041-A234-8A041CA0711E}"/>
            </c:ext>
          </c:extLst>
        </c:ser>
        <c:ser>
          <c:idx val="3"/>
          <c:order val="3"/>
          <c:tx>
            <c:strRef>
              <c:f>'OUTPUT - Sales Performance'!$B$26</c:f>
              <c:strCache>
                <c:ptCount val="1"/>
                <c:pt idx="0">
                  <c:v>Total sales Email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4"/>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 - Sales Performance'!$C$6:$Z$6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'OUTPUT - Sales Performance'!$C$26:$Z$26</c:f>
              <c:numCache>
                <c:formatCode>General</c:formatCode>
                <c:ptCount val="17"/>
                <c:pt idx="0">
                  <c:v>1</c:v>
                </c:pt>
                <c:pt idx="1">
                  <c:v>4</c:v>
                </c:pt>
                <c:pt idx="2">
                  <c:v>4</c:v>
                </c:pt>
                <c:pt idx="3">
                  <c:v>3</c:v>
                </c:pt>
                <c:pt idx="4">
                  <c:v>2</c:v>
                </c:pt>
                <c:pt idx="5">
                  <c:v>4</c:v>
                </c:pt>
                <c:pt idx="6">
                  <c:v>4</c:v>
                </c:pt>
                <c:pt idx="7">
                  <c:v>3</c:v>
                </c:pt>
                <c:pt idx="8">
                  <c:v>4</c:v>
                </c:pt>
                <c:pt idx="9">
                  <c:v>4</c:v>
                </c:pt>
                <c:pt idx="10">
                  <c:v>4</c:v>
                </c:pt>
                <c:pt idx="11">
                  <c:v>5</c:v>
                </c:pt>
                <c:pt idx="12">
                  <c:v>5</c:v>
                </c:pt>
                <c:pt idx="13">
                  <c:v>5</c:v>
                </c:pt>
                <c:pt idx="14">
                  <c:v>5</c:v>
                </c:pt>
                <c:pt idx="15">
                  <c:v>6</c:v>
                </c:pt>
                <c:pt idx="16">
                  <c:v>6</c:v>
                </c:pt>
              </c:numCache>
            </c:numRef>
          </c:val>
          <c:smooth val="0"/>
          <c:extLst>
            <c:ext xmlns:c16="http://schemas.microsoft.com/office/drawing/2014/chart" uri="{C3380CC4-5D6E-409C-BE32-E72D297353CC}">
              <c16:uniqueId val="{00000003-DD0D-4041-A234-8A041CA0711E}"/>
            </c:ext>
          </c:extLst>
        </c:ser>
        <c:ser>
          <c:idx val="4"/>
          <c:order val="4"/>
          <c:tx>
            <c:strRef>
              <c:f>'OUTPUT - Sales Performance'!$B$31</c:f>
              <c:strCache>
                <c:ptCount val="1"/>
                <c:pt idx="0">
                  <c:v>Total sales Organic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1"/>
                    </a:solidFill>
                    <a:latin typeface="Helvetica" pitchFamily="2"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'OUTPUT - Sales Performance'!$C$6:$Z$6</c:f>
              <c:numCache>
                <c:formatCode>mmm\-yy</c:formatCode>
                <c:ptCount val="17"/>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pt idx="15">
                  <c:v>43556</c:v>
                </c:pt>
                <c:pt idx="16">
                  <c:v>43586</c:v>
                </c:pt>
              </c:numCache>
            </c:numRef>
          </c:cat>
          <c:val>
            <c:numRef>
              <c:f>'OUTPUT - Sales Performance'!$C$31:$Z$31</c:f>
              <c:numCache>
                <c:formatCode>General</c:formatCode>
                <c:ptCount val="17"/>
                <c:pt idx="0">
                  <c:v>129</c:v>
                </c:pt>
                <c:pt idx="1">
                  <c:v>101</c:v>
                </c:pt>
                <c:pt idx="2">
                  <c:v>122</c:v>
                </c:pt>
                <c:pt idx="3">
                  <c:v>135</c:v>
                </c:pt>
                <c:pt idx="4">
                  <c:v>97</c:v>
                </c:pt>
                <c:pt idx="5">
                  <c:v>150</c:v>
                </c:pt>
                <c:pt idx="6">
                  <c:v>154</c:v>
                </c:pt>
                <c:pt idx="7">
                  <c:v>160</c:v>
                </c:pt>
                <c:pt idx="8">
                  <c:v>178</c:v>
                </c:pt>
                <c:pt idx="9">
                  <c:v>186</c:v>
                </c:pt>
                <c:pt idx="10">
                  <c:v>197</c:v>
                </c:pt>
                <c:pt idx="11">
                  <c:v>210</c:v>
                </c:pt>
                <c:pt idx="12">
                  <c:v>220</c:v>
                </c:pt>
                <c:pt idx="13">
                  <c:v>231</c:v>
                </c:pt>
                <c:pt idx="14">
                  <c:v>243</c:v>
                </c:pt>
                <c:pt idx="15">
                  <c:v>254</c:v>
                </c:pt>
                <c:pt idx="16">
                  <c:v>265</c:v>
                </c:pt>
              </c:numCache>
            </c:numRef>
          </c:val>
          <c:smooth val="0"/>
          <c:extLst>
            <c:ext xmlns:c16="http://schemas.microsoft.com/office/drawing/2014/chart" uri="{C3380CC4-5D6E-409C-BE32-E72D297353CC}">
              <c16:uniqueId val="{00000004-DD0D-4041-A234-8A041CA0711E}"/>
            </c:ext>
          </c:extLst>
        </c:ser>
        <c:dLbls>
          <c:showLegendKey val="0"/>
          <c:showVal val="0"/>
          <c:showCatName val="0"/>
          <c:showSerName val="0"/>
          <c:showPercent val="0"/>
          <c:showBubbleSize val="0"/>
        </c:dLbls>
        <c:marker val="1"/>
        <c:smooth val="0"/>
        <c:axId val="2139476752"/>
        <c:axId val="1561471136"/>
      </c:lineChart>
      <c:dateAx>
        <c:axId val="213947675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crossAx val="1561471136"/>
        <c:crosses val="autoZero"/>
        <c:auto val="1"/>
        <c:lblOffset val="100"/>
        <c:baseTimeUnit val="months"/>
      </c:dateAx>
      <c:valAx>
        <c:axId val="1561471136"/>
        <c:scaling>
          <c:orientation val="minMax"/>
        </c:scaling>
        <c:delete val="1"/>
        <c:axPos val="l"/>
        <c:numFmt formatCode="General" sourceLinked="1"/>
        <c:majorTickMark val="none"/>
        <c:minorTickMark val="none"/>
        <c:tickLblPos val="nextTo"/>
        <c:crossAx val="213947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Regressao linear - Previsao</a:t>
            </a:r>
            <a:r>
              <a:rPr lang="en-US" baseline="0"/>
              <a:t> de Leads Email por 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'Projecao estudo Leads Email'!$C$7:$C$17</c:f>
              <c:numCache>
                <c:formatCode>General</c:formatCode>
                <c:ptCount val="11"/>
                <c:pt idx="0">
                  <c:v>19</c:v>
                </c:pt>
                <c:pt idx="1">
                  <c:v>24</c:v>
                </c:pt>
                <c:pt idx="2">
                  <c:v>23</c:v>
                </c:pt>
                <c:pt idx="3">
                  <c:v>30</c:v>
                </c:pt>
                <c:pt idx="4">
                  <c:v>37</c:v>
                </c:pt>
                <c:pt idx="5">
                  <c:v>12</c:v>
                </c:pt>
                <c:pt idx="6">
                  <c:v>61</c:v>
                </c:pt>
                <c:pt idx="7">
                  <c:v>68</c:v>
                </c:pt>
                <c:pt idx="8">
                  <c:v>74</c:v>
                </c:pt>
                <c:pt idx="9">
                  <c:v>50</c:v>
                </c:pt>
                <c:pt idx="10">
                  <c:v>94</c:v>
                </c:pt>
              </c:numCache>
            </c:numRef>
          </c:yVal>
          <c:smooth val="0"/>
          <c:extLst>
            <c:ext xmlns:c16="http://schemas.microsoft.com/office/drawing/2014/chart" uri="{C3380CC4-5D6E-409C-BE32-E72D297353CC}">
              <c16:uniqueId val="{00000001-D9A7-8F4B-AFDA-1266521B1B07}"/>
            </c:ext>
          </c:extLst>
        </c:ser>
        <c:dLbls>
          <c:showLegendKey val="0"/>
          <c:showVal val="0"/>
          <c:showCatName val="0"/>
          <c:showSerName val="0"/>
          <c:showPercent val="0"/>
          <c:showBubbleSize val="0"/>
        </c:dLbls>
        <c:axId val="2026943200"/>
        <c:axId val="2142602080"/>
      </c:scatterChart>
      <c:valAx>
        <c:axId val="2026943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602080"/>
        <c:crosses val="autoZero"/>
        <c:crossBetween val="midCat"/>
      </c:valAx>
      <c:valAx>
        <c:axId val="214260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943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774700</xdr:colOff>
      <xdr:row>0</xdr:row>
      <xdr:rowOff>76200</xdr:rowOff>
    </xdr:from>
    <xdr:to>
      <xdr:col>4</xdr:col>
      <xdr:colOff>76200</xdr:colOff>
      <xdr:row>2</xdr:row>
      <xdr:rowOff>139700</xdr:rowOff>
    </xdr:to>
    <xdr:sp macro="" textlink="">
      <xdr:nvSpPr>
        <xdr:cNvPr id="6" name="Rounded Rectangle 5">
          <a:hlinkClick xmlns:r="http://schemas.openxmlformats.org/officeDocument/2006/relationships" r:id="rId1"/>
          <a:extLst>
            <a:ext uri="{FF2B5EF4-FFF2-40B4-BE49-F238E27FC236}">
              <a16:creationId xmlns:a16="http://schemas.microsoft.com/office/drawing/2014/main" id="{A9E7F898-0A4C-D942-B1B5-12296D62F04F}"/>
            </a:ext>
          </a:extLst>
        </xdr:cNvPr>
        <xdr:cNvSpPr/>
      </xdr:nvSpPr>
      <xdr:spPr>
        <a:xfrm>
          <a:off x="4000500" y="76200"/>
          <a:ext cx="952500" cy="4699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184149</xdr:colOff>
      <xdr:row>34</xdr:row>
      <xdr:rowOff>139699</xdr:rowOff>
    </xdr:from>
    <xdr:to>
      <xdr:col>26</xdr:col>
      <xdr:colOff>54428</xdr:colOff>
      <xdr:row>65</xdr:row>
      <xdr:rowOff>145142</xdr:rowOff>
    </xdr:to>
    <xdr:graphicFrame macro="">
      <xdr:nvGraphicFramePr>
        <xdr:cNvPr id="3" name="Chart 2">
          <a:extLst>
            <a:ext uri="{FF2B5EF4-FFF2-40B4-BE49-F238E27FC236}">
              <a16:creationId xmlns:a16="http://schemas.microsoft.com/office/drawing/2014/main" id="{87821B17-58D4-FF4E-9E5E-4FC73E6AC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805242</xdr:colOff>
      <xdr:row>38</xdr:row>
      <xdr:rowOff>145143</xdr:rowOff>
    </xdr:from>
    <xdr:to>
      <xdr:col>12</xdr:col>
      <xdr:colOff>834572</xdr:colOff>
      <xdr:row>62</xdr:row>
      <xdr:rowOff>189215</xdr:rowOff>
    </xdr:to>
    <xdr:cxnSp macro="">
      <xdr:nvCxnSpPr>
        <xdr:cNvPr id="6" name="Straight Connector 5">
          <a:extLst>
            <a:ext uri="{FF2B5EF4-FFF2-40B4-BE49-F238E27FC236}">
              <a16:creationId xmlns:a16="http://schemas.microsoft.com/office/drawing/2014/main" id="{A192CB5B-1C8B-8949-8426-EAF88DD76E8D}"/>
            </a:ext>
          </a:extLst>
        </xdr:cNvPr>
        <xdr:cNvCxnSpPr/>
      </xdr:nvCxnSpPr>
      <xdr:spPr>
        <a:xfrm flipH="1">
          <a:off x="5848956" y="7928429"/>
          <a:ext cx="29330" cy="4833786"/>
        </a:xfrm>
        <a:prstGeom prst="line">
          <a:avLst/>
        </a:prstGeom>
        <a:ln w="22225" cap="sq">
          <a:prstDash val="sysDot"/>
          <a:rou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807888</xdr:colOff>
      <xdr:row>39</xdr:row>
      <xdr:rowOff>96157</xdr:rowOff>
    </xdr:from>
    <xdr:to>
      <xdr:col>12</xdr:col>
      <xdr:colOff>54430</xdr:colOff>
      <xdr:row>40</xdr:row>
      <xdr:rowOff>163285</xdr:rowOff>
    </xdr:to>
    <xdr:sp macro="" textlink="">
      <xdr:nvSpPr>
        <xdr:cNvPr id="9" name="TextBox 8">
          <a:extLst>
            <a:ext uri="{FF2B5EF4-FFF2-40B4-BE49-F238E27FC236}">
              <a16:creationId xmlns:a16="http://schemas.microsoft.com/office/drawing/2014/main" id="{C05A1634-2880-1548-A544-EC5A0C0EB878}"/>
            </a:ext>
          </a:extLst>
        </xdr:cNvPr>
        <xdr:cNvSpPr txBox="1"/>
      </xdr:nvSpPr>
      <xdr:spPr>
        <a:xfrm>
          <a:off x="3855888" y="8079014"/>
          <a:ext cx="1242256"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200" b="1">
              <a:solidFill>
                <a:srgbClr val="002060"/>
              </a:solidFill>
              <a:latin typeface="Helvetica" pitchFamily="2" charset="0"/>
            </a:rPr>
            <a:t>Historical data</a:t>
          </a:r>
        </a:p>
      </xdr:txBody>
    </xdr:sp>
    <xdr:clientData/>
  </xdr:twoCellAnchor>
  <xdr:twoCellAnchor>
    <xdr:from>
      <xdr:col>13</xdr:col>
      <xdr:colOff>351972</xdr:colOff>
      <xdr:row>39</xdr:row>
      <xdr:rowOff>96158</xdr:rowOff>
    </xdr:from>
    <xdr:to>
      <xdr:col>14</xdr:col>
      <xdr:colOff>212271</xdr:colOff>
      <xdr:row>40</xdr:row>
      <xdr:rowOff>194129</xdr:rowOff>
    </xdr:to>
    <xdr:sp macro="" textlink="">
      <xdr:nvSpPr>
        <xdr:cNvPr id="10" name="TextBox 9">
          <a:extLst>
            <a:ext uri="{FF2B5EF4-FFF2-40B4-BE49-F238E27FC236}">
              <a16:creationId xmlns:a16="http://schemas.microsoft.com/office/drawing/2014/main" id="{817C9119-67D6-BC4E-8F00-CDCE53283B81}"/>
            </a:ext>
          </a:extLst>
        </xdr:cNvPr>
        <xdr:cNvSpPr txBox="1"/>
      </xdr:nvSpPr>
      <xdr:spPr>
        <a:xfrm>
          <a:off x="6393543" y="8079015"/>
          <a:ext cx="858157" cy="2975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a:solidFill>
                <a:srgbClr val="002060"/>
              </a:solidFill>
              <a:latin typeface="Helvetica" pitchFamily="2" charset="0"/>
            </a:rPr>
            <a:t>Forecast</a:t>
          </a:r>
        </a:p>
      </xdr:txBody>
    </xdr:sp>
    <xdr:clientData/>
  </xdr:twoCellAnchor>
  <xdr:twoCellAnchor>
    <xdr:from>
      <xdr:col>14</xdr:col>
      <xdr:colOff>618673</xdr:colOff>
      <xdr:row>36</xdr:row>
      <xdr:rowOff>119744</xdr:rowOff>
    </xdr:from>
    <xdr:to>
      <xdr:col>20</xdr:col>
      <xdr:colOff>435429</xdr:colOff>
      <xdr:row>39</xdr:row>
      <xdr:rowOff>54429</xdr:rowOff>
    </xdr:to>
    <xdr:sp macro="" textlink="">
      <xdr:nvSpPr>
        <xdr:cNvPr id="12" name="TextBox 11">
          <a:extLst>
            <a:ext uri="{FF2B5EF4-FFF2-40B4-BE49-F238E27FC236}">
              <a16:creationId xmlns:a16="http://schemas.microsoft.com/office/drawing/2014/main" id="{E403BFDB-4D34-E948-B118-8CDEB23F3828}"/>
            </a:ext>
          </a:extLst>
        </xdr:cNvPr>
        <xdr:cNvSpPr txBox="1"/>
      </xdr:nvSpPr>
      <xdr:spPr>
        <a:xfrm>
          <a:off x="7658102" y="7503887"/>
          <a:ext cx="5967184" cy="5333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50000"/>
                </a:schemeClr>
              </a:solidFill>
              <a:latin typeface="Helvetica" pitchFamily="2" charset="0"/>
            </a:rPr>
            <a:t>The number of leads for paid marketing will grow due to the monthly increase in investment</a:t>
          </a:r>
        </a:p>
      </xdr:txBody>
    </xdr:sp>
    <xdr:clientData/>
  </xdr:twoCellAnchor>
  <xdr:twoCellAnchor>
    <xdr:from>
      <xdr:col>22</xdr:col>
      <xdr:colOff>417287</xdr:colOff>
      <xdr:row>43</xdr:row>
      <xdr:rowOff>14513</xdr:rowOff>
    </xdr:from>
    <xdr:to>
      <xdr:col>25</xdr:col>
      <xdr:colOff>857250</xdr:colOff>
      <xdr:row>46</xdr:row>
      <xdr:rowOff>190499</xdr:rowOff>
    </xdr:to>
    <xdr:sp macro="" textlink="">
      <xdr:nvSpPr>
        <xdr:cNvPr id="13" name="TextBox 12">
          <a:extLst>
            <a:ext uri="{FF2B5EF4-FFF2-40B4-BE49-F238E27FC236}">
              <a16:creationId xmlns:a16="http://schemas.microsoft.com/office/drawing/2014/main" id="{C98CCA30-B9EE-A74F-B088-82310144FDC5}"/>
            </a:ext>
          </a:extLst>
        </xdr:cNvPr>
        <xdr:cNvSpPr txBox="1"/>
      </xdr:nvSpPr>
      <xdr:spPr>
        <a:xfrm>
          <a:off x="15641412" y="9079138"/>
          <a:ext cx="3440338" cy="795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1"/>
              </a:solidFill>
              <a:latin typeface="Helvetica" pitchFamily="2" charset="0"/>
            </a:rPr>
            <a:t>Google search will continue to be our champion channel, being responsable for more than 90% of our</a:t>
          </a:r>
          <a:r>
            <a:rPr lang="en-US" sz="1200" baseline="0">
              <a:solidFill>
                <a:schemeClr val="accent1"/>
              </a:solidFill>
              <a:latin typeface="Helvetica" pitchFamily="2" charset="0"/>
            </a:rPr>
            <a:t> paid leads.</a:t>
          </a:r>
          <a:endParaRPr lang="en-US" sz="1200">
            <a:solidFill>
              <a:schemeClr val="accent1"/>
            </a:solidFill>
            <a:latin typeface="Helvetica" pitchFamily="2" charset="0"/>
          </a:endParaRPr>
        </a:p>
      </xdr:txBody>
    </xdr:sp>
    <xdr:clientData/>
  </xdr:twoCellAnchor>
  <xdr:twoCellAnchor>
    <xdr:from>
      <xdr:col>22</xdr:col>
      <xdr:colOff>484415</xdr:colOff>
      <xdr:row>56</xdr:row>
      <xdr:rowOff>31750</xdr:rowOff>
    </xdr:from>
    <xdr:to>
      <xdr:col>25</xdr:col>
      <xdr:colOff>730250</xdr:colOff>
      <xdr:row>59</xdr:row>
      <xdr:rowOff>134256</xdr:rowOff>
    </xdr:to>
    <xdr:sp macro="" textlink="">
      <xdr:nvSpPr>
        <xdr:cNvPr id="14" name="TextBox 13">
          <a:extLst>
            <a:ext uri="{FF2B5EF4-FFF2-40B4-BE49-F238E27FC236}">
              <a16:creationId xmlns:a16="http://schemas.microsoft.com/office/drawing/2014/main" id="{D8F880D2-A0BC-0246-B7EA-E236961EDA45}"/>
            </a:ext>
          </a:extLst>
        </xdr:cNvPr>
        <xdr:cNvSpPr txBox="1"/>
      </xdr:nvSpPr>
      <xdr:spPr>
        <a:xfrm>
          <a:off x="15708540" y="11779250"/>
          <a:ext cx="3246210" cy="7216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2"/>
              </a:solidFill>
              <a:latin typeface="Helvetica" pitchFamily="2" charset="0"/>
            </a:rPr>
            <a:t>In order to get more leads from Google Display and Facebook,</a:t>
          </a:r>
          <a:r>
            <a:rPr lang="en-US" sz="1200" baseline="0">
              <a:solidFill>
                <a:schemeClr val="accent2"/>
              </a:solidFill>
              <a:latin typeface="Helvetica" pitchFamily="2" charset="0"/>
            </a:rPr>
            <a:t> the company should invest more on these two channels</a:t>
          </a:r>
          <a:endParaRPr lang="en-US" sz="1200">
            <a:solidFill>
              <a:schemeClr val="accent2"/>
            </a:solidFill>
            <a:latin typeface="Helvetica" pitchFamily="2" charset="0"/>
          </a:endParaRPr>
        </a:p>
      </xdr:txBody>
    </xdr:sp>
    <xdr:clientData/>
  </xdr:twoCellAnchor>
  <xdr:twoCellAnchor>
    <xdr:from>
      <xdr:col>1</xdr:col>
      <xdr:colOff>10207</xdr:colOff>
      <xdr:row>68</xdr:row>
      <xdr:rowOff>31750</xdr:rowOff>
    </xdr:from>
    <xdr:to>
      <xdr:col>26</xdr:col>
      <xdr:colOff>217714</xdr:colOff>
      <xdr:row>104</xdr:row>
      <xdr:rowOff>181429</xdr:rowOff>
    </xdr:to>
    <xdr:graphicFrame macro="">
      <xdr:nvGraphicFramePr>
        <xdr:cNvPr id="15" name="Chart 14">
          <a:extLst>
            <a:ext uri="{FF2B5EF4-FFF2-40B4-BE49-F238E27FC236}">
              <a16:creationId xmlns:a16="http://schemas.microsoft.com/office/drawing/2014/main" id="{5F8A6A0B-3606-7B4A-AADB-ADE2B311F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839675</xdr:colOff>
      <xdr:row>73</xdr:row>
      <xdr:rowOff>90714</xdr:rowOff>
    </xdr:from>
    <xdr:to>
      <xdr:col>12</xdr:col>
      <xdr:colOff>870857</xdr:colOff>
      <xdr:row>101</xdr:row>
      <xdr:rowOff>36286</xdr:rowOff>
    </xdr:to>
    <xdr:cxnSp macro="">
      <xdr:nvCxnSpPr>
        <xdr:cNvPr id="16" name="Straight Connector 15">
          <a:extLst>
            <a:ext uri="{FF2B5EF4-FFF2-40B4-BE49-F238E27FC236}">
              <a16:creationId xmlns:a16="http://schemas.microsoft.com/office/drawing/2014/main" id="{EF8D8301-8F1F-724F-9B0E-2A4743255AD8}"/>
            </a:ext>
          </a:extLst>
        </xdr:cNvPr>
        <xdr:cNvCxnSpPr/>
      </xdr:nvCxnSpPr>
      <xdr:spPr>
        <a:xfrm flipH="1">
          <a:off x="5883389" y="14859000"/>
          <a:ext cx="31182" cy="5533572"/>
        </a:xfrm>
        <a:prstGeom prst="line">
          <a:avLst/>
        </a:prstGeom>
        <a:ln w="22225" cap="sq">
          <a:prstDash val="sysDash"/>
          <a:rou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647474</xdr:colOff>
      <xdr:row>70</xdr:row>
      <xdr:rowOff>36285</xdr:rowOff>
    </xdr:from>
    <xdr:to>
      <xdr:col>21</xdr:col>
      <xdr:colOff>562429</xdr:colOff>
      <xdr:row>73</xdr:row>
      <xdr:rowOff>36285</xdr:rowOff>
    </xdr:to>
    <xdr:sp macro="" textlink="">
      <xdr:nvSpPr>
        <xdr:cNvPr id="20" name="TextBox 19">
          <a:extLst>
            <a:ext uri="{FF2B5EF4-FFF2-40B4-BE49-F238E27FC236}">
              <a16:creationId xmlns:a16="http://schemas.microsoft.com/office/drawing/2014/main" id="{140CF0C2-2E78-C64E-B130-A1192D60ED50}"/>
            </a:ext>
          </a:extLst>
        </xdr:cNvPr>
        <xdr:cNvSpPr txBox="1"/>
      </xdr:nvSpPr>
      <xdr:spPr>
        <a:xfrm>
          <a:off x="7686903" y="14205856"/>
          <a:ext cx="7063240" cy="5987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50000"/>
                </a:schemeClr>
              </a:solidFill>
              <a:latin typeface="Helvetica" pitchFamily="2" charset="0"/>
            </a:rPr>
            <a:t>The investment in paid media is increasing, but Search representing more than 90% of the costs.</a:t>
          </a:r>
        </a:p>
      </xdr:txBody>
    </xdr:sp>
    <xdr:clientData/>
  </xdr:twoCellAnchor>
  <xdr:twoCellAnchor>
    <xdr:from>
      <xdr:col>25</xdr:col>
      <xdr:colOff>283860</xdr:colOff>
      <xdr:row>0</xdr:row>
      <xdr:rowOff>48003</xdr:rowOff>
    </xdr:from>
    <xdr:to>
      <xdr:col>26</xdr:col>
      <xdr:colOff>22603</xdr:colOff>
      <xdr:row>2</xdr:row>
      <xdr:rowOff>95628</xdr:rowOff>
    </xdr:to>
    <xdr:sp macro="" textlink="">
      <xdr:nvSpPr>
        <xdr:cNvPr id="21" name="Rounded Rectangle 20">
          <a:hlinkClick xmlns:r="http://schemas.openxmlformats.org/officeDocument/2006/relationships" r:id="rId3"/>
          <a:extLst>
            <a:ext uri="{FF2B5EF4-FFF2-40B4-BE49-F238E27FC236}">
              <a16:creationId xmlns:a16="http://schemas.microsoft.com/office/drawing/2014/main" id="{813A19CE-0401-AD46-87A0-A76B373D9880}"/>
            </a:ext>
          </a:extLst>
        </xdr:cNvPr>
        <xdr:cNvSpPr/>
      </xdr:nvSpPr>
      <xdr:spPr>
        <a:xfrm>
          <a:off x="18463003" y="48003"/>
          <a:ext cx="736600" cy="44676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HOME</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0.19839</cdr:x>
      <cdr:y>0.2073</cdr:y>
    </cdr:from>
    <cdr:to>
      <cdr:x>0.26376</cdr:x>
      <cdr:y>0.24366</cdr:y>
    </cdr:to>
    <cdr:sp macro="" textlink="">
      <cdr:nvSpPr>
        <cdr:cNvPr id="2" name="TextBox 8">
          <a:extLst xmlns:a="http://schemas.openxmlformats.org/drawingml/2006/main">
            <a:ext uri="{FF2B5EF4-FFF2-40B4-BE49-F238E27FC236}">
              <a16:creationId xmlns:a16="http://schemas.microsoft.com/office/drawing/2014/main" id="{C05A1634-2880-1548-A544-EC5A0C0EB878}"/>
            </a:ext>
          </a:extLst>
        </cdr:cNvPr>
        <cdr:cNvSpPr txBox="1"/>
      </cdr:nvSpPr>
      <cdr:spPr>
        <a:xfrm xmlns:a="http://schemas.openxmlformats.org/drawingml/2006/main">
          <a:off x="3770086" y="1520371"/>
          <a:ext cx="1242256" cy="2667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pt-BR" sz="1200" b="1">
              <a:solidFill>
                <a:srgbClr val="002060"/>
              </a:solidFill>
              <a:latin typeface="Helvetica" pitchFamily="2" charset="0"/>
            </a:rPr>
            <a:t>Historical data</a:t>
          </a:r>
        </a:p>
      </cdr:txBody>
    </cdr:sp>
  </cdr:relSizeAnchor>
  <cdr:relSizeAnchor xmlns:cdr="http://schemas.openxmlformats.org/drawingml/2006/chartDrawing">
    <cdr:from>
      <cdr:x>0.33193</cdr:x>
      <cdr:y>0.2073</cdr:y>
    </cdr:from>
    <cdr:to>
      <cdr:x>0.37708</cdr:x>
      <cdr:y>0.24787</cdr:y>
    </cdr:to>
    <cdr:sp macro="" textlink="">
      <cdr:nvSpPr>
        <cdr:cNvPr id="3" name="TextBox 9">
          <a:extLst xmlns:a="http://schemas.openxmlformats.org/drawingml/2006/main">
            <a:ext uri="{FF2B5EF4-FFF2-40B4-BE49-F238E27FC236}">
              <a16:creationId xmlns:a16="http://schemas.microsoft.com/office/drawing/2014/main" id="{817C9119-67D6-BC4E-8F00-CDCE53283B81}"/>
            </a:ext>
          </a:extLst>
        </cdr:cNvPr>
        <cdr:cNvSpPr txBox="1"/>
      </cdr:nvSpPr>
      <cdr:spPr>
        <a:xfrm xmlns:a="http://schemas.openxmlformats.org/drawingml/2006/main">
          <a:off x="6307741" y="1520372"/>
          <a:ext cx="858157" cy="29754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pt-BR" sz="1200" b="1">
              <a:solidFill>
                <a:srgbClr val="002060"/>
              </a:solidFill>
              <a:latin typeface="Helvetica" pitchFamily="2" charset="0"/>
            </a:rPr>
            <a:t>Forecast</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393700</xdr:colOff>
      <xdr:row>35</xdr:row>
      <xdr:rowOff>19050</xdr:rowOff>
    </xdr:from>
    <xdr:to>
      <xdr:col>18</xdr:col>
      <xdr:colOff>711200</xdr:colOff>
      <xdr:row>50</xdr:row>
      <xdr:rowOff>139700</xdr:rowOff>
    </xdr:to>
    <xdr:graphicFrame macro="">
      <xdr:nvGraphicFramePr>
        <xdr:cNvPr id="3" name="Chart 2">
          <a:extLst>
            <a:ext uri="{FF2B5EF4-FFF2-40B4-BE49-F238E27FC236}">
              <a16:creationId xmlns:a16="http://schemas.microsoft.com/office/drawing/2014/main" id="{12B91E66-4212-AE46-8C42-AC5234A74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63500</xdr:colOff>
      <xdr:row>24</xdr:row>
      <xdr:rowOff>63500</xdr:rowOff>
    </xdr:from>
    <xdr:to>
      <xdr:col>26</xdr:col>
      <xdr:colOff>12700</xdr:colOff>
      <xdr:row>51</xdr:row>
      <xdr:rowOff>88900</xdr:rowOff>
    </xdr:to>
    <xdr:graphicFrame macro="">
      <xdr:nvGraphicFramePr>
        <xdr:cNvPr id="2" name="Chart 1">
          <a:extLst>
            <a:ext uri="{FF2B5EF4-FFF2-40B4-BE49-F238E27FC236}">
              <a16:creationId xmlns:a16="http://schemas.microsoft.com/office/drawing/2014/main" id="{9247674F-08D4-7741-8418-6D4C98070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635000</xdr:colOff>
      <xdr:row>28</xdr:row>
      <xdr:rowOff>177800</xdr:rowOff>
    </xdr:from>
    <xdr:to>
      <xdr:col>12</xdr:col>
      <xdr:colOff>635000</xdr:colOff>
      <xdr:row>48</xdr:row>
      <xdr:rowOff>165100</xdr:rowOff>
    </xdr:to>
    <xdr:cxnSp macro="">
      <xdr:nvCxnSpPr>
        <xdr:cNvPr id="3" name="Straight Connector 2">
          <a:extLst>
            <a:ext uri="{FF2B5EF4-FFF2-40B4-BE49-F238E27FC236}">
              <a16:creationId xmlns:a16="http://schemas.microsoft.com/office/drawing/2014/main" id="{3EEB127A-097D-B141-A795-2BDCA22EC45A}"/>
            </a:ext>
          </a:extLst>
        </xdr:cNvPr>
        <xdr:cNvCxnSpPr/>
      </xdr:nvCxnSpPr>
      <xdr:spPr>
        <a:xfrm>
          <a:off x="5003800" y="5918200"/>
          <a:ext cx="0" cy="4051300"/>
        </a:xfrm>
        <a:prstGeom prst="line">
          <a:avLst/>
        </a:prstGeom>
        <a:ln w="22225" cap="sq">
          <a:prstDash val="sysDot"/>
          <a:roun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825500</xdr:colOff>
      <xdr:row>32</xdr:row>
      <xdr:rowOff>177800</xdr:rowOff>
    </xdr:from>
    <xdr:to>
      <xdr:col>25</xdr:col>
      <xdr:colOff>330199</xdr:colOff>
      <xdr:row>35</xdr:row>
      <xdr:rowOff>101600</xdr:rowOff>
    </xdr:to>
    <xdr:sp macro="" textlink="">
      <xdr:nvSpPr>
        <xdr:cNvPr id="12" name="TextBox 11">
          <a:extLst>
            <a:ext uri="{FF2B5EF4-FFF2-40B4-BE49-F238E27FC236}">
              <a16:creationId xmlns:a16="http://schemas.microsoft.com/office/drawing/2014/main" id="{E167199A-06BC-1B4A-9E4C-AB52D5037EB5}"/>
            </a:ext>
          </a:extLst>
        </xdr:cNvPr>
        <xdr:cNvSpPr txBox="1"/>
      </xdr:nvSpPr>
      <xdr:spPr>
        <a:xfrm>
          <a:off x="12509500" y="6731000"/>
          <a:ext cx="2857499"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accent2"/>
              </a:solidFill>
              <a:latin typeface="Helvetica" pitchFamily="2" charset="0"/>
            </a:rPr>
            <a:t>Other Channels</a:t>
          </a:r>
          <a:r>
            <a:rPr lang="en-US" sz="1050" baseline="0">
              <a:solidFill>
                <a:schemeClr val="accent2"/>
              </a:solidFill>
              <a:latin typeface="Helvetica" pitchFamily="2" charset="0"/>
            </a:rPr>
            <a:t> will continue to be our champion channel, being responsible for more than 90% of our organic leads.</a:t>
          </a:r>
          <a:endParaRPr lang="en-US" sz="1050">
            <a:solidFill>
              <a:schemeClr val="accent2"/>
            </a:solidFill>
            <a:latin typeface="Helvetica" pitchFamily="2" charset="0"/>
          </a:endParaRPr>
        </a:p>
      </xdr:txBody>
    </xdr:sp>
    <xdr:clientData/>
  </xdr:twoCellAnchor>
  <xdr:twoCellAnchor>
    <xdr:from>
      <xdr:col>22</xdr:col>
      <xdr:colOff>1</xdr:colOff>
      <xdr:row>40</xdr:row>
      <xdr:rowOff>101600</xdr:rowOff>
    </xdr:from>
    <xdr:to>
      <xdr:col>25</xdr:col>
      <xdr:colOff>647701</xdr:colOff>
      <xdr:row>45</xdr:row>
      <xdr:rowOff>12700</xdr:rowOff>
    </xdr:to>
    <xdr:sp macro="" textlink="">
      <xdr:nvSpPr>
        <xdr:cNvPr id="16" name="TextBox 15">
          <a:extLst>
            <a:ext uri="{FF2B5EF4-FFF2-40B4-BE49-F238E27FC236}">
              <a16:creationId xmlns:a16="http://schemas.microsoft.com/office/drawing/2014/main" id="{5EF74D3E-72E8-114C-8341-E3EA4B5358B9}"/>
            </a:ext>
          </a:extLst>
        </xdr:cNvPr>
        <xdr:cNvSpPr txBox="1"/>
      </xdr:nvSpPr>
      <xdr:spPr>
        <a:xfrm>
          <a:off x="12522201" y="8280400"/>
          <a:ext cx="3162300" cy="927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a:solidFill>
                <a:schemeClr val="accent1"/>
              </a:solidFill>
              <a:latin typeface="Helvetica" pitchFamily="2" charset="0"/>
            </a:rPr>
            <a:t>The number of leads via</a:t>
          </a:r>
          <a:r>
            <a:rPr lang="en-US" sz="1050" baseline="0">
              <a:solidFill>
                <a:schemeClr val="accent1"/>
              </a:solidFill>
              <a:latin typeface="Helvetica" pitchFamily="2" charset="0"/>
            </a:rPr>
            <a:t> email is very low. It is necessary to increase the organic visibility of the blog, so that more people can access and subscribe to the newsletter. Investing in SEO, must increase the blogs relevance in the search network. </a:t>
          </a:r>
          <a:endParaRPr lang="en-US" sz="1050">
            <a:solidFill>
              <a:schemeClr val="accent1"/>
            </a:solidFill>
            <a:latin typeface="Helvetica" pitchFamily="2" charset="0"/>
          </a:endParaRPr>
        </a:p>
      </xdr:txBody>
    </xdr:sp>
    <xdr:clientData/>
  </xdr:twoCellAnchor>
  <xdr:twoCellAnchor>
    <xdr:from>
      <xdr:col>13</xdr:col>
      <xdr:colOff>241300</xdr:colOff>
      <xdr:row>26</xdr:row>
      <xdr:rowOff>12701</xdr:rowOff>
    </xdr:from>
    <xdr:to>
      <xdr:col>20</xdr:col>
      <xdr:colOff>723900</xdr:colOff>
      <xdr:row>27</xdr:row>
      <xdr:rowOff>127001</xdr:rowOff>
    </xdr:to>
    <xdr:sp macro="" textlink="">
      <xdr:nvSpPr>
        <xdr:cNvPr id="17" name="TextBox 16">
          <a:extLst>
            <a:ext uri="{FF2B5EF4-FFF2-40B4-BE49-F238E27FC236}">
              <a16:creationId xmlns:a16="http://schemas.microsoft.com/office/drawing/2014/main" id="{ABB4F360-5C6D-5943-A1E5-D6056F067AC4}"/>
            </a:ext>
          </a:extLst>
        </xdr:cNvPr>
        <xdr:cNvSpPr txBox="1"/>
      </xdr:nvSpPr>
      <xdr:spPr>
        <a:xfrm>
          <a:off x="5334000" y="5346701"/>
          <a:ext cx="62357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2">
                  <a:lumMod val="50000"/>
                </a:schemeClr>
              </a:solidFill>
              <a:latin typeface="Helvetica" pitchFamily="2" charset="0"/>
            </a:rPr>
            <a:t>The</a:t>
          </a:r>
          <a:r>
            <a:rPr lang="en-US" sz="1050" baseline="0">
              <a:solidFill>
                <a:schemeClr val="bg2">
                  <a:lumMod val="50000"/>
                </a:schemeClr>
              </a:solidFill>
              <a:latin typeface="Helvetica" pitchFamily="2" charset="0"/>
            </a:rPr>
            <a:t> number of organic leads is going to continue to grow due to the growth of the company</a:t>
          </a:r>
          <a:endParaRPr lang="en-US" sz="1050">
            <a:solidFill>
              <a:schemeClr val="bg2">
                <a:lumMod val="50000"/>
              </a:schemeClr>
            </a:solidFill>
            <a:latin typeface="Helvetica" pitchFamily="2" charset="0"/>
          </a:endParaRPr>
        </a:p>
      </xdr:txBody>
    </xdr:sp>
    <xdr:clientData/>
  </xdr:twoCellAnchor>
  <xdr:twoCellAnchor>
    <xdr:from>
      <xdr:col>1</xdr:col>
      <xdr:colOff>114300</xdr:colOff>
      <xdr:row>55</xdr:row>
      <xdr:rowOff>12700</xdr:rowOff>
    </xdr:from>
    <xdr:to>
      <xdr:col>26</xdr:col>
      <xdr:colOff>63500</xdr:colOff>
      <xdr:row>78</xdr:row>
      <xdr:rowOff>139700</xdr:rowOff>
    </xdr:to>
    <xdr:graphicFrame macro="">
      <xdr:nvGraphicFramePr>
        <xdr:cNvPr id="19" name="Chart 18">
          <a:extLst>
            <a:ext uri="{FF2B5EF4-FFF2-40B4-BE49-F238E27FC236}">
              <a16:creationId xmlns:a16="http://schemas.microsoft.com/office/drawing/2014/main" id="{8D8C9E17-1548-AF42-8F47-6E48D39B9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88900</xdr:colOff>
      <xdr:row>0</xdr:row>
      <xdr:rowOff>88900</xdr:rowOff>
    </xdr:from>
    <xdr:to>
      <xdr:col>25</xdr:col>
      <xdr:colOff>825500</xdr:colOff>
      <xdr:row>2</xdr:row>
      <xdr:rowOff>127000</xdr:rowOff>
    </xdr:to>
    <xdr:sp macro="" textlink="">
      <xdr:nvSpPr>
        <xdr:cNvPr id="20" name="Rounded Rectangle 19">
          <a:hlinkClick xmlns:r="http://schemas.openxmlformats.org/officeDocument/2006/relationships" r:id="rId3"/>
          <a:extLst>
            <a:ext uri="{FF2B5EF4-FFF2-40B4-BE49-F238E27FC236}">
              <a16:creationId xmlns:a16="http://schemas.microsoft.com/office/drawing/2014/main" id="{598A6DF5-D3E2-5246-90C2-741CE1299596}"/>
            </a:ext>
          </a:extLst>
        </xdr:cNvPr>
        <xdr:cNvSpPr/>
      </xdr:nvSpPr>
      <xdr:spPr>
        <a:xfrm>
          <a:off x="19850100" y="88900"/>
          <a:ext cx="736600" cy="4445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HOME</a:t>
          </a:r>
        </a:p>
      </xdr:txBody>
    </xdr:sp>
    <xdr:clientData/>
  </xdr:twoCellAnchor>
  <xdr:twoCellAnchor>
    <xdr:from>
      <xdr:col>10</xdr:col>
      <xdr:colOff>508000</xdr:colOff>
      <xdr:row>30</xdr:row>
      <xdr:rowOff>114300</xdr:rowOff>
    </xdr:from>
    <xdr:to>
      <xdr:col>12</xdr:col>
      <xdr:colOff>302456</xdr:colOff>
      <xdr:row>31</xdr:row>
      <xdr:rowOff>177800</xdr:rowOff>
    </xdr:to>
    <xdr:sp macro="" textlink="">
      <xdr:nvSpPr>
        <xdr:cNvPr id="21" name="TextBox 20">
          <a:extLst>
            <a:ext uri="{FF2B5EF4-FFF2-40B4-BE49-F238E27FC236}">
              <a16:creationId xmlns:a16="http://schemas.microsoft.com/office/drawing/2014/main" id="{D7964158-A8D6-F944-8B20-FE5CD3182F0C}"/>
            </a:ext>
          </a:extLst>
        </xdr:cNvPr>
        <xdr:cNvSpPr txBox="1"/>
      </xdr:nvSpPr>
      <xdr:spPr>
        <a:xfrm>
          <a:off x="3429000" y="6261100"/>
          <a:ext cx="1242256"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200" b="1">
              <a:solidFill>
                <a:srgbClr val="002060"/>
              </a:solidFill>
              <a:latin typeface="Helvetica" pitchFamily="2" charset="0"/>
            </a:rPr>
            <a:t>Historical data</a:t>
          </a:r>
        </a:p>
      </xdr:txBody>
    </xdr:sp>
    <xdr:clientData/>
  </xdr:twoCellAnchor>
  <xdr:twoCellAnchor>
    <xdr:from>
      <xdr:col>14</xdr:col>
      <xdr:colOff>150055</xdr:colOff>
      <xdr:row>30</xdr:row>
      <xdr:rowOff>114301</xdr:rowOff>
    </xdr:from>
    <xdr:to>
      <xdr:col>15</xdr:col>
      <xdr:colOff>170012</xdr:colOff>
      <xdr:row>32</xdr:row>
      <xdr:rowOff>5444</xdr:rowOff>
    </xdr:to>
    <xdr:sp macro="" textlink="">
      <xdr:nvSpPr>
        <xdr:cNvPr id="22" name="TextBox 21">
          <a:extLst>
            <a:ext uri="{FF2B5EF4-FFF2-40B4-BE49-F238E27FC236}">
              <a16:creationId xmlns:a16="http://schemas.microsoft.com/office/drawing/2014/main" id="{28E3282D-3893-D348-8934-0D49BF2133DB}"/>
            </a:ext>
          </a:extLst>
        </xdr:cNvPr>
        <xdr:cNvSpPr txBox="1"/>
      </xdr:nvSpPr>
      <xdr:spPr>
        <a:xfrm>
          <a:off x="5966655" y="6261101"/>
          <a:ext cx="858157" cy="2975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a:solidFill>
                <a:srgbClr val="002060"/>
              </a:solidFill>
              <a:latin typeface="Helvetica" pitchFamily="2" charset="0"/>
            </a:rPr>
            <a:t>Forecast</a:t>
          </a:r>
        </a:p>
      </xdr:txBody>
    </xdr:sp>
    <xdr:clientData/>
  </xdr:twoCellAnchor>
  <xdr:twoCellAnchor>
    <xdr:from>
      <xdr:col>9</xdr:col>
      <xdr:colOff>279401</xdr:colOff>
      <xdr:row>60</xdr:row>
      <xdr:rowOff>12700</xdr:rowOff>
    </xdr:from>
    <xdr:to>
      <xdr:col>13</xdr:col>
      <xdr:colOff>546101</xdr:colOff>
      <xdr:row>64</xdr:row>
      <xdr:rowOff>127000</xdr:rowOff>
    </xdr:to>
    <xdr:sp macro="" textlink="">
      <xdr:nvSpPr>
        <xdr:cNvPr id="24" name="TextBox 23">
          <a:extLst>
            <a:ext uri="{FF2B5EF4-FFF2-40B4-BE49-F238E27FC236}">
              <a16:creationId xmlns:a16="http://schemas.microsoft.com/office/drawing/2014/main" id="{0676E77C-B446-C240-B940-D31A826F038C}"/>
            </a:ext>
          </a:extLst>
        </xdr:cNvPr>
        <xdr:cNvSpPr txBox="1"/>
      </xdr:nvSpPr>
      <xdr:spPr>
        <a:xfrm>
          <a:off x="2476501" y="12255500"/>
          <a:ext cx="3162300" cy="927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accent1"/>
              </a:solidFill>
              <a:latin typeface="Helvetica" pitchFamily="2" charset="0"/>
            </a:rPr>
            <a:t>The direct traffic convertion</a:t>
          </a:r>
          <a:r>
            <a:rPr lang="en-US" sz="1050" b="1" baseline="0">
              <a:solidFill>
                <a:schemeClr val="accent1"/>
              </a:solidFill>
              <a:latin typeface="Helvetica" pitchFamily="2" charset="0"/>
            </a:rPr>
            <a:t> rate has increased considerably in 2017 Dec and 2018 Jan.  However in 2018 Mar, it had a drop in 0.13 points. Investing in SEO to increase the blog relevance in the serach network, it will probably help to increase this % in the next months. </a:t>
          </a:r>
          <a:endParaRPr lang="en-US" sz="1050" b="1">
            <a:solidFill>
              <a:schemeClr val="accent1"/>
            </a:solidFill>
            <a:latin typeface="Helvetica" pitchFamily="2" charset="0"/>
          </a:endParaRPr>
        </a:p>
      </xdr:txBody>
    </xdr:sp>
    <xdr:clientData/>
  </xdr:twoCellAnchor>
  <xdr:twoCellAnchor>
    <xdr:from>
      <xdr:col>14</xdr:col>
      <xdr:colOff>317500</xdr:colOff>
      <xdr:row>62</xdr:row>
      <xdr:rowOff>190500</xdr:rowOff>
    </xdr:from>
    <xdr:to>
      <xdr:col>18</xdr:col>
      <xdr:colOff>165099</xdr:colOff>
      <xdr:row>66</xdr:row>
      <xdr:rowOff>88900</xdr:rowOff>
    </xdr:to>
    <xdr:sp macro="" textlink="">
      <xdr:nvSpPr>
        <xdr:cNvPr id="25" name="TextBox 24">
          <a:extLst>
            <a:ext uri="{FF2B5EF4-FFF2-40B4-BE49-F238E27FC236}">
              <a16:creationId xmlns:a16="http://schemas.microsoft.com/office/drawing/2014/main" id="{BC506DC7-3E5A-F04D-AE0F-3429ED3FB550}"/>
            </a:ext>
          </a:extLst>
        </xdr:cNvPr>
        <xdr:cNvSpPr txBox="1"/>
      </xdr:nvSpPr>
      <xdr:spPr>
        <a:xfrm>
          <a:off x="6134100" y="12839700"/>
          <a:ext cx="3200399" cy="711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accent4"/>
              </a:solidFill>
              <a:latin typeface="Helvetica" pitchFamily="2" charset="0"/>
            </a:rPr>
            <a:t>The Referral convertion</a:t>
          </a:r>
          <a:r>
            <a:rPr lang="en-US" sz="1050" b="1" baseline="0">
              <a:solidFill>
                <a:schemeClr val="accent4"/>
              </a:solidFill>
              <a:latin typeface="Helvetica" pitchFamily="2" charset="0"/>
            </a:rPr>
            <a:t> rate has increased drastically  in 2018 Apr. Investing in new campaigns can help the company to mainain this pace of growth in the next months. </a:t>
          </a:r>
          <a:endParaRPr lang="en-US" sz="1050" b="1">
            <a:solidFill>
              <a:schemeClr val="accent4"/>
            </a:solidFill>
            <a:latin typeface="Helvetica" pitchFamily="2"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25</xdr:col>
      <xdr:colOff>101600</xdr:colOff>
      <xdr:row>0</xdr:row>
      <xdr:rowOff>101600</xdr:rowOff>
    </xdr:from>
    <xdr:to>
      <xdr:col>26</xdr:col>
      <xdr:colOff>12700</xdr:colOff>
      <xdr:row>2</xdr:row>
      <xdr:rowOff>139700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8A6E037C-22EE-C14E-8D88-FD760D2AD009}"/>
            </a:ext>
          </a:extLst>
        </xdr:cNvPr>
        <xdr:cNvSpPr/>
      </xdr:nvSpPr>
      <xdr:spPr>
        <a:xfrm>
          <a:off x="16281400" y="101600"/>
          <a:ext cx="736600" cy="44450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100" b="1"/>
            <a:t>HOME</a:t>
          </a:r>
        </a:p>
      </xdr:txBody>
    </xdr:sp>
    <xdr:clientData/>
  </xdr:twoCellAnchor>
  <xdr:twoCellAnchor>
    <xdr:from>
      <xdr:col>1</xdr:col>
      <xdr:colOff>0</xdr:colOff>
      <xdr:row>36</xdr:row>
      <xdr:rowOff>38100</xdr:rowOff>
    </xdr:from>
    <xdr:to>
      <xdr:col>26</xdr:col>
      <xdr:colOff>12700</xdr:colOff>
      <xdr:row>57</xdr:row>
      <xdr:rowOff>38100</xdr:rowOff>
    </xdr:to>
    <xdr:graphicFrame macro="">
      <xdr:nvGraphicFramePr>
        <xdr:cNvPr id="3" name="Chart 2">
          <a:extLst>
            <a:ext uri="{FF2B5EF4-FFF2-40B4-BE49-F238E27FC236}">
              <a16:creationId xmlns:a16="http://schemas.microsoft.com/office/drawing/2014/main" id="{9FA47940-BD14-9E4C-8278-CB93B977D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812800</xdr:colOff>
      <xdr:row>37</xdr:row>
      <xdr:rowOff>152400</xdr:rowOff>
    </xdr:from>
    <xdr:to>
      <xdr:col>21</xdr:col>
      <xdr:colOff>254000</xdr:colOff>
      <xdr:row>40</xdr:row>
      <xdr:rowOff>63500</xdr:rowOff>
    </xdr:to>
    <xdr:sp macro="" textlink="">
      <xdr:nvSpPr>
        <xdr:cNvPr id="4" name="TextBox 3">
          <a:extLst>
            <a:ext uri="{FF2B5EF4-FFF2-40B4-BE49-F238E27FC236}">
              <a16:creationId xmlns:a16="http://schemas.microsoft.com/office/drawing/2014/main" id="{2B477580-EC9A-9441-ABE0-4F4924250B70}"/>
            </a:ext>
          </a:extLst>
        </xdr:cNvPr>
        <xdr:cNvSpPr txBox="1"/>
      </xdr:nvSpPr>
      <xdr:spPr>
        <a:xfrm>
          <a:off x="6908800" y="7797800"/>
          <a:ext cx="6223000" cy="520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2">
                  <a:lumMod val="50000"/>
                </a:schemeClr>
              </a:solidFill>
              <a:latin typeface="Helvetica" pitchFamily="2" charset="0"/>
            </a:rPr>
            <a:t>The number of sales is going to keep growing, with the</a:t>
          </a:r>
          <a:r>
            <a:rPr lang="en-US" sz="1050" baseline="0">
              <a:solidFill>
                <a:schemeClr val="bg2">
                  <a:lumMod val="50000"/>
                </a:schemeClr>
              </a:solidFill>
              <a:latin typeface="Helvetica" pitchFamily="2" charset="0"/>
            </a:rPr>
            <a:t> leads organic being responsible for about 75% of it. The company should continue to invest in organic campaings in order to maintain this growth. </a:t>
          </a:r>
          <a:endParaRPr lang="en-US" sz="1050">
            <a:solidFill>
              <a:schemeClr val="bg2">
                <a:lumMod val="50000"/>
              </a:schemeClr>
            </a:solidFill>
            <a:latin typeface="Helvetica" pitchFamily="2" charset="0"/>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0.29644</cdr:x>
      <cdr:y>0.10714</cdr:y>
    </cdr:from>
    <cdr:to>
      <cdr:x>0.29719</cdr:x>
      <cdr:y>0.9494</cdr:y>
    </cdr:to>
    <cdr:cxnSp macro="">
      <cdr:nvCxnSpPr>
        <cdr:cNvPr id="2" name="Straight Connector 1">
          <a:extLst xmlns:a="http://schemas.openxmlformats.org/drawingml/2006/main">
            <a:ext uri="{FF2B5EF4-FFF2-40B4-BE49-F238E27FC236}">
              <a16:creationId xmlns:a16="http://schemas.microsoft.com/office/drawing/2014/main" id="{3EEB127A-097D-B141-A795-2BDCA22EC45A}"/>
            </a:ext>
          </a:extLst>
        </cdr:cNvPr>
        <cdr:cNvCxnSpPr/>
      </cdr:nvCxnSpPr>
      <cdr:spPr>
        <a:xfrm xmlns:a="http://schemas.openxmlformats.org/drawingml/2006/main">
          <a:off x="4965700" y="457200"/>
          <a:ext cx="12700" cy="3594100"/>
        </a:xfrm>
        <a:prstGeom xmlns:a="http://schemas.openxmlformats.org/drawingml/2006/main" prst="line">
          <a:avLst/>
        </a:prstGeom>
        <a:ln xmlns:a="http://schemas.openxmlformats.org/drawingml/2006/main" w="22225" cap="sq">
          <a:prstDash val="sysDot"/>
          <a:roun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0.19636</cdr:x>
      <cdr:y>0.18155</cdr:y>
    </cdr:from>
    <cdr:to>
      <cdr:x>0.27052</cdr:x>
      <cdr:y>0.24405</cdr:y>
    </cdr:to>
    <cdr:sp macro="" textlink="">
      <cdr:nvSpPr>
        <cdr:cNvPr id="3" name="TextBox 20">
          <a:extLst xmlns:a="http://schemas.openxmlformats.org/drawingml/2006/main">
            <a:ext uri="{FF2B5EF4-FFF2-40B4-BE49-F238E27FC236}">
              <a16:creationId xmlns:a16="http://schemas.microsoft.com/office/drawing/2014/main" id="{D7964158-A8D6-F944-8B20-FE5CD3182F0C}"/>
            </a:ext>
          </a:extLst>
        </cdr:cNvPr>
        <cdr:cNvSpPr txBox="1"/>
      </cdr:nvSpPr>
      <cdr:spPr>
        <a:xfrm xmlns:a="http://schemas.openxmlformats.org/drawingml/2006/main">
          <a:off x="3289300" y="774700"/>
          <a:ext cx="1242256" cy="2667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pt-BR" sz="1200" b="1">
              <a:solidFill>
                <a:srgbClr val="002060"/>
              </a:solidFill>
              <a:latin typeface="Helvetica" pitchFamily="2" charset="0"/>
            </a:rPr>
            <a:t>Historical data</a:t>
          </a:r>
        </a:p>
      </cdr:txBody>
    </cdr:sp>
  </cdr:relSizeAnchor>
  <cdr:relSizeAnchor xmlns:cdr="http://schemas.openxmlformats.org/drawingml/2006/chartDrawing">
    <cdr:from>
      <cdr:x>0.31677</cdr:x>
      <cdr:y>0.18452</cdr:y>
    </cdr:from>
    <cdr:to>
      <cdr:x>0.368</cdr:x>
      <cdr:y>0.25425</cdr:y>
    </cdr:to>
    <cdr:sp macro="" textlink="">
      <cdr:nvSpPr>
        <cdr:cNvPr id="4" name="TextBox 21">
          <a:extLst xmlns:a="http://schemas.openxmlformats.org/drawingml/2006/main">
            <a:ext uri="{FF2B5EF4-FFF2-40B4-BE49-F238E27FC236}">
              <a16:creationId xmlns:a16="http://schemas.microsoft.com/office/drawing/2014/main" id="{28E3282D-3893-D348-8934-0D49BF2133DB}"/>
            </a:ext>
          </a:extLst>
        </cdr:cNvPr>
        <cdr:cNvSpPr txBox="1"/>
      </cdr:nvSpPr>
      <cdr:spPr>
        <a:xfrm xmlns:a="http://schemas.openxmlformats.org/drawingml/2006/main">
          <a:off x="5306255" y="787401"/>
          <a:ext cx="858157" cy="297543"/>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pt-BR" sz="1200" b="1">
              <a:solidFill>
                <a:srgbClr val="002060"/>
              </a:solidFill>
              <a:latin typeface="Helvetica" pitchFamily="2" charset="0"/>
            </a:rPr>
            <a:t>Forecast</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527537</xdr:colOff>
      <xdr:row>2</xdr:row>
      <xdr:rowOff>5862</xdr:rowOff>
    </xdr:from>
    <xdr:to>
      <xdr:col>8</xdr:col>
      <xdr:colOff>1533769</xdr:colOff>
      <xdr:row>16</xdr:row>
      <xdr:rowOff>13677</xdr:rowOff>
    </xdr:to>
    <xdr:graphicFrame macro="">
      <xdr:nvGraphicFramePr>
        <xdr:cNvPr id="2" name="Chart 1">
          <a:extLst>
            <a:ext uri="{FF2B5EF4-FFF2-40B4-BE49-F238E27FC236}">
              <a16:creationId xmlns:a16="http://schemas.microsoft.com/office/drawing/2014/main" id="{E0A1DF9F-0636-FD4F-A737-0FF489C1B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tabelao_funil_marketing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rlagiordan/Downloads/Projecaoplanoaula-+DEMO-+aula+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Leads Organicos"/>
      <sheetName val="Vendas por Canal - Conversao"/>
      <sheetName val="Tabela"/>
      <sheetName val="Sheet2"/>
      <sheetName val="Projecao estudo Leads Organicos"/>
      <sheetName val="Projecao estudo Leads Email"/>
    </sheetNames>
    <sheetDataSet>
      <sheetData sheetId="0" refreshError="1"/>
      <sheetData sheetId="1" refreshError="1"/>
      <sheetData sheetId="2" refreshError="1"/>
      <sheetData sheetId="3"/>
      <sheetData sheetId="4"/>
      <sheetData sheetId="5">
        <row r="7">
          <cell r="C7">
            <v>19</v>
          </cell>
        </row>
        <row r="8">
          <cell r="C8">
            <v>24</v>
          </cell>
        </row>
        <row r="9">
          <cell r="C9">
            <v>23</v>
          </cell>
        </row>
        <row r="10">
          <cell r="C10">
            <v>30</v>
          </cell>
        </row>
        <row r="11">
          <cell r="C11">
            <v>37</v>
          </cell>
        </row>
        <row r="12">
          <cell r="C12">
            <v>12</v>
          </cell>
        </row>
        <row r="13">
          <cell r="C13">
            <v>61</v>
          </cell>
        </row>
        <row r="14">
          <cell r="C14">
            <v>68</v>
          </cell>
        </row>
        <row r="15">
          <cell r="C15">
            <v>74</v>
          </cell>
        </row>
        <row r="16">
          <cell r="C16">
            <v>50</v>
          </cell>
        </row>
        <row r="17">
          <cell r="C17">
            <v>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
      <sheetName val="Suposições"/>
      <sheetName val="INPUTS Leads- Trafego pago"/>
      <sheetName val="Source- Trafego pago "/>
      <sheetName val="INPUTS Leads- Trafego organico"/>
      <sheetName val="Source- Trafego organico"/>
      <sheetName val="Leads Trafego organico"/>
      <sheetName val="OUTPUT Desempenho vendas"/>
      <sheetName val="Projeção estudo leads organicos"/>
      <sheetName val="Projeção estudo leads email"/>
    </sheetNames>
    <sheetDataSet>
      <sheetData sheetId="0" refreshError="1"/>
      <sheetData sheetId="1" refreshError="1"/>
      <sheetData sheetId="2">
        <row r="6">
          <cell r="K6">
            <v>43159</v>
          </cell>
          <cell r="L6">
            <v>43190</v>
          </cell>
          <cell r="M6">
            <v>43220</v>
          </cell>
          <cell r="N6">
            <v>43251</v>
          </cell>
          <cell r="O6">
            <v>43281</v>
          </cell>
          <cell r="P6">
            <v>43312</v>
          </cell>
          <cell r="Q6">
            <v>43343</v>
          </cell>
          <cell r="R6">
            <v>43373</v>
          </cell>
          <cell r="S6">
            <v>43404</v>
          </cell>
          <cell r="T6">
            <v>43434</v>
          </cell>
          <cell r="U6">
            <v>43465</v>
          </cell>
          <cell r="V6">
            <v>43496</v>
          </cell>
          <cell r="W6">
            <v>43524</v>
          </cell>
          <cell r="X6">
            <v>43555</v>
          </cell>
          <cell r="Y6">
            <v>43585</v>
          </cell>
          <cell r="Z6">
            <v>43616</v>
          </cell>
        </row>
        <row r="10">
          <cell r="B10" t="str">
            <v>Investimento Search</v>
          </cell>
          <cell r="C10">
            <v>0</v>
          </cell>
          <cell r="D10">
            <v>636.70949999999993</v>
          </cell>
          <cell r="E10">
            <v>778.30200000000002</v>
          </cell>
          <cell r="F10">
            <v>783</v>
          </cell>
          <cell r="G10">
            <v>1193.6399999999999</v>
          </cell>
          <cell r="H10">
            <v>887.92200000000003</v>
          </cell>
          <cell r="I10">
            <v>340.34399999999999</v>
          </cell>
          <cell r="J10">
            <v>2512.125</v>
          </cell>
          <cell r="K10">
            <v>2717.0099999999998</v>
          </cell>
          <cell r="L10">
            <v>4119.4412999999995</v>
          </cell>
          <cell r="M10">
            <v>4479.1949999999997</v>
          </cell>
          <cell r="N10">
            <v>3982.86</v>
          </cell>
          <cell r="O10">
            <v>4182.0030000000006</v>
          </cell>
          <cell r="P10">
            <v>4391.1031500000008</v>
          </cell>
          <cell r="Q10">
            <v>4610.6583075000008</v>
          </cell>
          <cell r="R10">
            <v>4841.1912228750007</v>
          </cell>
          <cell r="S10">
            <v>5083.2507840187509</v>
          </cell>
          <cell r="T10">
            <v>5337.4133232196882</v>
          </cell>
          <cell r="U10">
            <v>5604.2839893806731</v>
          </cell>
          <cell r="V10">
            <v>5884.4981888497068</v>
          </cell>
          <cell r="W10">
            <v>6178.7230982921928</v>
          </cell>
          <cell r="X10">
            <v>6487.6592532068025</v>
          </cell>
          <cell r="Y10">
            <v>6812.0422158671427</v>
          </cell>
          <cell r="Z10">
            <v>7152.6443266605002</v>
          </cell>
        </row>
        <row r="18">
          <cell r="B18" t="str">
            <v>Investimento Display</v>
          </cell>
          <cell r="C18">
            <v>10</v>
          </cell>
          <cell r="D18">
            <v>244.79999999999998</v>
          </cell>
          <cell r="E18">
            <v>20.16</v>
          </cell>
          <cell r="F18">
            <v>66</v>
          </cell>
          <cell r="G18">
            <v>64.399999999999991</v>
          </cell>
          <cell r="H18">
            <v>83.7</v>
          </cell>
          <cell r="I18">
            <v>52.8</v>
          </cell>
          <cell r="J18">
            <v>181.5</v>
          </cell>
          <cell r="K18">
            <v>261</v>
          </cell>
          <cell r="L18">
            <v>284.31</v>
          </cell>
          <cell r="M18">
            <v>357</v>
          </cell>
          <cell r="N18">
            <v>189</v>
          </cell>
          <cell r="O18">
            <v>198.45000000000002</v>
          </cell>
          <cell r="P18">
            <v>208.37250000000003</v>
          </cell>
          <cell r="Q18">
            <v>218.79112500000005</v>
          </cell>
          <cell r="R18">
            <v>229.73068125000006</v>
          </cell>
          <cell r="S18">
            <v>241.21721531250009</v>
          </cell>
          <cell r="T18">
            <v>253.27807607812511</v>
          </cell>
          <cell r="U18">
            <v>265.94197988203138</v>
          </cell>
          <cell r="V18">
            <v>279.23907887613296</v>
          </cell>
          <cell r="W18">
            <v>293.2010328199396</v>
          </cell>
          <cell r="X18">
            <v>307.86108446093658</v>
          </cell>
          <cell r="Y18">
            <v>323.2541386839834</v>
          </cell>
          <cell r="Z18">
            <v>339.41684561818261</v>
          </cell>
        </row>
        <row r="26">
          <cell r="B26" t="str">
            <v>Investimento Facebook</v>
          </cell>
          <cell r="C26">
            <v>0</v>
          </cell>
          <cell r="D26">
            <v>41.929649999999995</v>
          </cell>
          <cell r="E26">
            <v>23.677920000000004</v>
          </cell>
          <cell r="F26">
            <v>59.899499999999996</v>
          </cell>
          <cell r="G26">
            <v>177.58440000000002</v>
          </cell>
          <cell r="H26">
            <v>47.567250000000008</v>
          </cell>
          <cell r="I26">
            <v>8.4564000000000021</v>
          </cell>
          <cell r="J26">
            <v>135.65475000000001</v>
          </cell>
          <cell r="K26">
            <v>81.040499999999994</v>
          </cell>
          <cell r="L26">
            <v>164.8998</v>
          </cell>
          <cell r="M26">
            <v>263.08800000000002</v>
          </cell>
          <cell r="N26">
            <v>172.65150000000003</v>
          </cell>
          <cell r="O26">
            <v>184.73710500000004</v>
          </cell>
          <cell r="P26">
            <v>197.66870235000005</v>
          </cell>
          <cell r="Q26">
            <v>211.50551151450006</v>
          </cell>
          <cell r="R26">
            <v>226.31089732051507</v>
          </cell>
          <cell r="S26">
            <v>242.15266013295113</v>
          </cell>
          <cell r="T26">
            <v>259.10334634225774</v>
          </cell>
          <cell r="U26">
            <v>277.2405805862158</v>
          </cell>
          <cell r="V26">
            <v>296.6474212272509</v>
          </cell>
          <cell r="W26">
            <v>317.41274071315848</v>
          </cell>
          <cell r="X26">
            <v>339.63163256307962</v>
          </cell>
          <cell r="Y26">
            <v>363.40584684249524</v>
          </cell>
          <cell r="Z26">
            <v>388.84425612146993</v>
          </cell>
        </row>
        <row r="32">
          <cell r="B32" t="str">
            <v>TOTAL INVESTIMENTO</v>
          </cell>
          <cell r="C32">
            <v>10</v>
          </cell>
          <cell r="D32">
            <v>923.43914999999993</v>
          </cell>
          <cell r="E32">
            <v>822.13991999999996</v>
          </cell>
          <cell r="F32">
            <v>908.89949999999999</v>
          </cell>
          <cell r="G32">
            <v>1435.6243999999999</v>
          </cell>
          <cell r="H32">
            <v>1019.1892500000001</v>
          </cell>
          <cell r="I32">
            <v>401.60040000000004</v>
          </cell>
          <cell r="J32">
            <v>2829.2797500000001</v>
          </cell>
          <cell r="K32">
            <v>3059.0504999999998</v>
          </cell>
          <cell r="L32">
            <v>4568.6511</v>
          </cell>
          <cell r="M32">
            <v>5099.2829999999994</v>
          </cell>
          <cell r="N32">
            <v>4344.5115000000005</v>
          </cell>
          <cell r="O32">
            <v>4565.1901050000006</v>
          </cell>
          <cell r="P32">
            <v>4797.1443523500011</v>
          </cell>
          <cell r="Q32">
            <v>5040.9549440145001</v>
          </cell>
          <cell r="R32">
            <v>5297.2328014455161</v>
          </cell>
          <cell r="S32">
            <v>5566.6206594642026</v>
          </cell>
          <cell r="T32">
            <v>5849.7947456400707</v>
          </cell>
          <cell r="U32">
            <v>6147.4665498489203</v>
          </cell>
          <cell r="V32">
            <v>6460.3846889530905</v>
          </cell>
          <cell r="W32">
            <v>6789.3368718252905</v>
          </cell>
          <cell r="X32">
            <v>7135.1519702308187</v>
          </cell>
          <cell r="Y32">
            <v>7498.7022013936212</v>
          </cell>
          <cell r="Z32">
            <v>7880.9054284001522</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karlajordania@gmail.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D7DFC-25A8-1D4D-8AD9-4EE99473B66F}">
  <dimension ref="B3:C20"/>
  <sheetViews>
    <sheetView showGridLines="0" zoomScale="159" zoomScaleNormal="159" workbookViewId="0">
      <selection activeCell="B15" sqref="B15"/>
    </sheetView>
  </sheetViews>
  <sheetFormatPr baseColWidth="10" defaultRowHeight="16"/>
  <cols>
    <col min="1" max="1" width="4.33203125" style="57" customWidth="1"/>
    <col min="2" max="2" width="24" style="57" customWidth="1"/>
    <col min="3" max="3" width="13.5" style="57" bestFit="1" customWidth="1"/>
    <col min="4" max="16384" width="10.83203125" style="57"/>
  </cols>
  <sheetData>
    <row r="3" spans="2:3">
      <c r="B3" s="56" t="s">
        <v>90</v>
      </c>
    </row>
    <row r="6" spans="2:3" ht="21">
      <c r="B6" s="58" t="s">
        <v>91</v>
      </c>
      <c r="C6" s="59" t="s">
        <v>87</v>
      </c>
    </row>
    <row r="7" spans="2:3" ht="21">
      <c r="B7" s="58" t="s">
        <v>92</v>
      </c>
      <c r="C7" s="60" t="s">
        <v>85</v>
      </c>
    </row>
    <row r="8" spans="2:3" ht="21">
      <c r="B8" s="58" t="s">
        <v>93</v>
      </c>
      <c r="C8" s="61">
        <v>44740</v>
      </c>
    </row>
    <row r="10" spans="2:3">
      <c r="B10" s="58" t="s">
        <v>94</v>
      </c>
    </row>
    <row r="12" spans="2:3">
      <c r="B12" s="62" t="s">
        <v>95</v>
      </c>
    </row>
    <row r="13" spans="2:3">
      <c r="B13" s="62" t="s">
        <v>96</v>
      </c>
    </row>
    <row r="15" spans="2:3">
      <c r="B15" s="56" t="s">
        <v>97</v>
      </c>
    </row>
    <row r="16" spans="2:3" ht="5" customHeight="1"/>
    <row r="17" spans="2:2">
      <c r="B17" s="63" t="s">
        <v>86</v>
      </c>
    </row>
    <row r="18" spans="2:2">
      <c r="B18" s="63" t="s">
        <v>98</v>
      </c>
    </row>
    <row r="19" spans="2:2">
      <c r="B19" s="63" t="s">
        <v>99</v>
      </c>
    </row>
    <row r="20" spans="2:2">
      <c r="B20" s="63" t="s">
        <v>100</v>
      </c>
    </row>
  </sheetData>
  <hyperlinks>
    <hyperlink ref="C7" r:id="rId1" xr:uid="{5749F85B-64E6-3F4F-BE4E-DF016F00B467}"/>
    <hyperlink ref="B17" location="ASSUMPTIONS!A1" display="Suposições" xr:uid="{17881E49-FF3F-1342-8E1A-FB12F03BCCA4}"/>
    <hyperlink ref="B18" location="'INPITS LEADS - TRAFEGO PAGO'!A1" display="Leads- Trafego Pago" xr:uid="{19E844D1-2F0F-9548-A459-F4FA6675235E}"/>
    <hyperlink ref="B19" location="'INPUTS LEADS - TRAFEGO ORGANICO'!A1" display="Leads- Trafego orgânico" xr:uid="{03C5E1F7-0B20-3342-86DD-68BF8F0B1117}"/>
    <hyperlink ref="B20" location="'OUTPUT - DESEMPENHO DE VENDAS'!A1" display="Modelo previsão" xr:uid="{62F00090-8EBE-4D49-B6E4-C00B0153013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DA87-509A-3241-9446-030CD2143B54}">
  <dimension ref="A2:K50"/>
  <sheetViews>
    <sheetView showGridLines="0" zoomScale="130" zoomScaleNormal="130" workbookViewId="0">
      <selection activeCell="E21" sqref="E21:F22"/>
    </sheetView>
  </sheetViews>
  <sheetFormatPr baseColWidth="10" defaultRowHeight="15"/>
  <cols>
    <col min="1" max="1" width="3.33203125" style="11" customWidth="1"/>
    <col min="2" max="2" width="19" style="11" bestFit="1" customWidth="1"/>
    <col min="3" max="3" width="13.1640625" style="11" bestFit="1" customWidth="1"/>
    <col min="4" max="4" width="25.6640625" style="11" bestFit="1" customWidth="1"/>
    <col min="5" max="5" width="14" style="11" bestFit="1" customWidth="1"/>
    <col min="6" max="6" width="16.6640625" style="11" bestFit="1" customWidth="1"/>
    <col min="7" max="7" width="17.6640625" style="11" bestFit="1" customWidth="1"/>
    <col min="8" max="8" width="21" style="11" bestFit="1" customWidth="1"/>
    <col min="9" max="9" width="22.1640625" style="11" bestFit="1" customWidth="1"/>
    <col min="10" max="10" width="22.33203125" style="11" bestFit="1" customWidth="1"/>
    <col min="11" max="11" width="23.33203125" style="11" bestFit="1" customWidth="1"/>
    <col min="12" max="16384" width="10.83203125" style="11"/>
  </cols>
  <sheetData>
    <row r="2" spans="2:3">
      <c r="B2" s="11" t="s">
        <v>38</v>
      </c>
    </row>
    <row r="5" spans="2:3">
      <c r="B5" s="12" t="s">
        <v>39</v>
      </c>
      <c r="C5" s="12" t="s">
        <v>40</v>
      </c>
    </row>
    <row r="6" spans="2:3">
      <c r="B6" s="13" t="s">
        <v>16</v>
      </c>
      <c r="C6" s="14">
        <v>1</v>
      </c>
    </row>
    <row r="7" spans="2:3">
      <c r="B7" s="13" t="s">
        <v>18</v>
      </c>
      <c r="C7" s="14">
        <v>19</v>
      </c>
    </row>
    <row r="8" spans="2:3">
      <c r="B8" s="13" t="s">
        <v>19</v>
      </c>
      <c r="C8" s="14">
        <v>24</v>
      </c>
    </row>
    <row r="9" spans="2:3">
      <c r="B9" s="13" t="s">
        <v>20</v>
      </c>
      <c r="C9" s="14">
        <v>23</v>
      </c>
    </row>
    <row r="10" spans="2:3">
      <c r="B10" s="13" t="s">
        <v>21</v>
      </c>
      <c r="C10" s="14">
        <v>30</v>
      </c>
    </row>
    <row r="11" spans="2:3">
      <c r="B11" s="13" t="s">
        <v>22</v>
      </c>
      <c r="C11" s="14">
        <v>37</v>
      </c>
    </row>
    <row r="12" spans="2:3">
      <c r="B12" s="13" t="s">
        <v>23</v>
      </c>
      <c r="C12" s="14">
        <v>12</v>
      </c>
    </row>
    <row r="13" spans="2:3">
      <c r="B13" s="13" t="s">
        <v>24</v>
      </c>
      <c r="C13" s="14">
        <v>61</v>
      </c>
    </row>
    <row r="14" spans="2:3">
      <c r="B14" s="13" t="s">
        <v>25</v>
      </c>
      <c r="C14" s="14">
        <v>68</v>
      </c>
    </row>
    <row r="15" spans="2:3">
      <c r="B15" s="13" t="s">
        <v>26</v>
      </c>
      <c r="C15" s="14">
        <v>74</v>
      </c>
    </row>
    <row r="16" spans="2:3">
      <c r="B16" s="13" t="s">
        <v>27</v>
      </c>
      <c r="C16" s="14">
        <v>50</v>
      </c>
    </row>
    <row r="17" spans="1:11">
      <c r="B17" s="13" t="s">
        <v>28</v>
      </c>
      <c r="C17" s="14">
        <v>94</v>
      </c>
    </row>
    <row r="19" spans="1:11">
      <c r="B19" s="15" t="s">
        <v>41</v>
      </c>
      <c r="E19" s="16" t="s">
        <v>42</v>
      </c>
    </row>
    <row r="21" spans="1:11">
      <c r="B21" s="17" t="s">
        <v>43</v>
      </c>
      <c r="C21" s="14">
        <v>0.57150354237831147</v>
      </c>
      <c r="E21" s="14" t="s">
        <v>44</v>
      </c>
      <c r="F21" s="30">
        <v>6.6544999999999996</v>
      </c>
    </row>
    <row r="22" spans="1:11">
      <c r="B22" s="14" t="s">
        <v>45</v>
      </c>
      <c r="C22" s="19">
        <v>0.42849645762168836</v>
      </c>
      <c r="E22" s="14" t="s">
        <v>65</v>
      </c>
      <c r="F22" s="30">
        <v>4.8</v>
      </c>
    </row>
    <row r="23" spans="1:11">
      <c r="C23" s="11">
        <f>SUM(C21:C22)</f>
        <v>0.99999999999999978</v>
      </c>
    </row>
    <row r="24" spans="1:11">
      <c r="B24" s="20" t="s">
        <v>6</v>
      </c>
      <c r="C24" s="20" t="s">
        <v>15</v>
      </c>
      <c r="D24" s="20" t="s">
        <v>47</v>
      </c>
      <c r="E24" s="20" t="s">
        <v>48</v>
      </c>
      <c r="F24" s="20" t="s">
        <v>49</v>
      </c>
      <c r="G24" s="20" t="s">
        <v>50</v>
      </c>
      <c r="H24" s="20" t="s">
        <v>51</v>
      </c>
      <c r="I24" s="20" t="s">
        <v>52</v>
      </c>
      <c r="J24" s="20" t="s">
        <v>53</v>
      </c>
      <c r="K24" s="20" t="s">
        <v>54</v>
      </c>
    </row>
    <row r="25" spans="1:11">
      <c r="A25" s="11">
        <v>1</v>
      </c>
      <c r="B25" s="13" t="s">
        <v>16</v>
      </c>
      <c r="C25" s="14">
        <f>C6</f>
        <v>1</v>
      </c>
      <c r="D25" s="14"/>
      <c r="E25" s="14"/>
      <c r="F25" s="14"/>
      <c r="G25" s="14"/>
      <c r="H25" s="14"/>
      <c r="I25" s="14"/>
      <c r="J25" s="14"/>
      <c r="K25" s="14"/>
    </row>
    <row r="26" spans="1:11">
      <c r="A26" s="11">
        <v>2</v>
      </c>
      <c r="B26" s="13" t="s">
        <v>18</v>
      </c>
      <c r="C26" s="14">
        <f>C7</f>
        <v>19</v>
      </c>
      <c r="D26" s="14"/>
      <c r="E26" s="14"/>
      <c r="F26" s="14"/>
      <c r="G26" s="14"/>
      <c r="H26" s="14"/>
      <c r="I26" s="14"/>
      <c r="J26" s="14"/>
      <c r="K26" s="14"/>
    </row>
    <row r="27" spans="1:11" ht="16">
      <c r="A27" s="11">
        <v>3</v>
      </c>
      <c r="B27" s="13" t="s">
        <v>19</v>
      </c>
      <c r="C27" s="14">
        <f>C8</f>
        <v>24</v>
      </c>
      <c r="D27" s="14">
        <f>C26</f>
        <v>19</v>
      </c>
      <c r="E27" s="21">
        <f>($F$21*A27)+$F$22</f>
        <v>24.763500000000001</v>
      </c>
      <c r="F27" s="21">
        <f>D27-C27</f>
        <v>-5</v>
      </c>
      <c r="G27" s="21">
        <f>E27-C27</f>
        <v>0.76350000000000051</v>
      </c>
      <c r="H27" s="14">
        <f>ABS(F27)</f>
        <v>5</v>
      </c>
      <c r="I27" s="14">
        <f>ABS(G27)</f>
        <v>0.76350000000000051</v>
      </c>
      <c r="J27" s="22">
        <f>H27/C27</f>
        <v>0.20833333333333334</v>
      </c>
      <c r="K27" s="22">
        <f>I27/C27</f>
        <v>3.1812500000000021E-2</v>
      </c>
    </row>
    <row r="28" spans="1:11" ht="16">
      <c r="A28" s="11">
        <v>4</v>
      </c>
      <c r="B28" s="13" t="s">
        <v>20</v>
      </c>
      <c r="C28" s="14">
        <f>C9</f>
        <v>23</v>
      </c>
      <c r="D28" s="14">
        <f>SUMPRODUCT($C$21:$C$22,C26:C27)</f>
        <v>21.14248228810844</v>
      </c>
      <c r="E28" s="21">
        <f t="shared" ref="E28:E36" si="0">($F$21*A28)+$F$22</f>
        <v>31.417999999999999</v>
      </c>
      <c r="F28" s="21">
        <f t="shared" ref="F28:F36" si="1">D28-C28</f>
        <v>-1.8575177118915605</v>
      </c>
      <c r="G28" s="21">
        <f t="shared" ref="G28:G36" si="2">E28-C28</f>
        <v>8.4179999999999993</v>
      </c>
      <c r="H28" s="14">
        <f t="shared" ref="H28:I36" si="3">ABS(F28)</f>
        <v>1.8575177118915605</v>
      </c>
      <c r="I28" s="14">
        <f t="shared" si="3"/>
        <v>8.4179999999999993</v>
      </c>
      <c r="J28" s="22">
        <f t="shared" ref="J28:J36" si="4">H28/C28</f>
        <v>8.0761639647459152E-2</v>
      </c>
      <c r="K28" s="22">
        <f t="shared" ref="K28:K36" si="5">I28/C28</f>
        <v>0.36599999999999999</v>
      </c>
    </row>
    <row r="29" spans="1:11" ht="16">
      <c r="A29" s="11">
        <v>5</v>
      </c>
      <c r="B29" s="13" t="s">
        <v>21</v>
      </c>
      <c r="C29" s="14">
        <f>C10</f>
        <v>30</v>
      </c>
      <c r="D29" s="14">
        <f t="shared" ref="D29:D36" si="6">SUMPRODUCT($C$21:$C$22,C27:C28)</f>
        <v>23.571503542378309</v>
      </c>
      <c r="E29" s="21">
        <f t="shared" si="0"/>
        <v>38.072499999999998</v>
      </c>
      <c r="F29" s="21">
        <f t="shared" si="1"/>
        <v>-6.4284964576216908</v>
      </c>
      <c r="G29" s="21">
        <f t="shared" si="2"/>
        <v>8.072499999999998</v>
      </c>
      <c r="H29" s="14">
        <f t="shared" si="3"/>
        <v>6.4284964576216908</v>
      </c>
      <c r="I29" s="14">
        <f t="shared" si="3"/>
        <v>8.072499999999998</v>
      </c>
      <c r="J29" s="22">
        <f t="shared" si="4"/>
        <v>0.21428321525405636</v>
      </c>
      <c r="K29" s="22">
        <f t="shared" si="5"/>
        <v>0.26908333333333329</v>
      </c>
    </row>
    <row r="30" spans="1:11" ht="16">
      <c r="A30" s="11">
        <v>6</v>
      </c>
      <c r="B30" s="13" t="s">
        <v>22</v>
      </c>
      <c r="C30" s="14">
        <f>C11</f>
        <v>37</v>
      </c>
      <c r="D30" s="14">
        <f t="shared" si="6"/>
        <v>25.999475203351814</v>
      </c>
      <c r="E30" s="21">
        <f t="shared" si="0"/>
        <v>44.726999999999997</v>
      </c>
      <c r="F30" s="21">
        <f t="shared" si="1"/>
        <v>-11.000524796648186</v>
      </c>
      <c r="G30" s="21">
        <f t="shared" si="2"/>
        <v>7.7269999999999968</v>
      </c>
      <c r="H30" s="14">
        <f t="shared" si="3"/>
        <v>11.000524796648186</v>
      </c>
      <c r="I30" s="14">
        <f t="shared" si="3"/>
        <v>7.7269999999999968</v>
      </c>
      <c r="J30" s="22">
        <f t="shared" si="4"/>
        <v>0.29731148099049154</v>
      </c>
      <c r="K30" s="22">
        <f t="shared" si="5"/>
        <v>0.20883783783783774</v>
      </c>
    </row>
    <row r="31" spans="1:11" ht="16">
      <c r="A31" s="11">
        <v>7</v>
      </c>
      <c r="B31" s="13" t="s">
        <v>23</v>
      </c>
      <c r="C31" s="14">
        <f>C12</f>
        <v>12</v>
      </c>
      <c r="D31" s="14">
        <f t="shared" si="6"/>
        <v>32.999475203351814</v>
      </c>
      <c r="E31" s="21">
        <f t="shared" si="0"/>
        <v>51.381499999999996</v>
      </c>
      <c r="F31" s="21">
        <f t="shared" si="1"/>
        <v>20.999475203351814</v>
      </c>
      <c r="G31" s="21">
        <f t="shared" si="2"/>
        <v>39.381499999999996</v>
      </c>
      <c r="H31" s="14">
        <f t="shared" si="3"/>
        <v>20.999475203351814</v>
      </c>
      <c r="I31" s="14">
        <f t="shared" si="3"/>
        <v>39.381499999999996</v>
      </c>
      <c r="J31" s="22">
        <f t="shared" si="4"/>
        <v>1.7499562669459845</v>
      </c>
      <c r="K31" s="22">
        <f t="shared" si="5"/>
        <v>3.2817916666666664</v>
      </c>
    </row>
    <row r="32" spans="1:11" ht="16">
      <c r="A32" s="11">
        <v>8</v>
      </c>
      <c r="B32" s="13" t="s">
        <v>24</v>
      </c>
      <c r="C32" s="14">
        <f>C13</f>
        <v>61</v>
      </c>
      <c r="D32" s="14">
        <f t="shared" si="6"/>
        <v>26.287588559457784</v>
      </c>
      <c r="E32" s="21">
        <f t="shared" si="0"/>
        <v>58.035999999999994</v>
      </c>
      <c r="F32" s="21">
        <f t="shared" si="1"/>
        <v>-34.712411440542212</v>
      </c>
      <c r="G32" s="21">
        <f t="shared" si="2"/>
        <v>-2.9640000000000057</v>
      </c>
      <c r="H32" s="14">
        <f t="shared" si="3"/>
        <v>34.712411440542212</v>
      </c>
      <c r="I32" s="14">
        <f t="shared" si="3"/>
        <v>2.9640000000000057</v>
      </c>
      <c r="J32" s="22">
        <f t="shared" si="4"/>
        <v>0.56905592525479032</v>
      </c>
      <c r="K32" s="22">
        <f t="shared" si="5"/>
        <v>4.8590163934426327E-2</v>
      </c>
    </row>
    <row r="33" spans="1:11" ht="16">
      <c r="A33" s="11">
        <v>9</v>
      </c>
      <c r="B33" s="13" t="s">
        <v>25</v>
      </c>
      <c r="C33" s="14">
        <f>C14</f>
        <v>68</v>
      </c>
      <c r="D33" s="14">
        <f t="shared" si="6"/>
        <v>32.996326423462726</v>
      </c>
      <c r="E33" s="21">
        <f t="shared" si="0"/>
        <v>64.6905</v>
      </c>
      <c r="F33" s="21">
        <f t="shared" si="1"/>
        <v>-35.003673576537274</v>
      </c>
      <c r="G33" s="21">
        <f t="shared" si="2"/>
        <v>-3.3094999999999999</v>
      </c>
      <c r="H33" s="14">
        <f t="shared" si="3"/>
        <v>35.003673576537274</v>
      </c>
      <c r="I33" s="14">
        <f t="shared" si="3"/>
        <v>3.3094999999999999</v>
      </c>
      <c r="J33" s="22">
        <f t="shared" si="4"/>
        <v>0.51475990553731288</v>
      </c>
      <c r="K33" s="22">
        <f t="shared" si="5"/>
        <v>4.8669117647058821E-2</v>
      </c>
    </row>
    <row r="34" spans="1:11" ht="16">
      <c r="A34" s="11">
        <v>10</v>
      </c>
      <c r="B34" s="13" t="s">
        <v>26</v>
      </c>
      <c r="C34" s="14">
        <f>C15</f>
        <v>74</v>
      </c>
      <c r="D34" s="14">
        <f t="shared" si="6"/>
        <v>63.999475203351807</v>
      </c>
      <c r="E34" s="21">
        <f t="shared" si="0"/>
        <v>71.344999999999999</v>
      </c>
      <c r="F34" s="21">
        <f t="shared" si="1"/>
        <v>-10.000524796648193</v>
      </c>
      <c r="G34" s="21">
        <f t="shared" si="2"/>
        <v>-2.6550000000000011</v>
      </c>
      <c r="H34" s="14">
        <f t="shared" si="3"/>
        <v>10.000524796648193</v>
      </c>
      <c r="I34" s="14">
        <f t="shared" si="3"/>
        <v>2.6550000000000011</v>
      </c>
      <c r="J34" s="22">
        <f t="shared" si="4"/>
        <v>0.13514222698173234</v>
      </c>
      <c r="K34" s="22">
        <f t="shared" si="5"/>
        <v>3.5878378378378394E-2</v>
      </c>
    </row>
    <row r="35" spans="1:11" ht="16">
      <c r="A35" s="11">
        <v>11</v>
      </c>
      <c r="B35" s="13" t="s">
        <v>27</v>
      </c>
      <c r="C35" s="14">
        <f>C16</f>
        <v>50</v>
      </c>
      <c r="D35" s="14">
        <f t="shared" si="6"/>
        <v>70.570978745730116</v>
      </c>
      <c r="E35" s="21">
        <f t="shared" si="0"/>
        <v>77.999499999999998</v>
      </c>
      <c r="F35" s="21">
        <f t="shared" si="1"/>
        <v>20.570978745730116</v>
      </c>
      <c r="G35" s="21">
        <f t="shared" si="2"/>
        <v>27.999499999999998</v>
      </c>
      <c r="H35" s="14">
        <f t="shared" si="3"/>
        <v>20.570978745730116</v>
      </c>
      <c r="I35" s="14">
        <f t="shared" si="3"/>
        <v>27.999499999999998</v>
      </c>
      <c r="J35" s="22">
        <f t="shared" si="4"/>
        <v>0.41141957491460235</v>
      </c>
      <c r="K35" s="22">
        <f t="shared" si="5"/>
        <v>0.55998999999999999</v>
      </c>
    </row>
    <row r="36" spans="1:11" ht="16">
      <c r="A36" s="11">
        <v>12</v>
      </c>
      <c r="B36" s="13" t="s">
        <v>28</v>
      </c>
      <c r="C36" s="14">
        <f>C17</f>
        <v>94</v>
      </c>
      <c r="D36" s="14">
        <f t="shared" si="6"/>
        <v>63.716085017079465</v>
      </c>
      <c r="E36" s="21">
        <f t="shared" si="0"/>
        <v>84.653999999999996</v>
      </c>
      <c r="F36" s="21">
        <f t="shared" si="1"/>
        <v>-30.283914982920535</v>
      </c>
      <c r="G36" s="21">
        <f t="shared" si="2"/>
        <v>-9.3460000000000036</v>
      </c>
      <c r="H36" s="14">
        <f t="shared" si="3"/>
        <v>30.283914982920535</v>
      </c>
      <c r="I36" s="14">
        <f t="shared" si="3"/>
        <v>9.3460000000000036</v>
      </c>
      <c r="J36" s="22">
        <f t="shared" si="4"/>
        <v>0.32216930832894186</v>
      </c>
      <c r="K36" s="22">
        <f t="shared" si="5"/>
        <v>9.9425531914893658E-2</v>
      </c>
    </row>
    <row r="39" spans="1:11">
      <c r="B39" s="23" t="s">
        <v>55</v>
      </c>
      <c r="C39" s="23" t="s">
        <v>56</v>
      </c>
      <c r="D39" s="23" t="s">
        <v>48</v>
      </c>
    </row>
    <row r="40" spans="1:11" ht="16">
      <c r="B40" s="13" t="s">
        <v>57</v>
      </c>
      <c r="C40" s="31">
        <f>SUM(F27:F36)/SUM(C27:C36)</f>
        <v>-0.19601820256602054</v>
      </c>
      <c r="D40" s="24">
        <f>SUM(G27:G36)/SUM(C27:C36)</f>
        <v>0.1566331923890063</v>
      </c>
    </row>
    <row r="41" spans="1:11">
      <c r="B41" s="12" t="s">
        <v>58</v>
      </c>
      <c r="C41" s="25">
        <f>AVERAGE(J27:J36)</f>
        <v>0.45031928771887042</v>
      </c>
      <c r="D41" s="26">
        <f>AVERAGE(K27:K36)</f>
        <v>0.49500785297125943</v>
      </c>
      <c r="E41" s="11" t="s">
        <v>59</v>
      </c>
    </row>
    <row r="42" spans="1:11" ht="16">
      <c r="B42" s="12" t="s">
        <v>60</v>
      </c>
      <c r="C42" s="31">
        <f>SUM(H27:H36)/SUM(C27:C36)</f>
        <v>0.37179179220273068</v>
      </c>
      <c r="D42" s="24">
        <f>SUM(I27:I36)/SUM(C27:C36)</f>
        <v>0.23390380549682871</v>
      </c>
      <c r="E42" s="27" t="s">
        <v>61</v>
      </c>
    </row>
    <row r="43" spans="1:11">
      <c r="B43" s="12" t="s">
        <v>62</v>
      </c>
      <c r="C43" s="28">
        <f>SQRT(SUMSQ(F27:F36)/COUNTA(F27:F36))</f>
        <v>21.218542091063135</v>
      </c>
      <c r="D43" s="29">
        <f>SQRT(SUMSQ(G27:G36)/COUNTA(G27:G36))</f>
        <v>16.264460677348019</v>
      </c>
      <c r="E43" s="11" t="s">
        <v>63</v>
      </c>
    </row>
    <row r="50" spans="2:2">
      <c r="B50" s="11" t="s">
        <v>64</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238D-33A8-BE4A-BD14-D253990BAE21}">
  <dimension ref="B2:C46"/>
  <sheetViews>
    <sheetView showGridLines="0" workbookViewId="0">
      <selection activeCell="G25" sqref="G25"/>
    </sheetView>
  </sheetViews>
  <sheetFormatPr baseColWidth="10" defaultRowHeight="16"/>
  <cols>
    <col min="1" max="1" width="10.83203125" style="57"/>
    <col min="2" max="2" width="31.5" style="57" customWidth="1"/>
    <col min="3" max="16384" width="10.83203125" style="57"/>
  </cols>
  <sheetData>
    <row r="2" spans="2:3">
      <c r="B2" s="63"/>
    </row>
    <row r="4" spans="2:3" ht="29">
      <c r="B4" s="64" t="s">
        <v>86</v>
      </c>
    </row>
    <row r="6" spans="2:3" ht="21">
      <c r="B6" s="65" t="s">
        <v>101</v>
      </c>
      <c r="C6" s="66"/>
    </row>
    <row r="7" spans="2:3">
      <c r="B7" s="57" t="s">
        <v>102</v>
      </c>
    </row>
    <row r="9" spans="2:3">
      <c r="B9" s="67" t="s">
        <v>44</v>
      </c>
      <c r="C9" s="68">
        <v>91.382000000000005</v>
      </c>
    </row>
    <row r="10" spans="2:3">
      <c r="B10" s="67" t="s">
        <v>65</v>
      </c>
      <c r="C10" s="68">
        <v>-26.835999999999999</v>
      </c>
    </row>
    <row r="12" spans="2:3">
      <c r="B12" s="67" t="s">
        <v>103</v>
      </c>
      <c r="C12" s="69">
        <v>0.22</v>
      </c>
    </row>
    <row r="15" spans="2:3" ht="21">
      <c r="B15" s="65" t="s">
        <v>35</v>
      </c>
      <c r="C15" s="66"/>
    </row>
    <row r="16" spans="2:3">
      <c r="B16" s="57" t="s">
        <v>102</v>
      </c>
    </row>
    <row r="18" spans="2:3">
      <c r="B18" s="67" t="s">
        <v>44</v>
      </c>
      <c r="C18" s="68">
        <v>6.6544999999999996</v>
      </c>
    </row>
    <row r="19" spans="2:3">
      <c r="B19" s="67" t="s">
        <v>65</v>
      </c>
      <c r="C19" s="68">
        <v>4.8</v>
      </c>
    </row>
    <row r="21" spans="2:3">
      <c r="B21" s="67" t="s">
        <v>104</v>
      </c>
      <c r="C21" s="69">
        <v>0.32</v>
      </c>
    </row>
    <row r="23" spans="2:3" ht="21">
      <c r="B23" s="65" t="s">
        <v>88</v>
      </c>
      <c r="C23" s="70"/>
    </row>
    <row r="25" spans="2:3">
      <c r="B25" s="67" t="s">
        <v>105</v>
      </c>
      <c r="C25" s="68">
        <v>1.05</v>
      </c>
    </row>
    <row r="26" spans="2:3">
      <c r="B26" s="67" t="s">
        <v>106</v>
      </c>
      <c r="C26" s="68">
        <v>1.01</v>
      </c>
    </row>
    <row r="28" spans="2:3" ht="21">
      <c r="B28" s="65" t="s">
        <v>89</v>
      </c>
      <c r="C28" s="70"/>
    </row>
    <row r="30" spans="2:3">
      <c r="B30" s="67" t="s">
        <v>105</v>
      </c>
      <c r="C30" s="68">
        <v>1.05</v>
      </c>
    </row>
    <row r="31" spans="2:3">
      <c r="B31" s="67" t="s">
        <v>106</v>
      </c>
      <c r="C31" s="68">
        <v>1.01</v>
      </c>
    </row>
    <row r="34" spans="2:3" ht="21">
      <c r="B34" s="65" t="s">
        <v>67</v>
      </c>
      <c r="C34" s="66"/>
    </row>
    <row r="35" spans="2:3">
      <c r="B35" s="57" t="s">
        <v>107</v>
      </c>
    </row>
    <row r="37" spans="2:3">
      <c r="B37" s="67" t="s">
        <v>44</v>
      </c>
      <c r="C37" s="68">
        <v>5.1000000000000004E-3</v>
      </c>
    </row>
    <row r="38" spans="2:3">
      <c r="B38" s="67" t="s">
        <v>65</v>
      </c>
      <c r="C38" s="68">
        <v>2.9580000000000002</v>
      </c>
    </row>
    <row r="41" spans="2:3">
      <c r="B41" s="67" t="s">
        <v>105</v>
      </c>
      <c r="C41" s="68">
        <v>1.07</v>
      </c>
    </row>
    <row r="42" spans="2:3">
      <c r="B42" s="67" t="s">
        <v>108</v>
      </c>
      <c r="C42" s="69">
        <v>0.13</v>
      </c>
    </row>
    <row r="44" spans="2:3" ht="21">
      <c r="B44" s="71" t="s">
        <v>109</v>
      </c>
      <c r="C44" s="72"/>
    </row>
    <row r="46" spans="2:3">
      <c r="B46" s="74" t="s">
        <v>110</v>
      </c>
      <c r="C46" s="73" t="s">
        <v>111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786AC-7477-8B43-B502-CD0253EBE722}">
  <dimension ref="B1:Z33"/>
  <sheetViews>
    <sheetView showGridLines="0" zoomScale="80" zoomScaleNormal="80" workbookViewId="0">
      <selection activeCell="AC32" sqref="AC32"/>
    </sheetView>
  </sheetViews>
  <sheetFormatPr baseColWidth="10" defaultRowHeight="16" outlineLevelCol="1"/>
  <cols>
    <col min="1" max="1" width="2.6640625" customWidth="1"/>
    <col min="2" max="2" width="24.33203125" bestFit="1" customWidth="1"/>
    <col min="3" max="3" width="11" hidden="1" customWidth="1" outlineLevel="1"/>
    <col min="4" max="6" width="11.6640625" hidden="1" customWidth="1" outlineLevel="1"/>
    <col min="7" max="8" width="13.1640625" hidden="1" customWidth="1" outlineLevel="1"/>
    <col min="9" max="9" width="11.6640625" hidden="1" customWidth="1" outlineLevel="1"/>
    <col min="10" max="10" width="13.1640625" bestFit="1" customWidth="1" collapsed="1"/>
    <col min="11" max="14" width="13.1640625" bestFit="1" customWidth="1"/>
    <col min="15" max="15" width="15.1640625" bestFit="1" customWidth="1"/>
    <col min="16" max="26" width="13.1640625" bestFit="1" customWidth="1"/>
  </cols>
  <sheetData>
    <row r="1" spans="2:26">
      <c r="B1" s="36"/>
    </row>
    <row r="2" spans="2:26">
      <c r="B2" s="36"/>
    </row>
    <row r="3" spans="2:26">
      <c r="B3" s="36"/>
    </row>
    <row r="4" spans="2:26" ht="26">
      <c r="B4" s="39" t="s">
        <v>112</v>
      </c>
    </row>
    <row r="5" spans="2:26" ht="21">
      <c r="B5" s="1"/>
    </row>
    <row r="6" spans="2:26">
      <c r="C6" s="37">
        <v>42887</v>
      </c>
      <c r="D6" s="37">
        <v>42917</v>
      </c>
      <c r="E6" s="37">
        <v>42948</v>
      </c>
      <c r="F6" s="37">
        <v>42979</v>
      </c>
      <c r="G6" s="37">
        <v>43009</v>
      </c>
      <c r="H6" s="37">
        <v>43040</v>
      </c>
      <c r="I6" s="37">
        <v>43070</v>
      </c>
      <c r="J6" s="37">
        <v>43101</v>
      </c>
      <c r="K6" s="37">
        <v>43132</v>
      </c>
      <c r="L6" s="37">
        <v>43160</v>
      </c>
      <c r="M6" s="37">
        <v>43191</v>
      </c>
      <c r="N6" s="37">
        <v>43221</v>
      </c>
      <c r="O6" s="37">
        <v>43252</v>
      </c>
      <c r="P6" s="37">
        <v>43282</v>
      </c>
      <c r="Q6" s="37">
        <v>43313</v>
      </c>
      <c r="R6" s="37">
        <v>43344</v>
      </c>
      <c r="S6" s="37">
        <v>43374</v>
      </c>
      <c r="T6" s="37">
        <v>43405</v>
      </c>
      <c r="U6" s="37">
        <v>43435</v>
      </c>
      <c r="V6" s="37">
        <v>43466</v>
      </c>
      <c r="W6" s="37">
        <v>43497</v>
      </c>
      <c r="X6" s="37">
        <v>43525</v>
      </c>
      <c r="Y6" s="37">
        <v>43556</v>
      </c>
      <c r="Z6" s="37">
        <v>43586</v>
      </c>
    </row>
    <row r="7" spans="2:26">
      <c r="C7" s="9"/>
      <c r="D7" s="9"/>
      <c r="E7" s="9"/>
      <c r="F7" s="9"/>
      <c r="G7" s="9"/>
      <c r="H7" s="9"/>
      <c r="I7" s="9"/>
      <c r="J7" s="9"/>
      <c r="K7" s="9"/>
      <c r="L7" s="9"/>
      <c r="M7" s="9"/>
      <c r="N7" s="9"/>
    </row>
    <row r="8" spans="2:26">
      <c r="B8" s="38" t="s">
        <v>0</v>
      </c>
    </row>
    <row r="10" spans="2:26">
      <c r="B10" s="2" t="s">
        <v>113</v>
      </c>
      <c r="C10" s="42">
        <v>0</v>
      </c>
      <c r="D10" s="42">
        <v>636.70949999999993</v>
      </c>
      <c r="E10" s="42">
        <v>778.30200000000002</v>
      </c>
      <c r="F10" s="42">
        <v>783</v>
      </c>
      <c r="G10" s="42">
        <v>1193.6399999999999</v>
      </c>
      <c r="H10" s="42">
        <v>887.92200000000003</v>
      </c>
      <c r="I10" s="42">
        <v>340.34399999999999</v>
      </c>
      <c r="J10" s="42">
        <v>2512.125</v>
      </c>
      <c r="K10" s="42">
        <v>2717.0099999999998</v>
      </c>
      <c r="L10" s="42">
        <v>4119.4412999999995</v>
      </c>
      <c r="M10" s="42">
        <v>4479.1949999999997</v>
      </c>
      <c r="N10" s="42">
        <v>3982.86</v>
      </c>
      <c r="O10" s="43">
        <f>N10*ASSUMPTIONS!$C$25</f>
        <v>4182.0030000000006</v>
      </c>
      <c r="P10" s="44">
        <f>O10*ASSUMPTIONS!$C$25</f>
        <v>4391.1031500000008</v>
      </c>
      <c r="Q10" s="44">
        <f>P10*ASSUMPTIONS!$C$25</f>
        <v>4610.6583075000008</v>
      </c>
      <c r="R10" s="44">
        <f>Q10*ASSUMPTIONS!$C$25</f>
        <v>4841.1912228750007</v>
      </c>
      <c r="S10" s="44">
        <f>R10*ASSUMPTIONS!$C$25</f>
        <v>5083.2507840187509</v>
      </c>
      <c r="T10" s="44">
        <f>S10*ASSUMPTIONS!$C$25</f>
        <v>5337.4133232196882</v>
      </c>
      <c r="U10" s="44">
        <f>T10*ASSUMPTIONS!$C$25</f>
        <v>5604.2839893806731</v>
      </c>
      <c r="V10" s="44">
        <f>U10*ASSUMPTIONS!$C$25</f>
        <v>5884.4981888497068</v>
      </c>
      <c r="W10" s="44">
        <f>V10*ASSUMPTIONS!$C$25</f>
        <v>6178.7230982921928</v>
      </c>
      <c r="X10" s="44">
        <f>W10*ASSUMPTIONS!$C$25</f>
        <v>6487.6592532068025</v>
      </c>
      <c r="Y10" s="44">
        <f>X10*ASSUMPTIONS!$C$25</f>
        <v>6812.0422158671427</v>
      </c>
      <c r="Z10" s="44">
        <f>Y10*ASSUMPTIONS!$C$25</f>
        <v>7152.6443266605002</v>
      </c>
    </row>
    <row r="11" spans="2:26">
      <c r="B11" s="2" t="s">
        <v>9</v>
      </c>
      <c r="C11" s="42">
        <v>0</v>
      </c>
      <c r="D11" s="42">
        <v>2.2184999999999997</v>
      </c>
      <c r="E11" s="42">
        <v>2.1924000000000001</v>
      </c>
      <c r="F11" s="42">
        <v>2.61</v>
      </c>
      <c r="G11" s="42">
        <v>2.4359999999999999</v>
      </c>
      <c r="H11" s="42">
        <v>2.3490000000000002</v>
      </c>
      <c r="I11" s="42">
        <v>2.0880000000000001</v>
      </c>
      <c r="J11" s="42">
        <v>2.871</v>
      </c>
      <c r="K11" s="42">
        <v>2.61</v>
      </c>
      <c r="L11" s="42">
        <v>3.0536999999999996</v>
      </c>
      <c r="M11" s="42">
        <v>3.0449999999999999</v>
      </c>
      <c r="N11" s="42">
        <v>3.0449999999999999</v>
      </c>
      <c r="O11" s="43">
        <f>N11*ASSUMPTIONS!$C$31</f>
        <v>3.07545</v>
      </c>
      <c r="P11" s="44">
        <f>O11*ASSUMPTIONS!$C$31</f>
        <v>3.1062045</v>
      </c>
      <c r="Q11" s="44">
        <f>P11*ASSUMPTIONS!$C$31</f>
        <v>3.1372665450000001</v>
      </c>
      <c r="R11" s="44">
        <f>Q11*ASSUMPTIONS!$C$31</f>
        <v>3.1686392104500003</v>
      </c>
      <c r="S11" s="44">
        <f>R11*ASSUMPTIONS!$C$31</f>
        <v>3.2003256025545004</v>
      </c>
      <c r="T11" s="44">
        <f>S11*ASSUMPTIONS!$C$31</f>
        <v>3.2323288585800456</v>
      </c>
      <c r="U11" s="44">
        <f>T11*ASSUMPTIONS!$C$31</f>
        <v>3.2646521471658461</v>
      </c>
      <c r="V11" s="44">
        <f>U11*ASSUMPTIONS!$C$31</f>
        <v>3.2972986686375045</v>
      </c>
      <c r="W11" s="44">
        <f>V11*ASSUMPTIONS!$C$31</f>
        <v>3.3302716553238798</v>
      </c>
      <c r="X11" s="44">
        <f>W11*ASSUMPTIONS!$C$31</f>
        <v>3.3635743718771187</v>
      </c>
      <c r="Y11" s="44">
        <f>X11*ASSUMPTIONS!$C$31</f>
        <v>3.39721011559589</v>
      </c>
      <c r="Z11" s="44">
        <f>Y11*ASSUMPTIONS!$C$31</f>
        <v>3.4311822167518491</v>
      </c>
    </row>
    <row r="12" spans="2:26">
      <c r="B12" s="2" t="s">
        <v>1</v>
      </c>
      <c r="C12" s="45">
        <v>0</v>
      </c>
      <c r="D12" s="45">
        <v>287</v>
      </c>
      <c r="E12" s="45">
        <v>355</v>
      </c>
      <c r="F12" s="45">
        <v>300</v>
      </c>
      <c r="G12" s="45">
        <v>490</v>
      </c>
      <c r="H12" s="45">
        <v>378</v>
      </c>
      <c r="I12" s="45">
        <v>163</v>
      </c>
      <c r="J12" s="45">
        <v>875</v>
      </c>
      <c r="K12" s="45">
        <v>1041</v>
      </c>
      <c r="L12" s="45">
        <v>1349</v>
      </c>
      <c r="M12" s="45">
        <v>1471</v>
      </c>
      <c r="N12" s="45">
        <v>1308</v>
      </c>
      <c r="O12" s="46">
        <f>INT(O10/O11)</f>
        <v>1359</v>
      </c>
      <c r="P12" s="46">
        <f t="shared" ref="P12:U12" si="0">INT(P10/P11)</f>
        <v>1413</v>
      </c>
      <c r="Q12" s="46">
        <f t="shared" si="0"/>
        <v>1469</v>
      </c>
      <c r="R12" s="46">
        <f t="shared" si="0"/>
        <v>1527</v>
      </c>
      <c r="S12" s="46">
        <f t="shared" si="0"/>
        <v>1588</v>
      </c>
      <c r="T12" s="46">
        <f t="shared" si="0"/>
        <v>1651</v>
      </c>
      <c r="U12" s="46">
        <f t="shared" si="0"/>
        <v>1716</v>
      </c>
      <c r="V12" s="46">
        <f t="shared" ref="V12" si="1">INT(V10/V11)</f>
        <v>1784</v>
      </c>
      <c r="W12" s="46">
        <f t="shared" ref="W12" si="2">INT(W10/W11)</f>
        <v>1855</v>
      </c>
      <c r="X12" s="46">
        <f t="shared" ref="X12" si="3">INT(X10/X11)</f>
        <v>1928</v>
      </c>
      <c r="Y12" s="46">
        <f t="shared" ref="Y12" si="4">INT(Y10/Y11)</f>
        <v>2005</v>
      </c>
      <c r="Z12" s="46">
        <f t="shared" ref="Z12" si="5">INT(Z10/Z11)</f>
        <v>2084</v>
      </c>
    </row>
    <row r="13" spans="2:26">
      <c r="B13" s="2" t="s">
        <v>114</v>
      </c>
      <c r="C13" s="47">
        <v>0.2</v>
      </c>
      <c r="D13" s="47">
        <v>0.21</v>
      </c>
      <c r="E13" s="47">
        <v>0.24</v>
      </c>
      <c r="F13" s="47">
        <v>0.23</v>
      </c>
      <c r="G13" s="47">
        <v>0.22</v>
      </c>
      <c r="H13" s="47">
        <v>0.2</v>
      </c>
      <c r="I13" s="47">
        <v>0.23</v>
      </c>
      <c r="J13" s="47">
        <v>0.21</v>
      </c>
      <c r="K13" s="47">
        <v>0.22</v>
      </c>
      <c r="L13" s="47">
        <v>0.21</v>
      </c>
      <c r="M13" s="47">
        <v>0.2</v>
      </c>
      <c r="N13" s="47">
        <v>0.22</v>
      </c>
      <c r="O13" s="4">
        <f>N13</f>
        <v>0.22</v>
      </c>
      <c r="P13" s="4">
        <f t="shared" ref="P13:U13" si="6">O13</f>
        <v>0.22</v>
      </c>
      <c r="Q13" s="4">
        <f t="shared" si="6"/>
        <v>0.22</v>
      </c>
      <c r="R13" s="4">
        <f t="shared" si="6"/>
        <v>0.22</v>
      </c>
      <c r="S13" s="4">
        <f t="shared" si="6"/>
        <v>0.22</v>
      </c>
      <c r="T13" s="4">
        <f t="shared" si="6"/>
        <v>0.22</v>
      </c>
      <c r="U13" s="4">
        <f t="shared" si="6"/>
        <v>0.22</v>
      </c>
      <c r="V13" s="4">
        <f t="shared" ref="V13:Z13" si="7">U13</f>
        <v>0.22</v>
      </c>
      <c r="W13" s="4">
        <f t="shared" si="7"/>
        <v>0.22</v>
      </c>
      <c r="X13" s="4">
        <f t="shared" si="7"/>
        <v>0.22</v>
      </c>
      <c r="Y13" s="4">
        <f t="shared" si="7"/>
        <v>0.22</v>
      </c>
      <c r="Z13" s="4">
        <f t="shared" si="7"/>
        <v>0.22</v>
      </c>
    </row>
    <row r="14" spans="2:26">
      <c r="B14" s="75" t="str">
        <f>SUBSTITUTE(_xlfn.CONCAT("Total leads",B8),"1.","")</f>
        <v>Total leads Google Search</v>
      </c>
      <c r="C14" s="48">
        <v>0</v>
      </c>
      <c r="D14" s="48">
        <v>56</v>
      </c>
      <c r="E14" s="48">
        <v>79</v>
      </c>
      <c r="F14" s="48">
        <v>64</v>
      </c>
      <c r="G14" s="48">
        <v>100</v>
      </c>
      <c r="H14" s="48">
        <v>70</v>
      </c>
      <c r="I14" s="48">
        <v>35</v>
      </c>
      <c r="J14" s="48">
        <v>170</v>
      </c>
      <c r="K14" s="48">
        <v>212</v>
      </c>
      <c r="L14" s="48">
        <v>262</v>
      </c>
      <c r="M14" s="48">
        <v>272</v>
      </c>
      <c r="N14" s="48">
        <v>266</v>
      </c>
      <c r="O14" s="46">
        <f>INT(O12*O13)</f>
        <v>298</v>
      </c>
      <c r="P14" s="49">
        <f t="shared" ref="P14:U14" si="8">INT(P12*P13)</f>
        <v>310</v>
      </c>
      <c r="Q14" s="49">
        <f t="shared" si="8"/>
        <v>323</v>
      </c>
      <c r="R14" s="49">
        <f t="shared" si="8"/>
        <v>335</v>
      </c>
      <c r="S14" s="49">
        <f t="shared" si="8"/>
        <v>349</v>
      </c>
      <c r="T14" s="49">
        <f t="shared" si="8"/>
        <v>363</v>
      </c>
      <c r="U14" s="49">
        <f t="shared" si="8"/>
        <v>377</v>
      </c>
      <c r="V14" s="49">
        <f t="shared" ref="V14" si="9">INT(V12*V13)</f>
        <v>392</v>
      </c>
      <c r="W14" s="49">
        <f t="shared" ref="W14" si="10">INT(W12*W13)</f>
        <v>408</v>
      </c>
      <c r="X14" s="49">
        <f t="shared" ref="X14" si="11">INT(X12*X13)</f>
        <v>424</v>
      </c>
      <c r="Y14" s="49">
        <f t="shared" ref="Y14" si="12">INT(Y12*Y13)</f>
        <v>441</v>
      </c>
      <c r="Z14" s="49">
        <f t="shared" ref="Z14" si="13">INT(Z12*Z13)</f>
        <v>458</v>
      </c>
    </row>
    <row r="16" spans="2:26">
      <c r="B16" s="38" t="s">
        <v>2</v>
      </c>
    </row>
    <row r="18" spans="2:26">
      <c r="B18" s="2" t="s">
        <v>115</v>
      </c>
      <c r="C18" s="42">
        <v>10</v>
      </c>
      <c r="D18" s="42">
        <v>244.79999999999998</v>
      </c>
      <c r="E18" s="42">
        <v>20.16</v>
      </c>
      <c r="F18" s="42">
        <v>66</v>
      </c>
      <c r="G18" s="42">
        <v>64.399999999999991</v>
      </c>
      <c r="H18" s="42">
        <v>83.7</v>
      </c>
      <c r="I18" s="42">
        <v>52.8</v>
      </c>
      <c r="J18" s="42">
        <v>181.5</v>
      </c>
      <c r="K18" s="42">
        <v>261</v>
      </c>
      <c r="L18" s="42">
        <v>284.31</v>
      </c>
      <c r="M18" s="42">
        <v>357</v>
      </c>
      <c r="N18" s="42">
        <v>189</v>
      </c>
      <c r="O18" s="43">
        <f>N18*ASSUMPTIONS!$C$30</f>
        <v>198.45000000000002</v>
      </c>
      <c r="P18" s="44">
        <f>O18*ASSUMPTIONS!$C$30</f>
        <v>208.37250000000003</v>
      </c>
      <c r="Q18" s="44">
        <f>P18*ASSUMPTIONS!$C$30</f>
        <v>218.79112500000005</v>
      </c>
      <c r="R18" s="44">
        <f>Q18*ASSUMPTIONS!$C$30</f>
        <v>229.73068125000006</v>
      </c>
      <c r="S18" s="44">
        <f>R18*ASSUMPTIONS!$C$30</f>
        <v>241.21721531250009</v>
      </c>
      <c r="T18" s="44">
        <f>S18*ASSUMPTIONS!$C$30</f>
        <v>253.27807607812511</v>
      </c>
      <c r="U18" s="44">
        <f>T18*ASSUMPTIONS!$C$30</f>
        <v>265.94197988203138</v>
      </c>
      <c r="V18" s="44">
        <f>U18*ASSUMPTIONS!$C$30</f>
        <v>279.23907887613296</v>
      </c>
      <c r="W18" s="44">
        <f>V18*ASSUMPTIONS!$C$30</f>
        <v>293.2010328199396</v>
      </c>
      <c r="X18" s="44">
        <f>W18*ASSUMPTIONS!$C$30</f>
        <v>307.86108446093658</v>
      </c>
      <c r="Y18" s="44">
        <f>X18*ASSUMPTIONS!$C$30</f>
        <v>323.2541386839834</v>
      </c>
      <c r="Z18" s="44">
        <f>Y18*ASSUMPTIONS!$C$30</f>
        <v>339.41684561818261</v>
      </c>
    </row>
    <row r="19" spans="2:26">
      <c r="B19" s="2" t="s">
        <v>9</v>
      </c>
      <c r="C19" s="42">
        <v>2.5</v>
      </c>
      <c r="D19" s="42">
        <v>2.5499999999999998</v>
      </c>
      <c r="E19" s="42">
        <v>2.52</v>
      </c>
      <c r="F19" s="42">
        <v>3</v>
      </c>
      <c r="G19" s="42">
        <v>2.8</v>
      </c>
      <c r="H19" s="42">
        <v>2.7</v>
      </c>
      <c r="I19" s="42">
        <v>2.4</v>
      </c>
      <c r="J19" s="42">
        <v>3.3</v>
      </c>
      <c r="K19" s="42">
        <v>3</v>
      </c>
      <c r="L19" s="42">
        <v>3.51</v>
      </c>
      <c r="M19" s="42">
        <v>3.5</v>
      </c>
      <c r="N19" s="42">
        <v>3.5</v>
      </c>
      <c r="O19" s="43">
        <f>N19*ASSUMPTIONS!$C$31</f>
        <v>3.5350000000000001</v>
      </c>
      <c r="P19" s="44">
        <f>O19*ASSUMPTIONS!$C$31</f>
        <v>3.5703500000000004</v>
      </c>
      <c r="Q19" s="44">
        <f>P19*ASSUMPTIONS!$C$31</f>
        <v>3.6060535000000002</v>
      </c>
      <c r="R19" s="44">
        <f>Q19*ASSUMPTIONS!$C$31</f>
        <v>3.6421140350000001</v>
      </c>
      <c r="S19" s="44">
        <f>R19*ASSUMPTIONS!$C$31</f>
        <v>3.67853517535</v>
      </c>
      <c r="T19" s="44">
        <f>S19*ASSUMPTIONS!$C$31</f>
        <v>3.7153205271035001</v>
      </c>
      <c r="U19" s="44">
        <f>T19*ASSUMPTIONS!$C$31</f>
        <v>3.752473732374535</v>
      </c>
      <c r="V19" s="43">
        <f>U19*ASSUMPTIONS!$C$31</f>
        <v>3.7899984696982805</v>
      </c>
      <c r="W19" s="44">
        <f>V19</f>
        <v>3.7899984696982805</v>
      </c>
      <c r="X19" s="44">
        <f t="shared" ref="X19:Z19" si="14">W19</f>
        <v>3.7899984696982805</v>
      </c>
      <c r="Y19" s="44">
        <f t="shared" si="14"/>
        <v>3.7899984696982805</v>
      </c>
      <c r="Z19" s="44">
        <f t="shared" si="14"/>
        <v>3.7899984696982805</v>
      </c>
    </row>
    <row r="20" spans="2:26">
      <c r="B20" s="2" t="s">
        <v>1</v>
      </c>
      <c r="C20" s="45">
        <v>4</v>
      </c>
      <c r="D20" s="45">
        <v>96</v>
      </c>
      <c r="E20" s="45">
        <v>8</v>
      </c>
      <c r="F20" s="45">
        <v>22</v>
      </c>
      <c r="G20" s="45">
        <v>23</v>
      </c>
      <c r="H20" s="45">
        <v>31</v>
      </c>
      <c r="I20" s="45">
        <v>22</v>
      </c>
      <c r="J20" s="45">
        <v>55</v>
      </c>
      <c r="K20" s="45">
        <v>87</v>
      </c>
      <c r="L20" s="45">
        <v>81</v>
      </c>
      <c r="M20" s="45">
        <v>102</v>
      </c>
      <c r="N20" s="45">
        <v>54</v>
      </c>
      <c r="O20" s="46">
        <f>INT(O18/O19)</f>
        <v>56</v>
      </c>
      <c r="P20" s="46">
        <f t="shared" ref="P20:Z20" si="15">INT(P18/P19)</f>
        <v>58</v>
      </c>
      <c r="Q20" s="46">
        <f t="shared" si="15"/>
        <v>60</v>
      </c>
      <c r="R20" s="46">
        <f t="shared" si="15"/>
        <v>63</v>
      </c>
      <c r="S20" s="46">
        <f t="shared" si="15"/>
        <v>65</v>
      </c>
      <c r="T20" s="46">
        <f t="shared" si="15"/>
        <v>68</v>
      </c>
      <c r="U20" s="46">
        <f t="shared" si="15"/>
        <v>70</v>
      </c>
      <c r="V20" s="46">
        <f t="shared" si="15"/>
        <v>73</v>
      </c>
      <c r="W20" s="46">
        <f t="shared" si="15"/>
        <v>77</v>
      </c>
      <c r="X20" s="46">
        <f t="shared" si="15"/>
        <v>81</v>
      </c>
      <c r="Y20" s="46">
        <f t="shared" si="15"/>
        <v>85</v>
      </c>
      <c r="Z20" s="46">
        <f t="shared" si="15"/>
        <v>89</v>
      </c>
    </row>
    <row r="21" spans="2:26">
      <c r="B21" s="2" t="s">
        <v>114</v>
      </c>
      <c r="C21" s="47">
        <v>0.2</v>
      </c>
      <c r="D21" s="47">
        <v>0.21</v>
      </c>
      <c r="E21" s="47">
        <v>0.24</v>
      </c>
      <c r="F21" s="47">
        <v>0.23</v>
      </c>
      <c r="G21" s="47">
        <v>0.22</v>
      </c>
      <c r="H21" s="47">
        <v>0.2</v>
      </c>
      <c r="I21" s="47">
        <v>0.23</v>
      </c>
      <c r="J21" s="47">
        <v>0.21</v>
      </c>
      <c r="K21" s="47">
        <v>0.22</v>
      </c>
      <c r="L21" s="47">
        <v>0.21</v>
      </c>
      <c r="M21" s="47">
        <v>0.2</v>
      </c>
      <c r="N21" s="47">
        <v>0.22</v>
      </c>
      <c r="O21" s="4">
        <f>N21</f>
        <v>0.22</v>
      </c>
      <c r="P21" s="4">
        <f t="shared" ref="P21:Z21" si="16">O21</f>
        <v>0.22</v>
      </c>
      <c r="Q21" s="4">
        <f t="shared" si="16"/>
        <v>0.22</v>
      </c>
      <c r="R21" s="4">
        <f t="shared" si="16"/>
        <v>0.22</v>
      </c>
      <c r="S21" s="4">
        <f t="shared" si="16"/>
        <v>0.22</v>
      </c>
      <c r="T21" s="4">
        <f t="shared" si="16"/>
        <v>0.22</v>
      </c>
      <c r="U21" s="4">
        <f t="shared" si="16"/>
        <v>0.22</v>
      </c>
      <c r="V21" s="4">
        <f t="shared" si="16"/>
        <v>0.22</v>
      </c>
      <c r="W21" s="4">
        <f t="shared" si="16"/>
        <v>0.22</v>
      </c>
      <c r="X21" s="4">
        <f t="shared" si="16"/>
        <v>0.22</v>
      </c>
      <c r="Y21" s="4">
        <f t="shared" si="16"/>
        <v>0.22</v>
      </c>
      <c r="Z21" s="4">
        <f t="shared" si="16"/>
        <v>0.22</v>
      </c>
    </row>
    <row r="22" spans="2:26">
      <c r="B22" s="75" t="str">
        <f>SUBSTITUTE(_xlfn.CONCAT("Total leads",B16),"2.","")</f>
        <v>Total leads Google Display</v>
      </c>
      <c r="C22" s="48">
        <v>1</v>
      </c>
      <c r="D22" s="48">
        <v>19</v>
      </c>
      <c r="E22" s="48">
        <v>2</v>
      </c>
      <c r="F22" s="48">
        <v>5</v>
      </c>
      <c r="G22" s="48">
        <v>5</v>
      </c>
      <c r="H22" s="48">
        <v>6</v>
      </c>
      <c r="I22" s="48">
        <v>5</v>
      </c>
      <c r="J22" s="48">
        <v>11</v>
      </c>
      <c r="K22" s="48">
        <v>18</v>
      </c>
      <c r="L22" s="48">
        <v>16</v>
      </c>
      <c r="M22" s="48">
        <v>19</v>
      </c>
      <c r="N22" s="48">
        <v>11</v>
      </c>
      <c r="O22" s="49">
        <f>INT(O20*O21)</f>
        <v>12</v>
      </c>
      <c r="P22" s="49">
        <f t="shared" ref="P22:Z22" si="17">INT(P20*P21)</f>
        <v>12</v>
      </c>
      <c r="Q22" s="49">
        <f t="shared" si="17"/>
        <v>13</v>
      </c>
      <c r="R22" s="49">
        <f t="shared" si="17"/>
        <v>13</v>
      </c>
      <c r="S22" s="49">
        <f t="shared" si="17"/>
        <v>14</v>
      </c>
      <c r="T22" s="49">
        <f t="shared" si="17"/>
        <v>14</v>
      </c>
      <c r="U22" s="49">
        <f t="shared" si="17"/>
        <v>15</v>
      </c>
      <c r="V22" s="49">
        <f t="shared" si="17"/>
        <v>16</v>
      </c>
      <c r="W22" s="49">
        <f t="shared" si="17"/>
        <v>16</v>
      </c>
      <c r="X22" s="49">
        <f t="shared" si="17"/>
        <v>17</v>
      </c>
      <c r="Y22" s="49">
        <f t="shared" si="17"/>
        <v>18</v>
      </c>
      <c r="Z22" s="49">
        <f t="shared" si="17"/>
        <v>19</v>
      </c>
    </row>
    <row r="24" spans="2:26">
      <c r="B24" s="38" t="s">
        <v>3</v>
      </c>
    </row>
    <row r="26" spans="2:26">
      <c r="B26" s="2" t="s">
        <v>116</v>
      </c>
      <c r="C26" s="42">
        <v>0</v>
      </c>
      <c r="D26" s="42">
        <v>41.929649999999995</v>
      </c>
      <c r="E26" s="42">
        <v>23.677920000000004</v>
      </c>
      <c r="F26" s="42">
        <v>59.899499999999996</v>
      </c>
      <c r="G26" s="42">
        <v>177.58440000000002</v>
      </c>
      <c r="H26" s="42">
        <v>47.567250000000008</v>
      </c>
      <c r="I26" s="42">
        <v>8.4564000000000021</v>
      </c>
      <c r="J26" s="42">
        <v>135.65475000000001</v>
      </c>
      <c r="K26" s="42">
        <v>81.040499999999994</v>
      </c>
      <c r="L26" s="42">
        <v>164.8998</v>
      </c>
      <c r="M26" s="42">
        <v>263.08800000000002</v>
      </c>
      <c r="N26" s="42">
        <v>172.65150000000003</v>
      </c>
      <c r="O26" s="43">
        <f>N26*ASSUMPTIONS!$C$41</f>
        <v>184.73710500000004</v>
      </c>
      <c r="P26" s="44">
        <f>O26*ASSUMPTIONS!$C$41</f>
        <v>197.66870235000005</v>
      </c>
      <c r="Q26" s="44">
        <f>P26*ASSUMPTIONS!$C$41</f>
        <v>211.50551151450006</v>
      </c>
      <c r="R26" s="44">
        <f>Q26*ASSUMPTIONS!$C$41</f>
        <v>226.31089732051507</v>
      </c>
      <c r="S26" s="44">
        <f>R26*ASSUMPTIONS!$C$41</f>
        <v>242.15266013295113</v>
      </c>
      <c r="T26" s="44">
        <f>S26*ASSUMPTIONS!$C$41</f>
        <v>259.10334634225774</v>
      </c>
      <c r="U26" s="44">
        <f>T26*ASSUMPTIONS!$C$41</f>
        <v>277.2405805862158</v>
      </c>
      <c r="V26" s="44">
        <f>U26*ASSUMPTIONS!$C$41</f>
        <v>296.6474212272509</v>
      </c>
      <c r="W26" s="44">
        <f>V26*ASSUMPTIONS!$C$41</f>
        <v>317.41274071315848</v>
      </c>
      <c r="X26" s="44">
        <f>W26*ASSUMPTIONS!$C$41</f>
        <v>339.63163256307962</v>
      </c>
      <c r="Y26" s="44">
        <f>X26*ASSUMPTIONS!$C$41</f>
        <v>363.40584684249524</v>
      </c>
      <c r="Z26" s="44">
        <f>Y26*ASSUMPTIONS!$C$41</f>
        <v>388.84425612146993</v>
      </c>
    </row>
    <row r="27" spans="2:26">
      <c r="B27" s="2" t="s">
        <v>9</v>
      </c>
      <c r="C27" s="42">
        <v>0</v>
      </c>
      <c r="D27" s="42">
        <v>2.9949749999999997</v>
      </c>
      <c r="E27" s="42">
        <v>2.9597400000000005</v>
      </c>
      <c r="F27" s="42">
        <v>3.5234999999999999</v>
      </c>
      <c r="G27" s="42">
        <v>3.2886000000000002</v>
      </c>
      <c r="H27" s="42">
        <v>3.1711500000000004</v>
      </c>
      <c r="I27" s="42">
        <v>2.8188000000000004</v>
      </c>
      <c r="J27" s="42">
        <v>3.8758500000000002</v>
      </c>
      <c r="K27" s="42">
        <v>3.5234999999999999</v>
      </c>
      <c r="L27" s="42">
        <v>4.1224949999999998</v>
      </c>
      <c r="M27" s="42">
        <v>4.1107500000000003</v>
      </c>
      <c r="N27" s="42">
        <v>4.1107500000000003</v>
      </c>
      <c r="O27" s="43">
        <f>(ASSUMPTIONS!$C$37*O26)+ASSUMPTIONS!$C$38</f>
        <v>3.9001592355000003</v>
      </c>
      <c r="P27" s="44">
        <f>(ASSUMPTIONS!$C$37*P26)+ASSUMPTIONS!$C$38</f>
        <v>3.9661103819850005</v>
      </c>
      <c r="Q27" s="44">
        <f>(ASSUMPTIONS!$C$37*Q26)+ASSUMPTIONS!$C$38</f>
        <v>4.0366781087239509</v>
      </c>
      <c r="R27" s="44">
        <f>(ASSUMPTIONS!$C$37*R26)+ASSUMPTIONS!$C$38</f>
        <v>4.1121855763346273</v>
      </c>
      <c r="S27" s="44">
        <f>(ASSUMPTIONS!$C$37*S26)+ASSUMPTIONS!$C$38</f>
        <v>4.1929785666780512</v>
      </c>
      <c r="T27" s="44">
        <f>(ASSUMPTIONS!$C$37*T26)+ASSUMPTIONS!$C$38</f>
        <v>4.279427066345515</v>
      </c>
      <c r="U27" s="44">
        <f>(ASSUMPTIONS!$C$37*U26)+ASSUMPTIONS!$C$38</f>
        <v>4.3719269609897005</v>
      </c>
      <c r="V27" s="44">
        <f>(ASSUMPTIONS!$C$37*V26)+ASSUMPTIONS!$C$38</f>
        <v>4.47090184825898</v>
      </c>
      <c r="W27" s="44">
        <f>(ASSUMPTIONS!$C$37*W26)+ASSUMPTIONS!$C$38</f>
        <v>4.5768049776371083</v>
      </c>
      <c r="X27" s="44">
        <f>(ASSUMPTIONS!$C$37*X26)+ASSUMPTIONS!$C$38</f>
        <v>4.6901213260717061</v>
      </c>
      <c r="Y27" s="44">
        <f>(ASSUMPTIONS!$C$37*Y26)+ASSUMPTIONS!$C$38</f>
        <v>4.8113698188967255</v>
      </c>
      <c r="Z27" s="44">
        <f>(ASSUMPTIONS!$C$37*Z26)+ASSUMPTIONS!$C$38</f>
        <v>4.9411057062194974</v>
      </c>
    </row>
    <row r="28" spans="2:26">
      <c r="B28" s="2" t="s">
        <v>1</v>
      </c>
      <c r="C28" s="45">
        <v>0</v>
      </c>
      <c r="D28" s="45">
        <v>14</v>
      </c>
      <c r="E28" s="45">
        <v>8</v>
      </c>
      <c r="F28" s="45">
        <v>17</v>
      </c>
      <c r="G28" s="45">
        <v>54</v>
      </c>
      <c r="H28" s="45">
        <v>15</v>
      </c>
      <c r="I28" s="45">
        <v>3</v>
      </c>
      <c r="J28" s="45">
        <v>35</v>
      </c>
      <c r="K28" s="45">
        <v>23</v>
      </c>
      <c r="L28" s="45">
        <v>40</v>
      </c>
      <c r="M28" s="45">
        <v>64</v>
      </c>
      <c r="N28" s="45">
        <v>42</v>
      </c>
      <c r="O28" s="46">
        <f>INT(O26/O27)</f>
        <v>47</v>
      </c>
      <c r="P28" s="46">
        <f t="shared" ref="P28:Z28" si="18">INT(P26/P27)</f>
        <v>49</v>
      </c>
      <c r="Q28" s="46">
        <f t="shared" si="18"/>
        <v>52</v>
      </c>
      <c r="R28" s="46">
        <f t="shared" si="18"/>
        <v>55</v>
      </c>
      <c r="S28" s="46">
        <f t="shared" si="18"/>
        <v>57</v>
      </c>
      <c r="T28" s="46">
        <f t="shared" si="18"/>
        <v>60</v>
      </c>
      <c r="U28" s="46">
        <f t="shared" si="18"/>
        <v>63</v>
      </c>
      <c r="V28" s="46">
        <f t="shared" si="18"/>
        <v>66</v>
      </c>
      <c r="W28" s="46">
        <f t="shared" si="18"/>
        <v>69</v>
      </c>
      <c r="X28" s="46">
        <f t="shared" si="18"/>
        <v>72</v>
      </c>
      <c r="Y28" s="46">
        <f t="shared" si="18"/>
        <v>75</v>
      </c>
      <c r="Z28" s="46">
        <f t="shared" si="18"/>
        <v>78</v>
      </c>
    </row>
    <row r="29" spans="2:26">
      <c r="B29" s="2" t="s">
        <v>114</v>
      </c>
      <c r="C29" s="47">
        <v>0.2</v>
      </c>
      <c r="D29" s="47">
        <v>0.21</v>
      </c>
      <c r="E29" s="47">
        <v>0.24</v>
      </c>
      <c r="F29" s="47">
        <v>0.23</v>
      </c>
      <c r="G29" s="47">
        <v>0.22</v>
      </c>
      <c r="H29" s="47">
        <v>0.2</v>
      </c>
      <c r="I29" s="47">
        <v>0.23</v>
      </c>
      <c r="J29" s="47">
        <v>0.21</v>
      </c>
      <c r="K29" s="47">
        <v>0.22</v>
      </c>
      <c r="L29" s="47">
        <v>0.21</v>
      </c>
      <c r="M29" s="47">
        <v>0.2</v>
      </c>
      <c r="N29" s="47">
        <v>0.22</v>
      </c>
      <c r="O29" s="4">
        <f>N29</f>
        <v>0.22</v>
      </c>
      <c r="P29" s="4">
        <f t="shared" ref="P29:Z29" si="19">O29</f>
        <v>0.22</v>
      </c>
      <c r="Q29" s="4">
        <f t="shared" si="19"/>
        <v>0.22</v>
      </c>
      <c r="R29" s="4">
        <f t="shared" si="19"/>
        <v>0.22</v>
      </c>
      <c r="S29" s="4">
        <f t="shared" si="19"/>
        <v>0.22</v>
      </c>
      <c r="T29" s="4">
        <f t="shared" si="19"/>
        <v>0.22</v>
      </c>
      <c r="U29" s="4">
        <f t="shared" si="19"/>
        <v>0.22</v>
      </c>
      <c r="V29" s="4">
        <f t="shared" si="19"/>
        <v>0.22</v>
      </c>
      <c r="W29" s="4">
        <f t="shared" si="19"/>
        <v>0.22</v>
      </c>
      <c r="X29" s="4">
        <f t="shared" si="19"/>
        <v>0.22</v>
      </c>
      <c r="Y29" s="4">
        <f t="shared" si="19"/>
        <v>0.22</v>
      </c>
      <c r="Z29" s="4">
        <f t="shared" si="19"/>
        <v>0.22</v>
      </c>
    </row>
    <row r="30" spans="2:26">
      <c r="B30" s="75" t="str">
        <f>SUBSTITUTE(_xlfn.CONCAT("Total leads",B24),"3.","")</f>
        <v>Total leads Facebook</v>
      </c>
      <c r="C30" s="48">
        <v>0</v>
      </c>
      <c r="D30" s="48">
        <v>3</v>
      </c>
      <c r="E30" s="48">
        <v>2</v>
      </c>
      <c r="F30" s="48">
        <v>4</v>
      </c>
      <c r="G30" s="48">
        <v>11</v>
      </c>
      <c r="H30" s="48">
        <v>3</v>
      </c>
      <c r="I30" s="48">
        <v>1</v>
      </c>
      <c r="J30" s="48">
        <v>7</v>
      </c>
      <c r="K30" s="48">
        <v>5</v>
      </c>
      <c r="L30" s="48">
        <v>8</v>
      </c>
      <c r="M30" s="48">
        <v>12</v>
      </c>
      <c r="N30" s="48">
        <v>9</v>
      </c>
      <c r="O30" s="49">
        <f>INT(O28*O29)</f>
        <v>10</v>
      </c>
      <c r="P30" s="49">
        <f t="shared" ref="P30:Z30" si="20">INT(P28*P29)</f>
        <v>10</v>
      </c>
      <c r="Q30" s="49">
        <f t="shared" si="20"/>
        <v>11</v>
      </c>
      <c r="R30" s="49">
        <f t="shared" si="20"/>
        <v>12</v>
      </c>
      <c r="S30" s="49">
        <f t="shared" si="20"/>
        <v>12</v>
      </c>
      <c r="T30" s="49">
        <f t="shared" si="20"/>
        <v>13</v>
      </c>
      <c r="U30" s="49">
        <f t="shared" si="20"/>
        <v>13</v>
      </c>
      <c r="V30" s="49">
        <f t="shared" si="20"/>
        <v>14</v>
      </c>
      <c r="W30" s="49">
        <f t="shared" si="20"/>
        <v>15</v>
      </c>
      <c r="X30" s="49">
        <f t="shared" si="20"/>
        <v>15</v>
      </c>
      <c r="Y30" s="49">
        <f t="shared" si="20"/>
        <v>16</v>
      </c>
      <c r="Z30" s="49">
        <f t="shared" si="20"/>
        <v>17</v>
      </c>
    </row>
    <row r="32" spans="2:26">
      <c r="B32" s="75" t="s">
        <v>117</v>
      </c>
      <c r="C32" s="50">
        <f>SUM(C26,C18,C10)</f>
        <v>10</v>
      </c>
      <c r="D32" s="50">
        <f t="shared" ref="D32:N32" si="21">SUM(D26,D18,D10)</f>
        <v>923.43914999999993</v>
      </c>
      <c r="E32" s="50">
        <f t="shared" si="21"/>
        <v>822.13992000000007</v>
      </c>
      <c r="F32" s="50">
        <f t="shared" si="21"/>
        <v>908.89949999999999</v>
      </c>
      <c r="G32" s="50">
        <f t="shared" si="21"/>
        <v>1435.6243999999999</v>
      </c>
      <c r="H32" s="50">
        <f t="shared" si="21"/>
        <v>1019.18925</v>
      </c>
      <c r="I32" s="50">
        <f t="shared" si="21"/>
        <v>401.60039999999998</v>
      </c>
      <c r="J32" s="50">
        <f t="shared" si="21"/>
        <v>2829.2797500000001</v>
      </c>
      <c r="K32" s="50">
        <f t="shared" si="21"/>
        <v>3059.0504999999998</v>
      </c>
      <c r="L32" s="50">
        <f t="shared" si="21"/>
        <v>4568.6510999999991</v>
      </c>
      <c r="M32" s="50">
        <f t="shared" si="21"/>
        <v>5099.2829999999994</v>
      </c>
      <c r="N32" s="50">
        <f t="shared" si="21"/>
        <v>4344.5115000000005</v>
      </c>
      <c r="O32" s="50">
        <f t="shared" ref="O32:Z32" si="22">SUM(O26,O18,O10)</f>
        <v>4565.1901050000006</v>
      </c>
      <c r="P32" s="50">
        <f t="shared" si="22"/>
        <v>4797.1443523500011</v>
      </c>
      <c r="Q32" s="50">
        <f t="shared" si="22"/>
        <v>5040.9549440145011</v>
      </c>
      <c r="R32" s="50">
        <f t="shared" si="22"/>
        <v>5297.2328014455161</v>
      </c>
      <c r="S32" s="50">
        <f t="shared" si="22"/>
        <v>5566.6206594642017</v>
      </c>
      <c r="T32" s="50">
        <f t="shared" si="22"/>
        <v>5849.7947456400707</v>
      </c>
      <c r="U32" s="50">
        <f t="shared" si="22"/>
        <v>6147.4665498489203</v>
      </c>
      <c r="V32" s="50">
        <f t="shared" si="22"/>
        <v>6460.3846889530905</v>
      </c>
      <c r="W32" s="50">
        <f t="shared" si="22"/>
        <v>6789.3368718252914</v>
      </c>
      <c r="X32" s="50">
        <f t="shared" si="22"/>
        <v>7135.1519702308187</v>
      </c>
      <c r="Y32" s="50">
        <f t="shared" si="22"/>
        <v>7498.7022013936212</v>
      </c>
      <c r="Z32" s="50">
        <f t="shared" si="22"/>
        <v>7880.9054284001522</v>
      </c>
    </row>
    <row r="33" spans="2:26">
      <c r="B33" s="75" t="s">
        <v>118</v>
      </c>
      <c r="C33" s="40">
        <f>SUM(C14,C22,C30)</f>
        <v>1</v>
      </c>
      <c r="D33" s="40">
        <f t="shared" ref="D33:N33" si="23">SUM(D14,D22,D30)</f>
        <v>78</v>
      </c>
      <c r="E33" s="40">
        <f t="shared" si="23"/>
        <v>83</v>
      </c>
      <c r="F33" s="40">
        <f t="shared" si="23"/>
        <v>73</v>
      </c>
      <c r="G33" s="40">
        <f t="shared" si="23"/>
        <v>116</v>
      </c>
      <c r="H33" s="40">
        <f t="shared" si="23"/>
        <v>79</v>
      </c>
      <c r="I33" s="40">
        <f t="shared" si="23"/>
        <v>41</v>
      </c>
      <c r="J33" s="40">
        <f t="shared" si="23"/>
        <v>188</v>
      </c>
      <c r="K33" s="40">
        <f t="shared" si="23"/>
        <v>235</v>
      </c>
      <c r="L33" s="40">
        <f t="shared" si="23"/>
        <v>286</v>
      </c>
      <c r="M33" s="40">
        <f t="shared" si="23"/>
        <v>303</v>
      </c>
      <c r="N33" s="40">
        <f t="shared" si="23"/>
        <v>286</v>
      </c>
      <c r="O33" s="40">
        <f t="shared" ref="O33:Z33" si="24">SUM(O14,O22,O30)</f>
        <v>320</v>
      </c>
      <c r="P33" s="40">
        <f t="shared" si="24"/>
        <v>332</v>
      </c>
      <c r="Q33" s="40">
        <f t="shared" si="24"/>
        <v>347</v>
      </c>
      <c r="R33" s="40">
        <f t="shared" si="24"/>
        <v>360</v>
      </c>
      <c r="S33" s="40">
        <f t="shared" si="24"/>
        <v>375</v>
      </c>
      <c r="T33" s="40">
        <f t="shared" si="24"/>
        <v>390</v>
      </c>
      <c r="U33" s="40">
        <f t="shared" si="24"/>
        <v>405</v>
      </c>
      <c r="V33" s="40">
        <f t="shared" si="24"/>
        <v>422</v>
      </c>
      <c r="W33" s="40">
        <f t="shared" si="24"/>
        <v>439</v>
      </c>
      <c r="X33" s="40">
        <f t="shared" si="24"/>
        <v>456</v>
      </c>
      <c r="Y33" s="40">
        <f t="shared" si="24"/>
        <v>475</v>
      </c>
      <c r="Z33" s="40">
        <f t="shared" si="24"/>
        <v>494</v>
      </c>
    </row>
  </sheetData>
  <phoneticPr fontId="1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E9CD-DBB8-2249-89EB-B77C7861CD6B}">
  <dimension ref="B2:V48"/>
  <sheetViews>
    <sheetView topLeftCell="G10" workbookViewId="0">
      <selection activeCell="W29" sqref="W29"/>
    </sheetView>
  </sheetViews>
  <sheetFormatPr baseColWidth="10" defaultRowHeight="16"/>
  <cols>
    <col min="2" max="3" width="15.1640625" customWidth="1"/>
    <col min="4" max="10" width="18.33203125" customWidth="1"/>
    <col min="11" max="11" width="17" customWidth="1"/>
    <col min="12" max="12" width="15.1640625" customWidth="1"/>
    <col min="13" max="13" width="14.83203125" bestFit="1" customWidth="1"/>
    <col min="15" max="15" width="3.1640625" customWidth="1"/>
    <col min="16" max="16" width="34.33203125" bestFit="1" customWidth="1"/>
    <col min="17" max="17" width="16.83203125" bestFit="1" customWidth="1"/>
    <col min="18" max="18" width="10.6640625" bestFit="1" customWidth="1"/>
    <col min="19" max="19" width="14.5" bestFit="1" customWidth="1"/>
  </cols>
  <sheetData>
    <row r="2" spans="2:11">
      <c r="B2" t="s">
        <v>5</v>
      </c>
    </row>
    <row r="3" spans="2:11">
      <c r="B3" s="2" t="s">
        <v>6</v>
      </c>
      <c r="C3" s="2" t="s">
        <v>7</v>
      </c>
      <c r="D3" s="2" t="s">
        <v>8</v>
      </c>
      <c r="E3" s="2" t="s">
        <v>9</v>
      </c>
      <c r="F3" s="2" t="s">
        <v>10</v>
      </c>
      <c r="G3" s="2" t="s">
        <v>11</v>
      </c>
      <c r="H3" s="2" t="s">
        <v>12</v>
      </c>
      <c r="I3" s="2" t="s">
        <v>13</v>
      </c>
      <c r="J3" s="2" t="s">
        <v>14</v>
      </c>
      <c r="K3" s="2" t="s">
        <v>15</v>
      </c>
    </row>
    <row r="4" spans="2:11">
      <c r="B4" s="2" t="s">
        <v>16</v>
      </c>
      <c r="C4" s="2" t="s">
        <v>17</v>
      </c>
      <c r="D4" s="3">
        <f t="shared" ref="D4:D15" si="0">E4*F4</f>
        <v>0</v>
      </c>
      <c r="E4" s="3">
        <v>0</v>
      </c>
      <c r="F4" s="2">
        <f t="shared" ref="F4:F15" si="1">INT(G4/0.85)</f>
        <v>0</v>
      </c>
      <c r="G4" s="2">
        <f>INT(0.92*H4)</f>
        <v>0</v>
      </c>
      <c r="H4" s="2">
        <f>INT(K4/I4)</f>
        <v>0</v>
      </c>
      <c r="I4" s="4">
        <v>0.2</v>
      </c>
      <c r="J4" s="5">
        <f>INT(K4*1.05)</f>
        <v>0</v>
      </c>
      <c r="K4" s="2">
        <v>0</v>
      </c>
    </row>
    <row r="5" spans="2:11">
      <c r="B5" s="2" t="s">
        <v>18</v>
      </c>
      <c r="C5" s="2" t="s">
        <v>17</v>
      </c>
      <c r="D5" s="3">
        <f t="shared" si="0"/>
        <v>636.70949999999993</v>
      </c>
      <c r="E5" s="3">
        <f>E22*0.87</f>
        <v>2.2184999999999997</v>
      </c>
      <c r="F5" s="2">
        <f t="shared" si="1"/>
        <v>287</v>
      </c>
      <c r="G5" s="2">
        <f t="shared" ref="G5:G15" si="2">INT(0.92*H5)</f>
        <v>244</v>
      </c>
      <c r="H5" s="2">
        <f t="shared" ref="H5:H15" si="3">INT(K5/I5)</f>
        <v>266</v>
      </c>
      <c r="I5" s="4">
        <v>0.21</v>
      </c>
      <c r="J5" s="5">
        <f t="shared" ref="J5:J15" si="4">INT(K5*1.05)</f>
        <v>58</v>
      </c>
      <c r="K5" s="6">
        <v>56</v>
      </c>
    </row>
    <row r="6" spans="2:11">
      <c r="B6" s="2" t="s">
        <v>19</v>
      </c>
      <c r="C6" s="2" t="s">
        <v>17</v>
      </c>
      <c r="D6" s="3">
        <f t="shared" si="0"/>
        <v>778.30200000000002</v>
      </c>
      <c r="E6" s="3">
        <f t="shared" ref="E6:E15" si="5">E23*0.87</f>
        <v>2.1924000000000001</v>
      </c>
      <c r="F6" s="2">
        <f t="shared" si="1"/>
        <v>355</v>
      </c>
      <c r="G6" s="2">
        <f t="shared" si="2"/>
        <v>302</v>
      </c>
      <c r="H6" s="2">
        <f t="shared" si="3"/>
        <v>329</v>
      </c>
      <c r="I6" s="4">
        <v>0.24</v>
      </c>
      <c r="J6" s="5">
        <f t="shared" si="4"/>
        <v>82</v>
      </c>
      <c r="K6" s="6">
        <v>79</v>
      </c>
    </row>
    <row r="7" spans="2:11">
      <c r="B7" s="2" t="s">
        <v>20</v>
      </c>
      <c r="C7" s="2" t="s">
        <v>17</v>
      </c>
      <c r="D7" s="3">
        <f t="shared" si="0"/>
        <v>783</v>
      </c>
      <c r="E7" s="3">
        <f t="shared" si="5"/>
        <v>2.61</v>
      </c>
      <c r="F7" s="2">
        <f t="shared" si="1"/>
        <v>300</v>
      </c>
      <c r="G7" s="2">
        <f t="shared" si="2"/>
        <v>255</v>
      </c>
      <c r="H7" s="2">
        <f t="shared" si="3"/>
        <v>278</v>
      </c>
      <c r="I7" s="4">
        <v>0.23</v>
      </c>
      <c r="J7" s="5">
        <f t="shared" si="4"/>
        <v>67</v>
      </c>
      <c r="K7" s="6">
        <v>64</v>
      </c>
    </row>
    <row r="8" spans="2:11">
      <c r="B8" s="2" t="s">
        <v>21</v>
      </c>
      <c r="C8" s="2" t="s">
        <v>17</v>
      </c>
      <c r="D8" s="3">
        <f t="shared" si="0"/>
        <v>1193.6399999999999</v>
      </c>
      <c r="E8" s="3">
        <f t="shared" si="5"/>
        <v>2.4359999999999999</v>
      </c>
      <c r="F8" s="2">
        <f t="shared" si="1"/>
        <v>490</v>
      </c>
      <c r="G8" s="2">
        <f t="shared" si="2"/>
        <v>417</v>
      </c>
      <c r="H8" s="2">
        <f t="shared" si="3"/>
        <v>454</v>
      </c>
      <c r="I8" s="4">
        <v>0.22</v>
      </c>
      <c r="J8" s="5">
        <f t="shared" si="4"/>
        <v>105</v>
      </c>
      <c r="K8" s="6">
        <v>100</v>
      </c>
    </row>
    <row r="9" spans="2:11">
      <c r="B9" s="2" t="s">
        <v>22</v>
      </c>
      <c r="C9" s="2" t="s">
        <v>17</v>
      </c>
      <c r="D9" s="3">
        <f t="shared" si="0"/>
        <v>887.92200000000003</v>
      </c>
      <c r="E9" s="3">
        <f t="shared" si="5"/>
        <v>2.3490000000000002</v>
      </c>
      <c r="F9" s="2">
        <f t="shared" si="1"/>
        <v>378</v>
      </c>
      <c r="G9" s="2">
        <f t="shared" si="2"/>
        <v>322</v>
      </c>
      <c r="H9" s="2">
        <f t="shared" si="3"/>
        <v>350</v>
      </c>
      <c r="I9" s="4">
        <v>0.2</v>
      </c>
      <c r="J9" s="5">
        <f t="shared" si="4"/>
        <v>73</v>
      </c>
      <c r="K9" s="6">
        <v>70</v>
      </c>
    </row>
    <row r="10" spans="2:11">
      <c r="B10" s="2" t="s">
        <v>23</v>
      </c>
      <c r="C10" s="2" t="s">
        <v>17</v>
      </c>
      <c r="D10" s="3">
        <f t="shared" si="0"/>
        <v>340.34399999999999</v>
      </c>
      <c r="E10" s="3">
        <f t="shared" si="5"/>
        <v>2.0880000000000001</v>
      </c>
      <c r="F10" s="2">
        <f t="shared" si="1"/>
        <v>163</v>
      </c>
      <c r="G10" s="2">
        <f t="shared" si="2"/>
        <v>139</v>
      </c>
      <c r="H10" s="2">
        <f t="shared" si="3"/>
        <v>152</v>
      </c>
      <c r="I10" s="4">
        <v>0.23</v>
      </c>
      <c r="J10" s="5">
        <f t="shared" si="4"/>
        <v>36</v>
      </c>
      <c r="K10" s="6">
        <v>35</v>
      </c>
    </row>
    <row r="11" spans="2:11">
      <c r="B11" s="2" t="s">
        <v>24</v>
      </c>
      <c r="C11" s="2" t="s">
        <v>17</v>
      </c>
      <c r="D11" s="3">
        <f t="shared" si="0"/>
        <v>2512.125</v>
      </c>
      <c r="E11" s="3">
        <f t="shared" si="5"/>
        <v>2.871</v>
      </c>
      <c r="F11" s="2">
        <f t="shared" si="1"/>
        <v>875</v>
      </c>
      <c r="G11" s="2">
        <f t="shared" si="2"/>
        <v>744</v>
      </c>
      <c r="H11" s="2">
        <f t="shared" si="3"/>
        <v>809</v>
      </c>
      <c r="I11" s="4">
        <v>0.21</v>
      </c>
      <c r="J11" s="5">
        <f t="shared" si="4"/>
        <v>178</v>
      </c>
      <c r="K11" s="6">
        <v>170</v>
      </c>
    </row>
    <row r="12" spans="2:11">
      <c r="B12" s="2" t="s">
        <v>25</v>
      </c>
      <c r="C12" s="2" t="s">
        <v>17</v>
      </c>
      <c r="D12" s="3">
        <f t="shared" si="0"/>
        <v>2717.0099999999998</v>
      </c>
      <c r="E12" s="3">
        <f t="shared" si="5"/>
        <v>2.61</v>
      </c>
      <c r="F12" s="2">
        <f t="shared" si="1"/>
        <v>1041</v>
      </c>
      <c r="G12" s="2">
        <f t="shared" si="2"/>
        <v>885</v>
      </c>
      <c r="H12" s="2">
        <f t="shared" si="3"/>
        <v>963</v>
      </c>
      <c r="I12" s="4">
        <v>0.22</v>
      </c>
      <c r="J12" s="5">
        <f t="shared" si="4"/>
        <v>222</v>
      </c>
      <c r="K12" s="6">
        <v>212</v>
      </c>
    </row>
    <row r="13" spans="2:11">
      <c r="B13" s="2" t="s">
        <v>26</v>
      </c>
      <c r="C13" s="2" t="s">
        <v>17</v>
      </c>
      <c r="D13" s="3">
        <f t="shared" si="0"/>
        <v>4119.4412999999995</v>
      </c>
      <c r="E13" s="3">
        <f t="shared" si="5"/>
        <v>3.0536999999999996</v>
      </c>
      <c r="F13" s="2">
        <f t="shared" si="1"/>
        <v>1349</v>
      </c>
      <c r="G13" s="2">
        <f t="shared" si="2"/>
        <v>1147</v>
      </c>
      <c r="H13" s="2">
        <f t="shared" si="3"/>
        <v>1247</v>
      </c>
      <c r="I13" s="4">
        <v>0.21</v>
      </c>
      <c r="J13" s="5">
        <f t="shared" si="4"/>
        <v>275</v>
      </c>
      <c r="K13" s="6">
        <v>262</v>
      </c>
    </row>
    <row r="14" spans="2:11">
      <c r="B14" s="2" t="s">
        <v>27</v>
      </c>
      <c r="C14" s="2" t="s">
        <v>17</v>
      </c>
      <c r="D14" s="3">
        <f t="shared" si="0"/>
        <v>4479.1949999999997</v>
      </c>
      <c r="E14" s="3">
        <f t="shared" si="5"/>
        <v>3.0449999999999999</v>
      </c>
      <c r="F14" s="2">
        <f t="shared" si="1"/>
        <v>1471</v>
      </c>
      <c r="G14" s="2">
        <f t="shared" si="2"/>
        <v>1251</v>
      </c>
      <c r="H14" s="2">
        <f t="shared" si="3"/>
        <v>1360</v>
      </c>
      <c r="I14" s="4">
        <v>0.2</v>
      </c>
      <c r="J14" s="5">
        <f t="shared" si="4"/>
        <v>285</v>
      </c>
      <c r="K14" s="6">
        <v>272</v>
      </c>
    </row>
    <row r="15" spans="2:11">
      <c r="B15" s="2" t="s">
        <v>28</v>
      </c>
      <c r="C15" s="2" t="s">
        <v>17</v>
      </c>
      <c r="D15" s="3">
        <f t="shared" si="0"/>
        <v>3982.86</v>
      </c>
      <c r="E15" s="3">
        <f t="shared" si="5"/>
        <v>3.0449999999999999</v>
      </c>
      <c r="F15" s="2">
        <f t="shared" si="1"/>
        <v>1308</v>
      </c>
      <c r="G15" s="2">
        <f t="shared" si="2"/>
        <v>1112</v>
      </c>
      <c r="H15" s="2">
        <f t="shared" si="3"/>
        <v>1209</v>
      </c>
      <c r="I15" s="4">
        <v>0.22</v>
      </c>
      <c r="J15" s="5">
        <f t="shared" si="4"/>
        <v>279</v>
      </c>
      <c r="K15" s="6">
        <v>266</v>
      </c>
    </row>
    <row r="19" spans="2:22">
      <c r="B19" t="s">
        <v>29</v>
      </c>
    </row>
    <row r="20" spans="2:22">
      <c r="B20" s="2" t="s">
        <v>6</v>
      </c>
      <c r="C20" s="2" t="s">
        <v>7</v>
      </c>
      <c r="D20" s="2" t="s">
        <v>8</v>
      </c>
      <c r="E20" s="2" t="s">
        <v>9</v>
      </c>
      <c r="F20" s="2" t="s">
        <v>10</v>
      </c>
      <c r="G20" s="2" t="s">
        <v>11</v>
      </c>
      <c r="H20" s="2" t="s">
        <v>12</v>
      </c>
      <c r="I20" s="2" t="s">
        <v>13</v>
      </c>
      <c r="J20" s="2" t="s">
        <v>14</v>
      </c>
      <c r="K20" s="2" t="s">
        <v>15</v>
      </c>
      <c r="M20" s="35" t="s">
        <v>71</v>
      </c>
      <c r="N20" s="35"/>
      <c r="P20" t="s">
        <v>77</v>
      </c>
      <c r="Q20" t="s">
        <v>78</v>
      </c>
      <c r="V20" t="s">
        <v>79</v>
      </c>
    </row>
    <row r="21" spans="2:22">
      <c r="B21" s="7" t="s">
        <v>16</v>
      </c>
      <c r="C21" s="2" t="s">
        <v>30</v>
      </c>
      <c r="D21" s="3">
        <f t="shared" ref="D21:D32" si="6">E21*F21</f>
        <v>10</v>
      </c>
      <c r="E21" s="3">
        <v>2.5</v>
      </c>
      <c r="F21" s="2">
        <f t="shared" ref="F21:F32" si="7">INT(G21/0.85)</f>
        <v>4</v>
      </c>
      <c r="G21" s="2">
        <f>INT(0.92*H21)</f>
        <v>4</v>
      </c>
      <c r="H21" s="2">
        <f>INT(K21/I21)</f>
        <v>5</v>
      </c>
      <c r="I21" s="4">
        <v>0.2</v>
      </c>
      <c r="J21" s="5">
        <f>INT(K21*1.05)</f>
        <v>1</v>
      </c>
      <c r="K21" s="2">
        <v>1</v>
      </c>
      <c r="M21" t="s">
        <v>68</v>
      </c>
      <c r="N21" s="34">
        <f>AVERAGE(E21:E32)</f>
        <v>2.94</v>
      </c>
    </row>
    <row r="22" spans="2:22">
      <c r="B22" s="7" t="s">
        <v>18</v>
      </c>
      <c r="C22" s="2" t="s">
        <v>30</v>
      </c>
      <c r="D22" s="3">
        <f t="shared" si="6"/>
        <v>244.79999999999998</v>
      </c>
      <c r="E22" s="3">
        <v>2.5499999999999998</v>
      </c>
      <c r="F22" s="2">
        <f t="shared" si="7"/>
        <v>96</v>
      </c>
      <c r="G22" s="2">
        <f t="shared" ref="G22:G32" si="8">INT(0.92*H22)</f>
        <v>82</v>
      </c>
      <c r="H22" s="2">
        <f t="shared" ref="H22:H32" si="9">INT(K22/I22)</f>
        <v>90</v>
      </c>
      <c r="I22" s="4">
        <v>0.21</v>
      </c>
      <c r="J22" s="5">
        <f t="shared" ref="J22:J32" si="10">INT(K22*1.05)</f>
        <v>19</v>
      </c>
      <c r="K22" s="2">
        <v>19</v>
      </c>
      <c r="M22" t="s">
        <v>69</v>
      </c>
      <c r="N22">
        <f>_xlfn.STDEV.S(E21:E32)</f>
        <v>0.42424264069258366</v>
      </c>
      <c r="P22" t="s">
        <v>72</v>
      </c>
      <c r="Q22" t="s">
        <v>75</v>
      </c>
      <c r="R22" t="s">
        <v>73</v>
      </c>
      <c r="S22" t="s">
        <v>74</v>
      </c>
      <c r="V22" t="s">
        <v>80</v>
      </c>
    </row>
    <row r="23" spans="2:22">
      <c r="B23" s="7" t="s">
        <v>19</v>
      </c>
      <c r="C23" s="2" t="s">
        <v>30</v>
      </c>
      <c r="D23" s="3">
        <f t="shared" si="6"/>
        <v>20.16</v>
      </c>
      <c r="E23" s="3">
        <v>2.52</v>
      </c>
      <c r="F23" s="2">
        <f t="shared" si="7"/>
        <v>8</v>
      </c>
      <c r="G23" s="2">
        <f t="shared" si="8"/>
        <v>7</v>
      </c>
      <c r="H23" s="2">
        <f t="shared" si="9"/>
        <v>8</v>
      </c>
      <c r="I23" s="4">
        <v>0.24</v>
      </c>
      <c r="J23" s="5">
        <f t="shared" si="10"/>
        <v>2</v>
      </c>
      <c r="K23" s="2">
        <v>2</v>
      </c>
      <c r="P23" s="32">
        <v>0</v>
      </c>
      <c r="R23" s="34">
        <f>E32</f>
        <v>3.5</v>
      </c>
      <c r="S23" s="32">
        <v>0.2</v>
      </c>
      <c r="V23" t="s">
        <v>81</v>
      </c>
    </row>
    <row r="24" spans="2:22">
      <c r="B24" s="7" t="s">
        <v>20</v>
      </c>
      <c r="C24" s="2" t="s">
        <v>30</v>
      </c>
      <c r="D24" s="3">
        <f t="shared" si="6"/>
        <v>66</v>
      </c>
      <c r="E24" s="3">
        <v>3</v>
      </c>
      <c r="F24" s="2">
        <f t="shared" si="7"/>
        <v>22</v>
      </c>
      <c r="G24" s="2">
        <f t="shared" si="8"/>
        <v>19</v>
      </c>
      <c r="H24" s="2">
        <f t="shared" si="9"/>
        <v>21</v>
      </c>
      <c r="I24" s="4">
        <v>0.23</v>
      </c>
      <c r="J24" s="5">
        <f t="shared" si="10"/>
        <v>5</v>
      </c>
      <c r="K24" s="2">
        <v>5</v>
      </c>
      <c r="M24" t="s">
        <v>70</v>
      </c>
      <c r="N24">
        <f ca="1">_xlfn.NORM.INV(RAND(),N21,N22)</f>
        <v>2.894334214319072</v>
      </c>
      <c r="P24" s="32">
        <v>0.2</v>
      </c>
      <c r="Q24" s="32">
        <v>0.05</v>
      </c>
      <c r="R24" s="34">
        <f>R23*1.05</f>
        <v>3.6750000000000003</v>
      </c>
      <c r="S24" s="32">
        <v>0.4</v>
      </c>
      <c r="V24" t="s">
        <v>82</v>
      </c>
    </row>
    <row r="25" spans="2:22">
      <c r="B25" s="7" t="s">
        <v>21</v>
      </c>
      <c r="C25" s="2" t="s">
        <v>30</v>
      </c>
      <c r="D25" s="3">
        <f t="shared" si="6"/>
        <v>64.399999999999991</v>
      </c>
      <c r="E25" s="3">
        <v>2.8</v>
      </c>
      <c r="F25" s="2">
        <f t="shared" si="7"/>
        <v>23</v>
      </c>
      <c r="G25" s="2">
        <f t="shared" si="8"/>
        <v>20</v>
      </c>
      <c r="H25" s="2">
        <f t="shared" si="9"/>
        <v>22</v>
      </c>
      <c r="I25" s="4">
        <v>0.22</v>
      </c>
      <c r="J25" s="5">
        <f t="shared" si="10"/>
        <v>5</v>
      </c>
      <c r="K25" s="2">
        <v>5</v>
      </c>
      <c r="P25" s="32">
        <v>0.6</v>
      </c>
      <c r="Q25" s="32">
        <v>0.1</v>
      </c>
      <c r="R25" s="34">
        <f>R23*1.1</f>
        <v>3.8500000000000005</v>
      </c>
      <c r="S25" s="32">
        <v>0.3</v>
      </c>
    </row>
    <row r="26" spans="2:22">
      <c r="B26" s="7" t="s">
        <v>22</v>
      </c>
      <c r="C26" s="2" t="s">
        <v>30</v>
      </c>
      <c r="D26" s="3">
        <f t="shared" si="6"/>
        <v>83.7</v>
      </c>
      <c r="E26" s="3">
        <v>2.7</v>
      </c>
      <c r="F26" s="2">
        <f t="shared" si="7"/>
        <v>31</v>
      </c>
      <c r="G26" s="2">
        <f t="shared" si="8"/>
        <v>27</v>
      </c>
      <c r="H26" s="2">
        <f t="shared" si="9"/>
        <v>30</v>
      </c>
      <c r="I26" s="4">
        <v>0.2</v>
      </c>
      <c r="J26" s="5">
        <f t="shared" si="10"/>
        <v>6</v>
      </c>
      <c r="K26" s="2">
        <v>6</v>
      </c>
      <c r="P26" s="32">
        <v>0.9</v>
      </c>
      <c r="Q26" s="32">
        <v>0.15</v>
      </c>
      <c r="R26" s="34">
        <f>R23*1.15</f>
        <v>4.0249999999999995</v>
      </c>
      <c r="S26" s="32">
        <v>0.1</v>
      </c>
      <c r="V26" t="s">
        <v>83</v>
      </c>
    </row>
    <row r="27" spans="2:22">
      <c r="B27" s="7" t="s">
        <v>23</v>
      </c>
      <c r="C27" s="2" t="s">
        <v>30</v>
      </c>
      <c r="D27" s="3">
        <f t="shared" si="6"/>
        <v>52.8</v>
      </c>
      <c r="E27" s="3">
        <v>2.4</v>
      </c>
      <c r="F27" s="2">
        <f t="shared" si="7"/>
        <v>22</v>
      </c>
      <c r="G27" s="2">
        <f t="shared" si="8"/>
        <v>19</v>
      </c>
      <c r="H27" s="2">
        <f t="shared" si="9"/>
        <v>21</v>
      </c>
      <c r="I27" s="4">
        <v>0.23</v>
      </c>
      <c r="J27" s="5">
        <f t="shared" si="10"/>
        <v>5</v>
      </c>
      <c r="K27" s="2">
        <v>5</v>
      </c>
      <c r="P27" s="32">
        <v>1</v>
      </c>
    </row>
    <row r="28" spans="2:22">
      <c r="B28" s="7" t="s">
        <v>24</v>
      </c>
      <c r="C28" s="2" t="s">
        <v>30</v>
      </c>
      <c r="D28" s="3">
        <f t="shared" si="6"/>
        <v>181.5</v>
      </c>
      <c r="E28" s="3">
        <v>3.3</v>
      </c>
      <c r="F28" s="2">
        <f t="shared" si="7"/>
        <v>55</v>
      </c>
      <c r="G28" s="2">
        <f t="shared" si="8"/>
        <v>47</v>
      </c>
      <c r="H28" s="2">
        <f t="shared" si="9"/>
        <v>52</v>
      </c>
      <c r="I28" s="4">
        <v>0.21</v>
      </c>
      <c r="J28" s="5">
        <f t="shared" si="10"/>
        <v>11</v>
      </c>
      <c r="K28" s="2">
        <v>11</v>
      </c>
    </row>
    <row r="29" spans="2:22">
      <c r="B29" s="7" t="s">
        <v>25</v>
      </c>
      <c r="C29" s="2" t="s">
        <v>30</v>
      </c>
      <c r="D29" s="3">
        <f t="shared" si="6"/>
        <v>261</v>
      </c>
      <c r="E29" s="3">
        <v>3</v>
      </c>
      <c r="F29" s="2">
        <f t="shared" si="7"/>
        <v>87</v>
      </c>
      <c r="G29" s="2">
        <f t="shared" si="8"/>
        <v>74</v>
      </c>
      <c r="H29" s="2">
        <f t="shared" si="9"/>
        <v>81</v>
      </c>
      <c r="I29" s="4">
        <v>0.22</v>
      </c>
      <c r="J29" s="5">
        <f t="shared" si="10"/>
        <v>18</v>
      </c>
      <c r="K29" s="2">
        <v>18</v>
      </c>
      <c r="P29" t="s">
        <v>76</v>
      </c>
      <c r="Q29">
        <f ca="1">VLOOKUP(RAND(),P23:S27,3,TRUE)</f>
        <v>3.8500000000000005</v>
      </c>
    </row>
    <row r="30" spans="2:22">
      <c r="B30" s="7" t="s">
        <v>26</v>
      </c>
      <c r="C30" s="2" t="s">
        <v>30</v>
      </c>
      <c r="D30" s="3">
        <f t="shared" si="6"/>
        <v>284.31</v>
      </c>
      <c r="E30" s="3">
        <v>3.51</v>
      </c>
      <c r="F30" s="2">
        <f t="shared" si="7"/>
        <v>81</v>
      </c>
      <c r="G30" s="2">
        <f t="shared" si="8"/>
        <v>69</v>
      </c>
      <c r="H30" s="2">
        <f t="shared" si="9"/>
        <v>76</v>
      </c>
      <c r="I30" s="4">
        <v>0.21</v>
      </c>
      <c r="J30" s="5">
        <f t="shared" si="10"/>
        <v>16</v>
      </c>
      <c r="K30" s="2">
        <v>16</v>
      </c>
    </row>
    <row r="31" spans="2:22">
      <c r="B31" s="7" t="s">
        <v>27</v>
      </c>
      <c r="C31" s="2" t="s">
        <v>30</v>
      </c>
      <c r="D31" s="3">
        <f t="shared" si="6"/>
        <v>357</v>
      </c>
      <c r="E31" s="3">
        <v>3.5</v>
      </c>
      <c r="F31" s="2">
        <f t="shared" si="7"/>
        <v>102</v>
      </c>
      <c r="G31" s="2">
        <f t="shared" si="8"/>
        <v>87</v>
      </c>
      <c r="H31" s="2">
        <f t="shared" si="9"/>
        <v>95</v>
      </c>
      <c r="I31" s="4">
        <v>0.2</v>
      </c>
      <c r="J31" s="5">
        <f t="shared" si="10"/>
        <v>19</v>
      </c>
      <c r="K31" s="2">
        <v>19</v>
      </c>
    </row>
    <row r="32" spans="2:22">
      <c r="B32" s="7" t="s">
        <v>28</v>
      </c>
      <c r="C32" s="2" t="s">
        <v>30</v>
      </c>
      <c r="D32" s="3">
        <f t="shared" si="6"/>
        <v>189</v>
      </c>
      <c r="E32" s="3">
        <v>3.5</v>
      </c>
      <c r="F32" s="2">
        <f t="shared" si="7"/>
        <v>54</v>
      </c>
      <c r="G32" s="2">
        <f t="shared" si="8"/>
        <v>46</v>
      </c>
      <c r="H32" s="2">
        <f t="shared" si="9"/>
        <v>50</v>
      </c>
      <c r="I32" s="4">
        <v>0.22</v>
      </c>
      <c r="J32" s="5">
        <f t="shared" si="10"/>
        <v>11</v>
      </c>
      <c r="K32" s="2">
        <v>11</v>
      </c>
    </row>
    <row r="35" spans="2:11">
      <c r="B35" s="8" t="s">
        <v>31</v>
      </c>
    </row>
    <row r="36" spans="2:11">
      <c r="B36" s="2" t="s">
        <v>6</v>
      </c>
      <c r="C36" s="2" t="s">
        <v>7</v>
      </c>
      <c r="D36" s="2" t="s">
        <v>8</v>
      </c>
      <c r="E36" s="2" t="s">
        <v>9</v>
      </c>
      <c r="F36" s="2" t="s">
        <v>10</v>
      </c>
      <c r="G36" s="2" t="s">
        <v>11</v>
      </c>
      <c r="H36" s="2" t="s">
        <v>12</v>
      </c>
      <c r="I36" s="2" t="s">
        <v>13</v>
      </c>
      <c r="J36" s="2" t="s">
        <v>14</v>
      </c>
      <c r="K36" s="2" t="s">
        <v>15</v>
      </c>
    </row>
    <row r="37" spans="2:11">
      <c r="B37" s="7" t="s">
        <v>16</v>
      </c>
      <c r="C37" s="2" t="s">
        <v>32</v>
      </c>
      <c r="D37" s="3">
        <f t="shared" ref="D37:D48" si="11">E37*F37</f>
        <v>0</v>
      </c>
      <c r="E37" s="3">
        <f>E4*1.35</f>
        <v>0</v>
      </c>
      <c r="F37" s="2">
        <f t="shared" ref="F37:F48" si="12">INT(G37/0.85)</f>
        <v>0</v>
      </c>
      <c r="G37" s="2">
        <f>INT(0.92*H37)</f>
        <v>0</v>
      </c>
      <c r="H37" s="2">
        <f>INT(K37/I37)</f>
        <v>0</v>
      </c>
      <c r="I37" s="4">
        <v>0.2</v>
      </c>
      <c r="J37" s="5">
        <f>INT(K37*1.05)</f>
        <v>0</v>
      </c>
      <c r="K37" s="2">
        <v>0</v>
      </c>
    </row>
    <row r="38" spans="2:11">
      <c r="B38" s="7" t="s">
        <v>18</v>
      </c>
      <c r="C38" s="2" t="s">
        <v>32</v>
      </c>
      <c r="D38" s="3">
        <f t="shared" si="11"/>
        <v>41.929649999999995</v>
      </c>
      <c r="E38" s="3">
        <f t="shared" ref="E38:E48" si="13">E5*1.35</f>
        <v>2.9949749999999997</v>
      </c>
      <c r="F38" s="2">
        <f t="shared" si="12"/>
        <v>14</v>
      </c>
      <c r="G38" s="2">
        <f t="shared" ref="G38:G48" si="14">INT(0.92*H38)</f>
        <v>12</v>
      </c>
      <c r="H38" s="2">
        <f t="shared" ref="H38:H48" si="15">INT(K38/I38)</f>
        <v>14</v>
      </c>
      <c r="I38" s="4">
        <v>0.21</v>
      </c>
      <c r="J38" s="5">
        <f t="shared" ref="J38:J48" si="16">INT(K38*1.05)</f>
        <v>3</v>
      </c>
      <c r="K38" s="6">
        <v>3</v>
      </c>
    </row>
    <row r="39" spans="2:11">
      <c r="B39" s="7" t="s">
        <v>19</v>
      </c>
      <c r="C39" s="2" t="s">
        <v>32</v>
      </c>
      <c r="D39" s="3">
        <f t="shared" si="11"/>
        <v>23.677920000000004</v>
      </c>
      <c r="E39" s="3">
        <f t="shared" si="13"/>
        <v>2.9597400000000005</v>
      </c>
      <c r="F39" s="2">
        <f t="shared" si="12"/>
        <v>8</v>
      </c>
      <c r="G39" s="2">
        <f t="shared" si="14"/>
        <v>7</v>
      </c>
      <c r="H39" s="2">
        <f t="shared" si="15"/>
        <v>8</v>
      </c>
      <c r="I39" s="4">
        <v>0.24</v>
      </c>
      <c r="J39" s="5">
        <f t="shared" si="16"/>
        <v>2</v>
      </c>
      <c r="K39" s="6">
        <v>2</v>
      </c>
    </row>
    <row r="40" spans="2:11">
      <c r="B40" s="7" t="s">
        <v>20</v>
      </c>
      <c r="C40" s="2" t="s">
        <v>32</v>
      </c>
      <c r="D40" s="3">
        <f t="shared" si="11"/>
        <v>59.899499999999996</v>
      </c>
      <c r="E40" s="3">
        <f t="shared" si="13"/>
        <v>3.5234999999999999</v>
      </c>
      <c r="F40" s="2">
        <f t="shared" si="12"/>
        <v>17</v>
      </c>
      <c r="G40" s="2">
        <f t="shared" si="14"/>
        <v>15</v>
      </c>
      <c r="H40" s="2">
        <f t="shared" si="15"/>
        <v>17</v>
      </c>
      <c r="I40" s="4">
        <v>0.23</v>
      </c>
      <c r="J40" s="5">
        <f t="shared" si="16"/>
        <v>4</v>
      </c>
      <c r="K40" s="6">
        <v>4</v>
      </c>
    </row>
    <row r="41" spans="2:11">
      <c r="B41" s="7" t="s">
        <v>21</v>
      </c>
      <c r="C41" s="2" t="s">
        <v>32</v>
      </c>
      <c r="D41" s="3">
        <f t="shared" si="11"/>
        <v>177.58440000000002</v>
      </c>
      <c r="E41" s="3">
        <f t="shared" si="13"/>
        <v>3.2886000000000002</v>
      </c>
      <c r="F41" s="2">
        <f t="shared" si="12"/>
        <v>54</v>
      </c>
      <c r="G41" s="2">
        <f t="shared" si="14"/>
        <v>46</v>
      </c>
      <c r="H41" s="2">
        <f t="shared" si="15"/>
        <v>50</v>
      </c>
      <c r="I41" s="4">
        <v>0.22</v>
      </c>
      <c r="J41" s="5">
        <f t="shared" si="16"/>
        <v>11</v>
      </c>
      <c r="K41" s="6">
        <v>11</v>
      </c>
    </row>
    <row r="42" spans="2:11">
      <c r="B42" s="7" t="s">
        <v>22</v>
      </c>
      <c r="C42" s="2" t="s">
        <v>32</v>
      </c>
      <c r="D42" s="3">
        <f t="shared" si="11"/>
        <v>47.567250000000008</v>
      </c>
      <c r="E42" s="3">
        <f t="shared" si="13"/>
        <v>3.1711500000000004</v>
      </c>
      <c r="F42" s="2">
        <f t="shared" si="12"/>
        <v>15</v>
      </c>
      <c r="G42" s="2">
        <f t="shared" si="14"/>
        <v>13</v>
      </c>
      <c r="H42" s="2">
        <f t="shared" si="15"/>
        <v>15</v>
      </c>
      <c r="I42" s="4">
        <v>0.2</v>
      </c>
      <c r="J42" s="5">
        <f t="shared" si="16"/>
        <v>3</v>
      </c>
      <c r="K42" s="6">
        <v>3</v>
      </c>
    </row>
    <row r="43" spans="2:11">
      <c r="B43" s="7" t="s">
        <v>23</v>
      </c>
      <c r="C43" s="2" t="s">
        <v>32</v>
      </c>
      <c r="D43" s="3">
        <f t="shared" si="11"/>
        <v>8.4564000000000021</v>
      </c>
      <c r="E43" s="3">
        <f t="shared" si="13"/>
        <v>2.8188000000000004</v>
      </c>
      <c r="F43" s="2">
        <f t="shared" si="12"/>
        <v>3</v>
      </c>
      <c r="G43" s="2">
        <f t="shared" si="14"/>
        <v>3</v>
      </c>
      <c r="H43" s="2">
        <f t="shared" si="15"/>
        <v>4</v>
      </c>
      <c r="I43" s="4">
        <v>0.23</v>
      </c>
      <c r="J43" s="5">
        <f t="shared" si="16"/>
        <v>1</v>
      </c>
      <c r="K43" s="6">
        <v>1</v>
      </c>
    </row>
    <row r="44" spans="2:11">
      <c r="B44" s="7" t="s">
        <v>24</v>
      </c>
      <c r="C44" s="2" t="s">
        <v>32</v>
      </c>
      <c r="D44" s="3">
        <f t="shared" si="11"/>
        <v>135.65475000000001</v>
      </c>
      <c r="E44" s="3">
        <f t="shared" si="13"/>
        <v>3.8758500000000002</v>
      </c>
      <c r="F44" s="2">
        <f t="shared" si="12"/>
        <v>35</v>
      </c>
      <c r="G44" s="2">
        <f t="shared" si="14"/>
        <v>30</v>
      </c>
      <c r="H44" s="2">
        <f t="shared" si="15"/>
        <v>33</v>
      </c>
      <c r="I44" s="4">
        <v>0.21</v>
      </c>
      <c r="J44" s="5">
        <f t="shared" si="16"/>
        <v>7</v>
      </c>
      <c r="K44" s="6">
        <v>7</v>
      </c>
    </row>
    <row r="45" spans="2:11">
      <c r="B45" s="7" t="s">
        <v>25</v>
      </c>
      <c r="C45" s="2" t="s">
        <v>32</v>
      </c>
      <c r="D45" s="3">
        <f t="shared" si="11"/>
        <v>81.040499999999994</v>
      </c>
      <c r="E45" s="3">
        <f t="shared" si="13"/>
        <v>3.5234999999999999</v>
      </c>
      <c r="F45" s="2">
        <f t="shared" si="12"/>
        <v>23</v>
      </c>
      <c r="G45" s="2">
        <f t="shared" si="14"/>
        <v>20</v>
      </c>
      <c r="H45" s="2">
        <f t="shared" si="15"/>
        <v>22</v>
      </c>
      <c r="I45" s="4">
        <v>0.22</v>
      </c>
      <c r="J45" s="5">
        <f t="shared" si="16"/>
        <v>5</v>
      </c>
      <c r="K45" s="6">
        <v>5</v>
      </c>
    </row>
    <row r="46" spans="2:11">
      <c r="B46" s="7" t="s">
        <v>26</v>
      </c>
      <c r="C46" s="2" t="s">
        <v>32</v>
      </c>
      <c r="D46" s="3">
        <f t="shared" si="11"/>
        <v>164.8998</v>
      </c>
      <c r="E46" s="3">
        <f t="shared" si="13"/>
        <v>4.1224949999999998</v>
      </c>
      <c r="F46" s="2">
        <f t="shared" si="12"/>
        <v>40</v>
      </c>
      <c r="G46" s="2">
        <f t="shared" si="14"/>
        <v>34</v>
      </c>
      <c r="H46" s="2">
        <f t="shared" si="15"/>
        <v>38</v>
      </c>
      <c r="I46" s="4">
        <v>0.21</v>
      </c>
      <c r="J46" s="5">
        <f t="shared" si="16"/>
        <v>8</v>
      </c>
      <c r="K46" s="6">
        <v>8</v>
      </c>
    </row>
    <row r="47" spans="2:11">
      <c r="B47" s="7" t="s">
        <v>27</v>
      </c>
      <c r="C47" s="2" t="s">
        <v>32</v>
      </c>
      <c r="D47" s="3">
        <f t="shared" si="11"/>
        <v>263.08800000000002</v>
      </c>
      <c r="E47" s="3">
        <f t="shared" si="13"/>
        <v>4.1107500000000003</v>
      </c>
      <c r="F47" s="2">
        <f t="shared" si="12"/>
        <v>64</v>
      </c>
      <c r="G47" s="2">
        <f t="shared" si="14"/>
        <v>55</v>
      </c>
      <c r="H47" s="2">
        <f t="shared" si="15"/>
        <v>60</v>
      </c>
      <c r="I47" s="4">
        <v>0.2</v>
      </c>
      <c r="J47" s="5">
        <f t="shared" si="16"/>
        <v>12</v>
      </c>
      <c r="K47" s="6">
        <v>12</v>
      </c>
    </row>
    <row r="48" spans="2:11">
      <c r="B48" s="7" t="s">
        <v>28</v>
      </c>
      <c r="C48" s="2" t="s">
        <v>32</v>
      </c>
      <c r="D48" s="3">
        <f t="shared" si="11"/>
        <v>172.65150000000003</v>
      </c>
      <c r="E48" s="3">
        <f t="shared" si="13"/>
        <v>4.1107500000000003</v>
      </c>
      <c r="F48" s="2">
        <f t="shared" si="12"/>
        <v>42</v>
      </c>
      <c r="G48" s="2">
        <f t="shared" si="14"/>
        <v>36</v>
      </c>
      <c r="H48" s="2">
        <f t="shared" si="15"/>
        <v>40</v>
      </c>
      <c r="I48" s="4">
        <v>0.22</v>
      </c>
      <c r="J48" s="5">
        <f t="shared" si="16"/>
        <v>9</v>
      </c>
      <c r="K48" s="6">
        <v>9</v>
      </c>
    </row>
  </sheetData>
  <mergeCells count="1">
    <mergeCell ref="M20:N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F08B-36C0-DA4A-8E48-637827EC4646}">
  <dimension ref="B1:Z22"/>
  <sheetViews>
    <sheetView showGridLines="0" workbookViewId="0">
      <selection activeCell="AA85" sqref="AA85"/>
    </sheetView>
  </sheetViews>
  <sheetFormatPr baseColWidth="10" defaultRowHeight="16" outlineLevelCol="1"/>
  <cols>
    <col min="1" max="1" width="3.6640625" customWidth="1"/>
    <col min="2" max="2" width="25.1640625" bestFit="1" customWidth="1"/>
    <col min="3" max="4" width="8" hidden="1" customWidth="1" outlineLevel="1"/>
    <col min="5" max="8" width="9.5" hidden="1" customWidth="1" outlineLevel="1"/>
    <col min="9" max="9" width="8" hidden="1" customWidth="1" outlineLevel="1"/>
    <col min="10" max="10" width="9.5" bestFit="1" customWidth="1" collapsed="1"/>
    <col min="11" max="14" width="9.5" bestFit="1" customWidth="1"/>
    <col min="15" max="26" width="11" bestFit="1" customWidth="1"/>
  </cols>
  <sheetData>
    <row r="1" spans="2:26">
      <c r="B1" s="36"/>
    </row>
    <row r="3" spans="2:26" ht="26">
      <c r="B3" s="39" t="s">
        <v>123</v>
      </c>
    </row>
    <row r="4" spans="2:26" ht="26">
      <c r="B4" s="10"/>
    </row>
    <row r="5" spans="2:26" hidden="1">
      <c r="C5">
        <v>1</v>
      </c>
      <c r="D5">
        <v>2</v>
      </c>
      <c r="E5">
        <v>3</v>
      </c>
      <c r="F5">
        <v>4</v>
      </c>
      <c r="G5">
        <v>5</v>
      </c>
      <c r="H5">
        <v>6</v>
      </c>
      <c r="I5">
        <v>7</v>
      </c>
      <c r="J5">
        <v>8</v>
      </c>
      <c r="K5">
        <v>9</v>
      </c>
      <c r="L5">
        <v>10</v>
      </c>
      <c r="M5">
        <v>11</v>
      </c>
      <c r="N5">
        <v>12</v>
      </c>
      <c r="O5">
        <v>13</v>
      </c>
      <c r="P5">
        <v>14</v>
      </c>
      <c r="Q5">
        <v>15</v>
      </c>
      <c r="R5">
        <v>16</v>
      </c>
      <c r="S5">
        <v>17</v>
      </c>
      <c r="T5">
        <v>18</v>
      </c>
      <c r="U5">
        <v>19</v>
      </c>
      <c r="V5">
        <v>20</v>
      </c>
      <c r="W5">
        <v>21</v>
      </c>
      <c r="X5">
        <v>22</v>
      </c>
      <c r="Y5">
        <v>23</v>
      </c>
      <c r="Z5">
        <v>24</v>
      </c>
    </row>
    <row r="6" spans="2:26">
      <c r="C6" s="37">
        <v>42887</v>
      </c>
      <c r="D6" s="37">
        <v>42917</v>
      </c>
      <c r="E6" s="37">
        <v>42948</v>
      </c>
      <c r="F6" s="37">
        <v>42979</v>
      </c>
      <c r="G6" s="37">
        <v>43009</v>
      </c>
      <c r="H6" s="37">
        <v>43040</v>
      </c>
      <c r="I6" s="37">
        <v>43070</v>
      </c>
      <c r="J6" s="37">
        <v>43101</v>
      </c>
      <c r="K6" s="37">
        <v>43132</v>
      </c>
      <c r="L6" s="37">
        <v>43160</v>
      </c>
      <c r="M6" s="37">
        <v>43191</v>
      </c>
      <c r="N6" s="37">
        <v>43221</v>
      </c>
      <c r="O6" s="37">
        <v>43252</v>
      </c>
      <c r="P6" s="37">
        <v>43282</v>
      </c>
      <c r="Q6" s="37">
        <v>43313</v>
      </c>
      <c r="R6" s="37">
        <v>43344</v>
      </c>
      <c r="S6" s="37">
        <v>43374</v>
      </c>
      <c r="T6" s="37">
        <v>43405</v>
      </c>
      <c r="U6" s="37">
        <v>43435</v>
      </c>
      <c r="V6" s="37">
        <v>43466</v>
      </c>
      <c r="W6" s="37">
        <v>43497</v>
      </c>
      <c r="X6" s="37">
        <v>43525</v>
      </c>
      <c r="Y6" s="37">
        <v>43556</v>
      </c>
      <c r="Z6" s="37">
        <v>43586</v>
      </c>
    </row>
    <row r="8" spans="2:26">
      <c r="B8" s="38" t="s">
        <v>33</v>
      </c>
    </row>
    <row r="10" spans="2:26">
      <c r="B10" s="33" t="s">
        <v>119</v>
      </c>
      <c r="C10" s="51">
        <v>3</v>
      </c>
      <c r="D10" s="51">
        <v>61</v>
      </c>
      <c r="E10" s="51">
        <v>73</v>
      </c>
      <c r="F10" s="51">
        <v>72</v>
      </c>
      <c r="G10" s="51">
        <v>96</v>
      </c>
      <c r="H10" s="51">
        <v>126</v>
      </c>
      <c r="I10" s="51">
        <v>36</v>
      </c>
      <c r="J10" s="51">
        <v>206</v>
      </c>
      <c r="K10" s="51">
        <v>221</v>
      </c>
      <c r="L10" s="51">
        <v>248</v>
      </c>
      <c r="M10" s="51">
        <v>173</v>
      </c>
      <c r="N10" s="51">
        <v>306</v>
      </c>
      <c r="O10" s="51">
        <f>INT(O12/O11)</f>
        <v>284</v>
      </c>
      <c r="P10" s="52">
        <f t="shared" ref="P10:Z10" si="0">INT(P12/P11)</f>
        <v>303</v>
      </c>
      <c r="Q10" s="52">
        <f t="shared" si="0"/>
        <v>325</v>
      </c>
      <c r="R10" s="52">
        <f t="shared" si="0"/>
        <v>346</v>
      </c>
      <c r="S10" s="52">
        <f t="shared" si="0"/>
        <v>365</v>
      </c>
      <c r="T10" s="52">
        <f t="shared" si="0"/>
        <v>387</v>
      </c>
      <c r="U10" s="52">
        <f t="shared" si="0"/>
        <v>409</v>
      </c>
      <c r="V10" s="52">
        <f t="shared" si="0"/>
        <v>428</v>
      </c>
      <c r="W10" s="52">
        <f t="shared" si="0"/>
        <v>450</v>
      </c>
      <c r="X10" s="52">
        <f t="shared" si="0"/>
        <v>471</v>
      </c>
      <c r="Y10" s="52">
        <f t="shared" si="0"/>
        <v>490</v>
      </c>
      <c r="Z10" s="52">
        <f t="shared" si="0"/>
        <v>512</v>
      </c>
    </row>
    <row r="11" spans="2:26">
      <c r="B11" s="2" t="s">
        <v>120</v>
      </c>
      <c r="C11" s="47">
        <v>0.30000000000000004</v>
      </c>
      <c r="D11" s="47">
        <v>0.31</v>
      </c>
      <c r="E11" s="47">
        <v>0.33999999999999997</v>
      </c>
      <c r="F11" s="47">
        <v>0.33</v>
      </c>
      <c r="G11" s="47">
        <v>0.32</v>
      </c>
      <c r="H11" s="47">
        <v>0.30000000000000004</v>
      </c>
      <c r="I11" s="47">
        <v>0.33</v>
      </c>
      <c r="J11" s="47">
        <v>0.31</v>
      </c>
      <c r="K11" s="47">
        <v>0.32</v>
      </c>
      <c r="L11" s="47">
        <v>0.31</v>
      </c>
      <c r="M11" s="47">
        <v>0.30000000000000004</v>
      </c>
      <c r="N11" s="47">
        <v>0.32</v>
      </c>
      <c r="O11" s="41">
        <f>ASSUMPTIONS!C21</f>
        <v>0.32</v>
      </c>
      <c r="P11" s="4">
        <f t="shared" ref="P11:Z11" si="1">O11</f>
        <v>0.32</v>
      </c>
      <c r="Q11" s="4">
        <f t="shared" si="1"/>
        <v>0.32</v>
      </c>
      <c r="R11" s="4">
        <f t="shared" si="1"/>
        <v>0.32</v>
      </c>
      <c r="S11" s="4">
        <f t="shared" si="1"/>
        <v>0.32</v>
      </c>
      <c r="T11" s="4">
        <f t="shared" si="1"/>
        <v>0.32</v>
      </c>
      <c r="U11" s="4">
        <f t="shared" si="1"/>
        <v>0.32</v>
      </c>
      <c r="V11" s="4">
        <f t="shared" si="1"/>
        <v>0.32</v>
      </c>
      <c r="W11" s="4">
        <f t="shared" si="1"/>
        <v>0.32</v>
      </c>
      <c r="X11" s="4">
        <f t="shared" si="1"/>
        <v>0.32</v>
      </c>
      <c r="Y11" s="4">
        <f t="shared" si="1"/>
        <v>0.32</v>
      </c>
      <c r="Z11" s="4">
        <f t="shared" si="1"/>
        <v>0.32</v>
      </c>
    </row>
    <row r="12" spans="2:26">
      <c r="B12" s="76" t="s">
        <v>121</v>
      </c>
      <c r="C12" s="53">
        <v>1</v>
      </c>
      <c r="D12" s="53">
        <v>19</v>
      </c>
      <c r="E12" s="53">
        <v>24</v>
      </c>
      <c r="F12" s="53">
        <v>23</v>
      </c>
      <c r="G12" s="53">
        <v>30</v>
      </c>
      <c r="H12" s="53">
        <v>37</v>
      </c>
      <c r="I12" s="53">
        <v>12</v>
      </c>
      <c r="J12" s="53">
        <v>61</v>
      </c>
      <c r="K12" s="53">
        <v>68</v>
      </c>
      <c r="L12" s="53">
        <v>74</v>
      </c>
      <c r="M12" s="53">
        <v>50</v>
      </c>
      <c r="N12" s="53">
        <v>94</v>
      </c>
      <c r="O12" s="54">
        <f>INT((ASSUMPTIONS!$C$18*'INPUTS LEADS - Organic Traffic'!O5)+ASSUMPTIONS!$C$19)</f>
        <v>91</v>
      </c>
      <c r="P12" s="52">
        <f>INT((ASSUMPTIONS!$C$18*'INPUTS LEADS - Organic Traffic'!P5)+ASSUMPTIONS!$C$19)</f>
        <v>97</v>
      </c>
      <c r="Q12" s="52">
        <f>INT((ASSUMPTIONS!$C$18*'INPUTS LEADS - Organic Traffic'!Q5)+ASSUMPTIONS!$C$19)</f>
        <v>104</v>
      </c>
      <c r="R12" s="52">
        <f>INT((ASSUMPTIONS!$C$18*'INPUTS LEADS - Organic Traffic'!R5)+ASSUMPTIONS!$C$19)</f>
        <v>111</v>
      </c>
      <c r="S12" s="52">
        <f>INT((ASSUMPTIONS!$C$18*'INPUTS LEADS - Organic Traffic'!S5)+ASSUMPTIONS!$C$19)</f>
        <v>117</v>
      </c>
      <c r="T12" s="52">
        <f>INT((ASSUMPTIONS!$C$18*'INPUTS LEADS - Organic Traffic'!T5)+ASSUMPTIONS!$C$19)</f>
        <v>124</v>
      </c>
      <c r="U12" s="52">
        <f>INT((ASSUMPTIONS!$C$18*'INPUTS LEADS - Organic Traffic'!U5)+ASSUMPTIONS!$C$19)</f>
        <v>131</v>
      </c>
      <c r="V12" s="52">
        <f>INT((ASSUMPTIONS!$C$18*'INPUTS LEADS - Organic Traffic'!V5)+ASSUMPTIONS!$C$19)</f>
        <v>137</v>
      </c>
      <c r="W12" s="52">
        <f>INT((ASSUMPTIONS!$C$18*'INPUTS LEADS - Organic Traffic'!W5)+ASSUMPTIONS!$C$19)</f>
        <v>144</v>
      </c>
      <c r="X12" s="52">
        <f>INT((ASSUMPTIONS!$C$18*'INPUTS LEADS - Organic Traffic'!X5)+ASSUMPTIONS!$C$19)</f>
        <v>151</v>
      </c>
      <c r="Y12" s="52">
        <f>INT((ASSUMPTIONS!$C$18*'INPUTS LEADS - Organic Traffic'!Y5)+ASSUMPTIONS!$C$19)</f>
        <v>157</v>
      </c>
      <c r="Z12" s="52">
        <f>INT((ASSUMPTIONS!$C$18*'INPUTS LEADS - Organic Traffic'!Z5)+ASSUMPTIONS!$C$19)</f>
        <v>164</v>
      </c>
    </row>
    <row r="14" spans="2:26">
      <c r="B14" s="38" t="s">
        <v>34</v>
      </c>
    </row>
    <row r="16" spans="2:26">
      <c r="B16" s="33" t="s">
        <v>119</v>
      </c>
      <c r="C16" s="51">
        <v>10</v>
      </c>
      <c r="D16" s="51">
        <v>709</v>
      </c>
      <c r="E16" s="51">
        <v>1216</v>
      </c>
      <c r="F16" s="51">
        <v>982</v>
      </c>
      <c r="G16" s="51">
        <v>1286</v>
      </c>
      <c r="H16" s="51">
        <v>1725</v>
      </c>
      <c r="I16" s="51">
        <v>669</v>
      </c>
      <c r="J16" s="51">
        <v>4457</v>
      </c>
      <c r="K16" s="51">
        <v>3459</v>
      </c>
      <c r="L16" s="51">
        <v>4066</v>
      </c>
      <c r="M16" s="51">
        <v>5240</v>
      </c>
      <c r="N16" s="51">
        <v>4404</v>
      </c>
      <c r="O16" s="51">
        <f>INT(O18/O17)</f>
        <v>5277</v>
      </c>
      <c r="P16" s="52">
        <f t="shared" ref="P16:Z16" si="2">INT(P18/P17)</f>
        <v>5693</v>
      </c>
      <c r="Q16" s="52">
        <f t="shared" si="2"/>
        <v>6108</v>
      </c>
      <c r="R16" s="52">
        <f t="shared" si="2"/>
        <v>6523</v>
      </c>
      <c r="S16" s="52">
        <f t="shared" si="2"/>
        <v>6939</v>
      </c>
      <c r="T16" s="52">
        <f t="shared" si="2"/>
        <v>7354</v>
      </c>
      <c r="U16" s="52">
        <f t="shared" si="2"/>
        <v>7770</v>
      </c>
      <c r="V16" s="52">
        <f t="shared" si="2"/>
        <v>8185</v>
      </c>
      <c r="W16" s="52">
        <f t="shared" si="2"/>
        <v>8600</v>
      </c>
      <c r="X16" s="52">
        <f t="shared" si="2"/>
        <v>9016</v>
      </c>
      <c r="Y16" s="52">
        <f t="shared" si="2"/>
        <v>9431</v>
      </c>
      <c r="Z16" s="52">
        <f t="shared" si="2"/>
        <v>9846</v>
      </c>
    </row>
    <row r="17" spans="2:26">
      <c r="B17" s="2" t="s">
        <v>120</v>
      </c>
      <c r="C17" s="47">
        <v>0.2</v>
      </c>
      <c r="D17" s="47">
        <v>0.21</v>
      </c>
      <c r="E17" s="47">
        <v>0.24</v>
      </c>
      <c r="F17" s="47">
        <v>0.23</v>
      </c>
      <c r="G17" s="47">
        <v>0.22</v>
      </c>
      <c r="H17" s="47">
        <v>0.2</v>
      </c>
      <c r="I17" s="47">
        <v>0.23</v>
      </c>
      <c r="J17" s="47">
        <v>0.21</v>
      </c>
      <c r="K17" s="47">
        <v>0.22</v>
      </c>
      <c r="L17" s="47">
        <v>0.21</v>
      </c>
      <c r="M17" s="47">
        <v>0.2</v>
      </c>
      <c r="N17" s="47">
        <v>0.22</v>
      </c>
      <c r="O17" s="41">
        <f>ASSUMPTIONS!C12</f>
        <v>0.22</v>
      </c>
      <c r="P17" s="4">
        <f t="shared" ref="P17:Z17" si="3">O17</f>
        <v>0.22</v>
      </c>
      <c r="Q17" s="4">
        <f t="shared" si="3"/>
        <v>0.22</v>
      </c>
      <c r="R17" s="4">
        <f t="shared" si="3"/>
        <v>0.22</v>
      </c>
      <c r="S17" s="4">
        <f t="shared" si="3"/>
        <v>0.22</v>
      </c>
      <c r="T17" s="4">
        <f t="shared" si="3"/>
        <v>0.22</v>
      </c>
      <c r="U17" s="4">
        <f t="shared" si="3"/>
        <v>0.22</v>
      </c>
      <c r="V17" s="4">
        <f t="shared" si="3"/>
        <v>0.22</v>
      </c>
      <c r="W17" s="4">
        <f t="shared" si="3"/>
        <v>0.22</v>
      </c>
      <c r="X17" s="4">
        <f t="shared" si="3"/>
        <v>0.22</v>
      </c>
      <c r="Y17" s="4">
        <f t="shared" si="3"/>
        <v>0.22</v>
      </c>
      <c r="Z17" s="4">
        <f t="shared" si="3"/>
        <v>0.22</v>
      </c>
    </row>
    <row r="18" spans="2:26">
      <c r="B18" s="76" t="s">
        <v>122</v>
      </c>
      <c r="C18" s="53">
        <v>2</v>
      </c>
      <c r="D18" s="53">
        <v>142</v>
      </c>
      <c r="E18" s="53">
        <v>279</v>
      </c>
      <c r="F18" s="53">
        <v>216</v>
      </c>
      <c r="G18" s="53">
        <v>270</v>
      </c>
      <c r="H18" s="53">
        <v>329</v>
      </c>
      <c r="I18" s="53">
        <v>147</v>
      </c>
      <c r="J18" s="53">
        <v>892</v>
      </c>
      <c r="K18" s="53">
        <v>725</v>
      </c>
      <c r="L18" s="53">
        <v>814</v>
      </c>
      <c r="M18" s="53">
        <v>999</v>
      </c>
      <c r="N18" s="53">
        <v>923</v>
      </c>
      <c r="O18" s="54">
        <f>(ASSUMPTIONS!$C$9*'INPUTS LEADS - Organic Traffic'!O5)+ASSUMPTIONS!$C$10</f>
        <v>1161.1300000000001</v>
      </c>
      <c r="P18" s="52">
        <f>(ASSUMPTIONS!$C$9*'INPUTS LEADS - Organic Traffic'!P5)+ASSUMPTIONS!$C$10</f>
        <v>1252.5119999999999</v>
      </c>
      <c r="Q18" s="52">
        <f>(ASSUMPTIONS!$C$9*'INPUTS LEADS - Organic Traffic'!Q5)+ASSUMPTIONS!$C$10</f>
        <v>1343.894</v>
      </c>
      <c r="R18" s="52">
        <f>(ASSUMPTIONS!$C$9*'INPUTS LEADS - Organic Traffic'!R5)+ASSUMPTIONS!$C$10</f>
        <v>1435.2760000000001</v>
      </c>
      <c r="S18" s="52">
        <f>(ASSUMPTIONS!$C$9*'INPUTS LEADS - Organic Traffic'!S5)+ASSUMPTIONS!$C$10</f>
        <v>1526.6580000000001</v>
      </c>
      <c r="T18" s="52">
        <f>(ASSUMPTIONS!$C$9*'INPUTS LEADS - Organic Traffic'!T5)+ASSUMPTIONS!$C$10</f>
        <v>1618.0400000000002</v>
      </c>
      <c r="U18" s="52">
        <f>(ASSUMPTIONS!$C$9*'INPUTS LEADS - Organic Traffic'!U5)+ASSUMPTIONS!$C$10</f>
        <v>1709.422</v>
      </c>
      <c r="V18" s="52">
        <f>(ASSUMPTIONS!$C$9*'INPUTS LEADS - Organic Traffic'!V5)+ASSUMPTIONS!$C$10</f>
        <v>1800.8040000000001</v>
      </c>
      <c r="W18" s="52">
        <f>(ASSUMPTIONS!$C$9*'INPUTS LEADS - Organic Traffic'!W5)+ASSUMPTIONS!$C$10</f>
        <v>1892.1860000000001</v>
      </c>
      <c r="X18" s="52">
        <f>(ASSUMPTIONS!$C$9*'INPUTS LEADS - Organic Traffic'!X5)+ASSUMPTIONS!$C$10</f>
        <v>1983.568</v>
      </c>
      <c r="Y18" s="52">
        <f>(ASSUMPTIONS!$C$9*'INPUTS LEADS - Organic Traffic'!Y5)+ASSUMPTIONS!$C$10</f>
        <v>2074.9500000000003</v>
      </c>
      <c r="Z18" s="52">
        <f>(ASSUMPTIONS!$C$9*'INPUTS LEADS - Organic Traffic'!Z5)+ASSUMPTIONS!$C$10</f>
        <v>2166.3320000000003</v>
      </c>
    </row>
    <row r="21" spans="2:26">
      <c r="B21" s="75" t="s">
        <v>4</v>
      </c>
      <c r="C21" s="55">
        <f t="shared" ref="C21:Z21" si="4">SUM(C12,C18)</f>
        <v>3</v>
      </c>
      <c r="D21" s="55">
        <f t="shared" si="4"/>
        <v>161</v>
      </c>
      <c r="E21" s="55">
        <f t="shared" si="4"/>
        <v>303</v>
      </c>
      <c r="F21" s="55">
        <f t="shared" si="4"/>
        <v>239</v>
      </c>
      <c r="G21" s="55">
        <f t="shared" si="4"/>
        <v>300</v>
      </c>
      <c r="H21" s="55">
        <f t="shared" si="4"/>
        <v>366</v>
      </c>
      <c r="I21" s="55">
        <f t="shared" si="4"/>
        <v>159</v>
      </c>
      <c r="J21" s="55">
        <f t="shared" si="4"/>
        <v>953</v>
      </c>
      <c r="K21" s="55">
        <f t="shared" si="4"/>
        <v>793</v>
      </c>
      <c r="L21" s="55">
        <f t="shared" si="4"/>
        <v>888</v>
      </c>
      <c r="M21" s="55">
        <f t="shared" si="4"/>
        <v>1049</v>
      </c>
      <c r="N21" s="55">
        <f t="shared" si="4"/>
        <v>1017</v>
      </c>
      <c r="O21" s="55">
        <f t="shared" si="4"/>
        <v>1252.1300000000001</v>
      </c>
      <c r="P21" s="55">
        <f t="shared" si="4"/>
        <v>1349.5119999999999</v>
      </c>
      <c r="Q21" s="55">
        <f t="shared" si="4"/>
        <v>1447.894</v>
      </c>
      <c r="R21" s="55">
        <f t="shared" si="4"/>
        <v>1546.2760000000001</v>
      </c>
      <c r="S21" s="55">
        <f t="shared" si="4"/>
        <v>1643.6580000000001</v>
      </c>
      <c r="T21" s="55">
        <f t="shared" si="4"/>
        <v>1742.0400000000002</v>
      </c>
      <c r="U21" s="55">
        <f t="shared" si="4"/>
        <v>1840.422</v>
      </c>
      <c r="V21" s="55">
        <f t="shared" si="4"/>
        <v>1937.8040000000001</v>
      </c>
      <c r="W21" s="55">
        <f t="shared" si="4"/>
        <v>2036.1860000000001</v>
      </c>
      <c r="X21" s="55">
        <f t="shared" si="4"/>
        <v>2134.5680000000002</v>
      </c>
      <c r="Y21" s="55">
        <f t="shared" si="4"/>
        <v>2231.9500000000003</v>
      </c>
      <c r="Z21" s="55">
        <f t="shared" si="4"/>
        <v>2330.3320000000003</v>
      </c>
    </row>
    <row r="22" spans="2:26">
      <c r="B22" s="75" t="s">
        <v>66</v>
      </c>
      <c r="C22" s="55">
        <f>C10+C16</f>
        <v>13</v>
      </c>
      <c r="D22" s="55">
        <f t="shared" ref="D22:Z22" si="5">D10+D16</f>
        <v>770</v>
      </c>
      <c r="E22" s="55">
        <f t="shared" si="5"/>
        <v>1289</v>
      </c>
      <c r="F22" s="55">
        <f t="shared" si="5"/>
        <v>1054</v>
      </c>
      <c r="G22" s="55">
        <f t="shared" si="5"/>
        <v>1382</v>
      </c>
      <c r="H22" s="55">
        <f t="shared" si="5"/>
        <v>1851</v>
      </c>
      <c r="I22" s="55">
        <f t="shared" si="5"/>
        <v>705</v>
      </c>
      <c r="J22" s="55">
        <f t="shared" si="5"/>
        <v>4663</v>
      </c>
      <c r="K22" s="55">
        <f t="shared" si="5"/>
        <v>3680</v>
      </c>
      <c r="L22" s="55">
        <f t="shared" si="5"/>
        <v>4314</v>
      </c>
      <c r="M22" s="55">
        <f t="shared" si="5"/>
        <v>5413</v>
      </c>
      <c r="N22" s="55">
        <f t="shared" si="5"/>
        <v>4710</v>
      </c>
      <c r="O22" s="55">
        <f t="shared" si="5"/>
        <v>5561</v>
      </c>
      <c r="P22" s="55">
        <f t="shared" si="5"/>
        <v>5996</v>
      </c>
      <c r="Q22" s="55">
        <f t="shared" si="5"/>
        <v>6433</v>
      </c>
      <c r="R22" s="55">
        <f t="shared" si="5"/>
        <v>6869</v>
      </c>
      <c r="S22" s="55">
        <f t="shared" si="5"/>
        <v>7304</v>
      </c>
      <c r="T22" s="55">
        <f t="shared" si="5"/>
        <v>7741</v>
      </c>
      <c r="U22" s="55">
        <f t="shared" si="5"/>
        <v>8179</v>
      </c>
      <c r="V22" s="55">
        <f t="shared" si="5"/>
        <v>8613</v>
      </c>
      <c r="W22" s="55">
        <f t="shared" si="5"/>
        <v>9050</v>
      </c>
      <c r="X22" s="55">
        <f t="shared" si="5"/>
        <v>9487</v>
      </c>
      <c r="Y22" s="55">
        <f t="shared" si="5"/>
        <v>9921</v>
      </c>
      <c r="Z22" s="55">
        <f t="shared" si="5"/>
        <v>10358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AD2E-8B2B-ED4F-96B0-516A7F629C52}">
  <dimension ref="B3:N8"/>
  <sheetViews>
    <sheetView workbookViewId="0">
      <selection activeCell="O49" sqref="O49"/>
    </sheetView>
  </sheetViews>
  <sheetFormatPr baseColWidth="10" defaultRowHeight="16"/>
  <cols>
    <col min="2" max="2" width="15" bestFit="1" customWidth="1"/>
    <col min="3" max="14" width="7.6640625" bestFit="1" customWidth="1"/>
  </cols>
  <sheetData>
    <row r="3" spans="2:14">
      <c r="C3" s="77" t="s">
        <v>16</v>
      </c>
      <c r="D3" s="77" t="s">
        <v>18</v>
      </c>
      <c r="E3" s="77" t="s">
        <v>19</v>
      </c>
      <c r="F3" s="77" t="s">
        <v>20</v>
      </c>
      <c r="G3" s="77" t="s">
        <v>21</v>
      </c>
      <c r="H3" s="77" t="s">
        <v>22</v>
      </c>
      <c r="I3" s="77" t="s">
        <v>23</v>
      </c>
      <c r="J3" s="77" t="s">
        <v>24</v>
      </c>
      <c r="K3" s="77" t="s">
        <v>25</v>
      </c>
      <c r="L3" s="77" t="s">
        <v>26</v>
      </c>
      <c r="M3" s="77" t="s">
        <v>27</v>
      </c>
      <c r="N3" s="77" t="s">
        <v>28</v>
      </c>
    </row>
    <row r="4" spans="2:14">
      <c r="B4" s="78" t="s">
        <v>124</v>
      </c>
      <c r="C4" s="79">
        <v>0</v>
      </c>
      <c r="D4" s="79">
        <v>0</v>
      </c>
      <c r="E4" s="79">
        <v>0</v>
      </c>
      <c r="F4" s="79">
        <v>0</v>
      </c>
      <c r="G4" s="79">
        <v>0</v>
      </c>
      <c r="H4" s="79">
        <v>0</v>
      </c>
      <c r="I4" s="79">
        <v>0.2</v>
      </c>
      <c r="J4" s="79">
        <v>0.21951219512195122</v>
      </c>
      <c r="K4" s="79">
        <v>0.13846153846153847</v>
      </c>
      <c r="L4" s="79">
        <v>8.7499999999999994E-2</v>
      </c>
      <c r="M4" s="79">
        <v>0.17333333333333334</v>
      </c>
      <c r="N4" s="79">
        <v>8.9743589743589744E-2</v>
      </c>
    </row>
    <row r="5" spans="2:14">
      <c r="B5" s="78" t="s">
        <v>125</v>
      </c>
      <c r="C5" s="79">
        <v>0</v>
      </c>
      <c r="D5" s="79">
        <v>3.8461538461538464E-2</v>
      </c>
      <c r="E5" s="79">
        <v>1.3513513513513514E-2</v>
      </c>
      <c r="F5" s="79">
        <v>0</v>
      </c>
      <c r="G5" s="79">
        <v>4.8387096774193547E-2</v>
      </c>
      <c r="H5" s="79">
        <v>5.9701492537313432E-2</v>
      </c>
      <c r="I5" s="79">
        <v>6.8965517241379309E-2</v>
      </c>
      <c r="J5" s="79">
        <v>0.18974358974358974</v>
      </c>
      <c r="K5" s="79">
        <v>0.19553072625698323</v>
      </c>
      <c r="L5" s="79">
        <v>0.20737327188940091</v>
      </c>
      <c r="M5" s="79">
        <v>0.19024390243902439</v>
      </c>
      <c r="N5" s="79">
        <v>0.16201117318435754</v>
      </c>
    </row>
    <row r="6" spans="2:14">
      <c r="B6" s="78" t="s">
        <v>126</v>
      </c>
      <c r="C6" s="79">
        <v>0</v>
      </c>
      <c r="D6" s="79">
        <v>0</v>
      </c>
      <c r="E6" s="79">
        <v>1.6393442622950821E-2</v>
      </c>
      <c r="F6" s="79">
        <v>6.4102564102564097E-2</v>
      </c>
      <c r="G6" s="79">
        <v>8.0000000000000002E-3</v>
      </c>
      <c r="H6" s="79">
        <v>3.3057851239669422E-2</v>
      </c>
      <c r="I6" s="79">
        <v>6.6666666666666666E-2</v>
      </c>
      <c r="J6" s="79">
        <v>0.15291262135922329</v>
      </c>
      <c r="K6" s="79">
        <v>0.13402061855670103</v>
      </c>
      <c r="L6" s="79">
        <v>0.15294117647058825</v>
      </c>
      <c r="M6" s="79">
        <v>0.16905444126074498</v>
      </c>
      <c r="N6" s="79">
        <v>0.12209302325581395</v>
      </c>
    </row>
    <row r="7" spans="2:14">
      <c r="B7" s="78" t="s">
        <v>127</v>
      </c>
      <c r="C7" s="79">
        <v>0</v>
      </c>
      <c r="D7" s="79">
        <v>0</v>
      </c>
      <c r="E7" s="79">
        <v>0</v>
      </c>
      <c r="F7" s="79">
        <v>0</v>
      </c>
      <c r="G7" s="79">
        <v>0</v>
      </c>
      <c r="H7" s="79">
        <v>0</v>
      </c>
      <c r="I7" s="79">
        <v>0</v>
      </c>
      <c r="J7" s="79">
        <v>7.3170731707317069E-2</v>
      </c>
      <c r="K7" s="79">
        <v>8.8235294117647065E-2</v>
      </c>
      <c r="L7" s="79">
        <v>5.2631578947368418E-2</v>
      </c>
      <c r="M7" s="79">
        <v>0.17777777777777778</v>
      </c>
      <c r="N7" s="79">
        <v>0.15094339622641509</v>
      </c>
    </row>
    <row r="8" spans="2:14">
      <c r="B8" s="78" t="s">
        <v>128</v>
      </c>
      <c r="C8" s="79">
        <v>0</v>
      </c>
      <c r="D8" s="79">
        <v>0</v>
      </c>
      <c r="E8" s="79">
        <v>6.6666666666666666E-2</v>
      </c>
      <c r="F8" s="79">
        <v>0</v>
      </c>
      <c r="G8" s="79">
        <v>3.8461538461538464E-2</v>
      </c>
      <c r="H8" s="79">
        <v>4.2105263157894736E-2</v>
      </c>
      <c r="I8" s="79">
        <v>0</v>
      </c>
      <c r="J8" s="79">
        <v>4.9382716049382713E-2</v>
      </c>
      <c r="K8" s="79">
        <v>9.6153846153846159E-2</v>
      </c>
      <c r="L8" s="79">
        <v>0.11510791366906475</v>
      </c>
      <c r="M8" s="79">
        <v>4.9230769230769231E-2</v>
      </c>
      <c r="N8" s="79">
        <v>4.0892193308550186E-2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A0B8-9A94-1F4A-8C2C-ADEC97B7FF1F}">
  <dimension ref="B2:G32"/>
  <sheetViews>
    <sheetView workbookViewId="0">
      <selection activeCell="D4" sqref="D4:D14"/>
    </sheetView>
  </sheetViews>
  <sheetFormatPr baseColWidth="10" defaultRowHeight="16"/>
  <cols>
    <col min="1" max="1" width="3.33203125" customWidth="1"/>
    <col min="2" max="2" width="8.33203125" bestFit="1" customWidth="1"/>
    <col min="3" max="3" width="8.1640625" bestFit="1" customWidth="1"/>
    <col min="4" max="4" width="7.5" bestFit="1" customWidth="1"/>
    <col min="5" max="5" width="16.33203125" bestFit="1" customWidth="1"/>
    <col min="6" max="6" width="19" bestFit="1" customWidth="1"/>
    <col min="7" max="7" width="5.83203125" bestFit="1" customWidth="1"/>
  </cols>
  <sheetData>
    <row r="2" spans="2:7">
      <c r="B2" t="s">
        <v>35</v>
      </c>
    </row>
    <row r="3" spans="2:7">
      <c r="B3" s="2" t="s">
        <v>6</v>
      </c>
      <c r="C3" s="2" t="s">
        <v>11</v>
      </c>
      <c r="D3" s="2" t="s">
        <v>12</v>
      </c>
      <c r="E3" s="2" t="s">
        <v>13</v>
      </c>
      <c r="F3" s="2" t="s">
        <v>14</v>
      </c>
      <c r="G3" s="2" t="s">
        <v>15</v>
      </c>
    </row>
    <row r="4" spans="2:7">
      <c r="B4" s="2" t="s">
        <v>16</v>
      </c>
      <c r="C4" s="2">
        <f>INT(0.92*D4)</f>
        <v>2</v>
      </c>
      <c r="D4" s="2">
        <f>INT(F4/E4)</f>
        <v>3</v>
      </c>
      <c r="E4" s="4">
        <v>0.30000000000000004</v>
      </c>
      <c r="F4" s="5">
        <f>INT(G4*1.05)</f>
        <v>1</v>
      </c>
      <c r="G4" s="2">
        <v>1</v>
      </c>
    </row>
    <row r="5" spans="2:7">
      <c r="B5" s="2" t="s">
        <v>18</v>
      </c>
      <c r="C5" s="2">
        <f t="shared" ref="C5:C15" si="0">INT(0.92*D5)</f>
        <v>56</v>
      </c>
      <c r="D5" s="2">
        <f t="shared" ref="D5:D15" si="1">INT(F5/E5)</f>
        <v>61</v>
      </c>
      <c r="E5" s="4">
        <v>0.31</v>
      </c>
      <c r="F5" s="5">
        <f t="shared" ref="F5:F15" si="2">INT(G5*1.05)</f>
        <v>19</v>
      </c>
      <c r="G5" s="2">
        <v>19</v>
      </c>
    </row>
    <row r="6" spans="2:7">
      <c r="B6" s="2" t="s">
        <v>19</v>
      </c>
      <c r="C6" s="2">
        <f t="shared" si="0"/>
        <v>67</v>
      </c>
      <c r="D6" s="2">
        <f t="shared" si="1"/>
        <v>73</v>
      </c>
      <c r="E6" s="4">
        <v>0.33999999999999997</v>
      </c>
      <c r="F6" s="5">
        <f>INT(G6*1.05)</f>
        <v>25</v>
      </c>
      <c r="G6" s="2">
        <v>24</v>
      </c>
    </row>
    <row r="7" spans="2:7">
      <c r="B7" s="2" t="s">
        <v>20</v>
      </c>
      <c r="C7" s="2">
        <f t="shared" si="0"/>
        <v>66</v>
      </c>
      <c r="D7" s="2">
        <f t="shared" si="1"/>
        <v>72</v>
      </c>
      <c r="E7" s="4">
        <v>0.33</v>
      </c>
      <c r="F7" s="5">
        <f t="shared" si="2"/>
        <v>24</v>
      </c>
      <c r="G7" s="2">
        <v>23</v>
      </c>
    </row>
    <row r="8" spans="2:7">
      <c r="B8" s="2" t="s">
        <v>21</v>
      </c>
      <c r="C8" s="2">
        <f t="shared" si="0"/>
        <v>88</v>
      </c>
      <c r="D8" s="2">
        <f t="shared" si="1"/>
        <v>96</v>
      </c>
      <c r="E8" s="4">
        <v>0.32</v>
      </c>
      <c r="F8" s="5">
        <f t="shared" si="2"/>
        <v>31</v>
      </c>
      <c r="G8" s="2">
        <v>30</v>
      </c>
    </row>
    <row r="9" spans="2:7">
      <c r="B9" s="2" t="s">
        <v>22</v>
      </c>
      <c r="C9" s="2">
        <f t="shared" si="0"/>
        <v>115</v>
      </c>
      <c r="D9" s="2">
        <f t="shared" si="1"/>
        <v>126</v>
      </c>
      <c r="E9" s="4">
        <v>0.30000000000000004</v>
      </c>
      <c r="F9" s="5">
        <f t="shared" si="2"/>
        <v>38</v>
      </c>
      <c r="G9" s="2">
        <v>37</v>
      </c>
    </row>
    <row r="10" spans="2:7">
      <c r="B10" s="2" t="s">
        <v>23</v>
      </c>
      <c r="C10" s="2">
        <f t="shared" si="0"/>
        <v>33</v>
      </c>
      <c r="D10" s="2">
        <f t="shared" si="1"/>
        <v>36</v>
      </c>
      <c r="E10" s="4">
        <v>0.33</v>
      </c>
      <c r="F10" s="5">
        <f t="shared" si="2"/>
        <v>12</v>
      </c>
      <c r="G10" s="2">
        <v>12</v>
      </c>
    </row>
    <row r="11" spans="2:7">
      <c r="B11" s="2" t="s">
        <v>24</v>
      </c>
      <c r="C11" s="2">
        <f t="shared" si="0"/>
        <v>189</v>
      </c>
      <c r="D11" s="2">
        <f t="shared" si="1"/>
        <v>206</v>
      </c>
      <c r="E11" s="4">
        <v>0.31</v>
      </c>
      <c r="F11" s="5">
        <f t="shared" si="2"/>
        <v>64</v>
      </c>
      <c r="G11" s="2">
        <v>61</v>
      </c>
    </row>
    <row r="12" spans="2:7">
      <c r="B12" s="2" t="s">
        <v>25</v>
      </c>
      <c r="C12" s="2">
        <f t="shared" si="0"/>
        <v>203</v>
      </c>
      <c r="D12" s="2">
        <f t="shared" si="1"/>
        <v>221</v>
      </c>
      <c r="E12" s="4">
        <v>0.32</v>
      </c>
      <c r="F12" s="5">
        <f t="shared" si="2"/>
        <v>71</v>
      </c>
      <c r="G12" s="2">
        <v>68</v>
      </c>
    </row>
    <row r="13" spans="2:7">
      <c r="B13" s="2" t="s">
        <v>26</v>
      </c>
      <c r="C13" s="2">
        <f t="shared" si="0"/>
        <v>228</v>
      </c>
      <c r="D13" s="2">
        <f t="shared" si="1"/>
        <v>248</v>
      </c>
      <c r="E13" s="4">
        <v>0.31</v>
      </c>
      <c r="F13" s="5">
        <f t="shared" si="2"/>
        <v>77</v>
      </c>
      <c r="G13" s="2">
        <v>74</v>
      </c>
    </row>
    <row r="14" spans="2:7">
      <c r="B14" s="2" t="s">
        <v>27</v>
      </c>
      <c r="C14" s="2">
        <f t="shared" si="0"/>
        <v>159</v>
      </c>
      <c r="D14" s="2">
        <f t="shared" si="1"/>
        <v>173</v>
      </c>
      <c r="E14" s="4">
        <v>0.30000000000000004</v>
      </c>
      <c r="F14" s="5">
        <f t="shared" si="2"/>
        <v>52</v>
      </c>
      <c r="G14" s="2">
        <v>50</v>
      </c>
    </row>
    <row r="15" spans="2:7">
      <c r="B15" s="2" t="s">
        <v>28</v>
      </c>
      <c r="C15" s="2">
        <f t="shared" si="0"/>
        <v>281</v>
      </c>
      <c r="D15" s="2">
        <f t="shared" si="1"/>
        <v>306</v>
      </c>
      <c r="E15" s="4">
        <v>0.32</v>
      </c>
      <c r="F15" s="5">
        <f t="shared" si="2"/>
        <v>98</v>
      </c>
      <c r="G15" s="2">
        <v>94</v>
      </c>
    </row>
    <row r="19" spans="2:7">
      <c r="B19" t="s">
        <v>36</v>
      </c>
    </row>
    <row r="20" spans="2:7">
      <c r="B20" s="2" t="s">
        <v>6</v>
      </c>
      <c r="C20" s="2" t="s">
        <v>11</v>
      </c>
      <c r="D20" s="2" t="s">
        <v>12</v>
      </c>
      <c r="E20" s="2" t="s">
        <v>13</v>
      </c>
      <c r="F20" s="2" t="s">
        <v>14</v>
      </c>
      <c r="G20" s="2" t="s">
        <v>15</v>
      </c>
    </row>
    <row r="21" spans="2:7">
      <c r="B21" s="2" t="s">
        <v>16</v>
      </c>
      <c r="C21" s="2">
        <f>INT(0.92*D21)</f>
        <v>9</v>
      </c>
      <c r="D21" s="2">
        <f>INT(F21/E21)</f>
        <v>10</v>
      </c>
      <c r="E21" s="4">
        <v>0.2</v>
      </c>
      <c r="F21" s="5">
        <f>INT(G21*1.05)</f>
        <v>2</v>
      </c>
      <c r="G21" s="2">
        <v>2</v>
      </c>
    </row>
    <row r="22" spans="2:7">
      <c r="B22" s="2" t="s">
        <v>18</v>
      </c>
      <c r="C22" s="2">
        <f t="shared" ref="C22:C32" si="3">INT(0.92*D22)</f>
        <v>652</v>
      </c>
      <c r="D22" s="2">
        <f t="shared" ref="D22:D32" si="4">INT(F22/E22)</f>
        <v>709</v>
      </c>
      <c r="E22" s="4">
        <v>0.21</v>
      </c>
      <c r="F22" s="5">
        <f t="shared" ref="F22:F32" si="5">INT(G22*1.05)</f>
        <v>149</v>
      </c>
      <c r="G22" s="2">
        <v>142</v>
      </c>
    </row>
    <row r="23" spans="2:7">
      <c r="B23" s="2" t="s">
        <v>19</v>
      </c>
      <c r="C23" s="2">
        <f t="shared" si="3"/>
        <v>1118</v>
      </c>
      <c r="D23" s="2">
        <f t="shared" si="4"/>
        <v>1216</v>
      </c>
      <c r="E23" s="4">
        <v>0.24</v>
      </c>
      <c r="F23" s="5">
        <f t="shared" si="5"/>
        <v>292</v>
      </c>
      <c r="G23" s="2">
        <v>279</v>
      </c>
    </row>
    <row r="24" spans="2:7">
      <c r="B24" s="2" t="s">
        <v>20</v>
      </c>
      <c r="C24" s="2">
        <f t="shared" si="3"/>
        <v>903</v>
      </c>
      <c r="D24" s="2">
        <f t="shared" si="4"/>
        <v>982</v>
      </c>
      <c r="E24" s="4">
        <v>0.23</v>
      </c>
      <c r="F24" s="5">
        <f t="shared" si="5"/>
        <v>226</v>
      </c>
      <c r="G24" s="2">
        <v>216</v>
      </c>
    </row>
    <row r="25" spans="2:7">
      <c r="B25" s="2" t="s">
        <v>21</v>
      </c>
      <c r="C25" s="2">
        <f t="shared" si="3"/>
        <v>1183</v>
      </c>
      <c r="D25" s="2">
        <f t="shared" si="4"/>
        <v>1286</v>
      </c>
      <c r="E25" s="4">
        <v>0.22</v>
      </c>
      <c r="F25" s="5">
        <f t="shared" si="5"/>
        <v>283</v>
      </c>
      <c r="G25" s="2">
        <v>270</v>
      </c>
    </row>
    <row r="26" spans="2:7">
      <c r="B26" s="2" t="s">
        <v>22</v>
      </c>
      <c r="C26" s="2">
        <f t="shared" si="3"/>
        <v>1587</v>
      </c>
      <c r="D26" s="2">
        <f t="shared" si="4"/>
        <v>1725</v>
      </c>
      <c r="E26" s="4">
        <v>0.2</v>
      </c>
      <c r="F26" s="5">
        <f t="shared" si="5"/>
        <v>345</v>
      </c>
      <c r="G26" s="2">
        <v>329</v>
      </c>
    </row>
    <row r="27" spans="2:7">
      <c r="B27" s="2" t="s">
        <v>23</v>
      </c>
      <c r="C27" s="2">
        <f t="shared" si="3"/>
        <v>615</v>
      </c>
      <c r="D27" s="2">
        <f t="shared" si="4"/>
        <v>669</v>
      </c>
      <c r="E27" s="4">
        <v>0.23</v>
      </c>
      <c r="F27" s="5">
        <f t="shared" si="5"/>
        <v>154</v>
      </c>
      <c r="G27" s="2">
        <v>147</v>
      </c>
    </row>
    <row r="28" spans="2:7">
      <c r="B28" s="2" t="s">
        <v>24</v>
      </c>
      <c r="C28" s="2">
        <f t="shared" si="3"/>
        <v>4100</v>
      </c>
      <c r="D28" s="2">
        <f t="shared" si="4"/>
        <v>4457</v>
      </c>
      <c r="E28" s="4">
        <v>0.21</v>
      </c>
      <c r="F28" s="5">
        <f t="shared" si="5"/>
        <v>936</v>
      </c>
      <c r="G28" s="2">
        <v>892</v>
      </c>
    </row>
    <row r="29" spans="2:7">
      <c r="B29" s="2" t="s">
        <v>25</v>
      </c>
      <c r="C29" s="2">
        <f t="shared" si="3"/>
        <v>3182</v>
      </c>
      <c r="D29" s="2">
        <f t="shared" si="4"/>
        <v>3459</v>
      </c>
      <c r="E29" s="4">
        <v>0.22</v>
      </c>
      <c r="F29" s="5">
        <f t="shared" si="5"/>
        <v>761</v>
      </c>
      <c r="G29" s="2">
        <v>725</v>
      </c>
    </row>
    <row r="30" spans="2:7">
      <c r="B30" s="2" t="s">
        <v>26</v>
      </c>
      <c r="C30" s="2">
        <f t="shared" si="3"/>
        <v>3740</v>
      </c>
      <c r="D30" s="2">
        <f t="shared" si="4"/>
        <v>4066</v>
      </c>
      <c r="E30" s="4">
        <v>0.21</v>
      </c>
      <c r="F30" s="5">
        <f t="shared" si="5"/>
        <v>854</v>
      </c>
      <c r="G30" s="2">
        <v>814</v>
      </c>
    </row>
    <row r="31" spans="2:7">
      <c r="B31" s="2" t="s">
        <v>27</v>
      </c>
      <c r="C31" s="2">
        <f t="shared" si="3"/>
        <v>4820</v>
      </c>
      <c r="D31" s="2">
        <f t="shared" si="4"/>
        <v>5240</v>
      </c>
      <c r="E31" s="4">
        <v>0.2</v>
      </c>
      <c r="F31" s="5">
        <f t="shared" si="5"/>
        <v>1048</v>
      </c>
      <c r="G31" s="2">
        <v>999</v>
      </c>
    </row>
    <row r="32" spans="2:7">
      <c r="B32" s="2" t="s">
        <v>28</v>
      </c>
      <c r="C32" s="2">
        <f t="shared" si="3"/>
        <v>4051</v>
      </c>
      <c r="D32" s="2">
        <f t="shared" si="4"/>
        <v>4404</v>
      </c>
      <c r="E32" s="4">
        <v>0.22</v>
      </c>
      <c r="F32" s="5">
        <f t="shared" si="5"/>
        <v>969</v>
      </c>
      <c r="G32" s="2">
        <v>923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58EF-AD33-744D-85B6-71623FE8D4F6}">
  <dimension ref="B2:BH34"/>
  <sheetViews>
    <sheetView showGridLines="0" tabSelected="1" workbookViewId="0">
      <selection activeCell="AA47" sqref="AA47"/>
    </sheetView>
  </sheetViews>
  <sheetFormatPr baseColWidth="10" defaultRowHeight="16" outlineLevelCol="1"/>
  <cols>
    <col min="1" max="1" width="3.5" style="57" customWidth="1"/>
    <col min="2" max="2" width="23.83203125" style="57" bestFit="1" customWidth="1"/>
    <col min="3" max="3" width="10.6640625" style="57" hidden="1" customWidth="1" outlineLevel="1"/>
    <col min="4" max="6" width="11.6640625" style="57" hidden="1" customWidth="1" outlineLevel="1"/>
    <col min="7" max="8" width="13.1640625" style="57" hidden="1" customWidth="1" outlineLevel="1"/>
    <col min="9" max="9" width="11.6640625" style="57" hidden="1" customWidth="1" outlineLevel="1"/>
    <col min="10" max="10" width="13.1640625" style="57" bestFit="1" customWidth="1" collapsed="1"/>
    <col min="11" max="14" width="13.1640625" style="57" bestFit="1" customWidth="1"/>
    <col min="15" max="16384" width="10.83203125" style="57"/>
  </cols>
  <sheetData>
    <row r="2" spans="2:26">
      <c r="B2" s="63"/>
    </row>
    <row r="4" spans="2:26" ht="26">
      <c r="B4" s="80" t="s">
        <v>100</v>
      </c>
    </row>
    <row r="6" spans="2:26">
      <c r="C6" s="81">
        <v>42887</v>
      </c>
      <c r="D6" s="81">
        <v>42917</v>
      </c>
      <c r="E6" s="81">
        <v>42948</v>
      </c>
      <c r="F6" s="81">
        <v>42979</v>
      </c>
      <c r="G6" s="81">
        <v>43009</v>
      </c>
      <c r="H6" s="81">
        <v>43040</v>
      </c>
      <c r="I6" s="81">
        <v>43070</v>
      </c>
      <c r="J6" s="81">
        <v>43101</v>
      </c>
      <c r="K6" s="81">
        <v>43132</v>
      </c>
      <c r="L6" s="81">
        <v>43160</v>
      </c>
      <c r="M6" s="81">
        <v>43191</v>
      </c>
      <c r="N6" s="81">
        <v>43221</v>
      </c>
      <c r="O6" s="81">
        <v>43252</v>
      </c>
      <c r="P6" s="81">
        <v>43282</v>
      </c>
      <c r="Q6" s="81">
        <v>43313</v>
      </c>
      <c r="R6" s="81">
        <v>43344</v>
      </c>
      <c r="S6" s="81">
        <v>43374</v>
      </c>
      <c r="T6" s="81">
        <v>43405</v>
      </c>
      <c r="U6" s="81">
        <v>43435</v>
      </c>
      <c r="V6" s="81">
        <v>43466</v>
      </c>
      <c r="W6" s="81">
        <v>43497</v>
      </c>
      <c r="X6" s="81">
        <v>43525</v>
      </c>
      <c r="Y6" s="81">
        <v>43556</v>
      </c>
      <c r="Z6" s="81">
        <v>43586</v>
      </c>
    </row>
    <row r="7" spans="2:26">
      <c r="C7" s="82"/>
      <c r="D7" s="82"/>
      <c r="E7" s="82"/>
      <c r="F7" s="82"/>
      <c r="G7" s="82"/>
      <c r="H7" s="82"/>
      <c r="I7" s="82"/>
      <c r="J7" s="82"/>
      <c r="K7" s="82"/>
      <c r="L7" s="82"/>
      <c r="M7" s="82"/>
      <c r="N7" s="82"/>
    </row>
    <row r="8" spans="2:26">
      <c r="B8" s="56" t="s">
        <v>0</v>
      </c>
      <c r="C8" s="83"/>
      <c r="D8" s="83"/>
      <c r="E8" s="83"/>
      <c r="F8" s="83"/>
      <c r="G8" s="83"/>
      <c r="H8" s="83"/>
      <c r="I8" s="83"/>
      <c r="J8" s="83"/>
      <c r="K8" s="83"/>
      <c r="L8" s="83"/>
      <c r="M8" s="83"/>
      <c r="N8" s="83"/>
    </row>
    <row r="9" spans="2:26">
      <c r="B9" s="67" t="s">
        <v>15</v>
      </c>
      <c r="C9" s="84">
        <v>0</v>
      </c>
      <c r="D9" s="84">
        <f>'INPUTS LEADS - Paid Traffic'!D14</f>
        <v>56</v>
      </c>
      <c r="E9" s="84">
        <f>'INPUTS LEADS - Paid Traffic'!E14</f>
        <v>79</v>
      </c>
      <c r="F9" s="84">
        <f>'INPUTS LEADS - Paid Traffic'!F14</f>
        <v>64</v>
      </c>
      <c r="G9" s="84">
        <f>'INPUTS LEADS - Paid Traffic'!G14</f>
        <v>100</v>
      </c>
      <c r="H9" s="84">
        <f>'INPUTS LEADS - Paid Traffic'!H14</f>
        <v>70</v>
      </c>
      <c r="I9" s="84">
        <f>'INPUTS LEADS - Paid Traffic'!I14</f>
        <v>35</v>
      </c>
      <c r="J9" s="84">
        <f>'INPUTS LEADS - Paid Traffic'!J14</f>
        <v>170</v>
      </c>
      <c r="K9" s="84">
        <f>'INPUTS LEADS - Paid Traffic'!K14</f>
        <v>212</v>
      </c>
      <c r="L9" s="84">
        <f>'INPUTS LEADS - Paid Traffic'!L14</f>
        <v>262</v>
      </c>
      <c r="M9" s="84">
        <f>'INPUTS LEADS - Paid Traffic'!M14</f>
        <v>272</v>
      </c>
      <c r="N9" s="84">
        <f>'INPUTS LEADS - Paid Traffic'!N14</f>
        <v>266</v>
      </c>
      <c r="O9" s="84">
        <f>'INPUTS LEADS - Paid Traffic'!O14</f>
        <v>298</v>
      </c>
      <c r="P9" s="84">
        <f>'INPUTS LEADS - Paid Traffic'!P14</f>
        <v>310</v>
      </c>
      <c r="Q9" s="84">
        <f>'INPUTS LEADS - Paid Traffic'!Q14</f>
        <v>323</v>
      </c>
      <c r="R9" s="84">
        <f>'INPUTS LEADS - Paid Traffic'!R14</f>
        <v>335</v>
      </c>
      <c r="S9" s="84">
        <f>'INPUTS LEADS - Paid Traffic'!S14</f>
        <v>349</v>
      </c>
      <c r="T9" s="84">
        <f>'INPUTS LEADS - Paid Traffic'!T14</f>
        <v>363</v>
      </c>
      <c r="U9" s="84">
        <f>'INPUTS LEADS - Paid Traffic'!U14</f>
        <v>377</v>
      </c>
      <c r="V9" s="84">
        <f>'INPUTS LEADS - Paid Traffic'!V14</f>
        <v>392</v>
      </c>
      <c r="W9" s="84">
        <f>'INPUTS LEADS - Paid Traffic'!W14</f>
        <v>408</v>
      </c>
      <c r="X9" s="84">
        <f>'INPUTS LEADS - Paid Traffic'!X14</f>
        <v>424</v>
      </c>
      <c r="Y9" s="84">
        <f>'INPUTS LEADS - Paid Traffic'!Y14</f>
        <v>441</v>
      </c>
      <c r="Z9" s="84">
        <f>'INPUTS LEADS - Paid Traffic'!Z14</f>
        <v>458</v>
      </c>
    </row>
    <row r="10" spans="2:26">
      <c r="B10" s="67" t="s">
        <v>129</v>
      </c>
      <c r="C10" s="69">
        <v>0</v>
      </c>
      <c r="D10" s="69">
        <v>0</v>
      </c>
      <c r="E10" s="69">
        <v>3.7974683544303799E-2</v>
      </c>
      <c r="F10" s="69">
        <v>3.125E-2</v>
      </c>
      <c r="G10" s="69">
        <v>7.0000000000000007E-2</v>
      </c>
      <c r="H10" s="69">
        <v>8.5714285714285715E-2</v>
      </c>
      <c r="I10" s="69">
        <v>5.7142857142857141E-2</v>
      </c>
      <c r="J10" s="69">
        <v>0.11764705882352941</v>
      </c>
      <c r="K10" s="69">
        <v>0.20283018867924529</v>
      </c>
      <c r="L10" s="69">
        <v>0.14885496183206107</v>
      </c>
      <c r="M10" s="69">
        <v>0.15808823529411764</v>
      </c>
      <c r="N10" s="69">
        <v>0.11278195488721804</v>
      </c>
      <c r="O10" s="85">
        <f>AVERAGE(L10:N10)</f>
        <v>0.13990838400446556</v>
      </c>
      <c r="P10" s="86">
        <f>AVERAGE(M10:O10)</f>
        <v>0.13692619139526707</v>
      </c>
      <c r="Q10" s="86">
        <f>AVERAGE(N10:P10)</f>
        <v>0.12987217676231688</v>
      </c>
      <c r="R10" s="86">
        <f>AVERAGE(O10:Q10)</f>
        <v>0.13556891738734986</v>
      </c>
      <c r="S10" s="86">
        <f>AVERAGE(P10:R10)</f>
        <v>0.13412242851497794</v>
      </c>
      <c r="T10" s="86">
        <f t="shared" ref="P10:Z10" si="0">AVERAGE(Q10:S10)</f>
        <v>0.13318784088821489</v>
      </c>
      <c r="U10" s="86">
        <f t="shared" si="0"/>
        <v>0.13429306226351423</v>
      </c>
      <c r="V10" s="86">
        <f t="shared" si="0"/>
        <v>0.13386777722223567</v>
      </c>
      <c r="W10" s="86">
        <f t="shared" si="0"/>
        <v>0.13378289345798824</v>
      </c>
      <c r="X10" s="86">
        <f t="shared" si="0"/>
        <v>0.13398124431457936</v>
      </c>
      <c r="Y10" s="86">
        <f t="shared" si="0"/>
        <v>0.13387730499826775</v>
      </c>
      <c r="Z10" s="86">
        <f t="shared" si="0"/>
        <v>0.13388048092361179</v>
      </c>
    </row>
    <row r="11" spans="2:26">
      <c r="B11" s="87" t="s">
        <v>130</v>
      </c>
      <c r="C11" s="88">
        <f>INT(C9*C10)</f>
        <v>0</v>
      </c>
      <c r="D11" s="88">
        <f t="shared" ref="D11:Q11" si="1">INT(D9*D10)</f>
        <v>0</v>
      </c>
      <c r="E11" s="88">
        <f t="shared" si="1"/>
        <v>3</v>
      </c>
      <c r="F11" s="88">
        <f t="shared" si="1"/>
        <v>2</v>
      </c>
      <c r="G11" s="88">
        <f t="shared" si="1"/>
        <v>7</v>
      </c>
      <c r="H11" s="88">
        <f t="shared" si="1"/>
        <v>6</v>
      </c>
      <c r="I11" s="88">
        <f t="shared" si="1"/>
        <v>2</v>
      </c>
      <c r="J11" s="88">
        <f t="shared" si="1"/>
        <v>20</v>
      </c>
      <c r="K11" s="88">
        <f t="shared" si="1"/>
        <v>43</v>
      </c>
      <c r="L11" s="88">
        <f t="shared" si="1"/>
        <v>39</v>
      </c>
      <c r="M11" s="88">
        <f t="shared" si="1"/>
        <v>43</v>
      </c>
      <c r="N11" s="88">
        <f t="shared" si="1"/>
        <v>30</v>
      </c>
      <c r="O11" s="88">
        <f t="shared" si="1"/>
        <v>41</v>
      </c>
      <c r="P11" s="88">
        <f t="shared" si="1"/>
        <v>42</v>
      </c>
      <c r="Q11" s="88">
        <f t="shared" si="1"/>
        <v>41</v>
      </c>
      <c r="R11" s="88">
        <f t="shared" ref="R11" si="2">INT(R9*R10)</f>
        <v>45</v>
      </c>
      <c r="S11" s="88">
        <f t="shared" ref="S11" si="3">INT(S9*S10)</f>
        <v>46</v>
      </c>
      <c r="T11" s="88">
        <f t="shared" ref="T11" si="4">INT(T9*T10)</f>
        <v>48</v>
      </c>
      <c r="U11" s="88">
        <f t="shared" ref="U11" si="5">INT(U9*U10)</f>
        <v>50</v>
      </c>
      <c r="V11" s="88">
        <f t="shared" ref="V11" si="6">INT(V9*V10)</f>
        <v>52</v>
      </c>
      <c r="W11" s="88">
        <f t="shared" ref="W11" si="7">INT(W9*W10)</f>
        <v>54</v>
      </c>
      <c r="X11" s="88">
        <f t="shared" ref="X11" si="8">INT(X9*X10)</f>
        <v>56</v>
      </c>
      <c r="Y11" s="88">
        <f t="shared" ref="Y11" si="9">INT(Y9*Y10)</f>
        <v>59</v>
      </c>
      <c r="Z11" s="88">
        <f t="shared" ref="Z11" si="10">INT(Z9*Z10)</f>
        <v>61</v>
      </c>
    </row>
    <row r="13" spans="2:26">
      <c r="B13" s="56" t="s">
        <v>2</v>
      </c>
      <c r="C13" s="89"/>
      <c r="D13" s="89"/>
      <c r="E13" s="89"/>
      <c r="F13" s="89"/>
      <c r="G13" s="89"/>
      <c r="H13" s="89"/>
      <c r="I13" s="89"/>
      <c r="J13" s="89"/>
      <c r="K13" s="89"/>
      <c r="L13" s="89"/>
      <c r="M13" s="89"/>
      <c r="N13" s="89"/>
    </row>
    <row r="14" spans="2:26">
      <c r="B14" s="67" t="s">
        <v>15</v>
      </c>
      <c r="C14" s="84">
        <f>'INPUTS LEADS - Paid Traffic'!C22</f>
        <v>1</v>
      </c>
      <c r="D14" s="84">
        <f>'INPUTS LEADS - Paid Traffic'!D22</f>
        <v>19</v>
      </c>
      <c r="E14" s="84">
        <f>'INPUTS LEADS - Paid Traffic'!E22</f>
        <v>2</v>
      </c>
      <c r="F14" s="84">
        <f>'INPUTS LEADS - Paid Traffic'!F22</f>
        <v>5</v>
      </c>
      <c r="G14" s="84">
        <f>'INPUTS LEADS - Paid Traffic'!G22</f>
        <v>5</v>
      </c>
      <c r="H14" s="84">
        <f>'INPUTS LEADS - Paid Traffic'!H22</f>
        <v>6</v>
      </c>
      <c r="I14" s="84">
        <f>'INPUTS LEADS - Paid Traffic'!I22</f>
        <v>5</v>
      </c>
      <c r="J14" s="84">
        <f>'INPUTS LEADS - Paid Traffic'!J22</f>
        <v>11</v>
      </c>
      <c r="K14" s="84">
        <f>'INPUTS LEADS - Paid Traffic'!K22</f>
        <v>18</v>
      </c>
      <c r="L14" s="84">
        <f>'INPUTS LEADS - Paid Traffic'!L22</f>
        <v>16</v>
      </c>
      <c r="M14" s="84">
        <f>'INPUTS LEADS - Paid Traffic'!M22</f>
        <v>19</v>
      </c>
      <c r="N14" s="84">
        <f>'INPUTS LEADS - Paid Traffic'!N22</f>
        <v>11</v>
      </c>
      <c r="O14" s="84">
        <f>'INPUTS LEADS - Paid Traffic'!O22</f>
        <v>12</v>
      </c>
      <c r="P14" s="84">
        <f>'INPUTS LEADS - Paid Traffic'!P22</f>
        <v>12</v>
      </c>
      <c r="Q14" s="84">
        <f>'INPUTS LEADS - Paid Traffic'!Q22</f>
        <v>13</v>
      </c>
      <c r="R14" s="84">
        <f>'INPUTS LEADS - Paid Traffic'!R22</f>
        <v>13</v>
      </c>
      <c r="S14" s="84">
        <f>'INPUTS LEADS - Paid Traffic'!S22</f>
        <v>14</v>
      </c>
      <c r="T14" s="84">
        <f>'INPUTS LEADS - Paid Traffic'!T22</f>
        <v>14</v>
      </c>
      <c r="U14" s="84">
        <f>'INPUTS LEADS - Paid Traffic'!U22</f>
        <v>15</v>
      </c>
      <c r="V14" s="84">
        <f>'INPUTS LEADS - Paid Traffic'!V22</f>
        <v>16</v>
      </c>
      <c r="W14" s="84">
        <f>'INPUTS LEADS - Paid Traffic'!W22</f>
        <v>16</v>
      </c>
      <c r="X14" s="84">
        <f>'INPUTS LEADS - Paid Traffic'!X22</f>
        <v>17</v>
      </c>
      <c r="Y14" s="84">
        <f>'INPUTS LEADS - Paid Traffic'!Y22</f>
        <v>18</v>
      </c>
      <c r="Z14" s="84">
        <f>'INPUTS LEADS - Paid Traffic'!Z22</f>
        <v>19</v>
      </c>
    </row>
    <row r="15" spans="2:26">
      <c r="B15" s="67" t="s">
        <v>129</v>
      </c>
      <c r="C15" s="69">
        <v>0</v>
      </c>
      <c r="D15" s="69">
        <v>0</v>
      </c>
      <c r="E15" s="69">
        <v>0</v>
      </c>
      <c r="F15" s="69">
        <v>0</v>
      </c>
      <c r="G15" s="69">
        <v>0</v>
      </c>
      <c r="H15" s="69">
        <v>0</v>
      </c>
      <c r="I15" s="69">
        <v>0.2</v>
      </c>
      <c r="J15" s="69">
        <v>0</v>
      </c>
      <c r="K15" s="69">
        <v>5.5555555555555552E-2</v>
      </c>
      <c r="L15" s="69">
        <v>6.25E-2</v>
      </c>
      <c r="M15" s="69">
        <v>0.10526315789473684</v>
      </c>
      <c r="N15" s="69">
        <v>9.0909090909090912E-2</v>
      </c>
      <c r="O15" s="85">
        <f>AVERAGE(L15:N15)</f>
        <v>8.6224082934609259E-2</v>
      </c>
      <c r="P15" s="86">
        <f t="shared" ref="P15:Z15" si="11">AVERAGE(M15:O15)</f>
        <v>9.4132110579479011E-2</v>
      </c>
      <c r="Q15" s="86">
        <f t="shared" si="11"/>
        <v>9.042176147439307E-2</v>
      </c>
      <c r="R15" s="86">
        <f t="shared" si="11"/>
        <v>9.0259318329493785E-2</v>
      </c>
      <c r="S15" s="86">
        <f t="shared" si="11"/>
        <v>9.1604396794455298E-2</v>
      </c>
      <c r="T15" s="86">
        <f t="shared" si="11"/>
        <v>9.0761825532780727E-2</v>
      </c>
      <c r="U15" s="86">
        <f t="shared" si="11"/>
        <v>9.0875180218909946E-2</v>
      </c>
      <c r="V15" s="86">
        <f t="shared" si="11"/>
        <v>9.1080467515381999E-2</v>
      </c>
      <c r="W15" s="86">
        <f t="shared" si="11"/>
        <v>9.0905824422357562E-2</v>
      </c>
      <c r="X15" s="86">
        <f t="shared" si="11"/>
        <v>9.0953824052216511E-2</v>
      </c>
      <c r="Y15" s="86">
        <f t="shared" si="11"/>
        <v>9.0980038663318705E-2</v>
      </c>
      <c r="Z15" s="86">
        <f t="shared" si="11"/>
        <v>9.0946562379297602E-2</v>
      </c>
    </row>
    <row r="16" spans="2:26">
      <c r="B16" s="87" t="s">
        <v>131</v>
      </c>
      <c r="C16" s="88">
        <f>INT(C14*C15)</f>
        <v>0</v>
      </c>
      <c r="D16" s="88">
        <f t="shared" ref="D16:Z16" si="12">INT(D14*D15)</f>
        <v>0</v>
      </c>
      <c r="E16" s="88">
        <f t="shared" si="12"/>
        <v>0</v>
      </c>
      <c r="F16" s="88">
        <f t="shared" si="12"/>
        <v>0</v>
      </c>
      <c r="G16" s="88">
        <f t="shared" si="12"/>
        <v>0</v>
      </c>
      <c r="H16" s="88">
        <f t="shared" si="12"/>
        <v>0</v>
      </c>
      <c r="I16" s="88">
        <f t="shared" si="12"/>
        <v>1</v>
      </c>
      <c r="J16" s="88">
        <f t="shared" si="12"/>
        <v>0</v>
      </c>
      <c r="K16" s="88">
        <f t="shared" si="12"/>
        <v>1</v>
      </c>
      <c r="L16" s="88">
        <f t="shared" si="12"/>
        <v>1</v>
      </c>
      <c r="M16" s="88">
        <f t="shared" si="12"/>
        <v>2</v>
      </c>
      <c r="N16" s="88">
        <f t="shared" si="12"/>
        <v>1</v>
      </c>
      <c r="O16" s="88">
        <f t="shared" si="12"/>
        <v>1</v>
      </c>
      <c r="P16" s="88">
        <f t="shared" si="12"/>
        <v>1</v>
      </c>
      <c r="Q16" s="88">
        <f t="shared" si="12"/>
        <v>1</v>
      </c>
      <c r="R16" s="88">
        <f t="shared" si="12"/>
        <v>1</v>
      </c>
      <c r="S16" s="88">
        <f t="shared" si="12"/>
        <v>1</v>
      </c>
      <c r="T16" s="88">
        <f t="shared" si="12"/>
        <v>1</v>
      </c>
      <c r="U16" s="88">
        <f t="shared" si="12"/>
        <v>1</v>
      </c>
      <c r="V16" s="88">
        <f t="shared" si="12"/>
        <v>1</v>
      </c>
      <c r="W16" s="88">
        <f t="shared" si="12"/>
        <v>1</v>
      </c>
      <c r="X16" s="88">
        <f t="shared" si="12"/>
        <v>1</v>
      </c>
      <c r="Y16" s="88">
        <f t="shared" si="12"/>
        <v>1</v>
      </c>
      <c r="Z16" s="88">
        <f t="shared" si="12"/>
        <v>1</v>
      </c>
    </row>
    <row r="18" spans="2:60">
      <c r="B18" s="56" t="s">
        <v>3</v>
      </c>
      <c r="D18" s="90"/>
      <c r="E18" s="90"/>
      <c r="F18" s="90"/>
      <c r="G18" s="90"/>
      <c r="H18" s="90"/>
      <c r="I18" s="90"/>
      <c r="J18" s="90"/>
      <c r="K18" s="90"/>
      <c r="L18" s="90"/>
      <c r="M18" s="90"/>
      <c r="N18" s="90"/>
    </row>
    <row r="19" spans="2:60">
      <c r="B19" s="67" t="s">
        <v>15</v>
      </c>
      <c r="C19" s="84">
        <f>'INPUTS LEADS - Paid Traffic'!C30</f>
        <v>0</v>
      </c>
      <c r="D19" s="84">
        <f>'INPUTS LEADS - Paid Traffic'!D30</f>
        <v>3</v>
      </c>
      <c r="E19" s="84">
        <f>'INPUTS LEADS - Paid Traffic'!E30</f>
        <v>2</v>
      </c>
      <c r="F19" s="84">
        <f>'INPUTS LEADS - Paid Traffic'!F30</f>
        <v>4</v>
      </c>
      <c r="G19" s="84">
        <f>'INPUTS LEADS - Paid Traffic'!G30</f>
        <v>11</v>
      </c>
      <c r="H19" s="84">
        <f>'INPUTS LEADS - Paid Traffic'!H30</f>
        <v>3</v>
      </c>
      <c r="I19" s="84">
        <f>'INPUTS LEADS - Paid Traffic'!I30</f>
        <v>1</v>
      </c>
      <c r="J19" s="84">
        <f>'INPUTS LEADS - Paid Traffic'!J30</f>
        <v>7</v>
      </c>
      <c r="K19" s="84">
        <f>'INPUTS LEADS - Paid Traffic'!K30</f>
        <v>5</v>
      </c>
      <c r="L19" s="84">
        <f>'INPUTS LEADS - Paid Traffic'!L30</f>
        <v>8</v>
      </c>
      <c r="M19" s="84">
        <f>'INPUTS LEADS - Paid Traffic'!M30</f>
        <v>12</v>
      </c>
      <c r="N19" s="84">
        <f>'INPUTS LEADS - Paid Traffic'!N30</f>
        <v>9</v>
      </c>
      <c r="O19" s="84">
        <f>'INPUTS LEADS - Paid Traffic'!O30</f>
        <v>10</v>
      </c>
      <c r="P19" s="84">
        <f>'INPUTS LEADS - Paid Traffic'!P30</f>
        <v>10</v>
      </c>
      <c r="Q19" s="84">
        <f>'INPUTS LEADS - Paid Traffic'!Q30</f>
        <v>11</v>
      </c>
      <c r="R19" s="84">
        <f>'INPUTS LEADS - Paid Traffic'!R30</f>
        <v>12</v>
      </c>
      <c r="S19" s="84">
        <f>'INPUTS LEADS - Paid Traffic'!S30</f>
        <v>12</v>
      </c>
      <c r="T19" s="84">
        <f>'INPUTS LEADS - Paid Traffic'!T30</f>
        <v>13</v>
      </c>
      <c r="U19" s="84">
        <f>'INPUTS LEADS - Paid Traffic'!U30</f>
        <v>13</v>
      </c>
      <c r="V19" s="84">
        <f>'INPUTS LEADS - Paid Traffic'!V30</f>
        <v>14</v>
      </c>
      <c r="W19" s="84">
        <f>'INPUTS LEADS - Paid Traffic'!W30</f>
        <v>15</v>
      </c>
      <c r="X19" s="84">
        <f>'INPUTS LEADS - Paid Traffic'!X30</f>
        <v>15</v>
      </c>
      <c r="Y19" s="84">
        <f>'INPUTS LEADS - Paid Traffic'!Y30</f>
        <v>16</v>
      </c>
      <c r="Z19" s="84">
        <f>'INPUTS LEADS - Paid Traffic'!Z30</f>
        <v>17</v>
      </c>
    </row>
    <row r="20" spans="2:60">
      <c r="B20" s="67" t="s">
        <v>129</v>
      </c>
      <c r="C20" s="69">
        <v>0</v>
      </c>
      <c r="D20" s="69">
        <v>0</v>
      </c>
      <c r="E20" s="69">
        <v>0</v>
      </c>
      <c r="F20" s="69">
        <v>0</v>
      </c>
      <c r="G20" s="69">
        <v>0</v>
      </c>
      <c r="H20" s="69">
        <v>0</v>
      </c>
      <c r="I20" s="69">
        <v>0</v>
      </c>
      <c r="J20" s="69">
        <v>0.2857142857142857</v>
      </c>
      <c r="K20" s="69">
        <v>0</v>
      </c>
      <c r="L20" s="69">
        <v>0.125</v>
      </c>
      <c r="M20" s="69">
        <v>0</v>
      </c>
      <c r="N20" s="69">
        <v>0</v>
      </c>
      <c r="O20" s="91">
        <f>ASSUMPTIONS!$C$42</f>
        <v>0.13</v>
      </c>
      <c r="P20" s="92">
        <f>ASSUMPTIONS!$C$42</f>
        <v>0.13</v>
      </c>
      <c r="Q20" s="92">
        <f>ASSUMPTIONS!$C$42</f>
        <v>0.13</v>
      </c>
      <c r="R20" s="92">
        <f>ASSUMPTIONS!$C$42</f>
        <v>0.13</v>
      </c>
      <c r="S20" s="92">
        <f>ASSUMPTIONS!$C$42</f>
        <v>0.13</v>
      </c>
      <c r="T20" s="92">
        <f>ASSUMPTIONS!$C$42</f>
        <v>0.13</v>
      </c>
      <c r="U20" s="92">
        <f>ASSUMPTIONS!$C$42</f>
        <v>0.13</v>
      </c>
      <c r="V20" s="92">
        <f>ASSUMPTIONS!$C$42</f>
        <v>0.13</v>
      </c>
      <c r="W20" s="92">
        <f>ASSUMPTIONS!$C$42</f>
        <v>0.13</v>
      </c>
      <c r="X20" s="92">
        <f>ASSUMPTIONS!$C$42</f>
        <v>0.13</v>
      </c>
      <c r="Y20" s="92">
        <f>ASSUMPTIONS!$C$42</f>
        <v>0.13</v>
      </c>
      <c r="Z20" s="92">
        <f>ASSUMPTIONS!$C$42</f>
        <v>0.13</v>
      </c>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row>
    <row r="21" spans="2:60">
      <c r="B21" s="87" t="s">
        <v>132</v>
      </c>
      <c r="C21" s="88">
        <f>INT(C20*C19)</f>
        <v>0</v>
      </c>
      <c r="D21" s="88">
        <f t="shared" ref="D21:Z21" si="13">INT(D20*D19)</f>
        <v>0</v>
      </c>
      <c r="E21" s="88">
        <f t="shared" si="13"/>
        <v>0</v>
      </c>
      <c r="F21" s="88">
        <f t="shared" si="13"/>
        <v>0</v>
      </c>
      <c r="G21" s="88">
        <f t="shared" si="13"/>
        <v>0</v>
      </c>
      <c r="H21" s="88">
        <f t="shared" si="13"/>
        <v>0</v>
      </c>
      <c r="I21" s="88">
        <f t="shared" si="13"/>
        <v>0</v>
      </c>
      <c r="J21" s="88">
        <f t="shared" si="13"/>
        <v>2</v>
      </c>
      <c r="K21" s="88">
        <f t="shared" si="13"/>
        <v>0</v>
      </c>
      <c r="L21" s="88">
        <f t="shared" si="13"/>
        <v>1</v>
      </c>
      <c r="M21" s="88">
        <f t="shared" si="13"/>
        <v>0</v>
      </c>
      <c r="N21" s="88">
        <f t="shared" si="13"/>
        <v>0</v>
      </c>
      <c r="O21" s="88">
        <f t="shared" si="13"/>
        <v>1</v>
      </c>
      <c r="P21" s="88">
        <f t="shared" si="13"/>
        <v>1</v>
      </c>
      <c r="Q21" s="88">
        <f t="shared" si="13"/>
        <v>1</v>
      </c>
      <c r="R21" s="88">
        <f t="shared" si="13"/>
        <v>1</v>
      </c>
      <c r="S21" s="88">
        <f t="shared" si="13"/>
        <v>1</v>
      </c>
      <c r="T21" s="88">
        <f t="shared" si="13"/>
        <v>1</v>
      </c>
      <c r="U21" s="88">
        <f t="shared" si="13"/>
        <v>1</v>
      </c>
      <c r="V21" s="88">
        <f t="shared" si="13"/>
        <v>1</v>
      </c>
      <c r="W21" s="88">
        <f t="shared" si="13"/>
        <v>1</v>
      </c>
      <c r="X21" s="88">
        <f t="shared" si="13"/>
        <v>1</v>
      </c>
      <c r="Y21" s="88">
        <f t="shared" si="13"/>
        <v>2</v>
      </c>
      <c r="Z21" s="88">
        <f t="shared" si="13"/>
        <v>2</v>
      </c>
    </row>
    <row r="23" spans="2:60">
      <c r="B23" s="56" t="s">
        <v>37</v>
      </c>
      <c r="C23" s="89"/>
      <c r="D23" s="89"/>
      <c r="E23" s="89"/>
      <c r="F23" s="89"/>
      <c r="G23" s="89"/>
      <c r="H23" s="89"/>
      <c r="I23" s="89"/>
      <c r="J23" s="89"/>
      <c r="K23" s="89"/>
      <c r="L23" s="89"/>
      <c r="M23" s="89"/>
      <c r="N23" s="89"/>
    </row>
    <row r="24" spans="2:60">
      <c r="B24" s="67" t="s">
        <v>15</v>
      </c>
      <c r="C24" s="84">
        <f>'INPUTS LEADS - Organic Traffic'!C12</f>
        <v>1</v>
      </c>
      <c r="D24" s="84">
        <f>'INPUTS LEADS - Organic Traffic'!D12</f>
        <v>19</v>
      </c>
      <c r="E24" s="84">
        <f>'INPUTS LEADS - Organic Traffic'!E12</f>
        <v>24</v>
      </c>
      <c r="F24" s="84">
        <f>'INPUTS LEADS - Organic Traffic'!F12</f>
        <v>23</v>
      </c>
      <c r="G24" s="84">
        <f>'INPUTS LEADS - Organic Traffic'!G12</f>
        <v>30</v>
      </c>
      <c r="H24" s="84">
        <f>'INPUTS LEADS - Organic Traffic'!H12</f>
        <v>37</v>
      </c>
      <c r="I24" s="84">
        <f>'INPUTS LEADS - Organic Traffic'!I12</f>
        <v>12</v>
      </c>
      <c r="J24" s="84">
        <f>'INPUTS LEADS - Organic Traffic'!J12</f>
        <v>61</v>
      </c>
      <c r="K24" s="84">
        <f>'INPUTS LEADS - Organic Traffic'!K12</f>
        <v>68</v>
      </c>
      <c r="L24" s="84">
        <f>'INPUTS LEADS - Organic Traffic'!L12</f>
        <v>74</v>
      </c>
      <c r="M24" s="84">
        <f>'INPUTS LEADS - Organic Traffic'!M12</f>
        <v>50</v>
      </c>
      <c r="N24" s="84">
        <f>'INPUTS LEADS - Organic Traffic'!N12</f>
        <v>94</v>
      </c>
      <c r="O24" s="84">
        <f>'INPUTS LEADS - Organic Traffic'!O12</f>
        <v>91</v>
      </c>
      <c r="P24" s="84">
        <f>'INPUTS LEADS - Organic Traffic'!P12</f>
        <v>97</v>
      </c>
      <c r="Q24" s="84">
        <f>'INPUTS LEADS - Organic Traffic'!Q12</f>
        <v>104</v>
      </c>
      <c r="R24" s="84">
        <f>'INPUTS LEADS - Organic Traffic'!R12</f>
        <v>111</v>
      </c>
      <c r="S24" s="84">
        <f>'INPUTS LEADS - Organic Traffic'!S12</f>
        <v>117</v>
      </c>
      <c r="T24" s="84">
        <f>'INPUTS LEADS - Organic Traffic'!T12</f>
        <v>124</v>
      </c>
      <c r="U24" s="84">
        <f>'INPUTS LEADS - Organic Traffic'!U12</f>
        <v>131</v>
      </c>
      <c r="V24" s="84">
        <f>'INPUTS LEADS - Organic Traffic'!V12</f>
        <v>137</v>
      </c>
      <c r="W24" s="84">
        <f>'INPUTS LEADS - Organic Traffic'!W12</f>
        <v>144</v>
      </c>
      <c r="X24" s="84">
        <f>'INPUTS LEADS - Organic Traffic'!X12</f>
        <v>151</v>
      </c>
      <c r="Y24" s="84">
        <f>'INPUTS LEADS - Organic Traffic'!Y12</f>
        <v>157</v>
      </c>
      <c r="Z24" s="84">
        <f>'INPUTS LEADS - Organic Traffic'!Z12</f>
        <v>164</v>
      </c>
    </row>
    <row r="25" spans="2:60">
      <c r="B25" s="67" t="s">
        <v>129</v>
      </c>
      <c r="C25" s="69">
        <v>0</v>
      </c>
      <c r="D25" s="69">
        <v>0</v>
      </c>
      <c r="E25" s="69">
        <v>0</v>
      </c>
      <c r="F25" s="69">
        <v>0</v>
      </c>
      <c r="G25" s="69">
        <v>3.3333333333333333E-2</v>
      </c>
      <c r="H25" s="69">
        <v>0</v>
      </c>
      <c r="I25" s="69">
        <v>0</v>
      </c>
      <c r="J25" s="69">
        <v>1.6393442622950821E-2</v>
      </c>
      <c r="K25" s="69">
        <v>5.8823529411764705E-2</v>
      </c>
      <c r="L25" s="69">
        <v>5.4054054054054057E-2</v>
      </c>
      <c r="M25" s="69">
        <v>0.06</v>
      </c>
      <c r="N25" s="69">
        <v>2.1276595744680851E-2</v>
      </c>
      <c r="O25" s="85">
        <f>AVERAGE(L25:N25)</f>
        <v>4.5110216599578305E-2</v>
      </c>
      <c r="P25" s="86">
        <f t="shared" ref="P25:Z25" si="14">AVERAGE(M25:O25)</f>
        <v>4.2128937448086386E-2</v>
      </c>
      <c r="Q25" s="86">
        <f t="shared" si="14"/>
        <v>3.6171916597448513E-2</v>
      </c>
      <c r="R25" s="86">
        <f t="shared" si="14"/>
        <v>4.1137023548371066E-2</v>
      </c>
      <c r="S25" s="86">
        <f t="shared" si="14"/>
        <v>3.9812625864635319E-2</v>
      </c>
      <c r="T25" s="86">
        <f t="shared" si="14"/>
        <v>3.9040522003484963E-2</v>
      </c>
      <c r="U25" s="86">
        <f t="shared" si="14"/>
        <v>3.9996723805497118E-2</v>
      </c>
      <c r="V25" s="86">
        <f t="shared" si="14"/>
        <v>3.96166238912058E-2</v>
      </c>
      <c r="W25" s="86">
        <f t="shared" si="14"/>
        <v>3.9551289900062625E-2</v>
      </c>
      <c r="X25" s="86">
        <f t="shared" si="14"/>
        <v>3.9721545865588515E-2</v>
      </c>
      <c r="Y25" s="86">
        <f t="shared" si="14"/>
        <v>3.9629819885618978E-2</v>
      </c>
      <c r="Z25" s="86">
        <f t="shared" si="14"/>
        <v>3.9634218550423372E-2</v>
      </c>
    </row>
    <row r="26" spans="2:60">
      <c r="B26" s="87" t="s">
        <v>133</v>
      </c>
      <c r="C26" s="88">
        <f>INT(C24*C25)</f>
        <v>0</v>
      </c>
      <c r="D26" s="88">
        <f t="shared" ref="D26:Z26" si="15">INT(D24*D25)</f>
        <v>0</v>
      </c>
      <c r="E26" s="88">
        <f t="shared" si="15"/>
        <v>0</v>
      </c>
      <c r="F26" s="88">
        <f t="shared" si="15"/>
        <v>0</v>
      </c>
      <c r="G26" s="88">
        <f t="shared" si="15"/>
        <v>1</v>
      </c>
      <c r="H26" s="88">
        <f t="shared" si="15"/>
        <v>0</v>
      </c>
      <c r="I26" s="88">
        <f t="shared" si="15"/>
        <v>0</v>
      </c>
      <c r="J26" s="88">
        <f t="shared" si="15"/>
        <v>1</v>
      </c>
      <c r="K26" s="88">
        <f t="shared" si="15"/>
        <v>4</v>
      </c>
      <c r="L26" s="88">
        <f t="shared" si="15"/>
        <v>4</v>
      </c>
      <c r="M26" s="88">
        <f t="shared" si="15"/>
        <v>3</v>
      </c>
      <c r="N26" s="88">
        <f t="shared" si="15"/>
        <v>2</v>
      </c>
      <c r="O26" s="88">
        <f t="shared" si="15"/>
        <v>4</v>
      </c>
      <c r="P26" s="88">
        <f t="shared" si="15"/>
        <v>4</v>
      </c>
      <c r="Q26" s="88">
        <f t="shared" si="15"/>
        <v>3</v>
      </c>
      <c r="R26" s="88">
        <f t="shared" si="15"/>
        <v>4</v>
      </c>
      <c r="S26" s="88">
        <f t="shared" si="15"/>
        <v>4</v>
      </c>
      <c r="T26" s="88">
        <f t="shared" si="15"/>
        <v>4</v>
      </c>
      <c r="U26" s="88">
        <f t="shared" si="15"/>
        <v>5</v>
      </c>
      <c r="V26" s="88">
        <f t="shared" si="15"/>
        <v>5</v>
      </c>
      <c r="W26" s="88">
        <f t="shared" si="15"/>
        <v>5</v>
      </c>
      <c r="X26" s="88">
        <f t="shared" si="15"/>
        <v>5</v>
      </c>
      <c r="Y26" s="88">
        <f t="shared" si="15"/>
        <v>6</v>
      </c>
      <c r="Z26" s="88">
        <f t="shared" si="15"/>
        <v>6</v>
      </c>
    </row>
    <row r="28" spans="2:60">
      <c r="B28" s="56" t="s">
        <v>135</v>
      </c>
      <c r="C28" s="89"/>
      <c r="D28" s="89"/>
      <c r="E28" s="89"/>
      <c r="F28" s="89"/>
      <c r="G28" s="89"/>
      <c r="H28" s="89"/>
      <c r="I28" s="89"/>
      <c r="J28" s="89"/>
      <c r="K28" s="89"/>
      <c r="L28" s="89"/>
      <c r="M28" s="89"/>
      <c r="N28" s="89"/>
    </row>
    <row r="29" spans="2:60">
      <c r="B29" s="67" t="s">
        <v>15</v>
      </c>
      <c r="C29" s="84">
        <f>'INPUTS LEADS - Organic Traffic'!C18</f>
        <v>2</v>
      </c>
      <c r="D29" s="84">
        <f>'INPUTS LEADS - Organic Traffic'!D18</f>
        <v>142</v>
      </c>
      <c r="E29" s="84">
        <f>'INPUTS LEADS - Organic Traffic'!E18</f>
        <v>279</v>
      </c>
      <c r="F29" s="84">
        <f>'INPUTS LEADS - Organic Traffic'!F18</f>
        <v>216</v>
      </c>
      <c r="G29" s="84">
        <f>'INPUTS LEADS - Organic Traffic'!G18</f>
        <v>270</v>
      </c>
      <c r="H29" s="84">
        <f>'INPUTS LEADS - Organic Traffic'!H18</f>
        <v>329</v>
      </c>
      <c r="I29" s="84">
        <f>'INPUTS LEADS - Organic Traffic'!I18</f>
        <v>147</v>
      </c>
      <c r="J29" s="84">
        <f>'INPUTS LEADS - Organic Traffic'!J18</f>
        <v>892</v>
      </c>
      <c r="K29" s="84">
        <f>'INPUTS LEADS - Organic Traffic'!K18</f>
        <v>725</v>
      </c>
      <c r="L29" s="84">
        <f>'INPUTS LEADS - Organic Traffic'!L18</f>
        <v>814</v>
      </c>
      <c r="M29" s="84">
        <f>'INPUTS LEADS - Organic Traffic'!M18</f>
        <v>999</v>
      </c>
      <c r="N29" s="84">
        <f>'INPUTS LEADS - Organic Traffic'!N18</f>
        <v>923</v>
      </c>
      <c r="O29" s="94">
        <f>'INPUTS LEADS - Organic Traffic'!O18</f>
        <v>1161.1300000000001</v>
      </c>
      <c r="P29" s="94">
        <f>'INPUTS LEADS - Organic Traffic'!P18</f>
        <v>1252.5119999999999</v>
      </c>
      <c r="Q29" s="94">
        <f>'INPUTS LEADS - Organic Traffic'!Q18</f>
        <v>1343.894</v>
      </c>
      <c r="R29" s="94">
        <f>'INPUTS LEADS - Organic Traffic'!R18</f>
        <v>1435.2760000000001</v>
      </c>
      <c r="S29" s="94">
        <f>'INPUTS LEADS - Organic Traffic'!S18</f>
        <v>1526.6580000000001</v>
      </c>
      <c r="T29" s="94">
        <f>'INPUTS LEADS - Organic Traffic'!T18</f>
        <v>1618.0400000000002</v>
      </c>
      <c r="U29" s="94">
        <f>'INPUTS LEADS - Organic Traffic'!U18</f>
        <v>1709.422</v>
      </c>
      <c r="V29" s="94">
        <f>'INPUTS LEADS - Organic Traffic'!V18</f>
        <v>1800.8040000000001</v>
      </c>
      <c r="W29" s="94">
        <f>'INPUTS LEADS - Organic Traffic'!W18</f>
        <v>1892.1860000000001</v>
      </c>
      <c r="X29" s="94">
        <f>'INPUTS LEADS - Organic Traffic'!X18</f>
        <v>1983.568</v>
      </c>
      <c r="Y29" s="94">
        <f>'INPUTS LEADS - Organic Traffic'!Y18</f>
        <v>2074.9500000000003</v>
      </c>
      <c r="Z29" s="94">
        <f>'INPUTS LEADS - Organic Traffic'!Z18</f>
        <v>2166.3320000000003</v>
      </c>
    </row>
    <row r="30" spans="2:60">
      <c r="B30" s="67" t="s">
        <v>129</v>
      </c>
      <c r="C30" s="69">
        <v>0</v>
      </c>
      <c r="D30" s="69">
        <v>1.4084507042253521E-2</v>
      </c>
      <c r="E30" s="69">
        <v>2.1505376344086023E-2</v>
      </c>
      <c r="F30" s="69">
        <v>2.3148148148148147E-2</v>
      </c>
      <c r="G30" s="69">
        <v>2.2222222222222223E-2</v>
      </c>
      <c r="H30" s="69">
        <v>3.64741641337386E-2</v>
      </c>
      <c r="I30" s="69">
        <v>5.4421768707482991E-2</v>
      </c>
      <c r="J30" s="69">
        <v>0.14461883408071749</v>
      </c>
      <c r="K30" s="69">
        <v>0.1393103448275862</v>
      </c>
      <c r="L30" s="69">
        <v>0.14987714987714987</v>
      </c>
      <c r="M30" s="69">
        <v>0.13513513513513514</v>
      </c>
      <c r="N30" s="69">
        <v>0.10509209100758396</v>
      </c>
      <c r="O30" s="85">
        <f>AVERAGE(L30:N30)</f>
        <v>0.13003479200662302</v>
      </c>
      <c r="P30" s="86">
        <f t="shared" ref="P30:Z30" si="16">AVERAGE(M30:O30)</f>
        <v>0.12342067271644737</v>
      </c>
      <c r="Q30" s="86">
        <f t="shared" si="16"/>
        <v>0.11951585191021812</v>
      </c>
      <c r="R30" s="86">
        <f t="shared" si="16"/>
        <v>0.12432377221109618</v>
      </c>
      <c r="S30" s="86">
        <f t="shared" si="16"/>
        <v>0.12242009894592056</v>
      </c>
      <c r="T30" s="86">
        <f t="shared" si="16"/>
        <v>0.12208657435574495</v>
      </c>
      <c r="U30" s="86">
        <f t="shared" si="16"/>
        <v>0.12294348183758723</v>
      </c>
      <c r="V30" s="86">
        <f t="shared" si="16"/>
        <v>0.12248338504641758</v>
      </c>
      <c r="W30" s="86">
        <f t="shared" si="16"/>
        <v>0.12250448041324992</v>
      </c>
      <c r="X30" s="86">
        <f t="shared" si="16"/>
        <v>0.12264378243241825</v>
      </c>
      <c r="Y30" s="86">
        <f t="shared" si="16"/>
        <v>0.12254388263069525</v>
      </c>
      <c r="Z30" s="86">
        <f t="shared" si="16"/>
        <v>0.12256404849212114</v>
      </c>
    </row>
    <row r="31" spans="2:60">
      <c r="B31" s="87" t="s">
        <v>134</v>
      </c>
      <c r="C31" s="88">
        <f>INT(C30*C29)</f>
        <v>0</v>
      </c>
      <c r="D31" s="88">
        <f t="shared" ref="D31:Z31" si="17">INT(D30*D29)</f>
        <v>2</v>
      </c>
      <c r="E31" s="88">
        <f t="shared" si="17"/>
        <v>6</v>
      </c>
      <c r="F31" s="88">
        <f t="shared" si="17"/>
        <v>5</v>
      </c>
      <c r="G31" s="88">
        <f t="shared" si="17"/>
        <v>6</v>
      </c>
      <c r="H31" s="88">
        <f t="shared" si="17"/>
        <v>12</v>
      </c>
      <c r="I31" s="88">
        <f t="shared" si="17"/>
        <v>8</v>
      </c>
      <c r="J31" s="88">
        <f t="shared" si="17"/>
        <v>129</v>
      </c>
      <c r="K31" s="88">
        <f t="shared" si="17"/>
        <v>101</v>
      </c>
      <c r="L31" s="88">
        <f t="shared" si="17"/>
        <v>122</v>
      </c>
      <c r="M31" s="88">
        <f t="shared" si="17"/>
        <v>135</v>
      </c>
      <c r="N31" s="88">
        <f t="shared" si="17"/>
        <v>97</v>
      </c>
      <c r="O31" s="88">
        <f t="shared" si="17"/>
        <v>150</v>
      </c>
      <c r="P31" s="88">
        <f t="shared" si="17"/>
        <v>154</v>
      </c>
      <c r="Q31" s="88">
        <f t="shared" si="17"/>
        <v>160</v>
      </c>
      <c r="R31" s="88">
        <f t="shared" si="17"/>
        <v>178</v>
      </c>
      <c r="S31" s="88">
        <f t="shared" si="17"/>
        <v>186</v>
      </c>
      <c r="T31" s="88">
        <f t="shared" si="17"/>
        <v>197</v>
      </c>
      <c r="U31" s="88">
        <f t="shared" si="17"/>
        <v>210</v>
      </c>
      <c r="V31" s="88">
        <f t="shared" si="17"/>
        <v>220</v>
      </c>
      <c r="W31" s="88">
        <f t="shared" si="17"/>
        <v>231</v>
      </c>
      <c r="X31" s="88">
        <f t="shared" si="17"/>
        <v>243</v>
      </c>
      <c r="Y31" s="88">
        <f t="shared" si="17"/>
        <v>254</v>
      </c>
      <c r="Z31" s="88">
        <f t="shared" si="17"/>
        <v>265</v>
      </c>
    </row>
    <row r="33" spans="2:26">
      <c r="B33" s="87" t="s">
        <v>84</v>
      </c>
      <c r="C33" s="88">
        <f>C9+C14+C19+C24+C29</f>
        <v>4</v>
      </c>
      <c r="D33" s="88">
        <f t="shared" ref="D33:N33" si="18">D9+D14+D19+D24+D29</f>
        <v>239</v>
      </c>
      <c r="E33" s="88">
        <f t="shared" si="18"/>
        <v>386</v>
      </c>
      <c r="F33" s="88">
        <f t="shared" si="18"/>
        <v>312</v>
      </c>
      <c r="G33" s="88">
        <f t="shared" si="18"/>
        <v>416</v>
      </c>
      <c r="H33" s="88">
        <f t="shared" si="18"/>
        <v>445</v>
      </c>
      <c r="I33" s="88">
        <f t="shared" si="18"/>
        <v>200</v>
      </c>
      <c r="J33" s="88">
        <f t="shared" si="18"/>
        <v>1141</v>
      </c>
      <c r="K33" s="88">
        <f t="shared" si="18"/>
        <v>1028</v>
      </c>
      <c r="L33" s="88">
        <f t="shared" si="18"/>
        <v>1174</v>
      </c>
      <c r="M33" s="88">
        <f t="shared" si="18"/>
        <v>1352</v>
      </c>
      <c r="N33" s="88">
        <f t="shared" si="18"/>
        <v>1303</v>
      </c>
      <c r="O33" s="95">
        <f t="shared" ref="O33:Z33" si="19">O9+O14+O19+O24+O29</f>
        <v>1572.13</v>
      </c>
      <c r="P33" s="95">
        <f t="shared" si="19"/>
        <v>1681.5119999999999</v>
      </c>
      <c r="Q33" s="95">
        <f t="shared" si="19"/>
        <v>1794.894</v>
      </c>
      <c r="R33" s="95">
        <f t="shared" si="19"/>
        <v>1906.2760000000001</v>
      </c>
      <c r="S33" s="95">
        <f t="shared" si="19"/>
        <v>2018.6580000000001</v>
      </c>
      <c r="T33" s="95">
        <f t="shared" si="19"/>
        <v>2132.04</v>
      </c>
      <c r="U33" s="95">
        <f t="shared" si="19"/>
        <v>2245.422</v>
      </c>
      <c r="V33" s="95">
        <f t="shared" si="19"/>
        <v>2359.8040000000001</v>
      </c>
      <c r="W33" s="95">
        <f t="shared" si="19"/>
        <v>2475.1860000000001</v>
      </c>
      <c r="X33" s="95">
        <f t="shared" si="19"/>
        <v>2590.5680000000002</v>
      </c>
      <c r="Y33" s="95">
        <f t="shared" si="19"/>
        <v>2706.9500000000003</v>
      </c>
      <c r="Z33" s="95">
        <f t="shared" si="19"/>
        <v>2824.3320000000003</v>
      </c>
    </row>
    <row r="34" spans="2:26">
      <c r="B34" s="87" t="s">
        <v>136</v>
      </c>
      <c r="C34" s="88">
        <f>C11+C16+C21+C26+C31</f>
        <v>0</v>
      </c>
      <c r="D34" s="88">
        <f t="shared" ref="D34:N34" si="20">D11+D16+D21+D26+D31</f>
        <v>2</v>
      </c>
      <c r="E34" s="88">
        <f t="shared" si="20"/>
        <v>9</v>
      </c>
      <c r="F34" s="88">
        <f t="shared" si="20"/>
        <v>7</v>
      </c>
      <c r="G34" s="88">
        <f t="shared" si="20"/>
        <v>14</v>
      </c>
      <c r="H34" s="88">
        <f t="shared" si="20"/>
        <v>18</v>
      </c>
      <c r="I34" s="88">
        <f t="shared" si="20"/>
        <v>11</v>
      </c>
      <c r="J34" s="88">
        <f t="shared" si="20"/>
        <v>152</v>
      </c>
      <c r="K34" s="88">
        <f t="shared" si="20"/>
        <v>149</v>
      </c>
      <c r="L34" s="88">
        <f t="shared" si="20"/>
        <v>167</v>
      </c>
      <c r="M34" s="88">
        <f t="shared" si="20"/>
        <v>183</v>
      </c>
      <c r="N34" s="88">
        <f t="shared" si="20"/>
        <v>130</v>
      </c>
      <c r="O34" s="95">
        <f t="shared" ref="O34:Z34" si="21">O11+O16+O21+O26+O31</f>
        <v>197</v>
      </c>
      <c r="P34" s="95">
        <f t="shared" si="21"/>
        <v>202</v>
      </c>
      <c r="Q34" s="95">
        <f t="shared" si="21"/>
        <v>206</v>
      </c>
      <c r="R34" s="95">
        <f t="shared" si="21"/>
        <v>229</v>
      </c>
      <c r="S34" s="95">
        <f t="shared" si="21"/>
        <v>238</v>
      </c>
      <c r="T34" s="95">
        <f t="shared" si="21"/>
        <v>251</v>
      </c>
      <c r="U34" s="95">
        <f t="shared" si="21"/>
        <v>267</v>
      </c>
      <c r="V34" s="95">
        <f t="shared" si="21"/>
        <v>279</v>
      </c>
      <c r="W34" s="95">
        <f t="shared" si="21"/>
        <v>292</v>
      </c>
      <c r="X34" s="95">
        <f t="shared" si="21"/>
        <v>306</v>
      </c>
      <c r="Y34" s="95">
        <f t="shared" si="21"/>
        <v>322</v>
      </c>
      <c r="Z34" s="95">
        <f t="shared" si="21"/>
        <v>335</v>
      </c>
    </row>
  </sheetData>
  <phoneticPr fontId="1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7232-3692-E444-9712-AAA848C55C3E}">
  <dimension ref="A2:K50"/>
  <sheetViews>
    <sheetView showGridLines="0" topLeftCell="A6" zoomScale="130" zoomScaleNormal="130" workbookViewId="0">
      <selection activeCell="H44" sqref="H44"/>
    </sheetView>
  </sheetViews>
  <sheetFormatPr baseColWidth="10" defaultRowHeight="15"/>
  <cols>
    <col min="1" max="1" width="3.33203125" style="11" customWidth="1"/>
    <col min="2" max="2" width="19" style="11" bestFit="1" customWidth="1"/>
    <col min="3" max="3" width="13.1640625" style="11" bestFit="1" customWidth="1"/>
    <col min="4" max="4" width="25.6640625" style="11" bestFit="1" customWidth="1"/>
    <col min="5" max="5" width="14" style="11" bestFit="1" customWidth="1"/>
    <col min="6" max="6" width="16.6640625" style="11" bestFit="1" customWidth="1"/>
    <col min="7" max="7" width="17.6640625" style="11" bestFit="1" customWidth="1"/>
    <col min="8" max="8" width="21" style="11" bestFit="1" customWidth="1"/>
    <col min="9" max="9" width="22.1640625" style="11" bestFit="1" customWidth="1"/>
    <col min="10" max="10" width="22.33203125" style="11" bestFit="1" customWidth="1"/>
    <col min="11" max="11" width="23.33203125" style="11" bestFit="1" customWidth="1"/>
    <col min="12" max="16384" width="10.83203125" style="11"/>
  </cols>
  <sheetData>
    <row r="2" spans="2:3">
      <c r="B2" s="11" t="s">
        <v>38</v>
      </c>
    </row>
    <row r="5" spans="2:3">
      <c r="B5" s="12" t="s">
        <v>39</v>
      </c>
      <c r="C5" s="12" t="s">
        <v>40</v>
      </c>
    </row>
    <row r="6" spans="2:3">
      <c r="B6" s="13" t="s">
        <v>16</v>
      </c>
      <c r="C6" s="14">
        <v>2</v>
      </c>
    </row>
    <row r="7" spans="2:3">
      <c r="B7" s="13" t="s">
        <v>18</v>
      </c>
      <c r="C7" s="14">
        <v>142</v>
      </c>
    </row>
    <row r="8" spans="2:3">
      <c r="B8" s="13" t="s">
        <v>19</v>
      </c>
      <c r="C8" s="14">
        <v>279</v>
      </c>
    </row>
    <row r="9" spans="2:3">
      <c r="B9" s="13" t="s">
        <v>20</v>
      </c>
      <c r="C9" s="14">
        <v>216</v>
      </c>
    </row>
    <row r="10" spans="2:3" ht="16">
      <c r="B10" s="13" t="s">
        <v>21</v>
      </c>
      <c r="C10" s="14">
        <v>270</v>
      </c>
    </row>
    <row r="11" spans="2:3">
      <c r="B11" s="13" t="s">
        <v>22</v>
      </c>
      <c r="C11" s="14">
        <v>329</v>
      </c>
    </row>
    <row r="12" spans="2:3">
      <c r="B12" s="13" t="s">
        <v>23</v>
      </c>
      <c r="C12" s="14">
        <v>147</v>
      </c>
    </row>
    <row r="13" spans="2:3">
      <c r="B13" s="13" t="s">
        <v>24</v>
      </c>
      <c r="C13" s="14">
        <v>892</v>
      </c>
    </row>
    <row r="14" spans="2:3">
      <c r="B14" s="13" t="s">
        <v>25</v>
      </c>
      <c r="C14" s="14">
        <v>725</v>
      </c>
    </row>
    <row r="15" spans="2:3">
      <c r="B15" s="13" t="s">
        <v>26</v>
      </c>
      <c r="C15" s="14">
        <v>814</v>
      </c>
    </row>
    <row r="16" spans="2:3">
      <c r="B16" s="13" t="s">
        <v>27</v>
      </c>
      <c r="C16" s="14">
        <v>999</v>
      </c>
    </row>
    <row r="17" spans="1:11">
      <c r="B17" s="13" t="s">
        <v>28</v>
      </c>
      <c r="C17" s="14">
        <v>923</v>
      </c>
    </row>
    <row r="19" spans="1:11">
      <c r="B19" s="15" t="s">
        <v>41</v>
      </c>
      <c r="E19" s="16" t="s">
        <v>42</v>
      </c>
    </row>
    <row r="21" spans="1:11">
      <c r="B21" s="17" t="s">
        <v>43</v>
      </c>
      <c r="C21" s="14">
        <v>0.42490897599853877</v>
      </c>
      <c r="E21" s="14" t="s">
        <v>44</v>
      </c>
      <c r="F21" s="18">
        <v>91.382000000000005</v>
      </c>
    </row>
    <row r="22" spans="1:11">
      <c r="B22" s="14" t="s">
        <v>45</v>
      </c>
      <c r="C22" s="19">
        <v>0.57509102400146128</v>
      </c>
      <c r="E22" s="14" t="s">
        <v>46</v>
      </c>
      <c r="F22" s="18">
        <v>-26.835999999999999</v>
      </c>
    </row>
    <row r="23" spans="1:11">
      <c r="C23" s="11">
        <f>SUM(C21:C22)</f>
        <v>1</v>
      </c>
    </row>
    <row r="24" spans="1:11">
      <c r="B24" s="20" t="s">
        <v>6</v>
      </c>
      <c r="C24" s="20" t="s">
        <v>15</v>
      </c>
      <c r="D24" s="20" t="s">
        <v>47</v>
      </c>
      <c r="E24" s="20" t="s">
        <v>48</v>
      </c>
      <c r="F24" s="20" t="s">
        <v>49</v>
      </c>
      <c r="G24" s="20" t="s">
        <v>50</v>
      </c>
      <c r="H24" s="20" t="s">
        <v>51</v>
      </c>
      <c r="I24" s="20" t="s">
        <v>52</v>
      </c>
      <c r="J24" s="20" t="s">
        <v>53</v>
      </c>
      <c r="K24" s="20" t="s">
        <v>54</v>
      </c>
    </row>
    <row r="25" spans="1:11">
      <c r="A25" s="11">
        <v>1</v>
      </c>
      <c r="B25" s="13" t="s">
        <v>16</v>
      </c>
      <c r="C25" s="14">
        <f>C6</f>
        <v>2</v>
      </c>
      <c r="D25" s="14"/>
      <c r="E25" s="14"/>
      <c r="F25" s="14"/>
      <c r="G25" s="14"/>
      <c r="H25" s="14"/>
      <c r="I25" s="14"/>
      <c r="J25" s="14"/>
      <c r="K25" s="14"/>
    </row>
    <row r="26" spans="1:11">
      <c r="A26" s="11">
        <v>2</v>
      </c>
      <c r="B26" s="13" t="s">
        <v>18</v>
      </c>
      <c r="C26" s="14">
        <f t="shared" ref="C26:C36" si="0">C7</f>
        <v>142</v>
      </c>
      <c r="D26" s="14"/>
      <c r="E26" s="14"/>
      <c r="F26" s="14"/>
      <c r="G26" s="14"/>
      <c r="H26" s="14"/>
      <c r="I26" s="14"/>
      <c r="J26" s="14"/>
      <c r="K26" s="14"/>
    </row>
    <row r="27" spans="1:11" ht="16">
      <c r="A27" s="11">
        <v>3</v>
      </c>
      <c r="B27" s="13" t="s">
        <v>19</v>
      </c>
      <c r="C27" s="14">
        <f t="shared" si="0"/>
        <v>279</v>
      </c>
      <c r="D27" s="14">
        <f>C26</f>
        <v>142</v>
      </c>
      <c r="E27" s="21">
        <f>($F$21*A27)+$F$22</f>
        <v>247.31</v>
      </c>
      <c r="F27" s="21">
        <f>D27-C27</f>
        <v>-137</v>
      </c>
      <c r="G27" s="21">
        <f>E27-C27</f>
        <v>-31.689999999999998</v>
      </c>
      <c r="H27" s="14">
        <f>ABS(F27)</f>
        <v>137</v>
      </c>
      <c r="I27" s="14">
        <f>ABS(G27)</f>
        <v>31.689999999999998</v>
      </c>
      <c r="J27" s="22">
        <f>H27/C27</f>
        <v>0.49103942652329752</v>
      </c>
      <c r="K27" s="22">
        <f>I27/C27</f>
        <v>0.113584229390681</v>
      </c>
    </row>
    <row r="28" spans="1:11" ht="16">
      <c r="A28" s="11">
        <v>4</v>
      </c>
      <c r="B28" s="13" t="s">
        <v>20</v>
      </c>
      <c r="C28" s="14">
        <f t="shared" si="0"/>
        <v>216</v>
      </c>
      <c r="D28" s="14">
        <f>SUMPRODUCT($C$21:$C$22,C26:C27)</f>
        <v>220.78747028820021</v>
      </c>
      <c r="E28" s="21">
        <f t="shared" ref="E28:E36" si="1">($F$21*A28)+$F$22</f>
        <v>338.69200000000001</v>
      </c>
      <c r="F28" s="21">
        <f t="shared" ref="F28:F36" si="2">D28-C28</f>
        <v>4.7874702882002111</v>
      </c>
      <c r="G28" s="21">
        <f t="shared" ref="G28:G36" si="3">E28-C28</f>
        <v>122.69200000000001</v>
      </c>
      <c r="H28" s="14">
        <f t="shared" ref="H28:I36" si="4">ABS(F28)</f>
        <v>4.7874702882002111</v>
      </c>
      <c r="I28" s="14">
        <f t="shared" si="4"/>
        <v>122.69200000000001</v>
      </c>
      <c r="J28" s="22">
        <f t="shared" ref="J28:J36" si="5">H28/C28</f>
        <v>2.2164214297223199E-2</v>
      </c>
      <c r="K28" s="22">
        <f t="shared" ref="K28:K36" si="6">I28/C28</f>
        <v>0.56801851851851859</v>
      </c>
    </row>
    <row r="29" spans="1:11" ht="16">
      <c r="A29" s="11">
        <v>5</v>
      </c>
      <c r="B29" s="13" t="s">
        <v>21</v>
      </c>
      <c r="C29" s="14">
        <f t="shared" si="0"/>
        <v>270</v>
      </c>
      <c r="D29" s="14">
        <f t="shared" ref="D29:D36" si="7">SUMPRODUCT($C$21:$C$22,C27:C28)</f>
        <v>242.76926548790794</v>
      </c>
      <c r="E29" s="21">
        <f t="shared" si="1"/>
        <v>430.07400000000001</v>
      </c>
      <c r="F29" s="21">
        <f t="shared" si="2"/>
        <v>-27.230734512092056</v>
      </c>
      <c r="G29" s="21">
        <f t="shared" si="3"/>
        <v>160.07400000000001</v>
      </c>
      <c r="H29" s="14">
        <f t="shared" si="4"/>
        <v>27.230734512092056</v>
      </c>
      <c r="I29" s="14">
        <f t="shared" si="4"/>
        <v>160.07400000000001</v>
      </c>
      <c r="J29" s="22">
        <f t="shared" si="5"/>
        <v>0.10085457226700761</v>
      </c>
      <c r="K29" s="22">
        <f t="shared" si="6"/>
        <v>0.59286666666666676</v>
      </c>
    </row>
    <row r="30" spans="1:11" ht="16">
      <c r="A30" s="11">
        <v>6</v>
      </c>
      <c r="B30" s="13" t="s">
        <v>22</v>
      </c>
      <c r="C30" s="14">
        <f t="shared" si="0"/>
        <v>329</v>
      </c>
      <c r="D30" s="14">
        <f t="shared" si="7"/>
        <v>247.05491529607895</v>
      </c>
      <c r="E30" s="21">
        <f t="shared" si="1"/>
        <v>521.45600000000002</v>
      </c>
      <c r="F30" s="21">
        <f t="shared" si="2"/>
        <v>-81.945084703921054</v>
      </c>
      <c r="G30" s="21">
        <f t="shared" si="3"/>
        <v>192.45600000000002</v>
      </c>
      <c r="H30" s="14">
        <f t="shared" si="4"/>
        <v>81.945084703921054</v>
      </c>
      <c r="I30" s="14">
        <f t="shared" si="4"/>
        <v>192.45600000000002</v>
      </c>
      <c r="J30" s="22">
        <f t="shared" si="5"/>
        <v>0.24907320578699407</v>
      </c>
      <c r="K30" s="22">
        <f t="shared" si="6"/>
        <v>0.58497264437689978</v>
      </c>
    </row>
    <row r="31" spans="1:11" ht="16">
      <c r="A31" s="11">
        <v>7</v>
      </c>
      <c r="B31" s="13" t="s">
        <v>23</v>
      </c>
      <c r="C31" s="14">
        <f t="shared" si="0"/>
        <v>147</v>
      </c>
      <c r="D31" s="14">
        <f t="shared" si="7"/>
        <v>303.93037041608625</v>
      </c>
      <c r="E31" s="21">
        <f t="shared" si="1"/>
        <v>612.83799999999997</v>
      </c>
      <c r="F31" s="21">
        <f t="shared" si="2"/>
        <v>156.93037041608625</v>
      </c>
      <c r="G31" s="21">
        <f t="shared" si="3"/>
        <v>465.83799999999997</v>
      </c>
      <c r="H31" s="14">
        <f t="shared" si="4"/>
        <v>156.93037041608625</v>
      </c>
      <c r="I31" s="14">
        <f t="shared" si="4"/>
        <v>465.83799999999997</v>
      </c>
      <c r="J31" s="22">
        <f t="shared" si="5"/>
        <v>1.0675535402454848</v>
      </c>
      <c r="K31" s="22">
        <f t="shared" si="6"/>
        <v>3.1689659863945576</v>
      </c>
    </row>
    <row r="32" spans="1:11" ht="16">
      <c r="A32" s="11">
        <v>8</v>
      </c>
      <c r="B32" s="13" t="s">
        <v>24</v>
      </c>
      <c r="C32" s="14">
        <f t="shared" si="0"/>
        <v>892</v>
      </c>
      <c r="D32" s="14">
        <f t="shared" si="7"/>
        <v>224.33343363173407</v>
      </c>
      <c r="E32" s="21">
        <f t="shared" si="1"/>
        <v>704.22</v>
      </c>
      <c r="F32" s="21">
        <f t="shared" si="2"/>
        <v>-667.66656636826588</v>
      </c>
      <c r="G32" s="21">
        <f t="shared" si="3"/>
        <v>-187.77999999999997</v>
      </c>
      <c r="H32" s="14">
        <f t="shared" si="4"/>
        <v>667.66656636826588</v>
      </c>
      <c r="I32" s="14">
        <f t="shared" si="4"/>
        <v>187.77999999999997</v>
      </c>
      <c r="J32" s="22">
        <f t="shared" si="5"/>
        <v>0.74850511924693486</v>
      </c>
      <c r="K32" s="22">
        <f t="shared" si="6"/>
        <v>0.21051569506726453</v>
      </c>
    </row>
    <row r="33" spans="1:11" ht="16">
      <c r="A33" s="11">
        <v>9</v>
      </c>
      <c r="B33" s="13" t="s">
        <v>25</v>
      </c>
      <c r="C33" s="14">
        <f t="shared" si="0"/>
        <v>725</v>
      </c>
      <c r="D33" s="14">
        <f t="shared" si="7"/>
        <v>575.44281288108868</v>
      </c>
      <c r="E33" s="21">
        <f t="shared" si="1"/>
        <v>795.60200000000009</v>
      </c>
      <c r="F33" s="21">
        <f t="shared" si="2"/>
        <v>-149.55718711891132</v>
      </c>
      <c r="G33" s="21">
        <f t="shared" si="3"/>
        <v>70.602000000000089</v>
      </c>
      <c r="H33" s="14">
        <f t="shared" si="4"/>
        <v>149.55718711891132</v>
      </c>
      <c r="I33" s="14">
        <f t="shared" si="4"/>
        <v>70.602000000000089</v>
      </c>
      <c r="J33" s="22">
        <f t="shared" si="5"/>
        <v>0.20628577533642939</v>
      </c>
      <c r="K33" s="22">
        <f t="shared" si="6"/>
        <v>9.7382068965517363E-2</v>
      </c>
    </row>
    <row r="34" spans="1:11" ht="16">
      <c r="A34" s="11">
        <v>10</v>
      </c>
      <c r="B34" s="13" t="s">
        <v>26</v>
      </c>
      <c r="C34" s="14">
        <f t="shared" si="0"/>
        <v>814</v>
      </c>
      <c r="D34" s="14">
        <f t="shared" si="7"/>
        <v>795.95979899175609</v>
      </c>
      <c r="E34" s="21">
        <f t="shared" si="1"/>
        <v>886.98400000000004</v>
      </c>
      <c r="F34" s="21">
        <f t="shared" si="2"/>
        <v>-18.040201008243912</v>
      </c>
      <c r="G34" s="21">
        <f t="shared" si="3"/>
        <v>72.984000000000037</v>
      </c>
      <c r="H34" s="14">
        <f t="shared" si="4"/>
        <v>18.040201008243912</v>
      </c>
      <c r="I34" s="14">
        <f t="shared" si="4"/>
        <v>72.984000000000037</v>
      </c>
      <c r="J34" s="22">
        <f t="shared" si="5"/>
        <v>2.2162409101036746E-2</v>
      </c>
      <c r="K34" s="22">
        <f t="shared" si="6"/>
        <v>8.9660933660933709E-2</v>
      </c>
    </row>
    <row r="35" spans="1:11" ht="16">
      <c r="A35" s="11">
        <v>11</v>
      </c>
      <c r="B35" s="13" t="s">
        <v>27</v>
      </c>
      <c r="C35" s="14">
        <f t="shared" si="0"/>
        <v>999</v>
      </c>
      <c r="D35" s="14">
        <f t="shared" si="7"/>
        <v>776.18310113613006</v>
      </c>
      <c r="E35" s="21">
        <f t="shared" si="1"/>
        <v>978.36599999999999</v>
      </c>
      <c r="F35" s="21">
        <f t="shared" si="2"/>
        <v>-222.81689886386994</v>
      </c>
      <c r="G35" s="21">
        <f t="shared" si="3"/>
        <v>-20.634000000000015</v>
      </c>
      <c r="H35" s="14">
        <f t="shared" si="4"/>
        <v>222.81689886386994</v>
      </c>
      <c r="I35" s="14">
        <f t="shared" si="4"/>
        <v>20.634000000000015</v>
      </c>
      <c r="J35" s="22">
        <f t="shared" si="5"/>
        <v>0.22303993880267262</v>
      </c>
      <c r="K35" s="22">
        <f t="shared" si="6"/>
        <v>2.0654654654654669E-2</v>
      </c>
    </row>
    <row r="36" spans="1:11" ht="16">
      <c r="A36" s="11">
        <v>12</v>
      </c>
      <c r="B36" s="13" t="s">
        <v>28</v>
      </c>
      <c r="C36" s="14">
        <f t="shared" si="0"/>
        <v>923</v>
      </c>
      <c r="D36" s="14">
        <f t="shared" si="7"/>
        <v>920.39183944027036</v>
      </c>
      <c r="E36" s="21">
        <f t="shared" si="1"/>
        <v>1069.748</v>
      </c>
      <c r="F36" s="21">
        <f t="shared" si="2"/>
        <v>-2.6081605597296402</v>
      </c>
      <c r="G36" s="21">
        <f t="shared" si="3"/>
        <v>146.74800000000005</v>
      </c>
      <c r="H36" s="14">
        <f t="shared" si="4"/>
        <v>2.6081605597296402</v>
      </c>
      <c r="I36" s="14">
        <f t="shared" si="4"/>
        <v>146.74800000000005</v>
      </c>
      <c r="J36" s="22">
        <f t="shared" si="5"/>
        <v>2.8257427516030771E-3</v>
      </c>
      <c r="K36" s="22">
        <f t="shared" si="6"/>
        <v>0.15899024918743235</v>
      </c>
    </row>
    <row r="39" spans="1:11">
      <c r="B39" s="23" t="s">
        <v>55</v>
      </c>
      <c r="C39" s="23" t="s">
        <v>56</v>
      </c>
      <c r="D39" s="23" t="s">
        <v>48</v>
      </c>
    </row>
    <row r="40" spans="1:11" ht="16">
      <c r="B40" s="13" t="s">
        <v>57</v>
      </c>
      <c r="C40" s="22">
        <f>SUM(F27:F36)/SUM(C27:C36)</f>
        <v>-0.20470986636230734</v>
      </c>
      <c r="D40" s="24">
        <f>SUM(G27:G36)/SUM(C27:C36)</f>
        <v>0.17720593493028247</v>
      </c>
    </row>
    <row r="41" spans="1:11">
      <c r="B41" s="12" t="s">
        <v>58</v>
      </c>
      <c r="C41" s="25">
        <f>AVERAGE(J27:J36)</f>
        <v>0.31335039443586837</v>
      </c>
      <c r="D41" s="26">
        <f>AVERAGE(K27:K36)</f>
        <v>0.56056116468831263</v>
      </c>
      <c r="E41" s="11" t="s">
        <v>59</v>
      </c>
    </row>
    <row r="42" spans="1:11" ht="16">
      <c r="B42" s="12" t="s">
        <v>60</v>
      </c>
      <c r="C42" s="22">
        <f>SUM(H27:H36)/SUM(C27:C36)</f>
        <v>0.26252818624228108</v>
      </c>
      <c r="D42" s="22">
        <f>SUM(I27:I36)/SUM(C27:C36)</f>
        <v>0.26304933857704682</v>
      </c>
      <c r="E42" s="27" t="s">
        <v>61</v>
      </c>
    </row>
    <row r="43" spans="1:11">
      <c r="B43" s="12" t="s">
        <v>62</v>
      </c>
      <c r="C43" s="28">
        <f>SQRT(SUMSQ(F27:F36)/COUNTA(F27:F36))</f>
        <v>238.53745799727923</v>
      </c>
      <c r="D43" s="29">
        <f>SQRT(SUMSQ(G27:G36)/COUNTA(G27:G36))</f>
        <v>190.5935453104328</v>
      </c>
      <c r="E43" s="11" t="s">
        <v>63</v>
      </c>
    </row>
    <row r="50" spans="2:2" ht="16">
      <c r="B50" s="11" t="s">
        <v>64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HOME</vt:lpstr>
      <vt:lpstr>ASSUMPTIONS</vt:lpstr>
      <vt:lpstr>INPUTS LEADS - Paid Traffic</vt:lpstr>
      <vt:lpstr>Source - Trafego Pago</vt:lpstr>
      <vt:lpstr>INPUTS LEADS - Organic Traffic</vt:lpstr>
      <vt:lpstr>Organic Traffic details</vt:lpstr>
      <vt:lpstr>Source - Trafego Organico</vt:lpstr>
      <vt:lpstr>OUTPUT - Sales Performance</vt:lpstr>
      <vt:lpstr>Projecao estudo Leads Organicos</vt:lpstr>
      <vt:lpstr>Projecao estudo Leads 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Karla Jordânia Rodrigues da Silva Giordan</cp:lastModifiedBy>
  <dcterms:created xsi:type="dcterms:W3CDTF">2022-06-21T20:48:50Z</dcterms:created>
  <dcterms:modified xsi:type="dcterms:W3CDTF">2022-06-30T23:05:01Z</dcterms:modified>
</cp:coreProperties>
</file>