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8\"/>
    </mc:Choice>
  </mc:AlternateContent>
  <xr:revisionPtr revIDLastSave="0" documentId="13_ncr:1_{FE0AF544-8670-4388-BB0C-B2CFEF27FD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11" i="1"/>
  <c r="W12" i="1"/>
  <c r="W13" i="1"/>
  <c r="W14" i="1"/>
  <c r="W15" i="1"/>
  <c r="W4" i="1"/>
  <c r="V5" i="1"/>
  <c r="V6" i="1"/>
  <c r="V7" i="1"/>
  <c r="V8" i="1"/>
  <c r="V9" i="1"/>
  <c r="V10" i="1"/>
  <c r="V11" i="1"/>
  <c r="V12" i="1"/>
  <c r="V13" i="1"/>
  <c r="V14" i="1"/>
  <c r="V15" i="1"/>
  <c r="V4" i="1"/>
  <c r="U5" i="1"/>
  <c r="U6" i="1"/>
  <c r="U7" i="1"/>
  <c r="U8" i="1"/>
  <c r="U9" i="1"/>
  <c r="U10" i="1"/>
  <c r="U11" i="1"/>
  <c r="U12" i="1"/>
  <c r="U13" i="1"/>
  <c r="U14" i="1"/>
  <c r="U15" i="1"/>
  <c r="U4" i="1"/>
  <c r="B25" i="1"/>
  <c r="E58" i="1"/>
  <c r="E59" i="1"/>
  <c r="E60" i="1"/>
  <c r="E61" i="1"/>
  <c r="E62" i="1"/>
  <c r="E63" i="1"/>
  <c r="E64" i="1"/>
  <c r="E65" i="1"/>
  <c r="E66" i="1"/>
  <c r="E67" i="1"/>
  <c r="E68" i="1"/>
  <c r="E57" i="1"/>
  <c r="E42" i="1"/>
  <c r="E43" i="1"/>
  <c r="E44" i="1"/>
  <c r="E45" i="1"/>
  <c r="E46" i="1"/>
  <c r="E47" i="1"/>
  <c r="E48" i="1"/>
  <c r="E49" i="1"/>
  <c r="E50" i="1"/>
  <c r="E51" i="1"/>
  <c r="E52" i="1"/>
  <c r="E41" i="1"/>
  <c r="E25" i="1"/>
  <c r="E30" i="1"/>
  <c r="E31" i="1"/>
  <c r="E32" i="1"/>
  <c r="E33" i="1"/>
  <c r="E34" i="1"/>
  <c r="E35" i="1"/>
  <c r="E36" i="1"/>
  <c r="E26" i="1"/>
  <c r="E27" i="1"/>
  <c r="E28" i="1"/>
  <c r="E29" i="1"/>
  <c r="B36" i="1" l="1"/>
  <c r="B35" i="1"/>
  <c r="B34" i="1"/>
  <c r="B33" i="1"/>
  <c r="B32" i="1"/>
  <c r="B31" i="1"/>
  <c r="B30" i="1"/>
  <c r="B29" i="1"/>
  <c r="B28" i="1"/>
  <c r="B27" i="1"/>
  <c r="B26" i="1"/>
  <c r="P16" i="1"/>
  <c r="I4" i="1"/>
  <c r="C57" i="1" s="1"/>
  <c r="D57" i="1" s="1"/>
  <c r="I5" i="1"/>
  <c r="I6" i="1"/>
  <c r="I7" i="1"/>
  <c r="C60" i="1" s="1"/>
  <c r="D60" i="1" s="1"/>
  <c r="I8" i="1"/>
  <c r="C61" i="1" s="1"/>
  <c r="D61" i="1" s="1"/>
  <c r="I9" i="1"/>
  <c r="I10" i="1"/>
  <c r="C63" i="1" s="1"/>
  <c r="D63" i="1" s="1"/>
  <c r="I11" i="1"/>
  <c r="C64" i="1" s="1"/>
  <c r="D64" i="1" s="1"/>
  <c r="I12" i="1"/>
  <c r="I13" i="1"/>
  <c r="I14" i="1"/>
  <c r="C67" i="1" s="1"/>
  <c r="D67" i="1" s="1"/>
  <c r="I15" i="1"/>
  <c r="G4" i="1"/>
  <c r="C41" i="1" s="1"/>
  <c r="G5" i="1"/>
  <c r="G6" i="1"/>
  <c r="G7" i="1"/>
  <c r="C44" i="1" s="1"/>
  <c r="D44" i="1" s="1"/>
  <c r="G8" i="1"/>
  <c r="C45" i="1" s="1"/>
  <c r="D45" i="1" s="1"/>
  <c r="G9" i="1"/>
  <c r="G10" i="1"/>
  <c r="C47" i="1" s="1"/>
  <c r="D47" i="1" s="1"/>
  <c r="G11" i="1"/>
  <c r="C48" i="1" s="1"/>
  <c r="D48" i="1" s="1"/>
  <c r="G12" i="1"/>
  <c r="C49" i="1" s="1"/>
  <c r="D49" i="1" s="1"/>
  <c r="G13" i="1"/>
  <c r="G14" i="1"/>
  <c r="C51" i="1" s="1"/>
  <c r="D51" i="1" s="1"/>
  <c r="G15" i="1"/>
  <c r="C52" i="1" s="1"/>
  <c r="D52" i="1" s="1"/>
  <c r="C42" i="1"/>
  <c r="D42" i="1" s="1"/>
  <c r="C58" i="1"/>
  <c r="D58" i="1" s="1"/>
  <c r="C65" i="1"/>
  <c r="D65" i="1" s="1"/>
  <c r="C68" i="1"/>
  <c r="D68" i="1" s="1"/>
  <c r="J77" i="1"/>
  <c r="I77" i="1"/>
  <c r="H77" i="1"/>
  <c r="J76" i="1"/>
  <c r="I76" i="1"/>
  <c r="H76" i="1"/>
  <c r="E70" i="1"/>
  <c r="E54" i="1"/>
  <c r="E38" i="1"/>
  <c r="C27" i="1"/>
  <c r="E22" i="1"/>
  <c r="E21" i="1"/>
  <c r="F21" i="1" s="1"/>
  <c r="H21" i="1" s="1"/>
  <c r="I21" i="1" s="1"/>
  <c r="E20" i="1"/>
  <c r="E15" i="1"/>
  <c r="C36" i="1" s="1"/>
  <c r="E14" i="1"/>
  <c r="C35" i="1" s="1"/>
  <c r="C66" i="1"/>
  <c r="D66" i="1" s="1"/>
  <c r="C50" i="1"/>
  <c r="D50" i="1" s="1"/>
  <c r="E13" i="1"/>
  <c r="C34" i="1" s="1"/>
  <c r="E12" i="1"/>
  <c r="C33" i="1" s="1"/>
  <c r="E11" i="1"/>
  <c r="C32" i="1" s="1"/>
  <c r="E10" i="1"/>
  <c r="C31" i="1" s="1"/>
  <c r="C62" i="1"/>
  <c r="D62" i="1" s="1"/>
  <c r="C46" i="1"/>
  <c r="D46" i="1" s="1"/>
  <c r="E9" i="1"/>
  <c r="C30" i="1" s="1"/>
  <c r="E8" i="1"/>
  <c r="C29" i="1" s="1"/>
  <c r="E7" i="1"/>
  <c r="C28" i="1" s="1"/>
  <c r="C59" i="1"/>
  <c r="D59" i="1" s="1"/>
  <c r="C43" i="1"/>
  <c r="D43" i="1" s="1"/>
  <c r="E6" i="1"/>
  <c r="E5" i="1"/>
  <c r="C26" i="1" s="1"/>
  <c r="E4" i="1"/>
  <c r="C25" i="1" s="1"/>
  <c r="D25" i="1" l="1"/>
  <c r="D28" i="1"/>
  <c r="D26" i="1"/>
  <c r="G26" i="1" s="1"/>
  <c r="D29" i="1"/>
  <c r="H29" i="1" s="1"/>
  <c r="D27" i="1"/>
  <c r="H27" i="1" s="1"/>
  <c r="G28" i="1"/>
  <c r="H28" i="1"/>
  <c r="G25" i="1"/>
  <c r="H25" i="1"/>
  <c r="D41" i="1"/>
  <c r="A44" i="1"/>
  <c r="G62" i="1"/>
  <c r="H62" i="1"/>
  <c r="H49" i="1"/>
  <c r="G49" i="1"/>
  <c r="H59" i="1"/>
  <c r="G59" i="1"/>
  <c r="H44" i="1"/>
  <c r="G44" i="1"/>
  <c r="G47" i="1"/>
  <c r="H47" i="1"/>
  <c r="H68" i="1"/>
  <c r="G68" i="1"/>
  <c r="H64" i="1"/>
  <c r="G64" i="1"/>
  <c r="H46" i="1"/>
  <c r="G46" i="1"/>
  <c r="N57" i="1" a="1"/>
  <c r="D70" i="1"/>
  <c r="H57" i="1"/>
  <c r="G57" i="1"/>
  <c r="G52" i="1"/>
  <c r="H52" i="1"/>
  <c r="H63" i="1"/>
  <c r="G63" i="1"/>
  <c r="H50" i="1"/>
  <c r="G50" i="1"/>
  <c r="F20" i="1"/>
  <c r="H20" i="1" s="1"/>
  <c r="I20" i="1" s="1"/>
  <c r="J20" i="1" s="1"/>
  <c r="G51" i="1"/>
  <c r="H51" i="1"/>
  <c r="H67" i="1"/>
  <c r="G67" i="1"/>
  <c r="G65" i="1"/>
  <c r="H65" i="1"/>
  <c r="H60" i="1"/>
  <c r="G60" i="1"/>
  <c r="H58" i="1"/>
  <c r="G58" i="1"/>
  <c r="H45" i="1"/>
  <c r="G45" i="1"/>
  <c r="G66" i="1"/>
  <c r="H66" i="1"/>
  <c r="H43" i="1"/>
  <c r="G43" i="1"/>
  <c r="G42" i="1"/>
  <c r="H42" i="1"/>
  <c r="G61" i="1"/>
  <c r="H61" i="1"/>
  <c r="G48" i="1"/>
  <c r="H48" i="1"/>
  <c r="J21" i="1"/>
  <c r="F22" i="1"/>
  <c r="H22" i="1" s="1"/>
  <c r="I22" i="1" s="1"/>
  <c r="J22" i="1" s="1"/>
  <c r="G27" i="1" l="1"/>
  <c r="H26" i="1"/>
  <c r="G29" i="1"/>
  <c r="H70" i="1"/>
  <c r="L57" i="1" s="1"/>
  <c r="G70" i="1"/>
  <c r="N41" i="1" a="1"/>
  <c r="D54" i="1"/>
  <c r="H41" i="1"/>
  <c r="H54" i="1" s="1"/>
  <c r="G41" i="1"/>
  <c r="G54" i="1" s="1"/>
  <c r="N61" i="1"/>
  <c r="N60" i="1"/>
  <c r="O59" i="1"/>
  <c r="N59" i="1"/>
  <c r="O58" i="1"/>
  <c r="N58" i="1"/>
  <c r="O60" i="1"/>
  <c r="N57" i="1"/>
  <c r="O61" i="1"/>
  <c r="O57" i="1"/>
  <c r="O42" i="1" l="1"/>
  <c r="N42" i="1"/>
  <c r="O45" i="1"/>
  <c r="O41" i="1"/>
  <c r="N45" i="1"/>
  <c r="O44" i="1"/>
  <c r="N41" i="1"/>
  <c r="O43" i="1"/>
  <c r="N43" i="1"/>
  <c r="N44" i="1"/>
  <c r="L59" i="1"/>
  <c r="L43" i="1"/>
  <c r="L41" i="1"/>
  <c r="I66" i="1" l="1"/>
  <c r="J66" i="1" s="1"/>
  <c r="I62" i="1"/>
  <c r="J62" i="1" s="1"/>
  <c r="I67" i="1"/>
  <c r="J67" i="1" s="1"/>
  <c r="I63" i="1"/>
  <c r="J63" i="1" s="1"/>
  <c r="I57" i="1"/>
  <c r="J57" i="1" s="1"/>
  <c r="I58" i="1"/>
  <c r="J58" i="1" s="1"/>
  <c r="I68" i="1"/>
  <c r="J68" i="1" s="1"/>
  <c r="I64" i="1"/>
  <c r="J64" i="1" s="1"/>
  <c r="I59" i="1"/>
  <c r="J59" i="1" s="1"/>
  <c r="I60" i="1"/>
  <c r="J60" i="1" s="1"/>
  <c r="I65" i="1"/>
  <c r="J65" i="1" s="1"/>
  <c r="I61" i="1"/>
  <c r="J61" i="1" s="1"/>
  <c r="I49" i="1"/>
  <c r="J49" i="1" s="1"/>
  <c r="I45" i="1"/>
  <c r="J45" i="1" s="1"/>
  <c r="I50" i="1"/>
  <c r="J50" i="1" s="1"/>
  <c r="I46" i="1"/>
  <c r="J46" i="1" s="1"/>
  <c r="I51" i="1"/>
  <c r="J51" i="1" s="1"/>
  <c r="I47" i="1"/>
  <c r="J47" i="1" s="1"/>
  <c r="I52" i="1"/>
  <c r="J52" i="1" s="1"/>
  <c r="I48" i="1"/>
  <c r="J48" i="1" s="1"/>
  <c r="I42" i="1"/>
  <c r="J42" i="1" s="1"/>
  <c r="I44" i="1"/>
  <c r="J44" i="1" s="1"/>
  <c r="I43" i="1"/>
  <c r="J43" i="1" s="1"/>
  <c r="I41" i="1"/>
  <c r="J41" i="1" s="1"/>
  <c r="J70" i="1" l="1"/>
  <c r="J54" i="1"/>
  <c r="L42" i="1" l="1"/>
  <c r="L44" i="1"/>
  <c r="L58" i="1"/>
  <c r="L60" i="1"/>
  <c r="D30" i="1"/>
  <c r="H30" i="1" s="1"/>
  <c r="D31" i="1"/>
  <c r="G31" i="1" s="1"/>
  <c r="H31" i="1"/>
  <c r="D32" i="1"/>
  <c r="H32" i="1" s="1"/>
  <c r="D33" i="1"/>
  <c r="G33" i="1" s="1"/>
  <c r="D34" i="1"/>
  <c r="G34" i="1" s="1"/>
  <c r="D35" i="1"/>
  <c r="G35" i="1" s="1"/>
  <c r="D36" i="1"/>
  <c r="G36" i="1" s="1"/>
  <c r="N25" i="1" l="1" a="1"/>
  <c r="N28" i="1" s="1"/>
  <c r="D38" i="1"/>
  <c r="G30" i="1"/>
  <c r="H34" i="1"/>
  <c r="H35" i="1"/>
  <c r="G32" i="1"/>
  <c r="G38" i="1"/>
  <c r="H33" i="1"/>
  <c r="H38" i="1" s="1"/>
  <c r="H36" i="1"/>
  <c r="L25" i="1" l="1"/>
  <c r="O25" i="1"/>
  <c r="N26" i="1"/>
  <c r="N27" i="1"/>
  <c r="N25" i="1"/>
  <c r="O28" i="1"/>
  <c r="O27" i="1"/>
  <c r="N29" i="1"/>
  <c r="O26" i="1"/>
  <c r="O29" i="1"/>
  <c r="L27" i="1"/>
  <c r="I26" i="1" s="1"/>
  <c r="J26" i="1" s="1"/>
  <c r="I36" i="1" l="1"/>
  <c r="J36" i="1" s="1"/>
  <c r="I35" i="1"/>
  <c r="J35" i="1" s="1"/>
  <c r="I29" i="1"/>
  <c r="J29" i="1" s="1"/>
  <c r="I31" i="1"/>
  <c r="J31" i="1" s="1"/>
  <c r="I34" i="1"/>
  <c r="J34" i="1" s="1"/>
  <c r="I27" i="1"/>
  <c r="J27" i="1" s="1"/>
  <c r="I33" i="1"/>
  <c r="J33" i="1" s="1"/>
  <c r="I30" i="1"/>
  <c r="J30" i="1" s="1"/>
  <c r="I25" i="1"/>
  <c r="J25" i="1" s="1"/>
  <c r="I28" i="1"/>
  <c r="J28" i="1" s="1"/>
  <c r="I32" i="1"/>
  <c r="J32" i="1" s="1"/>
  <c r="J38" i="1" l="1"/>
  <c r="L26" i="1" s="1"/>
  <c r="L28" i="1" l="1"/>
</calcChain>
</file>

<file path=xl/sharedStrings.xml><?xml version="1.0" encoding="utf-8"?>
<sst xmlns="http://schemas.openxmlformats.org/spreadsheetml/2006/main" count="80" uniqueCount="44">
  <si>
    <t>Pomiary</t>
  </si>
  <si>
    <t>U[kV]</t>
  </si>
  <si>
    <r>
      <rPr>
        <sz val="11"/>
        <color rgb="FF000000"/>
        <rFont val="Calibri"/>
        <family val="2"/>
        <charset val="238"/>
      </rPr>
      <t>I</t>
    </r>
    <r>
      <rPr>
        <vertAlign val="subscript"/>
        <sz val="11"/>
        <color rgb="FF000000"/>
        <rFont val="Calibri"/>
        <family val="2"/>
        <charset val="238"/>
      </rPr>
      <t>H</t>
    </r>
    <r>
      <rPr>
        <sz val="11"/>
        <color rgb="FF000000"/>
        <rFont val="Calibri"/>
        <family val="2"/>
        <charset val="238"/>
      </rPr>
      <t>[A]</t>
    </r>
  </si>
  <si>
    <t>B[mT]</t>
  </si>
  <si>
    <t>k [T/A]</t>
  </si>
  <si>
    <t>nr</t>
  </si>
  <si>
    <t>L=40mm</t>
  </si>
  <si>
    <t>L=35mm</t>
  </si>
  <si>
    <t>L=30mm</t>
  </si>
  <si>
    <t>A[mm]*</t>
  </si>
  <si>
    <t>Z[mm]</t>
  </si>
  <si>
    <t xml:space="preserve"> β[°]</t>
  </si>
  <si>
    <t>45[°]</t>
  </si>
  <si>
    <t xml:space="preserve"> β+45[°]</t>
  </si>
  <si>
    <t>H[mm]</t>
  </si>
  <si>
    <t>R[mm]</t>
  </si>
  <si>
    <t>L1[mm]</t>
  </si>
  <si>
    <t>L2[mm]</t>
  </si>
  <si>
    <t>L3[mm]</t>
  </si>
  <si>
    <t>r[mm]</t>
  </si>
  <si>
    <t>b[mT]</t>
  </si>
  <si>
    <r>
      <rPr>
        <sz val="11"/>
        <color rgb="FF000000"/>
        <rFont val="Calibri"/>
        <family val="2"/>
        <charset val="238"/>
      </rPr>
      <t>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</si>
  <si>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rPr>
        <sz val="11"/>
        <color rgb="FF000000"/>
        <rFont val="Calibri"/>
        <family val="2"/>
        <charset val="238"/>
      </rPr>
      <t>(r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)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</si>
  <si>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rPr>
        <sz val="11"/>
        <color rgb="FF000000"/>
        <rFont val="Calibri"/>
        <family val="2"/>
        <charset val="238"/>
      </rPr>
      <t>U×r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</si>
  <si>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rPr>
        <sz val="11"/>
        <color rgb="FF000000"/>
        <rFont val="Calibri"/>
        <family val="2"/>
        <charset val="238"/>
      </rPr>
      <t>E</t>
    </r>
    <r>
      <rPr>
        <vertAlign val="subscript"/>
        <sz val="11"/>
        <color rgb="FF000000"/>
        <rFont val="Calibri"/>
        <family val="2"/>
        <charset val="238"/>
      </rPr>
      <t>i</t>
    </r>
  </si>
  <si>
    <r>
      <rPr>
        <sz val="11"/>
        <color rgb="FF000000"/>
        <rFont val="Calibri"/>
        <family val="2"/>
        <charset val="238"/>
      </rPr>
      <t>E</t>
    </r>
    <r>
      <rPr>
        <vertAlign val="subscript"/>
        <sz val="11"/>
        <color rgb="FF000000"/>
        <rFont val="Calibri"/>
        <family val="2"/>
        <charset val="238"/>
      </rPr>
      <t>i</t>
    </r>
    <r>
      <rPr>
        <vertAlign val="superscript"/>
        <sz val="11"/>
        <color rgb="FF000000"/>
        <rFont val="Calibri"/>
        <family val="2"/>
        <charset val="238"/>
      </rPr>
      <t>2</t>
    </r>
  </si>
  <si>
    <t>Nachylenie prostej</t>
  </si>
  <si>
    <t>Regline</t>
  </si>
  <si>
    <t>a</t>
  </si>
  <si>
    <t>u(a)</t>
  </si>
  <si>
    <t>b</t>
  </si>
  <si>
    <t>u(b)</t>
  </si>
  <si>
    <t>suma</t>
  </si>
  <si>
    <t>R, mm</t>
  </si>
  <si>
    <t>e/m, C</t>
  </si>
  <si>
    <t xml:space="preserve">u(e/m), C </t>
  </si>
  <si>
    <t>B[T]</t>
  </si>
  <si>
    <t>U, V</t>
  </si>
  <si>
    <t>U [V]</t>
  </si>
  <si>
    <t>r = 141mm</t>
  </si>
  <si>
    <t>r = 120mm</t>
  </si>
  <si>
    <t>r = 103mm</t>
  </si>
  <si>
    <r>
      <t>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</si>
  <si>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t>r</t>
    </r>
    <r>
      <rPr>
        <vertAlign val="super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x</t>
    </r>
    <r>
      <rPr>
        <vertAlign val="superscript"/>
        <sz val="11"/>
        <color rgb="FF000000"/>
        <rFont val="Calibri"/>
        <family val="2"/>
        <charset val="238"/>
      </rPr>
      <t xml:space="preserve"> </t>
    </r>
    <r>
      <rPr>
        <sz val="11"/>
        <color rgb="FF000000"/>
        <rFont val="Calibri"/>
        <family val="2"/>
        <charset val="238"/>
      </rPr>
      <t>B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,</t>
    </r>
    <r>
      <rPr>
        <vertAlign val="superscript"/>
        <sz val="11"/>
        <color rgb="FF000000"/>
        <rFont val="Calibri"/>
        <family val="2"/>
        <charset val="238"/>
      </rPr>
      <t xml:space="preserve">  </t>
    </r>
    <r>
      <rPr>
        <sz val="11"/>
        <color rgb="FF000000"/>
        <rFont val="Calibri"/>
        <family val="2"/>
        <charset val="238"/>
      </rPr>
      <t>mm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T</t>
    </r>
    <r>
      <rPr>
        <vertAlign val="superscript"/>
        <sz val="11"/>
        <color rgb="FF000000"/>
        <rFont val="Calibri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</si>
</sst>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4" x14ac:knownFonts="1">
    <font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vertAlign val="super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25411016959955"/>
          <c:y val="4.3611188745432281E-2"/>
          <c:w val="0.8332140132075605"/>
          <c:h val="0.832005867616463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Arkusz1!$D$25:$D$36</c:f>
              <c:numCache>
                <c:formatCode>General</c:formatCode>
                <c:ptCount val="12"/>
                <c:pt idx="0">
                  <c:v>4.8017162784928483E-8</c:v>
                </c:pt>
                <c:pt idx="1">
                  <c:v>5.3085653094658885E-8</c:v>
                </c:pt>
                <c:pt idx="2">
                  <c:v>5.7935456467693353E-8</c:v>
                </c:pt>
                <c:pt idx="3">
                  <c:v>6.0078828762628896E-8</c:v>
                </c:pt>
                <c:pt idx="4">
                  <c:v>6.2997217948602373E-8</c:v>
                </c:pt>
                <c:pt idx="5">
                  <c:v>6.775954654695845E-8</c:v>
                </c:pt>
                <c:pt idx="6">
                  <c:v>7.0075945868730355E-8</c:v>
                </c:pt>
                <c:pt idx="7">
                  <c:v>7.6986453068322975E-8</c:v>
                </c:pt>
                <c:pt idx="8">
                  <c:v>8.1121078063767083E-8</c:v>
                </c:pt>
                <c:pt idx="9">
                  <c:v>8.308757828682546E-8</c:v>
                </c:pt>
                <c:pt idx="10">
                  <c:v>8.9714753729973534E-8</c:v>
                </c:pt>
                <c:pt idx="11">
                  <c:v>9.2079456430070616E-8</c:v>
                </c:pt>
              </c:numCache>
            </c:numRef>
          </c:xVal>
          <c:yVal>
            <c:numRef>
              <c:f>Arkusz1!$E$25:$E$36</c:f>
              <c:numCache>
                <c:formatCode>General</c:formatCode>
                <c:ptCount val="12"/>
                <c:pt idx="0">
                  <c:v>2400</c:v>
                </c:pt>
                <c:pt idx="1">
                  <c:v>2600</c:v>
                </c:pt>
                <c:pt idx="2">
                  <c:v>2800</c:v>
                </c:pt>
                <c:pt idx="3">
                  <c:v>3000</c:v>
                </c:pt>
                <c:pt idx="4">
                  <c:v>3200</c:v>
                </c:pt>
                <c:pt idx="5">
                  <c:v>3400</c:v>
                </c:pt>
                <c:pt idx="6">
                  <c:v>3600</c:v>
                </c:pt>
                <c:pt idx="7">
                  <c:v>3800</c:v>
                </c:pt>
                <c:pt idx="8">
                  <c:v>4000</c:v>
                </c:pt>
                <c:pt idx="9">
                  <c:v>4200</c:v>
                </c:pt>
                <c:pt idx="10">
                  <c:v>4400</c:v>
                </c:pt>
                <c:pt idx="11">
                  <c:v>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A-416B-934C-BE30F6DC1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895664"/>
        <c:axId val="36178400"/>
      </c:scatterChart>
      <c:valAx>
        <c:axId val="1361895664"/>
        <c:scaling>
          <c:orientation val="minMax"/>
          <c:min val="4.0000000000000021E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8400"/>
        <c:crosses val="autoZero"/>
        <c:crossBetween val="midCat"/>
      </c:valAx>
      <c:valAx>
        <c:axId val="361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89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34728754072009"/>
          <c:y val="3.9733079222389223E-2"/>
          <c:w val="0.85036437028215339"/>
          <c:h val="0.843722290804946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Arkusz1!$D$41:$D$52</c:f>
              <c:numCache>
                <c:formatCode>General</c:formatCode>
                <c:ptCount val="12"/>
                <c:pt idx="0">
                  <c:v>4.7909043075190737E-8</c:v>
                </c:pt>
                <c:pt idx="1">
                  <c:v>5.0115699488521147E-8</c:v>
                </c:pt>
                <c:pt idx="2">
                  <c:v>5.6046174850769891E-8</c:v>
                </c:pt>
                <c:pt idx="3">
                  <c:v>5.8631820018015776E-8</c:v>
                </c:pt>
                <c:pt idx="4">
                  <c:v>6.2515721608551571E-8</c:v>
                </c:pt>
                <c:pt idx="5">
                  <c:v>6.5032883145708973E-8</c:v>
                </c:pt>
                <c:pt idx="6">
                  <c:v>6.8466379803849074E-8</c:v>
                </c:pt>
                <c:pt idx="7">
                  <c:v>7.4914708711502612E-8</c:v>
                </c:pt>
                <c:pt idx="8">
                  <c:v>7.7436527825517409E-8</c:v>
                </c:pt>
                <c:pt idx="9">
                  <c:v>8.0706491785108634E-8</c:v>
                </c:pt>
                <c:pt idx="10">
                  <c:v>8.6958684956211428E-8</c:v>
                </c:pt>
                <c:pt idx="11">
                  <c:v>8.8929357475433333E-8</c:v>
                </c:pt>
              </c:numCache>
            </c:numRef>
          </c:xVal>
          <c:yVal>
            <c:numRef>
              <c:f>Arkusz1!$E$41:$E$52</c:f>
              <c:numCache>
                <c:formatCode>General</c:formatCode>
                <c:ptCount val="12"/>
                <c:pt idx="0">
                  <c:v>2400</c:v>
                </c:pt>
                <c:pt idx="1">
                  <c:v>2600</c:v>
                </c:pt>
                <c:pt idx="2">
                  <c:v>2800</c:v>
                </c:pt>
                <c:pt idx="3">
                  <c:v>3000</c:v>
                </c:pt>
                <c:pt idx="4">
                  <c:v>3200</c:v>
                </c:pt>
                <c:pt idx="5">
                  <c:v>3400</c:v>
                </c:pt>
                <c:pt idx="6">
                  <c:v>3600</c:v>
                </c:pt>
                <c:pt idx="7">
                  <c:v>3800</c:v>
                </c:pt>
                <c:pt idx="8">
                  <c:v>4000</c:v>
                </c:pt>
                <c:pt idx="9">
                  <c:v>4200</c:v>
                </c:pt>
                <c:pt idx="10">
                  <c:v>4400</c:v>
                </c:pt>
                <c:pt idx="11">
                  <c:v>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7-4EF9-8190-13E1CE8AB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473008"/>
        <c:axId val="36183856"/>
      </c:scatterChart>
      <c:valAx>
        <c:axId val="1498473008"/>
        <c:scaling>
          <c:orientation val="minMax"/>
          <c:max val="9.0000000000000052E-8"/>
          <c:min val="4.0000000000000021E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3856"/>
        <c:crosses val="autoZero"/>
        <c:crossBetween val="midCat"/>
      </c:valAx>
      <c:valAx>
        <c:axId val="361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7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4537523690696"/>
          <c:y val="3.4780704467501936E-2"/>
          <c:w val="0.83463421385316916"/>
          <c:h val="0.8435467313759252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Arkusz1!$D$57:$D$68</c:f>
              <c:numCache>
                <c:formatCode>General</c:formatCode>
                <c:ptCount val="12"/>
                <c:pt idx="0">
                  <c:v>4.5471004045760193E-8</c:v>
                </c:pt>
                <c:pt idx="1">
                  <c:v>5.0324226244047716E-8</c:v>
                </c:pt>
                <c:pt idx="2">
                  <c:v>5.5760915505870061E-8</c:v>
                </c:pt>
                <c:pt idx="3">
                  <c:v>5.9191568709628824E-8</c:v>
                </c:pt>
                <c:pt idx="4">
                  <c:v>6.1476409345221713E-8</c:v>
                </c:pt>
                <c:pt idx="5">
                  <c:v>6.4711464112587082E-8</c:v>
                </c:pt>
                <c:pt idx="6">
                  <c:v>6.8403256590064813E-8</c:v>
                </c:pt>
                <c:pt idx="7">
                  <c:v>7.2389854826059553E-8</c:v>
                </c:pt>
                <c:pt idx="8">
                  <c:v>7.6489357395103378E-8</c:v>
                </c:pt>
                <c:pt idx="9">
                  <c:v>7.9890696435292726E-8</c:v>
                </c:pt>
                <c:pt idx="10">
                  <c:v>8.3159545696904062E-8</c:v>
                </c:pt>
                <c:pt idx="11">
                  <c:v>8.6283616272938821E-8</c:v>
                </c:pt>
              </c:numCache>
            </c:numRef>
          </c:xVal>
          <c:yVal>
            <c:numRef>
              <c:f>Arkusz1!$E$57:$E$68</c:f>
              <c:numCache>
                <c:formatCode>General</c:formatCode>
                <c:ptCount val="12"/>
                <c:pt idx="0">
                  <c:v>2400</c:v>
                </c:pt>
                <c:pt idx="1">
                  <c:v>2600</c:v>
                </c:pt>
                <c:pt idx="2">
                  <c:v>2800</c:v>
                </c:pt>
                <c:pt idx="3">
                  <c:v>3000</c:v>
                </c:pt>
                <c:pt idx="4">
                  <c:v>3200</c:v>
                </c:pt>
                <c:pt idx="5">
                  <c:v>3400</c:v>
                </c:pt>
                <c:pt idx="6">
                  <c:v>3600</c:v>
                </c:pt>
                <c:pt idx="7">
                  <c:v>3800</c:v>
                </c:pt>
                <c:pt idx="8">
                  <c:v>4000</c:v>
                </c:pt>
                <c:pt idx="9">
                  <c:v>4200</c:v>
                </c:pt>
                <c:pt idx="10">
                  <c:v>4400</c:v>
                </c:pt>
                <c:pt idx="11">
                  <c:v>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C-491F-9F74-6E4BB1C11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13824"/>
        <c:axId val="39926608"/>
      </c:scatterChart>
      <c:valAx>
        <c:axId val="100113824"/>
        <c:scaling>
          <c:orientation val="minMax"/>
          <c:min val="4.0000000000000021E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6608"/>
        <c:crosses val="autoZero"/>
        <c:crossBetween val="midCat"/>
      </c:valAx>
      <c:valAx>
        <c:axId val="399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1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2801</xdr:colOff>
      <xdr:row>19</xdr:row>
      <xdr:rowOff>10646</xdr:rowOff>
    </xdr:from>
    <xdr:to>
      <xdr:col>27</xdr:col>
      <xdr:colOff>383240</xdr:colOff>
      <xdr:row>38</xdr:row>
      <xdr:rowOff>181536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9535352-0A64-B9F1-C766-3B4183CB1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609752</xdr:colOff>
      <xdr:row>39</xdr:row>
      <xdr:rowOff>142492</xdr:rowOff>
    </xdr:from>
    <xdr:to>
      <xdr:col>27</xdr:col>
      <xdr:colOff>369794</xdr:colOff>
      <xdr:row>59</xdr:row>
      <xdr:rowOff>78440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C2146EC-F891-4E9C-243D-CD6EABFBE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5602</xdr:colOff>
      <xdr:row>60</xdr:row>
      <xdr:rowOff>12325</xdr:rowOff>
    </xdr:from>
    <xdr:to>
      <xdr:col>27</xdr:col>
      <xdr:colOff>381000</xdr:colOff>
      <xdr:row>80</xdr:row>
      <xdr:rowOff>33616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60B5F144-8395-791A-CCE4-0B825C355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0.07143</cdr:x>
      <cdr:y>0.08423</cdr:y>
    </cdr:to>
    <cdr:sp macro="" textlink="">
      <cdr:nvSpPr>
        <cdr:cNvPr id="2" name="Ramka tekstowa 1">
          <a:extLst xmlns:a="http://schemas.openxmlformats.org/drawingml/2006/main">
            <a:ext uri="{FF2B5EF4-FFF2-40B4-BE49-F238E27FC236}">
              <a16:creationId xmlns:a16="http://schemas.microsoft.com/office/drawing/2014/main" id="{58C6D526-A89C-9357-226D-18FA825248CD}"/>
            </a:ext>
          </a:extLst>
        </cdr:cNvPr>
        <cdr:cNvSpPr txBox="1"/>
      </cdr:nvSpPr>
      <cdr:spPr>
        <a:xfrm xmlns:a="http://schemas.openxmlformats.org/drawingml/2006/main">
          <a:off x="74077" y="71074"/>
          <a:ext cx="402173" cy="2522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Times New Roman"/>
            </a:rPr>
            <a:t>U, V</a:t>
          </a:r>
        </a:p>
      </cdr:txBody>
    </cdr:sp>
  </cdr:relSizeAnchor>
  <cdr:relSizeAnchor xmlns:cdr="http://schemas.openxmlformats.org/drawingml/2006/chartDrawing">
    <cdr:from>
      <cdr:x>0.92293</cdr:x>
      <cdr:y>0.93691</cdr:y>
    </cdr:from>
    <cdr:to>
      <cdr:x>0.99197</cdr:x>
      <cdr:y>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0D606418-7320-BEF5-3425-3A2B00EBBD4E}"/>
            </a:ext>
          </a:extLst>
        </cdr:cNvPr>
        <cdr:cNvSpPr txBox="1"/>
      </cdr:nvSpPr>
      <cdr:spPr>
        <a:xfrm xmlns:a="http://schemas.openxmlformats.org/drawingml/2006/main">
          <a:off x="6153151" y="3586939"/>
          <a:ext cx="460220" cy="241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Arial"/>
            </a:rPr>
            <a:t>r</a:t>
          </a:r>
          <a:r>
            <a:rPr sz="1200" b="1" strike="noStrike" spc="-1" baseline="30000">
              <a:latin typeface="Arial"/>
            </a:rPr>
            <a:t>2</a:t>
          </a:r>
          <a:r>
            <a:rPr sz="1200" b="1" strike="noStrike" spc="-1">
              <a:latin typeface="Arial"/>
            </a:rPr>
            <a:t>×B</a:t>
          </a:r>
          <a:r>
            <a:rPr sz="1200" b="1" strike="noStrike" spc="-1" baseline="30000">
              <a:latin typeface="Arial"/>
            </a:rPr>
            <a:t>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0.00762</cdr:x>
      <cdr:y>0.01324</cdr:y>
    </cdr:from>
    <cdr:to>
      <cdr:x>0.06798</cdr:x>
      <cdr:y>0.07895</cdr:y>
    </cdr:to>
    <cdr:sp macro="" textlink="">
      <cdr:nvSpPr>
        <cdr:cNvPr id="2" name="Ramka tekstowa 1">
          <a:extLst xmlns:a="http://schemas.openxmlformats.org/drawingml/2006/main">
            <a:ext uri="{FF2B5EF4-FFF2-40B4-BE49-F238E27FC236}">
              <a16:creationId xmlns:a16="http://schemas.microsoft.com/office/drawing/2014/main" id="{606AAEF3-CD77-978F-DC5D-FBF3218585C2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402173" cy="2520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Times New Roman"/>
            </a:rPr>
            <a:t>U, V</a:t>
          </a:r>
        </a:p>
      </cdr:txBody>
    </cdr:sp>
  </cdr:relSizeAnchor>
  <cdr:relSizeAnchor xmlns:cdr="http://schemas.openxmlformats.org/drawingml/2006/chartDrawing">
    <cdr:from>
      <cdr:x>0.93093</cdr:x>
      <cdr:y>0.93691</cdr:y>
    </cdr:from>
    <cdr:to>
      <cdr:x>1</cdr:x>
      <cdr:y>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22D9A7A6-8243-9A11-B26C-A2314F11FC49}"/>
            </a:ext>
          </a:extLst>
        </cdr:cNvPr>
        <cdr:cNvSpPr txBox="1"/>
      </cdr:nvSpPr>
      <cdr:spPr>
        <a:xfrm xmlns:a="http://schemas.openxmlformats.org/drawingml/2006/main">
          <a:off x="6202645" y="3593620"/>
          <a:ext cx="460220" cy="24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Arial"/>
            </a:rPr>
            <a:t>r</a:t>
          </a:r>
          <a:r>
            <a:rPr sz="1200" b="1" strike="noStrike" spc="-1" baseline="30000">
              <a:latin typeface="Arial"/>
            </a:rPr>
            <a:t>2</a:t>
          </a:r>
          <a:r>
            <a:rPr sz="1200" b="1" strike="noStrike" spc="-1">
              <a:latin typeface="Arial"/>
            </a:rPr>
            <a:t>×B</a:t>
          </a:r>
          <a:r>
            <a:rPr sz="1200" b="1" strike="noStrike" spc="-1" baseline="30000">
              <a:latin typeface="Arial"/>
            </a:rPr>
            <a:t>2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0.00763</cdr:x>
      <cdr:y>0.01326</cdr:y>
    </cdr:from>
    <cdr:to>
      <cdr:x>0.06799</cdr:x>
      <cdr:y>0.07904</cdr:y>
    </cdr:to>
    <cdr:sp macro="" textlink="">
      <cdr:nvSpPr>
        <cdr:cNvPr id="2" name="Ramka tekstowa 1">
          <a:extLst xmlns:a="http://schemas.openxmlformats.org/drawingml/2006/main">
            <a:ext uri="{FF2B5EF4-FFF2-40B4-BE49-F238E27FC236}">
              <a16:creationId xmlns:a16="http://schemas.microsoft.com/office/drawing/2014/main" id="{863271C2-4F6A-222D-359E-45CFA1F2DEF1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402173" cy="2520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t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Times New Roman"/>
            </a:rPr>
            <a:t>U, V</a:t>
          </a:r>
        </a:p>
      </cdr:txBody>
    </cdr:sp>
  </cdr:relSizeAnchor>
  <cdr:relSizeAnchor xmlns:cdr="http://schemas.openxmlformats.org/drawingml/2006/chartDrawing">
    <cdr:from>
      <cdr:x>0.93092</cdr:x>
      <cdr:y>0.93684</cdr:y>
    </cdr:from>
    <cdr:to>
      <cdr:x>1</cdr:x>
      <cdr:y>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A7E821DD-3806-D85E-A294-4EE41478999C}"/>
            </a:ext>
          </a:extLst>
        </cdr:cNvPr>
        <cdr:cNvSpPr txBox="1"/>
      </cdr:nvSpPr>
      <cdr:spPr>
        <a:xfrm xmlns:a="http://schemas.openxmlformats.org/drawingml/2006/main">
          <a:off x="6201678" y="3589316"/>
          <a:ext cx="460220" cy="241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sz="1200" b="1" strike="noStrike" spc="-1">
              <a:latin typeface="Arial"/>
            </a:rPr>
            <a:t>r</a:t>
          </a:r>
          <a:r>
            <a:rPr sz="1200" b="1" strike="noStrike" spc="-1" baseline="30000">
              <a:latin typeface="Arial"/>
            </a:rPr>
            <a:t>2</a:t>
          </a:r>
          <a:r>
            <a:rPr sz="1200" b="1" strike="noStrike" spc="-1">
              <a:latin typeface="Arial"/>
            </a:rPr>
            <a:t>×B</a:t>
          </a:r>
          <a:r>
            <a:rPr sz="1200" b="1" strike="noStrike" spc="-1" baseline="30000">
              <a:latin typeface="Arial"/>
            </a:rPr>
            <a:t>2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topLeftCell="K1" zoomScale="190" zoomScaleNormal="190" workbookViewId="0">
      <selection activeCell="P9" sqref="P9"/>
    </sheetView>
  </sheetViews>
  <sheetFormatPr defaultColWidth="8.5703125" defaultRowHeight="15" x14ac:dyDescent="0.25"/>
  <cols>
    <col min="2" max="3" width="9.5703125" customWidth="1"/>
    <col min="4" max="4" width="9.5703125" style="1" customWidth="1"/>
    <col min="5" max="5" width="9.5703125" customWidth="1"/>
    <col min="7" max="7" width="9.28515625" customWidth="1"/>
    <col min="8" max="9" width="9.140625" customWidth="1"/>
    <col min="11" max="12" width="9.28515625" customWidth="1"/>
    <col min="14" max="14" width="10.5703125" customWidth="1"/>
    <col min="15" max="15" width="9.140625" customWidth="1"/>
    <col min="16" max="16" width="9.28515625" customWidth="1"/>
    <col min="20" max="21" width="9.7109375" customWidth="1"/>
    <col min="22" max="23" width="10.7109375" customWidth="1"/>
  </cols>
  <sheetData>
    <row r="1" spans="2:24" x14ac:dyDescent="0.25">
      <c r="S1" s="13"/>
      <c r="T1" s="13"/>
      <c r="U1" s="13"/>
      <c r="V1" s="13"/>
      <c r="W1" s="13"/>
      <c r="X1" s="13"/>
    </row>
    <row r="2" spans="2:24" ht="18" x14ac:dyDescent="0.25">
      <c r="B2" s="2" t="s">
        <v>0</v>
      </c>
      <c r="C2" s="2" t="s">
        <v>1</v>
      </c>
      <c r="D2" s="3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t="s">
        <v>4</v>
      </c>
      <c r="S2" s="13"/>
      <c r="T2" s="10"/>
      <c r="U2" s="11" t="s">
        <v>43</v>
      </c>
      <c r="V2" s="11"/>
      <c r="W2" s="11"/>
      <c r="X2" s="13"/>
    </row>
    <row r="3" spans="2:24" x14ac:dyDescent="0.25">
      <c r="B3" s="4" t="s">
        <v>5</v>
      </c>
      <c r="C3" s="2"/>
      <c r="D3" s="3" t="s">
        <v>6</v>
      </c>
      <c r="E3" s="5"/>
      <c r="F3" s="2" t="s">
        <v>7</v>
      </c>
      <c r="G3" s="5"/>
      <c r="H3" s="2" t="s">
        <v>8</v>
      </c>
      <c r="I3" s="5"/>
      <c r="J3">
        <v>3.4669000000000002E-3</v>
      </c>
      <c r="S3" s="13"/>
      <c r="T3" s="10" t="s">
        <v>1</v>
      </c>
      <c r="U3" s="15" t="s">
        <v>39</v>
      </c>
      <c r="V3" s="15" t="s">
        <v>40</v>
      </c>
      <c r="W3" s="15" t="s">
        <v>41</v>
      </c>
      <c r="X3" s="13"/>
    </row>
    <row r="4" spans="2:24" x14ac:dyDescent="0.25">
      <c r="B4" s="4">
        <v>1</v>
      </c>
      <c r="C4" s="6">
        <v>2.4</v>
      </c>
      <c r="D4" s="7">
        <v>0.44700000000000001</v>
      </c>
      <c r="E4" s="5">
        <f t="shared" ref="E4:E15" si="0">J$3*D4*1000</f>
        <v>1.5497043000000001</v>
      </c>
      <c r="F4" s="5">
        <v>0.52700000000000002</v>
      </c>
      <c r="G4" s="5">
        <f t="shared" ref="G4:G15" si="1">J$3*F4*1000</f>
        <v>1.8270563000000002</v>
      </c>
      <c r="H4" s="5">
        <v>0.59599999999999997</v>
      </c>
      <c r="I4" s="8">
        <f t="shared" ref="I4:I15" si="2">J$3*H4*1000</f>
        <v>2.0662724000000003</v>
      </c>
      <c r="S4" s="13"/>
      <c r="T4" s="14">
        <v>2.4</v>
      </c>
      <c r="U4" s="12">
        <f>D25 *10^9</f>
        <v>48.01716278492848</v>
      </c>
      <c r="V4" s="12">
        <f>D41 * 10^9</f>
        <v>47.909043075190738</v>
      </c>
      <c r="W4" s="12">
        <f>D57*10^9</f>
        <v>45.471004045760189</v>
      </c>
      <c r="X4" s="13"/>
    </row>
    <row r="5" spans="2:24" x14ac:dyDescent="0.25">
      <c r="B5" s="4">
        <v>2</v>
      </c>
      <c r="C5" s="6">
        <v>2.6</v>
      </c>
      <c r="D5" s="7">
        <v>0.47</v>
      </c>
      <c r="E5" s="5">
        <f t="shared" si="0"/>
        <v>1.629443</v>
      </c>
      <c r="F5" s="5">
        <v>0.53900000000000003</v>
      </c>
      <c r="G5" s="5">
        <f t="shared" si="1"/>
        <v>1.8686591000000001</v>
      </c>
      <c r="H5" s="5">
        <v>0.627</v>
      </c>
      <c r="I5" s="8">
        <f t="shared" si="2"/>
        <v>2.1737462999999999</v>
      </c>
      <c r="S5" s="13"/>
      <c r="T5" s="14">
        <v>2.6</v>
      </c>
      <c r="U5" s="12">
        <f t="shared" ref="U5:U15" si="3">D26 *10^9</f>
        <v>53.085653094658888</v>
      </c>
      <c r="V5" s="12">
        <f t="shared" ref="V5:V15" si="4">D42 * 10^9</f>
        <v>50.115699488521145</v>
      </c>
      <c r="W5" s="12">
        <f t="shared" ref="W5:W15" si="5">D58*10^9</f>
        <v>50.324226244047715</v>
      </c>
      <c r="X5" s="13"/>
    </row>
    <row r="6" spans="2:24" x14ac:dyDescent="0.25">
      <c r="B6" s="4">
        <v>3</v>
      </c>
      <c r="C6" s="6">
        <v>2.8</v>
      </c>
      <c r="D6" s="7">
        <v>0.49099999999999999</v>
      </c>
      <c r="E6" s="5">
        <f t="shared" si="0"/>
        <v>1.7022479000000001</v>
      </c>
      <c r="F6" s="5">
        <v>0.56999999999999995</v>
      </c>
      <c r="G6" s="5">
        <f t="shared" si="1"/>
        <v>1.9761330000000001</v>
      </c>
      <c r="H6" s="5">
        <v>0.66</v>
      </c>
      <c r="I6" s="8">
        <f t="shared" si="2"/>
        <v>2.288154</v>
      </c>
      <c r="S6" s="13"/>
      <c r="T6" s="14">
        <v>2.8</v>
      </c>
      <c r="U6" s="12">
        <f t="shared" si="3"/>
        <v>57.935456467693356</v>
      </c>
      <c r="V6" s="12">
        <f t="shared" si="4"/>
        <v>56.046174850769894</v>
      </c>
      <c r="W6" s="12">
        <f t="shared" si="5"/>
        <v>55.760915505870059</v>
      </c>
      <c r="X6" s="13"/>
    </row>
    <row r="7" spans="2:24" x14ac:dyDescent="0.25">
      <c r="B7" s="4">
        <v>4</v>
      </c>
      <c r="C7" s="6">
        <v>3</v>
      </c>
      <c r="D7" s="7">
        <v>0.5</v>
      </c>
      <c r="E7" s="5">
        <f t="shared" si="0"/>
        <v>1.7334500000000002</v>
      </c>
      <c r="F7" s="5">
        <v>0.58299999999999996</v>
      </c>
      <c r="G7" s="5">
        <f t="shared" si="1"/>
        <v>2.0212026999999999</v>
      </c>
      <c r="H7" s="5">
        <v>0.68</v>
      </c>
      <c r="I7" s="8">
        <f t="shared" si="2"/>
        <v>2.3574920000000001</v>
      </c>
      <c r="S7" s="13"/>
      <c r="T7" s="14">
        <v>3</v>
      </c>
      <c r="U7" s="12">
        <f t="shared" si="3"/>
        <v>60.078828762628895</v>
      </c>
      <c r="V7" s="12">
        <f t="shared" si="4"/>
        <v>58.631820018015773</v>
      </c>
      <c r="W7" s="12">
        <f t="shared" si="5"/>
        <v>59.191568709628825</v>
      </c>
      <c r="X7" s="13"/>
    </row>
    <row r="8" spans="2:24" x14ac:dyDescent="0.25">
      <c r="B8" s="4">
        <v>5</v>
      </c>
      <c r="C8" s="6">
        <v>3.2</v>
      </c>
      <c r="D8" s="7">
        <v>0.51200000000000001</v>
      </c>
      <c r="E8" s="5">
        <f t="shared" si="0"/>
        <v>1.7750528000000001</v>
      </c>
      <c r="F8" s="5">
        <v>0.60199999999999998</v>
      </c>
      <c r="G8" s="5">
        <f t="shared" si="1"/>
        <v>2.0870737999999998</v>
      </c>
      <c r="H8" s="5">
        <v>0.69299999999999995</v>
      </c>
      <c r="I8" s="8">
        <f t="shared" si="2"/>
        <v>2.4025616999999997</v>
      </c>
      <c r="S8" s="13"/>
      <c r="T8" s="14">
        <v>3.2</v>
      </c>
      <c r="U8" s="12">
        <f t="shared" si="3"/>
        <v>62.997217948602376</v>
      </c>
      <c r="V8" s="12">
        <f t="shared" si="4"/>
        <v>62.515721608551573</v>
      </c>
      <c r="W8" s="12">
        <f t="shared" si="5"/>
        <v>61.476409345221711</v>
      </c>
      <c r="X8" s="13"/>
    </row>
    <row r="9" spans="2:24" x14ac:dyDescent="0.25">
      <c r="B9" s="4">
        <v>6</v>
      </c>
      <c r="C9" s="6">
        <v>3.4</v>
      </c>
      <c r="D9" s="7">
        <v>0.53100000000000003</v>
      </c>
      <c r="E9" s="5">
        <f t="shared" si="0"/>
        <v>1.8409239000000002</v>
      </c>
      <c r="F9" s="5">
        <v>0.61399999999999999</v>
      </c>
      <c r="G9" s="5">
        <f t="shared" si="1"/>
        <v>2.1286765999999999</v>
      </c>
      <c r="H9" s="5">
        <v>0.71099999999999997</v>
      </c>
      <c r="I9" s="8">
        <f t="shared" si="2"/>
        <v>2.4649658999999997</v>
      </c>
      <c r="S9" s="13"/>
      <c r="T9" s="14">
        <v>3.4</v>
      </c>
      <c r="U9" s="12">
        <f t="shared" si="3"/>
        <v>67.759546546958447</v>
      </c>
      <c r="V9" s="12">
        <f t="shared" si="4"/>
        <v>65.032883145708979</v>
      </c>
      <c r="W9" s="12">
        <f t="shared" si="5"/>
        <v>64.71146411258708</v>
      </c>
      <c r="X9" s="13"/>
    </row>
    <row r="10" spans="2:24" x14ac:dyDescent="0.25">
      <c r="B10" s="4">
        <v>7</v>
      </c>
      <c r="C10" s="6">
        <v>3.6</v>
      </c>
      <c r="D10" s="7">
        <v>0.54</v>
      </c>
      <c r="E10" s="5">
        <f t="shared" si="0"/>
        <v>1.8721260000000002</v>
      </c>
      <c r="F10" s="5">
        <v>0.63</v>
      </c>
      <c r="G10" s="5">
        <f t="shared" si="1"/>
        <v>2.1841469999999998</v>
      </c>
      <c r="H10" s="5">
        <v>0.73099999999999998</v>
      </c>
      <c r="I10" s="8">
        <f t="shared" si="2"/>
        <v>2.5343039000000003</v>
      </c>
      <c r="S10" s="13"/>
      <c r="T10" s="14">
        <v>3.6</v>
      </c>
      <c r="U10" s="12">
        <f t="shared" si="3"/>
        <v>70.075945868730358</v>
      </c>
      <c r="V10" s="12">
        <f t="shared" si="4"/>
        <v>68.46637980384908</v>
      </c>
      <c r="W10" s="12">
        <f t="shared" si="5"/>
        <v>68.403256590064814</v>
      </c>
      <c r="X10" s="13"/>
    </row>
    <row r="11" spans="2:24" x14ac:dyDescent="0.25">
      <c r="B11" s="4">
        <v>8</v>
      </c>
      <c r="C11" s="6">
        <v>3.8</v>
      </c>
      <c r="D11" s="7">
        <v>0.56599999999999995</v>
      </c>
      <c r="E11" s="5">
        <f t="shared" si="0"/>
        <v>1.9622654000000002</v>
      </c>
      <c r="F11" s="5">
        <v>0.65900000000000003</v>
      </c>
      <c r="G11" s="5">
        <f t="shared" si="1"/>
        <v>2.2846871000000002</v>
      </c>
      <c r="H11" s="5">
        <v>0.752</v>
      </c>
      <c r="I11" s="8">
        <f t="shared" si="2"/>
        <v>2.6071088000000002</v>
      </c>
      <c r="S11" s="13"/>
      <c r="T11" s="14">
        <v>3.8</v>
      </c>
      <c r="U11" s="12">
        <f t="shared" si="3"/>
        <v>76.986453068322973</v>
      </c>
      <c r="V11" s="12">
        <f t="shared" si="4"/>
        <v>74.914708711502612</v>
      </c>
      <c r="W11" s="12">
        <f t="shared" si="5"/>
        <v>72.389854826059548</v>
      </c>
      <c r="X11" s="13"/>
    </row>
    <row r="12" spans="2:24" x14ac:dyDescent="0.25">
      <c r="B12" s="4">
        <v>9</v>
      </c>
      <c r="C12" s="6">
        <v>4</v>
      </c>
      <c r="D12" s="7">
        <v>0.58099999999999996</v>
      </c>
      <c r="E12" s="5">
        <f t="shared" si="0"/>
        <v>2.0142688999999998</v>
      </c>
      <c r="F12" s="5">
        <v>0.67</v>
      </c>
      <c r="G12" s="5">
        <f t="shared" si="1"/>
        <v>2.3228230000000005</v>
      </c>
      <c r="H12" s="5">
        <v>0.77300000000000002</v>
      </c>
      <c r="I12" s="8">
        <f t="shared" si="2"/>
        <v>2.6799137000000002</v>
      </c>
      <c r="S12" s="13"/>
      <c r="T12" s="14">
        <v>4</v>
      </c>
      <c r="U12" s="12">
        <f t="shared" si="3"/>
        <v>81.121078063767087</v>
      </c>
      <c r="V12" s="12">
        <f t="shared" si="4"/>
        <v>77.436527825517416</v>
      </c>
      <c r="W12" s="12">
        <f t="shared" si="5"/>
        <v>76.489357395103383</v>
      </c>
      <c r="X12" s="13"/>
    </row>
    <row r="13" spans="2:24" x14ac:dyDescent="0.25">
      <c r="B13" s="4">
        <v>10</v>
      </c>
      <c r="C13" s="6">
        <v>4.2</v>
      </c>
      <c r="D13" s="7">
        <v>0.58799999999999997</v>
      </c>
      <c r="E13" s="5">
        <f t="shared" si="0"/>
        <v>2.0385371999999999</v>
      </c>
      <c r="F13" s="5">
        <v>0.68400000000000005</v>
      </c>
      <c r="G13" s="5">
        <f t="shared" si="1"/>
        <v>2.3713596000000003</v>
      </c>
      <c r="H13" s="5">
        <v>0.79</v>
      </c>
      <c r="I13" s="8">
        <f t="shared" si="2"/>
        <v>2.7388510000000004</v>
      </c>
      <c r="S13" s="13"/>
      <c r="T13" s="14">
        <v>4.2</v>
      </c>
      <c r="U13" s="12">
        <f t="shared" si="3"/>
        <v>83.087578286825462</v>
      </c>
      <c r="V13" s="12">
        <f t="shared" si="4"/>
        <v>80.706491785108639</v>
      </c>
      <c r="W13" s="12">
        <f t="shared" si="5"/>
        <v>79.890696435292725</v>
      </c>
      <c r="X13" s="13"/>
    </row>
    <row r="14" spans="2:24" x14ac:dyDescent="0.25">
      <c r="B14" s="4">
        <v>11</v>
      </c>
      <c r="C14" s="6">
        <v>4.4000000000000004</v>
      </c>
      <c r="D14" s="7">
        <v>0.61099999999999999</v>
      </c>
      <c r="E14" s="5">
        <f t="shared" si="0"/>
        <v>2.1182759</v>
      </c>
      <c r="F14" s="5">
        <v>0.71</v>
      </c>
      <c r="G14" s="5">
        <f t="shared" si="1"/>
        <v>2.4614989999999999</v>
      </c>
      <c r="H14" s="5">
        <v>0.80600000000000005</v>
      </c>
      <c r="I14" s="8">
        <f t="shared" si="2"/>
        <v>2.7943214000000003</v>
      </c>
      <c r="S14" s="13"/>
      <c r="T14" s="14">
        <v>4.4000000000000004</v>
      </c>
      <c r="U14" s="12">
        <f t="shared" si="3"/>
        <v>89.714753729973538</v>
      </c>
      <c r="V14" s="12">
        <f t="shared" si="4"/>
        <v>86.958684956211428</v>
      </c>
      <c r="W14" s="12">
        <f t="shared" si="5"/>
        <v>83.159545696904061</v>
      </c>
      <c r="X14" s="13"/>
    </row>
    <row r="15" spans="2:24" x14ac:dyDescent="0.25">
      <c r="B15" s="4">
        <v>12</v>
      </c>
      <c r="C15" s="6">
        <v>4.5999999999999996</v>
      </c>
      <c r="D15" s="7">
        <v>0.61899999999999999</v>
      </c>
      <c r="E15" s="5">
        <f t="shared" si="0"/>
        <v>2.1460111000000004</v>
      </c>
      <c r="F15" s="5">
        <v>0.71799999999999997</v>
      </c>
      <c r="G15" s="5">
        <f t="shared" si="1"/>
        <v>2.4892341999999998</v>
      </c>
      <c r="H15" s="5">
        <v>0.82099999999999995</v>
      </c>
      <c r="I15" s="8">
        <f t="shared" si="2"/>
        <v>2.8463248999999999</v>
      </c>
      <c r="S15" s="13"/>
      <c r="T15" s="14">
        <v>4.5999999999999996</v>
      </c>
      <c r="U15" s="12">
        <f t="shared" si="3"/>
        <v>92.079456430070621</v>
      </c>
      <c r="V15" s="12">
        <f t="shared" si="4"/>
        <v>88.929357475433335</v>
      </c>
      <c r="W15" s="12">
        <f t="shared" si="5"/>
        <v>86.283616272938815</v>
      </c>
      <c r="X15" s="13"/>
    </row>
    <row r="16" spans="2:24" x14ac:dyDescent="0.25">
      <c r="M16">
        <v>0.1032</v>
      </c>
      <c r="P16">
        <f>141.4*10^(-3)</f>
        <v>0.1414</v>
      </c>
      <c r="S16" s="13"/>
      <c r="T16" s="13"/>
      <c r="U16" s="13"/>
      <c r="V16" s="13"/>
      <c r="W16" s="13"/>
      <c r="X16" s="13"/>
    </row>
    <row r="19" spans="1:18" x14ac:dyDescent="0.25"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18" x14ac:dyDescent="0.25">
      <c r="B20" t="s">
        <v>16</v>
      </c>
      <c r="C20">
        <v>40</v>
      </c>
      <c r="D20">
        <v>80</v>
      </c>
      <c r="E20">
        <f>SQRT(C20^2+D20^2)</f>
        <v>89.442719099991592</v>
      </c>
      <c r="F20">
        <f>DEGREES(ACOS(D20/E20))</f>
        <v>26.565051177077994</v>
      </c>
      <c r="G20">
        <v>45</v>
      </c>
      <c r="H20">
        <f>F20+G20</f>
        <v>71.56505117707799</v>
      </c>
      <c r="I20">
        <f>(E20/2)*TAN(RADIANS(H20))</f>
        <v>134.1640786499874</v>
      </c>
      <c r="J20">
        <f>SQRT((E20/2)^2+I20^2)</f>
        <v>141.42135623730954</v>
      </c>
    </row>
    <row r="21" spans="1:18" x14ac:dyDescent="0.25">
      <c r="B21" t="s">
        <v>17</v>
      </c>
      <c r="C21">
        <v>35</v>
      </c>
      <c r="D21">
        <v>80</v>
      </c>
      <c r="E21">
        <f>SQRT(C21^2+D21^2)</f>
        <v>87.321245982864909</v>
      </c>
      <c r="F21">
        <f>DEGREES(ACOS(D21/E21))</f>
        <v>23.629377730656827</v>
      </c>
      <c r="G21">
        <v>45</v>
      </c>
      <c r="H21">
        <f>F21+G21</f>
        <v>68.629377730656827</v>
      </c>
      <c r="I21">
        <f>(E21/2)*TAN(RADIANS(H21))</f>
        <v>111.57714764477188</v>
      </c>
      <c r="J21">
        <f>SQRT((E21/2)^2+I21^2)</f>
        <v>119.81531570105395</v>
      </c>
    </row>
    <row r="22" spans="1:18" x14ac:dyDescent="0.25">
      <c r="B22" t="s">
        <v>18</v>
      </c>
      <c r="C22">
        <v>30</v>
      </c>
      <c r="D22">
        <v>80</v>
      </c>
      <c r="E22">
        <f>SQRT(C22^2+D22^2)</f>
        <v>85.440037453175307</v>
      </c>
      <c r="F22">
        <f>DEGREES(ACOS(D22/E22))</f>
        <v>20.556045219583449</v>
      </c>
      <c r="G22">
        <v>45</v>
      </c>
      <c r="H22">
        <f>F22+G22</f>
        <v>65.556045219583453</v>
      </c>
      <c r="I22">
        <f>(E22/2)*TAN(RADIANS(H22))</f>
        <v>93.984041198492775</v>
      </c>
      <c r="J22">
        <f>SQRT((E22/2)^2+I22^2)</f>
        <v>103.23759005323588</v>
      </c>
    </row>
    <row r="23" spans="1:18" x14ac:dyDescent="0.25">
      <c r="A23" s="2" t="s">
        <v>0</v>
      </c>
      <c r="D23"/>
    </row>
    <row r="24" spans="1:18" ht="18.75" x14ac:dyDescent="0.35">
      <c r="A24" s="4" t="s">
        <v>5</v>
      </c>
      <c r="B24" t="s">
        <v>19</v>
      </c>
      <c r="C24" t="s">
        <v>36</v>
      </c>
      <c r="D24" t="s">
        <v>42</v>
      </c>
      <c r="E24" t="s">
        <v>37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N24" s="9" t="s">
        <v>27</v>
      </c>
      <c r="O24" s="9"/>
      <c r="Q24" s="9"/>
      <c r="R24" s="9"/>
    </row>
    <row r="25" spans="1:18" x14ac:dyDescent="0.25">
      <c r="A25" s="4">
        <v>1</v>
      </c>
      <c r="B25">
        <f>141.4*10^(-3)</f>
        <v>0.1414</v>
      </c>
      <c r="C25">
        <f>E4/1000</f>
        <v>1.5497043000000002E-3</v>
      </c>
      <c r="D25">
        <f>(B25^2)*(C25^2)</f>
        <v>4.8017162784928483E-8</v>
      </c>
      <c r="E25">
        <f>C4*10^3</f>
        <v>2400</v>
      </c>
      <c r="G25">
        <f t="shared" ref="G25:G36" si="6">D25^2</f>
        <v>2.3056479219143208E-15</v>
      </c>
      <c r="H25">
        <f t="shared" ref="H25:H36" si="7">D25*E25</f>
        <v>1.1524119068382836E-4</v>
      </c>
      <c r="I25">
        <f t="shared" ref="I25:I36" si="8">E25-L$25*D25-L$27</f>
        <v>8.0829513427163739</v>
      </c>
      <c r="J25">
        <f t="shared" ref="J25:J36" si="9">I25^2</f>
        <v>65.334102408720426</v>
      </c>
      <c r="K25" t="s">
        <v>28</v>
      </c>
      <c r="L25">
        <f>(12*H38-E38*D38)/(12*G38-D38^2)</f>
        <v>49851299092.448593</v>
      </c>
      <c r="N25">
        <f t="array" ref="N25:O29">LINEST(E25:E36,D25:D36,TRUE(),TRUE())</f>
        <v>49851299092.448593</v>
      </c>
      <c r="O25">
        <v>-1.8008949049849434</v>
      </c>
    </row>
    <row r="26" spans="1:18" x14ac:dyDescent="0.25">
      <c r="A26" s="4">
        <v>2</v>
      </c>
      <c r="B26">
        <f t="shared" ref="B25:B36" si="10">141.4*10^(-3)</f>
        <v>0.1414</v>
      </c>
      <c r="C26">
        <f t="shared" ref="C25:C36" si="11">E5/1000</f>
        <v>1.629443E-3</v>
      </c>
      <c r="D26">
        <f t="shared" ref="D25:D36" si="12">(B26^2)*(C26^2)</f>
        <v>5.3085653094658885E-8</v>
      </c>
      <c r="E26">
        <f t="shared" ref="E26:E36" si="13">C5*10^3</f>
        <v>2600</v>
      </c>
      <c r="G26">
        <f t="shared" si="6"/>
        <v>2.8180865644864664E-15</v>
      </c>
      <c r="H26">
        <f t="shared" si="7"/>
        <v>1.3802269804611309E-4</v>
      </c>
      <c r="I26">
        <f t="shared" si="8"/>
        <v>-44.587875034831278</v>
      </c>
      <c r="J26">
        <f t="shared" si="9"/>
        <v>1988.0786001217302</v>
      </c>
      <c r="K26" t="s">
        <v>29</v>
      </c>
      <c r="L26">
        <f>SQRT((1/8)*((J38)/(12*G38-D38^2)))</f>
        <v>412842039.61436152</v>
      </c>
      <c r="N26">
        <v>1279144275.2325835</v>
      </c>
      <c r="O26">
        <v>91.571910765705553</v>
      </c>
    </row>
    <row r="27" spans="1:18" x14ac:dyDescent="0.25">
      <c r="A27" s="4">
        <v>3</v>
      </c>
      <c r="B27">
        <f t="shared" si="10"/>
        <v>0.1414</v>
      </c>
      <c r="C27">
        <f t="shared" si="11"/>
        <v>1.7022479000000001E-3</v>
      </c>
      <c r="D27">
        <f t="shared" si="12"/>
        <v>5.7935456467693353E-8</v>
      </c>
      <c r="E27">
        <f t="shared" si="13"/>
        <v>2800</v>
      </c>
      <c r="G27">
        <f t="shared" si="6"/>
        <v>3.3565171161199917E-15</v>
      </c>
      <c r="H27">
        <f t="shared" si="7"/>
        <v>1.6221927810954138E-4</v>
      </c>
      <c r="I27">
        <f t="shared" si="8"/>
        <v>-86.356873523538724</v>
      </c>
      <c r="J27">
        <f t="shared" si="9"/>
        <v>7457.5096047604638</v>
      </c>
      <c r="K27" t="s">
        <v>30</v>
      </c>
      <c r="L27">
        <f>(G38*E38-D38*H38)/(12*G38-D38^2)</f>
        <v>-1.800894904977927</v>
      </c>
      <c r="N27">
        <v>0.9934591211679048</v>
      </c>
      <c r="O27">
        <v>61.166843076608707</v>
      </c>
    </row>
    <row r="28" spans="1:18" x14ac:dyDescent="0.25">
      <c r="A28" s="4">
        <v>4</v>
      </c>
      <c r="B28">
        <f t="shared" si="10"/>
        <v>0.1414</v>
      </c>
      <c r="C28">
        <f t="shared" si="11"/>
        <v>1.7334500000000001E-3</v>
      </c>
      <c r="D28">
        <f t="shared" si="12"/>
        <v>6.0078828762628896E-8</v>
      </c>
      <c r="E28">
        <f t="shared" si="13"/>
        <v>3000</v>
      </c>
      <c r="G28">
        <f t="shared" si="6"/>
        <v>3.6094656654892853E-15</v>
      </c>
      <c r="H28">
        <f t="shared" si="7"/>
        <v>1.8023648628788668E-4</v>
      </c>
      <c r="I28">
        <f t="shared" si="8"/>
        <v>6.7932331351615041</v>
      </c>
      <c r="J28">
        <f t="shared" si="9"/>
        <v>46.148016428656199</v>
      </c>
      <c r="K28" t="s">
        <v>31</v>
      </c>
      <c r="L28">
        <f>SQRT((1/8)*((G38*J38)/(12*G38-D38^2)))</f>
        <v>102.38050865083095</v>
      </c>
      <c r="N28">
        <v>1518.8465444324256</v>
      </c>
      <c r="O28">
        <v>10</v>
      </c>
    </row>
    <row r="29" spans="1:18" x14ac:dyDescent="0.25">
      <c r="A29" s="4">
        <v>5</v>
      </c>
      <c r="B29">
        <f t="shared" si="10"/>
        <v>0.1414</v>
      </c>
      <c r="C29">
        <f t="shared" si="11"/>
        <v>1.7750528000000001E-3</v>
      </c>
      <c r="D29">
        <f t="shared" si="12"/>
        <v>6.2997217948602373E-8</v>
      </c>
      <c r="E29">
        <f t="shared" si="13"/>
        <v>3200</v>
      </c>
      <c r="G29">
        <f t="shared" si="6"/>
        <v>3.9686494692637092E-15</v>
      </c>
      <c r="H29">
        <f t="shared" si="7"/>
        <v>2.015910974355276E-4</v>
      </c>
      <c r="I29">
        <f t="shared" si="8"/>
        <v>61.307740957030354</v>
      </c>
      <c r="J29">
        <f t="shared" si="9"/>
        <v>3758.6391012543372</v>
      </c>
      <c r="N29">
        <v>5682586.1730804155</v>
      </c>
      <c r="O29">
        <v>37413.826919584746</v>
      </c>
    </row>
    <row r="30" spans="1:18" x14ac:dyDescent="0.25">
      <c r="A30" s="4">
        <v>6</v>
      </c>
      <c r="B30">
        <f t="shared" si="10"/>
        <v>0.1414</v>
      </c>
      <c r="C30">
        <f t="shared" si="11"/>
        <v>1.8409239000000003E-3</v>
      </c>
      <c r="D30">
        <f t="shared" si="12"/>
        <v>6.775954654695845E-8</v>
      </c>
      <c r="E30">
        <f t="shared" si="13"/>
        <v>3400</v>
      </c>
      <c r="G30">
        <f t="shared" si="6"/>
        <v>4.5913561482494289E-15</v>
      </c>
      <c r="H30">
        <f t="shared" si="7"/>
        <v>2.3038245825965874E-4</v>
      </c>
      <c r="I30">
        <f t="shared" si="8"/>
        <v>23.899473623859908</v>
      </c>
      <c r="J30">
        <f t="shared" si="9"/>
        <v>571.18483949757547</v>
      </c>
    </row>
    <row r="31" spans="1:18" x14ac:dyDescent="0.25">
      <c r="A31" s="4">
        <v>7</v>
      </c>
      <c r="B31">
        <f t="shared" si="10"/>
        <v>0.1414</v>
      </c>
      <c r="C31">
        <f t="shared" si="11"/>
        <v>1.8721260000000002E-3</v>
      </c>
      <c r="D31">
        <f t="shared" si="12"/>
        <v>7.0075945868730355E-8</v>
      </c>
      <c r="E31">
        <f t="shared" si="13"/>
        <v>3600</v>
      </c>
      <c r="G31">
        <f t="shared" si="6"/>
        <v>4.9106381893972266E-15</v>
      </c>
      <c r="H31">
        <f t="shared" si="7"/>
        <v>2.5227340512742929E-4</v>
      </c>
      <c r="I31">
        <f t="shared" si="8"/>
        <v>108.42395821666358</v>
      </c>
      <c r="J31">
        <f t="shared" si="9"/>
        <v>11755.75471536881</v>
      </c>
    </row>
    <row r="32" spans="1:18" x14ac:dyDescent="0.25">
      <c r="A32" s="4">
        <v>8</v>
      </c>
      <c r="B32">
        <f t="shared" si="10"/>
        <v>0.1414</v>
      </c>
      <c r="C32">
        <f t="shared" si="11"/>
        <v>1.9622654000000001E-3</v>
      </c>
      <c r="D32">
        <f t="shared" si="12"/>
        <v>7.6986453068322975E-8</v>
      </c>
      <c r="E32">
        <f t="shared" si="13"/>
        <v>3800</v>
      </c>
      <c r="G32">
        <f t="shared" si="6"/>
        <v>5.926913956041096E-15</v>
      </c>
      <c r="H32">
        <f t="shared" si="7"/>
        <v>2.9254852165962728E-4</v>
      </c>
      <c r="I32">
        <f t="shared" si="8"/>
        <v>-36.073803070747282</v>
      </c>
      <c r="J32">
        <f t="shared" si="9"/>
        <v>1301.319267987056</v>
      </c>
    </row>
    <row r="33" spans="1:15" x14ac:dyDescent="0.25">
      <c r="A33" s="4">
        <v>9</v>
      </c>
      <c r="B33">
        <f t="shared" si="10"/>
        <v>0.1414</v>
      </c>
      <c r="C33">
        <f t="shared" si="11"/>
        <v>2.0142688999999999E-3</v>
      </c>
      <c r="D33">
        <f t="shared" si="12"/>
        <v>8.1121078063767083E-8</v>
      </c>
      <c r="E33">
        <f t="shared" si="13"/>
        <v>4000</v>
      </c>
      <c r="G33">
        <f t="shared" si="6"/>
        <v>6.5806293062277933E-15</v>
      </c>
      <c r="H33">
        <f t="shared" si="7"/>
        <v>3.2448431225506831E-4</v>
      </c>
      <c r="I33">
        <f t="shared" si="8"/>
        <v>-42.190230353745584</v>
      </c>
      <c r="J33">
        <f t="shared" si="9"/>
        <v>1780.0155373021153</v>
      </c>
    </row>
    <row r="34" spans="1:15" x14ac:dyDescent="0.25">
      <c r="A34" s="4">
        <v>10</v>
      </c>
      <c r="B34">
        <f t="shared" si="10"/>
        <v>0.1414</v>
      </c>
      <c r="C34">
        <f t="shared" si="11"/>
        <v>2.0385372000000001E-3</v>
      </c>
      <c r="D34">
        <f t="shared" si="12"/>
        <v>8.308757828682546E-8</v>
      </c>
      <c r="E34">
        <f t="shared" si="13"/>
        <v>4200</v>
      </c>
      <c r="G34">
        <f t="shared" si="6"/>
        <v>6.90354566556935E-15</v>
      </c>
      <c r="H34">
        <f t="shared" si="7"/>
        <v>3.4896782880466693E-4</v>
      </c>
      <c r="I34">
        <f t="shared" si="8"/>
        <v>59.777178861204256</v>
      </c>
      <c r="J34">
        <f t="shared" si="9"/>
        <v>3573.311112604405</v>
      </c>
    </row>
    <row r="35" spans="1:15" x14ac:dyDescent="0.25">
      <c r="A35" s="4">
        <v>11</v>
      </c>
      <c r="B35">
        <f t="shared" si="10"/>
        <v>0.1414</v>
      </c>
      <c r="C35">
        <f t="shared" si="11"/>
        <v>2.1182759000000001E-3</v>
      </c>
      <c r="D35">
        <f t="shared" si="12"/>
        <v>8.9714753729973534E-8</v>
      </c>
      <c r="E35">
        <f t="shared" si="13"/>
        <v>4400</v>
      </c>
      <c r="G35">
        <f t="shared" si="6"/>
        <v>8.0487370368297996E-15</v>
      </c>
      <c r="H35">
        <f t="shared" si="7"/>
        <v>3.9474491641188354E-4</v>
      </c>
      <c r="I35">
        <f t="shared" si="8"/>
        <v>-70.596126293300784</v>
      </c>
      <c r="J35">
        <f t="shared" si="9"/>
        <v>4983.8130476196748</v>
      </c>
    </row>
    <row r="36" spans="1:15" x14ac:dyDescent="0.25">
      <c r="A36" s="4">
        <v>12</v>
      </c>
      <c r="B36">
        <f t="shared" si="10"/>
        <v>0.1414</v>
      </c>
      <c r="C36">
        <f t="shared" si="11"/>
        <v>2.1460111000000002E-3</v>
      </c>
      <c r="D36">
        <f t="shared" si="12"/>
        <v>9.2079456430070616E-8</v>
      </c>
      <c r="E36">
        <f t="shared" si="13"/>
        <v>4600</v>
      </c>
      <c r="G36">
        <f t="shared" si="6"/>
        <v>8.4786262964572732E-15</v>
      </c>
      <c r="H36">
        <f t="shared" si="7"/>
        <v>4.2356549957832482E-4</v>
      </c>
      <c r="I36">
        <f t="shared" si="8"/>
        <v>11.520372139438937</v>
      </c>
      <c r="J36">
        <f t="shared" si="9"/>
        <v>132.71897423116087</v>
      </c>
    </row>
    <row r="37" spans="1:15" x14ac:dyDescent="0.25">
      <c r="D37"/>
    </row>
    <row r="38" spans="1:15" x14ac:dyDescent="0.25">
      <c r="C38" t="s">
        <v>32</v>
      </c>
      <c r="D38">
        <f>SUM(D25:D36)</f>
        <v>8.429391310531604E-7</v>
      </c>
      <c r="E38">
        <f>SUM(E25:E36)</f>
        <v>42000</v>
      </c>
      <c r="G38">
        <f>SUM(G25:G36)</f>
        <v>6.1498813336045742E-14</v>
      </c>
      <c r="H38">
        <f>SUM(H25:H36)</f>
        <v>3.0642776926595562E-3</v>
      </c>
      <c r="J38">
        <f>SUM(J25:J36)</f>
        <v>37413.82691958471</v>
      </c>
    </row>
    <row r="39" spans="1:15" x14ac:dyDescent="0.25">
      <c r="D39"/>
    </row>
    <row r="40" spans="1:15" ht="18.75" x14ac:dyDescent="0.35">
      <c r="B40" t="s">
        <v>19</v>
      </c>
      <c r="C40" t="s">
        <v>20</v>
      </c>
      <c r="D40" t="s">
        <v>21</v>
      </c>
      <c r="E40" t="s">
        <v>38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N40" s="9" t="s">
        <v>27</v>
      </c>
      <c r="O40" s="9"/>
    </row>
    <row r="41" spans="1:15" x14ac:dyDescent="0.25">
      <c r="B41">
        <v>0.1198</v>
      </c>
      <c r="C41">
        <f t="shared" ref="C41:C52" si="14">G4/1000</f>
        <v>1.8270563000000002E-3</v>
      </c>
      <c r="D41">
        <f t="shared" ref="D41:D52" si="15">(B41^2)*(C41^2)</f>
        <v>4.7909043075190737E-8</v>
      </c>
      <c r="E41">
        <f>C4*10^3</f>
        <v>2400</v>
      </c>
      <c r="G41">
        <f t="shared" ref="G41:G52" si="16">D41^2</f>
        <v>2.2952764083804815E-15</v>
      </c>
      <c r="H41">
        <f t="shared" ref="H41:H52" si="17">D41*E41</f>
        <v>1.1498170338045776E-4</v>
      </c>
      <c r="I41">
        <f t="shared" ref="I41:I52" si="18">E41-L$41*D41-L$43</f>
        <v>-44.277230890575325</v>
      </c>
      <c r="J41">
        <f t="shared" ref="J41:J52" si="19">I41^2</f>
        <v>1960.4731753373178</v>
      </c>
      <c r="K41" t="s">
        <v>28</v>
      </c>
      <c r="L41">
        <f>(12*H54-E54*D54)/(12*G54-D54^2)</f>
        <v>52187079524.803001</v>
      </c>
      <c r="N41">
        <f t="array" ref="N41:O45">LINEST(E41:E52,D41:D52,TRUE(),TRUE())</f>
        <v>52187079524.8032</v>
      </c>
      <c r="O41">
        <v>-55.955810031610781</v>
      </c>
    </row>
    <row r="42" spans="1:15" x14ac:dyDescent="0.25">
      <c r="B42">
        <v>0.1198</v>
      </c>
      <c r="C42">
        <f t="shared" si="14"/>
        <v>1.8686591000000002E-3</v>
      </c>
      <c r="D42">
        <f t="shared" si="15"/>
        <v>5.0115699488521147E-8</v>
      </c>
      <c r="E42">
        <f t="shared" ref="E42:E52" si="20">C5*10^3</f>
        <v>2600</v>
      </c>
      <c r="G42">
        <f t="shared" si="16"/>
        <v>2.5115833352237587E-15</v>
      </c>
      <c r="H42">
        <f t="shared" si="17"/>
        <v>1.3030081867015499E-4</v>
      </c>
      <c r="I42">
        <f t="shared" si="18"/>
        <v>40.563815383033884</v>
      </c>
      <c r="J42">
        <f t="shared" si="19"/>
        <v>1645.4231184288562</v>
      </c>
      <c r="K42" t="s">
        <v>29</v>
      </c>
      <c r="L42">
        <f>SQRT((1/8)*((J54)/(12*G54-D54^2)))</f>
        <v>394176778.79232281</v>
      </c>
      <c r="N42">
        <v>1221312079.7794809</v>
      </c>
      <c r="O42">
        <v>84.76415507096921</v>
      </c>
    </row>
    <row r="43" spans="1:15" x14ac:dyDescent="0.25">
      <c r="B43">
        <v>0.1198</v>
      </c>
      <c r="C43">
        <f t="shared" si="14"/>
        <v>1.9761330000000001E-3</v>
      </c>
      <c r="D43">
        <f t="shared" si="15"/>
        <v>5.6046174850769891E-8</v>
      </c>
      <c r="E43">
        <f t="shared" si="20"/>
        <v>2800</v>
      </c>
      <c r="G43">
        <f t="shared" si="16"/>
        <v>3.1411737154030715E-15</v>
      </c>
      <c r="H43">
        <f t="shared" si="17"/>
        <v>1.5692928958215569E-4</v>
      </c>
      <c r="I43">
        <f t="shared" si="18"/>
        <v>-68.930373966526318</v>
      </c>
      <c r="J43">
        <f t="shared" si="19"/>
        <v>4751.3964551651688</v>
      </c>
      <c r="K43" t="s">
        <v>30</v>
      </c>
      <c r="L43">
        <f>(G54*E54-D54*H54)/(12*G54-D54^2)</f>
        <v>-55.955810031615997</v>
      </c>
      <c r="N43">
        <v>0.99455302651467348</v>
      </c>
      <c r="O43">
        <v>55.818176552148181</v>
      </c>
    </row>
    <row r="44" spans="1:15" x14ac:dyDescent="0.25">
      <c r="A44">
        <f>(B41^2)*(C41^2)</f>
        <v>4.7909043075190737E-8</v>
      </c>
      <c r="B44">
        <v>0.1198</v>
      </c>
      <c r="C44">
        <f t="shared" si="14"/>
        <v>2.0212027E-3</v>
      </c>
      <c r="D44">
        <f t="shared" si="15"/>
        <v>5.8631820018015776E-8</v>
      </c>
      <c r="E44">
        <f t="shared" si="20"/>
        <v>3000</v>
      </c>
      <c r="G44">
        <f t="shared" si="16"/>
        <v>3.4376903186249953E-15</v>
      </c>
      <c r="H44">
        <f t="shared" si="17"/>
        <v>1.7589546005404732E-4</v>
      </c>
      <c r="I44">
        <f t="shared" si="18"/>
        <v>-3.8676439325097505</v>
      </c>
      <c r="J44">
        <f t="shared" si="19"/>
        <v>14.958669588679488</v>
      </c>
      <c r="K44" t="s">
        <v>31</v>
      </c>
      <c r="L44">
        <f>SQRT((1/8)*((G54*J54)/(12*G54-D54^2)))</f>
        <v>94.769206397010308</v>
      </c>
      <c r="N44">
        <v>1825.8818942186385</v>
      </c>
      <c r="O44">
        <v>10</v>
      </c>
    </row>
    <row r="45" spans="1:15" x14ac:dyDescent="0.25">
      <c r="B45">
        <v>0.1198</v>
      </c>
      <c r="C45">
        <f t="shared" si="14"/>
        <v>2.0870737999999999E-3</v>
      </c>
      <c r="D45">
        <f t="shared" si="15"/>
        <v>6.2515721608551571E-8</v>
      </c>
      <c r="E45">
        <f t="shared" si="20"/>
        <v>3200</v>
      </c>
      <c r="G45">
        <f t="shared" si="16"/>
        <v>3.9082154482379217E-15</v>
      </c>
      <c r="H45">
        <f t="shared" si="17"/>
        <v>2.0005030914736503E-4</v>
      </c>
      <c r="I45">
        <f t="shared" si="18"/>
        <v>-6.5571251043104581</v>
      </c>
      <c r="J45">
        <f t="shared" si="19"/>
        <v>42.995889633578436</v>
      </c>
      <c r="N45">
        <v>5688843.3116639322</v>
      </c>
      <c r="O45">
        <v>31156.688336067848</v>
      </c>
    </row>
    <row r="46" spans="1:15" x14ac:dyDescent="0.25">
      <c r="B46">
        <v>0.1198</v>
      </c>
      <c r="C46">
        <f t="shared" si="14"/>
        <v>2.1286766000000001E-3</v>
      </c>
      <c r="D46">
        <f t="shared" si="15"/>
        <v>6.5032883145708973E-8</v>
      </c>
      <c r="E46">
        <f t="shared" si="20"/>
        <v>3400</v>
      </c>
      <c r="G46">
        <f t="shared" si="16"/>
        <v>4.2292758902434384E-15</v>
      </c>
      <c r="H46">
        <f t="shared" si="17"/>
        <v>2.2111180269541051E-4</v>
      </c>
      <c r="I46">
        <f t="shared" si="18"/>
        <v>62.079565579281038</v>
      </c>
      <c r="J46">
        <f t="shared" si="19"/>
        <v>3853.872462512255</v>
      </c>
    </row>
    <row r="47" spans="1:15" x14ac:dyDescent="0.25">
      <c r="B47">
        <v>0.1198</v>
      </c>
      <c r="C47">
        <f t="shared" si="14"/>
        <v>2.184147E-3</v>
      </c>
      <c r="D47">
        <f t="shared" si="15"/>
        <v>6.8466379803849074E-8</v>
      </c>
      <c r="E47">
        <f t="shared" si="20"/>
        <v>3600</v>
      </c>
      <c r="G47">
        <f t="shared" si="16"/>
        <v>4.6876451634449126E-15</v>
      </c>
      <c r="H47">
        <f t="shared" si="17"/>
        <v>2.4647896729385667E-4</v>
      </c>
      <c r="I47">
        <f t="shared" si="18"/>
        <v>82.895402432778369</v>
      </c>
      <c r="J47">
        <f t="shared" si="19"/>
        <v>6871.6477444922775</v>
      </c>
    </row>
    <row r="48" spans="1:15" x14ac:dyDescent="0.25">
      <c r="B48">
        <v>0.1198</v>
      </c>
      <c r="C48">
        <f t="shared" si="14"/>
        <v>2.2846871000000001E-3</v>
      </c>
      <c r="D48">
        <f t="shared" si="15"/>
        <v>7.4914708711502612E-8</v>
      </c>
      <c r="E48">
        <f t="shared" si="20"/>
        <v>3800</v>
      </c>
      <c r="G48">
        <f t="shared" si="16"/>
        <v>5.6122135813292857E-15</v>
      </c>
      <c r="H48">
        <f t="shared" si="17"/>
        <v>2.8467589310370993E-4</v>
      </c>
      <c r="I48">
        <f t="shared" si="18"/>
        <v>-53.624051073022898</v>
      </c>
      <c r="J48">
        <f t="shared" si="19"/>
        <v>2875.5388534821682</v>
      </c>
    </row>
    <row r="49" spans="1:15" x14ac:dyDescent="0.25">
      <c r="B49">
        <v>0.1198</v>
      </c>
      <c r="C49">
        <f t="shared" si="14"/>
        <v>2.3228230000000003E-3</v>
      </c>
      <c r="D49">
        <f t="shared" si="15"/>
        <v>7.7436527825517409E-8</v>
      </c>
      <c r="E49">
        <f t="shared" si="20"/>
        <v>4000</v>
      </c>
      <c r="G49">
        <f t="shared" si="16"/>
        <v>5.9964158416721316E-15</v>
      </c>
      <c r="H49">
        <f t="shared" si="17"/>
        <v>3.0974611130206962E-4</v>
      </c>
      <c r="I49">
        <f t="shared" si="18"/>
        <v>14.769574276718444</v>
      </c>
      <c r="J49">
        <f t="shared" si="19"/>
        <v>218.14032431550316</v>
      </c>
    </row>
    <row r="50" spans="1:15" x14ac:dyDescent="0.25">
      <c r="B50">
        <v>0.1198</v>
      </c>
      <c r="C50">
        <f t="shared" si="14"/>
        <v>2.3713596000000002E-3</v>
      </c>
      <c r="D50">
        <f t="shared" si="15"/>
        <v>8.0706491785108634E-8</v>
      </c>
      <c r="E50">
        <f t="shared" si="20"/>
        <v>4200</v>
      </c>
      <c r="G50">
        <f t="shared" si="16"/>
        <v>6.5135378162598078E-15</v>
      </c>
      <c r="H50">
        <f t="shared" si="17"/>
        <v>3.3896726549745624E-4</v>
      </c>
      <c r="I50">
        <f t="shared" si="18"/>
        <v>44.1197050742919</v>
      </c>
      <c r="J50">
        <f t="shared" si="19"/>
        <v>1946.5483758424984</v>
      </c>
    </row>
    <row r="51" spans="1:15" x14ac:dyDescent="0.25">
      <c r="B51">
        <v>0.1198</v>
      </c>
      <c r="C51">
        <f t="shared" si="14"/>
        <v>2.4614989999999998E-3</v>
      </c>
      <c r="D51">
        <f t="shared" si="15"/>
        <v>8.6958684956211428E-8</v>
      </c>
      <c r="E51">
        <f t="shared" si="20"/>
        <v>4400</v>
      </c>
      <c r="G51">
        <f t="shared" si="16"/>
        <v>7.561812889313631E-15</v>
      </c>
      <c r="H51">
        <f t="shared" si="17"/>
        <v>3.8261821380733028E-4</v>
      </c>
      <c r="I51">
        <f t="shared" si="18"/>
        <v>-82.163997150480341</v>
      </c>
      <c r="J51">
        <f t="shared" si="19"/>
        <v>6750.9224277441417</v>
      </c>
    </row>
    <row r="52" spans="1:15" x14ac:dyDescent="0.25">
      <c r="B52">
        <v>0.1198</v>
      </c>
      <c r="C52">
        <f t="shared" si="14"/>
        <v>2.4892342E-3</v>
      </c>
      <c r="D52">
        <f t="shared" si="15"/>
        <v>8.8929357475433333E-8</v>
      </c>
      <c r="E52">
        <f t="shared" si="20"/>
        <v>4600</v>
      </c>
      <c r="G52">
        <f t="shared" si="16"/>
        <v>7.9084306209934107E-15</v>
      </c>
      <c r="H52">
        <f t="shared" si="17"/>
        <v>4.0907504438699333E-4</v>
      </c>
      <c r="I52">
        <f t="shared" si="18"/>
        <v>14.992359371542747</v>
      </c>
      <c r="J52">
        <f t="shared" si="19"/>
        <v>224.77083952548563</v>
      </c>
    </row>
    <row r="53" spans="1:15" x14ac:dyDescent="0.25">
      <c r="D53"/>
    </row>
    <row r="54" spans="1:15" x14ac:dyDescent="0.25">
      <c r="C54" t="s">
        <v>32</v>
      </c>
      <c r="D54">
        <f>SUM(D41:D52)</f>
        <v>8.1766349274438054E-7</v>
      </c>
      <c r="E54">
        <f>SUM(E41:E52)</f>
        <v>42000</v>
      </c>
      <c r="G54">
        <f>SUM(G41:G52)</f>
        <v>5.7803271029126841E-14</v>
      </c>
      <c r="H54">
        <f>SUM(H41:H52)</f>
        <v>2.9708308789210074E-3</v>
      </c>
      <c r="J54">
        <f>SUM(J41:J52)</f>
        <v>31156.688336067935</v>
      </c>
    </row>
    <row r="55" spans="1:15" x14ac:dyDescent="0.25">
      <c r="A55" s="2" t="s">
        <v>0</v>
      </c>
      <c r="D55"/>
    </row>
    <row r="56" spans="1:15" ht="18.75" x14ac:dyDescent="0.35">
      <c r="A56" s="4" t="s">
        <v>5</v>
      </c>
      <c r="B56" t="s">
        <v>19</v>
      </c>
      <c r="C56" t="s">
        <v>20</v>
      </c>
      <c r="D56" t="s">
        <v>21</v>
      </c>
      <c r="E56" t="s">
        <v>38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N56" s="9" t="s">
        <v>27</v>
      </c>
      <c r="O56" s="9"/>
    </row>
    <row r="57" spans="1:15" x14ac:dyDescent="0.25">
      <c r="A57" s="4">
        <v>1</v>
      </c>
      <c r="B57">
        <v>0.1032</v>
      </c>
      <c r="C57">
        <f t="shared" ref="C57:C68" si="21">I4/1000</f>
        <v>2.0662724000000002E-3</v>
      </c>
      <c r="D57">
        <f t="shared" ref="D57:D68" si="22">(B57^2)*(C57^2)</f>
        <v>4.5471004045760193E-8</v>
      </c>
      <c r="E57">
        <f>C4*10^3</f>
        <v>2400</v>
      </c>
      <c r="G57">
        <f t="shared" ref="G57:G68" si="23">D57^2</f>
        <v>2.0676122089295399E-15</v>
      </c>
      <c r="H57">
        <f t="shared" ref="H57:H68" si="24">D57*E57</f>
        <v>1.0913040970982446E-4</v>
      </c>
      <c r="I57">
        <f t="shared" ref="I57:I68" si="25">E57-L$57*D57-L$59</f>
        <v>231.15481502612636</v>
      </c>
      <c r="J57">
        <f t="shared" ref="J57:J68" si="26">I57^2</f>
        <v>53432.548509762695</v>
      </c>
      <c r="K57" t="s">
        <v>28</v>
      </c>
      <c r="L57">
        <f>(10*H70-E70*D70)/(10*G70-D70^2)</f>
        <v>51691970611.067734</v>
      </c>
      <c r="N57">
        <f t="array" ref="N57:O61">LINEST(E57:E68,D57:D68,TRUE(),TRUE())</f>
        <v>54980501699.02919</v>
      </c>
      <c r="O57">
        <v>-181.64061981529176</v>
      </c>
    </row>
    <row r="58" spans="1:15" x14ac:dyDescent="0.25">
      <c r="A58" s="4">
        <v>2</v>
      </c>
      <c r="B58">
        <v>0.1032</v>
      </c>
      <c r="C58">
        <f t="shared" si="21"/>
        <v>2.1737462999999999E-3</v>
      </c>
      <c r="D58">
        <f t="shared" si="22"/>
        <v>5.0324226244047716E-8</v>
      </c>
      <c r="E58">
        <f t="shared" ref="E58:E68" si="27">C5*10^3</f>
        <v>2600</v>
      </c>
      <c r="G58">
        <f t="shared" si="23"/>
        <v>2.5325277470621007E-15</v>
      </c>
      <c r="H58">
        <f t="shared" si="24"/>
        <v>1.3084298823452407E-4</v>
      </c>
      <c r="I58">
        <f t="shared" si="25"/>
        <v>180.2821957832665</v>
      </c>
      <c r="J58">
        <f t="shared" si="26"/>
        <v>32501.670116436035</v>
      </c>
      <c r="K58" t="s">
        <v>29</v>
      </c>
      <c r="L58">
        <f>SQRT((1/8)*((J70)/(12*G70-D70^2)))</f>
        <v>1858130072.7918172</v>
      </c>
      <c r="N58">
        <v>1091293046.7498627</v>
      </c>
      <c r="O58">
        <v>74.344746423072323</v>
      </c>
    </row>
    <row r="59" spans="1:15" x14ac:dyDescent="0.25">
      <c r="A59" s="4">
        <v>3</v>
      </c>
      <c r="B59">
        <v>0.1032</v>
      </c>
      <c r="C59">
        <f t="shared" si="21"/>
        <v>2.2881540000000001E-3</v>
      </c>
      <c r="D59">
        <f t="shared" si="22"/>
        <v>5.5760915505870061E-8</v>
      </c>
      <c r="E59">
        <f t="shared" si="27"/>
        <v>2800</v>
      </c>
      <c r="G59">
        <f t="shared" si="23"/>
        <v>3.10927969805278E-15</v>
      </c>
      <c r="H59">
        <f t="shared" si="24"/>
        <v>1.5613056341643616E-4</v>
      </c>
      <c r="I59">
        <f t="shared" si="25"/>
        <v>99.249014239638086</v>
      </c>
      <c r="J59">
        <f t="shared" si="26"/>
        <v>9850.3668275398832</v>
      </c>
      <c r="K59" t="s">
        <v>30</v>
      </c>
      <c r="L59">
        <f>(G70*E70-D70*H70)/(12*G70-D70^2)</f>
        <v>-181.64061981530438</v>
      </c>
      <c r="N59">
        <v>0.99607574028541579</v>
      </c>
      <c r="O59">
        <v>47.378017653150131</v>
      </c>
    </row>
    <row r="60" spans="1:15" x14ac:dyDescent="0.25">
      <c r="A60" s="4">
        <v>4</v>
      </c>
      <c r="B60">
        <v>0.1032</v>
      </c>
      <c r="C60">
        <f t="shared" si="21"/>
        <v>2.3574920000000001E-3</v>
      </c>
      <c r="D60">
        <f t="shared" si="22"/>
        <v>5.9191568709628824E-8</v>
      </c>
      <c r="E60">
        <f t="shared" si="27"/>
        <v>3000</v>
      </c>
      <c r="G60">
        <f t="shared" si="23"/>
        <v>3.5036418063067102E-15</v>
      </c>
      <c r="H60">
        <f t="shared" si="24"/>
        <v>1.7757470612888646E-4</v>
      </c>
      <c r="I60">
        <f t="shared" si="25"/>
        <v>121.91178965417464</v>
      </c>
      <c r="J60">
        <f t="shared" si="26"/>
        <v>14862.484456683724</v>
      </c>
      <c r="K60" t="s">
        <v>31</v>
      </c>
      <c r="L60">
        <f>SQRT((1/8)*((G70*J70)/(12*G70-D70^2)))</f>
        <v>438.50609240808797</v>
      </c>
      <c r="N60">
        <v>2538.2513205829887</v>
      </c>
      <c r="O60">
        <v>10</v>
      </c>
    </row>
    <row r="61" spans="1:15" x14ac:dyDescent="0.25">
      <c r="A61" s="4">
        <v>5</v>
      </c>
      <c r="B61">
        <v>0.1032</v>
      </c>
      <c r="C61">
        <f t="shared" si="21"/>
        <v>2.4025616999999995E-3</v>
      </c>
      <c r="D61">
        <f t="shared" si="22"/>
        <v>6.1476409345221713E-8</v>
      </c>
      <c r="E61">
        <f t="shared" si="27"/>
        <v>3200</v>
      </c>
      <c r="G61">
        <f t="shared" si="23"/>
        <v>3.7793489059812637E-15</v>
      </c>
      <c r="H61">
        <f t="shared" si="24"/>
        <v>1.9672450990470948E-4</v>
      </c>
      <c r="I61">
        <f t="shared" si="25"/>
        <v>203.80387466813397</v>
      </c>
      <c r="J61">
        <f t="shared" si="26"/>
        <v>41536.019329744457</v>
      </c>
      <c r="N61">
        <v>5697553.2344325781</v>
      </c>
      <c r="O61">
        <v>22446.765567422055</v>
      </c>
    </row>
    <row r="62" spans="1:15" x14ac:dyDescent="0.25">
      <c r="A62" s="4">
        <v>6</v>
      </c>
      <c r="B62">
        <v>0.1032</v>
      </c>
      <c r="C62">
        <f t="shared" si="21"/>
        <v>2.4649658999999998E-3</v>
      </c>
      <c r="D62">
        <f t="shared" si="22"/>
        <v>6.4711464112587082E-8</v>
      </c>
      <c r="E62">
        <f t="shared" si="27"/>
        <v>3400</v>
      </c>
      <c r="G62">
        <f t="shared" si="23"/>
        <v>4.187573587594646E-15</v>
      </c>
      <c r="H62">
        <f t="shared" si="24"/>
        <v>2.2001897798279609E-4</v>
      </c>
      <c r="I62">
        <f t="shared" si="25"/>
        <v>236.57751870828849</v>
      </c>
      <c r="J62">
        <f t="shared" si="26"/>
        <v>55968.922358170596</v>
      </c>
    </row>
    <row r="63" spans="1:15" x14ac:dyDescent="0.25">
      <c r="A63" s="4">
        <v>7</v>
      </c>
      <c r="B63">
        <v>0.1032</v>
      </c>
      <c r="C63">
        <f t="shared" si="21"/>
        <v>2.5343039000000002E-3</v>
      </c>
      <c r="D63">
        <f t="shared" si="22"/>
        <v>6.8403256590064813E-8</v>
      </c>
      <c r="E63">
        <f t="shared" si="27"/>
        <v>3600</v>
      </c>
      <c r="G63">
        <f t="shared" si="23"/>
        <v>4.6790055121262455E-15</v>
      </c>
      <c r="H63">
        <f t="shared" si="24"/>
        <v>2.4625172372423333E-4</v>
      </c>
      <c r="I63">
        <f t="shared" si="25"/>
        <v>245.7414904603487</v>
      </c>
      <c r="J63">
        <f t="shared" si="26"/>
        <v>60388.880133673651</v>
      </c>
    </row>
    <row r="64" spans="1:15" x14ac:dyDescent="0.25">
      <c r="A64" s="4">
        <v>8</v>
      </c>
      <c r="B64">
        <v>0.1032</v>
      </c>
      <c r="C64">
        <f t="shared" si="21"/>
        <v>2.6071088000000002E-3</v>
      </c>
      <c r="D64">
        <f t="shared" si="22"/>
        <v>7.2389854826059553E-8</v>
      </c>
      <c r="E64">
        <f t="shared" si="27"/>
        <v>3800</v>
      </c>
      <c r="G64">
        <f t="shared" si="23"/>
        <v>5.2402910817379777E-15</v>
      </c>
      <c r="H64">
        <f t="shared" si="24"/>
        <v>2.7508144833902632E-4</v>
      </c>
      <c r="I64">
        <f t="shared" si="25"/>
        <v>239.66637160717426</v>
      </c>
      <c r="J64">
        <f t="shared" si="26"/>
        <v>57439.969679348142</v>
      </c>
    </row>
    <row r="65" spans="1:10" x14ac:dyDescent="0.25">
      <c r="A65" s="4">
        <v>9</v>
      </c>
      <c r="B65">
        <v>0.1032</v>
      </c>
      <c r="C65">
        <f t="shared" si="21"/>
        <v>2.6799137000000002E-3</v>
      </c>
      <c r="D65">
        <f t="shared" si="22"/>
        <v>7.6489357395103378E-8</v>
      </c>
      <c r="E65">
        <f t="shared" si="27"/>
        <v>4000</v>
      </c>
      <c r="G65">
        <f t="shared" si="23"/>
        <v>5.8506217947158555E-15</v>
      </c>
      <c r="H65">
        <f t="shared" si="24"/>
        <v>3.0595742958041349E-4</v>
      </c>
      <c r="I65">
        <f t="shared" si="25"/>
        <v>227.75500528816417</v>
      </c>
      <c r="J65">
        <f t="shared" si="26"/>
        <v>51872.342433811689</v>
      </c>
    </row>
    <row r="66" spans="1:10" x14ac:dyDescent="0.25">
      <c r="A66" s="4">
        <v>10</v>
      </c>
      <c r="B66">
        <v>0.1032</v>
      </c>
      <c r="C66">
        <f t="shared" si="21"/>
        <v>2.7388510000000005E-3</v>
      </c>
      <c r="D66">
        <f t="shared" si="22"/>
        <v>7.9890696435292726E-8</v>
      </c>
      <c r="E66">
        <f t="shared" si="27"/>
        <v>4200</v>
      </c>
      <c r="G66">
        <f t="shared" si="23"/>
        <v>6.3825233769160938E-15</v>
      </c>
      <c r="H66">
        <f t="shared" si="24"/>
        <v>3.3554092502822947E-4</v>
      </c>
      <c r="I66">
        <f t="shared" si="25"/>
        <v>251.93308758441879</v>
      </c>
      <c r="J66">
        <f t="shared" si="26"/>
        <v>63470.280619818426</v>
      </c>
    </row>
    <row r="67" spans="1:10" x14ac:dyDescent="0.25">
      <c r="A67" s="4">
        <v>11</v>
      </c>
      <c r="B67">
        <v>0.1032</v>
      </c>
      <c r="C67">
        <f t="shared" si="21"/>
        <v>2.7943214000000004E-3</v>
      </c>
      <c r="D67">
        <f t="shared" si="22"/>
        <v>8.3159545696904062E-8</v>
      </c>
      <c r="E67">
        <f t="shared" si="27"/>
        <v>4400</v>
      </c>
      <c r="G67">
        <f t="shared" si="23"/>
        <v>6.9155100405154751E-15</v>
      </c>
      <c r="H67">
        <f t="shared" si="24"/>
        <v>3.6590200106637787E-4</v>
      </c>
      <c r="I67">
        <f t="shared" si="25"/>
        <v>282.95982762119536</v>
      </c>
      <c r="J67">
        <f t="shared" si="26"/>
        <v>80066.264047416596</v>
      </c>
    </row>
    <row r="68" spans="1:10" x14ac:dyDescent="0.25">
      <c r="A68" s="4">
        <v>12</v>
      </c>
      <c r="B68">
        <v>0.1032</v>
      </c>
      <c r="C68">
        <f t="shared" si="21"/>
        <v>2.8463248999999998E-3</v>
      </c>
      <c r="D68">
        <f t="shared" si="22"/>
        <v>8.6283616272938821E-8</v>
      </c>
      <c r="E68">
        <f t="shared" si="27"/>
        <v>4600</v>
      </c>
      <c r="G68">
        <f t="shared" si="23"/>
        <v>7.4448624371357529E-15</v>
      </c>
      <c r="H68">
        <f t="shared" si="24"/>
        <v>3.9690463485551859E-4</v>
      </c>
      <c r="I68">
        <f t="shared" si="25"/>
        <v>321.47046321790538</v>
      </c>
      <c r="J68">
        <f t="shared" si="26"/>
        <v>103343.25872153466</v>
      </c>
    </row>
    <row r="69" spans="1:10" x14ac:dyDescent="0.25">
      <c r="D69"/>
    </row>
    <row r="70" spans="1:10" x14ac:dyDescent="0.25">
      <c r="C70" t="s">
        <v>32</v>
      </c>
      <c r="D70">
        <f>SUM(D57:D68)</f>
        <v>8.0355191517947895E-7</v>
      </c>
      <c r="E70">
        <f>SUM(E57:E68)</f>
        <v>42000</v>
      </c>
      <c r="G70">
        <f>SUM(G57:G68)</f>
        <v>5.5692798197074438E-14</v>
      </c>
      <c r="H70">
        <f>SUM(H57:H68)</f>
        <v>2.9160603179709758E-3</v>
      </c>
      <c r="J70">
        <f>SUM(J57:J68)</f>
        <v>624733.00723394053</v>
      </c>
    </row>
    <row r="71" spans="1:10" x14ac:dyDescent="0.25">
      <c r="D71"/>
    </row>
    <row r="72" spans="1:10" x14ac:dyDescent="0.25">
      <c r="D72"/>
    </row>
    <row r="73" spans="1:10" x14ac:dyDescent="0.25">
      <c r="D73"/>
    </row>
    <row r="74" spans="1:10" x14ac:dyDescent="0.25">
      <c r="D74"/>
    </row>
    <row r="75" spans="1:10" x14ac:dyDescent="0.25">
      <c r="D75"/>
      <c r="G75" t="s">
        <v>33</v>
      </c>
      <c r="H75">
        <v>141</v>
      </c>
      <c r="I75">
        <v>120</v>
      </c>
      <c r="J75">
        <v>103</v>
      </c>
    </row>
    <row r="76" spans="1:10" x14ac:dyDescent="0.25">
      <c r="D76"/>
      <c r="G76" t="s">
        <v>34</v>
      </c>
      <c r="H76">
        <f>50.33*2</f>
        <v>100.66</v>
      </c>
      <c r="I76">
        <f>(52.01*2)</f>
        <v>104.02</v>
      </c>
      <c r="J76">
        <f>55.19*2</f>
        <v>110.38</v>
      </c>
    </row>
    <row r="77" spans="1:10" x14ac:dyDescent="0.25">
      <c r="D77"/>
      <c r="G77" t="s">
        <v>35</v>
      </c>
      <c r="H77">
        <f>1.24*2</f>
        <v>2.48</v>
      </c>
      <c r="I77">
        <f>1.21*2</f>
        <v>2.42</v>
      </c>
      <c r="J77">
        <f>1.09*2</f>
        <v>2.1800000000000002</v>
      </c>
    </row>
    <row r="78" spans="1:10" x14ac:dyDescent="0.25">
      <c r="D78"/>
    </row>
  </sheetData>
  <mergeCells count="5">
    <mergeCell ref="N24:O24"/>
    <mergeCell ref="N40:O40"/>
    <mergeCell ref="N56:O56"/>
    <mergeCell ref="Q24:R24"/>
    <mergeCell ref="U2:W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Kotorc</dc:creator>
  <dc:description/>
  <cp:lastModifiedBy>Karol Pitera (kp306682)</cp:lastModifiedBy>
  <cp:revision>1</cp:revision>
  <dcterms:created xsi:type="dcterms:W3CDTF">2023-11-02T14:09:57Z</dcterms:created>
  <dcterms:modified xsi:type="dcterms:W3CDTF">2024-01-08T18:02:03Z</dcterms:modified>
  <dc:language>pl-PL</dc:language>
</cp:coreProperties>
</file>