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B1B7EF1D-D336-3048-96F2-9B56F432C7E7}" xr6:coauthVersionLast="47" xr6:coauthVersionMax="47" xr10:uidLastSave="{00000000-0000-0000-0000-000000000000}"/>
  <bookViews>
    <workbookView xWindow="-22320" yWindow="500" windowWidth="22320" windowHeight="19620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2" l="1"/>
  <c r="O61" i="2" s="1"/>
  <c r="O54" i="2"/>
  <c r="O53" i="2"/>
  <c r="O50" i="2"/>
  <c r="O49" i="2"/>
  <c r="O15" i="2"/>
  <c r="O41" i="2"/>
  <c r="O36" i="2"/>
  <c r="O35" i="2"/>
  <c r="O34" i="2"/>
  <c r="O24" i="2"/>
  <c r="O39" i="2"/>
  <c r="O30" i="2"/>
  <c r="P34" i="2"/>
  <c r="P36" i="2"/>
  <c r="P35" i="2"/>
  <c r="P24" i="2"/>
  <c r="P39" i="2"/>
  <c r="P30" i="2"/>
  <c r="L13" i="2"/>
  <c r="L7" i="2"/>
  <c r="P22" i="2"/>
  <c r="P21" i="2"/>
  <c r="P15" i="2"/>
  <c r="P13" i="2"/>
  <c r="P12" i="2"/>
  <c r="P11" i="2"/>
  <c r="P7" i="2"/>
  <c r="Q36" i="2"/>
  <c r="Q35" i="2"/>
  <c r="Q34" i="2"/>
  <c r="Q24" i="2"/>
  <c r="Q39" i="2"/>
  <c r="Q30" i="2"/>
  <c r="Q15" i="2"/>
  <c r="Q13" i="2"/>
  <c r="Q14" i="2"/>
  <c r="Q16" i="2" s="1"/>
  <c r="Q17" i="2" s="1"/>
  <c r="Q11" i="2"/>
  <c r="Q12" i="2" s="1"/>
  <c r="Q7" i="2"/>
  <c r="Q22" i="2" s="1"/>
  <c r="R36" i="2"/>
  <c r="R35" i="2"/>
  <c r="R34" i="2"/>
  <c r="R39" i="2"/>
  <c r="R24" i="2"/>
  <c r="R30" i="2" s="1"/>
  <c r="N15" i="2"/>
  <c r="N13" i="2"/>
  <c r="N7" i="2"/>
  <c r="R21" i="2"/>
  <c r="R15" i="2"/>
  <c r="R13" i="2"/>
  <c r="R11" i="2"/>
  <c r="R5" i="2"/>
  <c r="R7" i="2" s="1"/>
  <c r="R22" i="2" s="1"/>
  <c r="T22" i="2"/>
  <c r="T21" i="2"/>
  <c r="S59" i="2"/>
  <c r="S53" i="2"/>
  <c r="S54" i="2" s="1"/>
  <c r="S49" i="2"/>
  <c r="S50" i="2" s="1"/>
  <c r="S36" i="2"/>
  <c r="S35" i="2"/>
  <c r="S34" i="2"/>
  <c r="S24" i="2"/>
  <c r="S30" i="2" s="1"/>
  <c r="O13" i="2"/>
  <c r="O11" i="2"/>
  <c r="S15" i="2"/>
  <c r="S13" i="2"/>
  <c r="S11" i="2"/>
  <c r="O21" i="2"/>
  <c r="O7" i="2"/>
  <c r="O22" i="2" s="1"/>
  <c r="S21" i="2"/>
  <c r="S7" i="2"/>
  <c r="L4" i="1"/>
  <c r="L7" i="1" s="1"/>
  <c r="AA10" i="2"/>
  <c r="AB10" i="2" s="1"/>
  <c r="AC10" i="2" s="1"/>
  <c r="AD10" i="2" s="1"/>
  <c r="AE10" i="2" s="1"/>
  <c r="AF10" i="2" s="1"/>
  <c r="AG10" i="2" s="1"/>
  <c r="AA9" i="2"/>
  <c r="AB9" i="2" s="1"/>
  <c r="AC9" i="2" s="1"/>
  <c r="AD9" i="2" s="1"/>
  <c r="AE9" i="2" s="1"/>
  <c r="AF9" i="2" s="1"/>
  <c r="AG9" i="2" s="1"/>
  <c r="AA8" i="2"/>
  <c r="M10" i="2"/>
  <c r="M9" i="2"/>
  <c r="M8" i="2"/>
  <c r="N21" i="2"/>
  <c r="M7" i="2"/>
  <c r="L21" i="2"/>
  <c r="D15" i="2"/>
  <c r="D13" i="2"/>
  <c r="D11" i="2"/>
  <c r="D7" i="2"/>
  <c r="D22" i="2" s="1"/>
  <c r="H13" i="2"/>
  <c r="H21" i="2"/>
  <c r="H11" i="2"/>
  <c r="H7" i="2"/>
  <c r="E13" i="2"/>
  <c r="E11" i="2"/>
  <c r="E7" i="2"/>
  <c r="E22" i="2" s="1"/>
  <c r="I21" i="2"/>
  <c r="I13" i="2"/>
  <c r="I11" i="2"/>
  <c r="I7" i="2"/>
  <c r="I22" i="2" s="1"/>
  <c r="Z21" i="2"/>
  <c r="Y13" i="2"/>
  <c r="Z13" i="2"/>
  <c r="Z11" i="2"/>
  <c r="Y11" i="2"/>
  <c r="Y7" i="2"/>
  <c r="Z7" i="2"/>
  <c r="Z2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J21" i="2"/>
  <c r="F13" i="2"/>
  <c r="F11" i="2"/>
  <c r="F7" i="2"/>
  <c r="F22" i="2" s="1"/>
  <c r="J13" i="2"/>
  <c r="J11" i="2"/>
  <c r="J7" i="2"/>
  <c r="J22" i="2" s="1"/>
  <c r="M18" i="2"/>
  <c r="K36" i="2"/>
  <c r="K35" i="2"/>
  <c r="K34" i="2"/>
  <c r="K24" i="2"/>
  <c r="K30" i="2" s="1"/>
  <c r="K21" i="2"/>
  <c r="K13" i="2"/>
  <c r="G13" i="2"/>
  <c r="G11" i="2"/>
  <c r="G7" i="2"/>
  <c r="G22" i="2" s="1"/>
  <c r="K11" i="2"/>
  <c r="K7" i="2"/>
  <c r="K12" i="2" s="1"/>
  <c r="P14" i="2" l="1"/>
  <c r="P16" i="2" s="1"/>
  <c r="P17" i="2" s="1"/>
  <c r="Q21" i="2"/>
  <c r="R12" i="2"/>
  <c r="R14" i="2" s="1"/>
  <c r="R16" i="2" s="1"/>
  <c r="R17" i="2" s="1"/>
  <c r="S61" i="2"/>
  <c r="S39" i="2"/>
  <c r="O12" i="2"/>
  <c r="O14" i="2" s="1"/>
  <c r="O16" i="2" s="1"/>
  <c r="O17" i="2" s="1"/>
  <c r="S12" i="2"/>
  <c r="S14" i="2" s="1"/>
  <c r="S16" i="2" s="1"/>
  <c r="Y12" i="2"/>
  <c r="S22" i="2"/>
  <c r="Y14" i="2"/>
  <c r="Y16" i="2" s="1"/>
  <c r="Y17" i="2" s="1"/>
  <c r="K22" i="2"/>
  <c r="AA11" i="2"/>
  <c r="Y22" i="2"/>
  <c r="AA5" i="2"/>
  <c r="AA7" i="2" s="1"/>
  <c r="AA22" i="2" s="1"/>
  <c r="M6" i="2"/>
  <c r="M22" i="2"/>
  <c r="AA18" i="2"/>
  <c r="N11" i="2"/>
  <c r="M11" i="2"/>
  <c r="M12" i="2" s="1"/>
  <c r="M14" i="2" s="1"/>
  <c r="M16" i="2" s="1"/>
  <c r="M17" i="2" s="1"/>
  <c r="K14" i="2"/>
  <c r="K16" i="2" s="1"/>
  <c r="K17" i="2" s="1"/>
  <c r="Z12" i="2"/>
  <c r="Z14" i="2" s="1"/>
  <c r="Z16" i="2" s="1"/>
  <c r="Z17" i="2" s="1"/>
  <c r="M21" i="2"/>
  <c r="K39" i="2"/>
  <c r="L11" i="2"/>
  <c r="L12" i="2" s="1"/>
  <c r="L14" i="2" s="1"/>
  <c r="L16" i="2" s="1"/>
  <c r="L17" i="2" s="1"/>
  <c r="AB8" i="2"/>
  <c r="D12" i="2"/>
  <c r="D14" i="2" s="1"/>
  <c r="D16" i="2" s="1"/>
  <c r="D17" i="2" s="1"/>
  <c r="H12" i="2"/>
  <c r="H14" i="2" s="1"/>
  <c r="H16" i="2" s="1"/>
  <c r="H17" i="2" s="1"/>
  <c r="H22" i="2"/>
  <c r="E12" i="2"/>
  <c r="E14" i="2" s="1"/>
  <c r="E16" i="2" s="1"/>
  <c r="E17" i="2" s="1"/>
  <c r="I12" i="2"/>
  <c r="I14" i="2" s="1"/>
  <c r="I16" i="2" s="1"/>
  <c r="I17" i="2" s="1"/>
  <c r="L22" i="2"/>
  <c r="F12" i="2"/>
  <c r="F14" i="2" s="1"/>
  <c r="F16" i="2" s="1"/>
  <c r="F17" i="2" s="1"/>
  <c r="J12" i="2"/>
  <c r="J14" i="2" s="1"/>
  <c r="J16" i="2" s="1"/>
  <c r="J17" i="2" s="1"/>
  <c r="G12" i="2"/>
  <c r="G14" i="2" s="1"/>
  <c r="G16" i="2" s="1"/>
  <c r="G17" i="2" s="1"/>
  <c r="S17" i="2" l="1"/>
  <c r="S41" i="2"/>
  <c r="N12" i="2"/>
  <c r="AA12" i="2"/>
  <c r="AA14" i="2" s="1"/>
  <c r="AA16" i="2" s="1"/>
  <c r="AA17" i="2" s="1"/>
  <c r="N22" i="2"/>
  <c r="AB5" i="2"/>
  <c r="AC5" i="2" s="1"/>
  <c r="AA21" i="2"/>
  <c r="AA6" i="2"/>
  <c r="AB18" i="2"/>
  <c r="AC18" i="2" s="1"/>
  <c r="AD18" i="2" s="1"/>
  <c r="AE18" i="2" s="1"/>
  <c r="AF18" i="2" s="1"/>
  <c r="AG18" i="2" s="1"/>
  <c r="AC8" i="2"/>
  <c r="AB11" i="2"/>
  <c r="N14" i="2" l="1"/>
  <c r="N16" i="2" s="1"/>
  <c r="N17" i="2" s="1"/>
  <c r="AB21" i="2"/>
  <c r="AB7" i="2"/>
  <c r="AB22" i="2" s="1"/>
  <c r="AB12" i="2"/>
  <c r="AB14" i="2" s="1"/>
  <c r="AB16" i="2" s="1"/>
  <c r="AB17" i="2" s="1"/>
  <c r="AD8" i="2"/>
  <c r="AC11" i="2"/>
  <c r="AC7" i="2"/>
  <c r="AC22" i="2" s="1"/>
  <c r="AC21" i="2"/>
  <c r="AD5" i="2"/>
  <c r="AB6" i="2"/>
  <c r="AE5" i="2" l="1"/>
  <c r="AD21" i="2"/>
  <c r="AD7" i="2"/>
  <c r="AD22" i="2" s="1"/>
  <c r="AC12" i="2"/>
  <c r="AC14" i="2" s="1"/>
  <c r="AC16" i="2" s="1"/>
  <c r="AC17" i="2" s="1"/>
  <c r="AC6" i="2"/>
  <c r="AD11" i="2"/>
  <c r="AD12" i="2" s="1"/>
  <c r="AD14" i="2" s="1"/>
  <c r="AE8" i="2"/>
  <c r="AD6" i="2" l="1"/>
  <c r="AE11" i="2"/>
  <c r="AF8" i="2"/>
  <c r="AD15" i="2"/>
  <c r="AD16" i="2" s="1"/>
  <c r="AD17" i="2" s="1"/>
  <c r="AE21" i="2"/>
  <c r="AF5" i="2"/>
  <c r="AE7" i="2"/>
  <c r="AE6" i="2" l="1"/>
  <c r="AE22" i="2"/>
  <c r="AE12" i="2"/>
  <c r="AE14" i="2" s="1"/>
  <c r="AE15" i="2" s="1"/>
  <c r="AE16" i="2" s="1"/>
  <c r="AE17" i="2" s="1"/>
  <c r="AF21" i="2"/>
  <c r="AF7" i="2"/>
  <c r="AG5" i="2"/>
  <c r="AF11" i="2"/>
  <c r="AG8" i="2"/>
  <c r="AG11" i="2" s="1"/>
  <c r="AF12" i="2" l="1"/>
  <c r="AF14" i="2" s="1"/>
  <c r="AF15" i="2" s="1"/>
  <c r="AF16" i="2" s="1"/>
  <c r="AF17" i="2" s="1"/>
  <c r="AF22" i="2"/>
  <c r="AG21" i="2"/>
  <c r="AG7" i="2"/>
  <c r="AF6" i="2"/>
  <c r="AG22" i="2" l="1"/>
  <c r="AG12" i="2"/>
  <c r="AG14" i="2" s="1"/>
  <c r="AG15" i="2" s="1"/>
  <c r="AG16" i="2" s="1"/>
  <c r="AG17" i="2" s="1"/>
  <c r="A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tc={977846F7-C7A8-FB40-A05C-AFA5BB1512B9}</author>
  </authors>
  <commentList>
    <comment ref="T5" authorId="0" shapeId="0" xr:uid="{977846F7-C7A8-FB40-A05C-AFA5BB1512B9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649-653m</t>
      </text>
    </comment>
  </commentList>
</comments>
</file>

<file path=xl/sharedStrings.xml><?xml version="1.0" encoding="utf-8"?>
<sst xmlns="http://schemas.openxmlformats.org/spreadsheetml/2006/main" count="82" uniqueCount="72">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</sst>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46718</xdr:colOff>
      <xdr:row>0</xdr:row>
      <xdr:rowOff>0</xdr:rowOff>
    </xdr:from>
    <xdr:to>
      <xdr:col>19</xdr:col>
      <xdr:colOff>46718</xdr:colOff>
      <xdr:row>67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3463361" y="0"/>
          <a:ext cx="0" cy="10885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0</xdr:row>
      <xdr:rowOff>0</xdr:rowOff>
    </xdr:from>
    <xdr:to>
      <xdr:col>26</xdr:col>
      <xdr:colOff>57150</xdr:colOff>
      <xdr:row>50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2496800" y="0"/>
          <a:ext cx="0" cy="6638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4D2DF0D-14E1-8C43-8A69-0402CB2F2E0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5" dT="2024-06-03T23:15:47.24" personId="{74D2DF0D-14E1-8C43-8A69-0402CB2F2E09}" id="{977846F7-C7A8-FB40-A05C-AFA5BB1512B9}">
    <text>Q1 guidance: 649-653m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tabSelected="1" zoomScale="134" zoomScaleNormal="134" workbookViewId="0">
      <selection activeCell="F13" sqref="F12:F13"/>
    </sheetView>
  </sheetViews>
  <sheetFormatPr baseColWidth="10" defaultColWidth="8.83203125" defaultRowHeight="13" x14ac:dyDescent="0.15"/>
  <sheetData>
    <row r="2" spans="11:13" x14ac:dyDescent="0.15">
      <c r="K2" t="s">
        <v>0</v>
      </c>
      <c r="L2" s="1">
        <v>20</v>
      </c>
    </row>
    <row r="3" spans="11:13" x14ac:dyDescent="0.15">
      <c r="K3" t="s">
        <v>1</v>
      </c>
      <c r="L3" s="3">
        <v>2400.107</v>
      </c>
      <c r="M3" s="2" t="s">
        <v>52</v>
      </c>
    </row>
    <row r="4" spans="11:13" x14ac:dyDescent="0.15">
      <c r="K4" t="s">
        <v>2</v>
      </c>
      <c r="L4" s="3">
        <f>L3*L2</f>
        <v>48002.14</v>
      </c>
    </row>
    <row r="5" spans="11:13" x14ac:dyDescent="0.15">
      <c r="K5" t="s">
        <v>3</v>
      </c>
      <c r="L5" s="3">
        <v>2585</v>
      </c>
      <c r="M5" s="2" t="s">
        <v>52</v>
      </c>
    </row>
    <row r="6" spans="11:13" x14ac:dyDescent="0.15">
      <c r="K6" t="s">
        <v>4</v>
      </c>
      <c r="L6" s="3">
        <v>0</v>
      </c>
      <c r="M6" s="2" t="s">
        <v>52</v>
      </c>
    </row>
    <row r="7" spans="11:13" x14ac:dyDescent="0.15">
      <c r="K7" t="s">
        <v>5</v>
      </c>
      <c r="L7" s="3">
        <f>L4-L5+L6</f>
        <v>45417.14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I61"/>
  <sheetViews>
    <sheetView zoomScale="140" zoomScaleNormal="140" workbookViewId="0">
      <pane xSplit="2" ySplit="2" topLeftCell="M25" activePane="bottomRight" state="frozen"/>
      <selection pane="topRight" activeCell="C1" sqref="C1"/>
      <selection pane="bottomLeft" activeCell="A3" sqref="A3"/>
      <selection pane="bottomRight" activeCell="O60" sqref="O60"/>
    </sheetView>
  </sheetViews>
  <sheetFormatPr baseColWidth="10" defaultColWidth="8.83203125" defaultRowHeight="13" x14ac:dyDescent="0.15"/>
  <cols>
    <col min="1" max="1" width="5" bestFit="1" customWidth="1"/>
    <col min="2" max="2" width="17" customWidth="1"/>
    <col min="3" max="14" width="9.1640625" style="2"/>
    <col min="15" max="20" width="8.83203125" style="2"/>
  </cols>
  <sheetData>
    <row r="1" spans="1:35" x14ac:dyDescent="0.15">
      <c r="A1" s="14" t="s">
        <v>6</v>
      </c>
    </row>
    <row r="2" spans="1:35" x14ac:dyDescent="0.1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Y2">
        <v>2020</v>
      </c>
      <c r="Z2">
        <f>Y2+1</f>
        <v>2021</v>
      </c>
      <c r="AA2">
        <f>Z2+1</f>
        <v>2022</v>
      </c>
      <c r="AB2">
        <f t="shared" ref="AB2:AI2" si="0">AA2+1</f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</row>
    <row r="3" spans="1:35" x14ac:dyDescent="0.15">
      <c r="B3" t="s">
        <v>70</v>
      </c>
      <c r="O3" s="2">
        <v>236</v>
      </c>
      <c r="P3" s="2">
        <v>232</v>
      </c>
      <c r="Q3" s="2">
        <v>251</v>
      </c>
      <c r="R3" s="2">
        <v>284</v>
      </c>
      <c r="U3" s="2"/>
      <c r="V3" s="2"/>
    </row>
    <row r="4" spans="1:35" x14ac:dyDescent="0.15">
      <c r="B4" t="s">
        <v>71</v>
      </c>
      <c r="O4" s="2">
        <v>289</v>
      </c>
      <c r="P4" s="2">
        <v>302</v>
      </c>
      <c r="Q4" s="2">
        <v>308</v>
      </c>
      <c r="R4" s="2">
        <v>324</v>
      </c>
      <c r="U4" s="2"/>
      <c r="V4" s="2"/>
    </row>
    <row r="5" spans="1:35" s="5" customFormat="1" x14ac:dyDescent="0.15">
      <c r="B5" s="5" t="s">
        <v>7</v>
      </c>
      <c r="C5" s="6"/>
      <c r="D5" s="6">
        <v>251.88900000000001</v>
      </c>
      <c r="E5" s="6">
        <v>289.36599999999999</v>
      </c>
      <c r="F5" s="6">
        <v>322.09100000000001</v>
      </c>
      <c r="G5" s="6">
        <v>341.23399999999998</v>
      </c>
      <c r="H5" s="6">
        <v>375.642</v>
      </c>
      <c r="I5" s="6">
        <v>392.14600000000002</v>
      </c>
      <c r="J5" s="6">
        <v>432.86700000000002</v>
      </c>
      <c r="K5" s="6">
        <v>446.35700000000003</v>
      </c>
      <c r="L5" s="6">
        <v>473.01</v>
      </c>
      <c r="M5" s="6">
        <v>477.88</v>
      </c>
      <c r="N5" s="6">
        <v>508.62400000000002</v>
      </c>
      <c r="O5" s="6">
        <v>525.18600000000004</v>
      </c>
      <c r="P5" s="6">
        <v>533.31700000000001</v>
      </c>
      <c r="Q5" s="6">
        <v>558.15899999999999</v>
      </c>
      <c r="R5" s="6">
        <f>+R4+R3</f>
        <v>608</v>
      </c>
      <c r="S5" s="6">
        <v>634.33799999999997</v>
      </c>
      <c r="T5" s="6">
        <v>655</v>
      </c>
      <c r="Y5" s="5">
        <v>1092.673</v>
      </c>
      <c r="Z5" s="5">
        <v>1541.8889999999999</v>
      </c>
      <c r="AA5" s="5">
        <f>SUM(K5:N5)</f>
        <v>1905.8709999999999</v>
      </c>
      <c r="AB5" s="5">
        <f>AA5*1.2</f>
        <v>2287.0451999999996</v>
      </c>
      <c r="AC5" s="5">
        <f t="shared" ref="AC5:AD5" si="1">AB5*1.2</f>
        <v>2744.4542399999996</v>
      </c>
      <c r="AD5" s="5">
        <f t="shared" si="1"/>
        <v>3293.3450879999996</v>
      </c>
      <c r="AE5" s="5">
        <f t="shared" ref="AE5" si="2">AD5*1.2</f>
        <v>3952.0141055999993</v>
      </c>
      <c r="AF5" s="5">
        <f t="shared" ref="AF5:AG5" si="3">AE5*1.2</f>
        <v>4742.4169267199986</v>
      </c>
      <c r="AG5" s="5">
        <f t="shared" si="3"/>
        <v>5690.9003120639982</v>
      </c>
    </row>
    <row r="6" spans="1:35" s="3" customFormat="1" x14ac:dyDescent="0.15">
      <c r="B6" s="3" t="s">
        <v>20</v>
      </c>
      <c r="C6" s="4"/>
      <c r="D6" s="4">
        <v>68.41</v>
      </c>
      <c r="E6" s="13">
        <v>149.34</v>
      </c>
      <c r="F6" s="4">
        <v>70.503</v>
      </c>
      <c r="G6" s="4">
        <v>74.111000000000004</v>
      </c>
      <c r="H6" s="4">
        <v>90.926000000000002</v>
      </c>
      <c r="I6" s="4">
        <v>86.804000000000002</v>
      </c>
      <c r="J6" s="4">
        <v>87.563000000000002</v>
      </c>
      <c r="K6" s="4">
        <v>94.403000000000006</v>
      </c>
      <c r="L6" s="4">
        <v>102.224</v>
      </c>
      <c r="M6" s="4">
        <f t="shared" ref="M6" si="4">M5-M7</f>
        <v>95.575999999999965</v>
      </c>
      <c r="N6" s="4">
        <v>104.31100000000001</v>
      </c>
      <c r="O6" s="4">
        <v>107.645</v>
      </c>
      <c r="P6" s="4">
        <v>106.899</v>
      </c>
      <c r="Q6" s="4">
        <v>107.922</v>
      </c>
      <c r="R6" s="4">
        <v>108.639</v>
      </c>
      <c r="S6" s="4">
        <v>116.256</v>
      </c>
      <c r="T6" s="4"/>
      <c r="Y6" s="3">
        <v>352.54700000000003</v>
      </c>
      <c r="Z6" s="3">
        <v>339.404</v>
      </c>
      <c r="AA6" s="3">
        <f>AA5-AA7</f>
        <v>381.17419999999993</v>
      </c>
      <c r="AB6" s="3">
        <f t="shared" ref="AB6:AD6" si="5">AB5-AB7</f>
        <v>457.40903999999978</v>
      </c>
      <c r="AC6" s="3">
        <f t="shared" si="5"/>
        <v>548.89084800000001</v>
      </c>
      <c r="AD6" s="3">
        <f t="shared" si="5"/>
        <v>658.66901759999973</v>
      </c>
      <c r="AE6" s="3">
        <f t="shared" ref="AE6" si="6">AE5-AE7</f>
        <v>790.40282111999977</v>
      </c>
      <c r="AF6" s="3">
        <f t="shared" ref="AF6" si="7">AF5-AF7</f>
        <v>948.48338534399954</v>
      </c>
      <c r="AG6" s="3">
        <f t="shared" ref="AG6" si="8">AG5-AG7</f>
        <v>1138.1800624127991</v>
      </c>
    </row>
    <row r="7" spans="1:35" s="3" customFormat="1" x14ac:dyDescent="0.15">
      <c r="B7" s="3" t="s">
        <v>21</v>
      </c>
      <c r="C7" s="4"/>
      <c r="D7" s="4">
        <f t="shared" ref="D7:K7" si="9">D5-D6</f>
        <v>183.47900000000001</v>
      </c>
      <c r="E7" s="4">
        <f t="shared" si="9"/>
        <v>140.02599999999998</v>
      </c>
      <c r="F7" s="4">
        <f t="shared" si="9"/>
        <v>251.58800000000002</v>
      </c>
      <c r="G7" s="4">
        <f t="shared" si="9"/>
        <v>267.12299999999999</v>
      </c>
      <c r="H7" s="4">
        <f t="shared" si="9"/>
        <v>284.71600000000001</v>
      </c>
      <c r="I7" s="4">
        <f t="shared" si="9"/>
        <v>305.34199999999998</v>
      </c>
      <c r="J7" s="4">
        <f t="shared" si="9"/>
        <v>345.30400000000003</v>
      </c>
      <c r="K7" s="4">
        <f t="shared" si="9"/>
        <v>351.95400000000001</v>
      </c>
      <c r="L7" s="4">
        <f>+L5-L6</f>
        <v>370.786</v>
      </c>
      <c r="M7" s="4">
        <f t="shared" ref="M7" si="10">M5*0.8</f>
        <v>382.30400000000003</v>
      </c>
      <c r="N7" s="4">
        <f t="shared" ref="N7:S7" si="11">+N5-N6</f>
        <v>404.31299999999999</v>
      </c>
      <c r="O7" s="4">
        <f t="shared" si="11"/>
        <v>417.54100000000005</v>
      </c>
      <c r="P7" s="4">
        <f t="shared" si="11"/>
        <v>426.41800000000001</v>
      </c>
      <c r="Q7" s="4">
        <f t="shared" si="11"/>
        <v>450.23699999999997</v>
      </c>
      <c r="R7" s="4">
        <f t="shared" si="11"/>
        <v>499.36099999999999</v>
      </c>
      <c r="S7" s="4">
        <f t="shared" si="11"/>
        <v>518.08199999999999</v>
      </c>
      <c r="T7" s="4"/>
      <c r="Y7" s="3">
        <f>Y5-Y6</f>
        <v>740.12599999999998</v>
      </c>
      <c r="Z7" s="3">
        <f>Z5-Z6</f>
        <v>1202.4849999999999</v>
      </c>
      <c r="AA7" s="3">
        <f>AA5*0.8</f>
        <v>1524.6967999999999</v>
      </c>
      <c r="AB7" s="3">
        <f t="shared" ref="AB7:AD7" si="12">AB5*0.8</f>
        <v>1829.6361599999998</v>
      </c>
      <c r="AC7" s="3">
        <f t="shared" si="12"/>
        <v>2195.5633919999996</v>
      </c>
      <c r="AD7" s="3">
        <f t="shared" si="12"/>
        <v>2634.6760703999998</v>
      </c>
      <c r="AE7" s="3">
        <f t="shared" ref="AE7" si="13">AE5*0.8</f>
        <v>3161.6112844799995</v>
      </c>
      <c r="AF7" s="3">
        <f t="shared" ref="AF7:AG7" si="14">AF5*0.8</f>
        <v>3793.9335413759991</v>
      </c>
      <c r="AG7" s="3">
        <f t="shared" si="14"/>
        <v>4552.7202496511991</v>
      </c>
    </row>
    <row r="8" spans="1:35" s="3" customFormat="1" x14ac:dyDescent="0.15">
      <c r="B8" s="3" t="s">
        <v>22</v>
      </c>
      <c r="C8" s="4"/>
      <c r="D8" s="4">
        <v>102.518</v>
      </c>
      <c r="E8" s="4">
        <v>334.911</v>
      </c>
      <c r="F8" s="4">
        <v>147.619</v>
      </c>
      <c r="G8" s="4">
        <v>136.09700000000001</v>
      </c>
      <c r="H8" s="4">
        <v>162.37899999999999</v>
      </c>
      <c r="I8" s="4">
        <v>153.44300000000001</v>
      </c>
      <c r="J8" s="4">
        <v>162.59299999999999</v>
      </c>
      <c r="K8" s="4">
        <v>160.48500000000001</v>
      </c>
      <c r="L8" s="4">
        <v>168.875</v>
      </c>
      <c r="M8" s="4">
        <f t="shared" ref="M8" si="15">L8+1</f>
        <v>169.875</v>
      </c>
      <c r="N8" s="4">
        <v>190.233</v>
      </c>
      <c r="O8" s="4">
        <v>187.09299999999999</v>
      </c>
      <c r="P8" s="4">
        <v>184.16300000000001</v>
      </c>
      <c r="Q8" s="4">
        <v>176.37299999999999</v>
      </c>
      <c r="R8" s="4">
        <v>197.363</v>
      </c>
      <c r="S8" s="4">
        <v>193.17699999999999</v>
      </c>
      <c r="T8" s="4"/>
      <c r="Y8" s="3">
        <v>683.70100000000002</v>
      </c>
      <c r="Z8" s="3">
        <v>614.51199999999994</v>
      </c>
      <c r="AA8" s="3">
        <f>Z8*1.1</f>
        <v>675.96320000000003</v>
      </c>
      <c r="AB8" s="3">
        <f t="shared" ref="AB8:AD8" si="16">AA8*1.1</f>
        <v>743.55952000000013</v>
      </c>
      <c r="AC8" s="3">
        <f t="shared" si="16"/>
        <v>817.91547200000025</v>
      </c>
      <c r="AD8" s="3">
        <f t="shared" si="16"/>
        <v>899.70701920000033</v>
      </c>
      <c r="AE8" s="3">
        <f t="shared" ref="AE8" si="17">AD8*1.1</f>
        <v>989.67772112000046</v>
      </c>
      <c r="AF8" s="3">
        <f t="shared" ref="AF8:AG8" si="18">AE8*1.1</f>
        <v>1088.6454932320005</v>
      </c>
      <c r="AG8" s="3">
        <f t="shared" si="18"/>
        <v>1197.5100425552007</v>
      </c>
    </row>
    <row r="9" spans="1:35" s="3" customFormat="1" x14ac:dyDescent="0.15">
      <c r="B9" s="3" t="s">
        <v>23</v>
      </c>
      <c r="C9" s="4"/>
      <c r="D9" s="4">
        <v>86.814999999999998</v>
      </c>
      <c r="E9" s="4">
        <v>313.91500000000002</v>
      </c>
      <c r="F9" s="4">
        <v>94.13</v>
      </c>
      <c r="G9" s="4">
        <v>98.471000000000004</v>
      </c>
      <c r="H9" s="4">
        <v>110.524</v>
      </c>
      <c r="I9" s="4">
        <v>94.316000000000003</v>
      </c>
      <c r="J9" s="4">
        <v>84.176000000000002</v>
      </c>
      <c r="K9" s="4">
        <v>88.600999999999999</v>
      </c>
      <c r="L9" s="4">
        <v>88.171000000000006</v>
      </c>
      <c r="M9" s="4">
        <f t="shared" ref="M9" si="19">L9+1</f>
        <v>89.171000000000006</v>
      </c>
      <c r="N9" s="4">
        <v>82.043999999999997</v>
      </c>
      <c r="O9" s="4">
        <v>90.1</v>
      </c>
      <c r="P9" s="4">
        <v>99.533000000000001</v>
      </c>
      <c r="Q9" s="4">
        <v>105.708</v>
      </c>
      <c r="R9" s="4">
        <v>109.283</v>
      </c>
      <c r="S9" s="4">
        <v>110.04</v>
      </c>
      <c r="T9" s="4"/>
      <c r="Y9" s="3">
        <v>560.66</v>
      </c>
      <c r="Z9" s="3">
        <v>387.48700000000002</v>
      </c>
      <c r="AA9" s="3">
        <f t="shared" ref="AA9:AD9" si="20">Z9*1.1</f>
        <v>426.23570000000007</v>
      </c>
      <c r="AB9" s="3">
        <f t="shared" si="20"/>
        <v>468.85927000000009</v>
      </c>
      <c r="AC9" s="3">
        <f t="shared" si="20"/>
        <v>515.74519700000019</v>
      </c>
      <c r="AD9" s="3">
        <f t="shared" si="20"/>
        <v>567.3197167000003</v>
      </c>
      <c r="AE9" s="3">
        <f t="shared" ref="AE9" si="21">AD9*1.1</f>
        <v>624.05168837000042</v>
      </c>
      <c r="AF9" s="3">
        <f t="shared" ref="AF9:AG9" si="22">AE9*1.1</f>
        <v>686.45685720700055</v>
      </c>
      <c r="AG9" s="3">
        <f t="shared" si="22"/>
        <v>755.10254292770071</v>
      </c>
    </row>
    <row r="10" spans="1:35" s="3" customFormat="1" x14ac:dyDescent="0.15">
      <c r="B10" s="3" t="s">
        <v>24</v>
      </c>
      <c r="C10" s="4"/>
      <c r="D10" s="4">
        <v>93.290999999999997</v>
      </c>
      <c r="E10" s="4">
        <v>338.97699999999998</v>
      </c>
      <c r="F10" s="4">
        <v>166.411</v>
      </c>
      <c r="G10" s="4">
        <v>146.56899999999999</v>
      </c>
      <c r="H10" s="4">
        <v>157.96100000000001</v>
      </c>
      <c r="I10" s="4">
        <v>149.524</v>
      </c>
      <c r="J10" s="4">
        <v>157.47800000000001</v>
      </c>
      <c r="K10" s="4">
        <v>142.30699999999999</v>
      </c>
      <c r="L10" s="4">
        <v>155.48500000000001</v>
      </c>
      <c r="M10" s="4">
        <f t="shared" ref="M10" si="23">L10+1</f>
        <v>156.48500000000001</v>
      </c>
      <c r="N10" s="4">
        <v>149.86199999999999</v>
      </c>
      <c r="O10" s="4">
        <v>136.233</v>
      </c>
      <c r="P10" s="4">
        <v>132.648</v>
      </c>
      <c r="Q10" s="4">
        <v>128.173</v>
      </c>
      <c r="R10" s="4">
        <v>127.271</v>
      </c>
      <c r="S10" s="4">
        <v>133.98400000000001</v>
      </c>
      <c r="T10" s="4"/>
      <c r="Y10" s="3">
        <v>669.44399999999996</v>
      </c>
      <c r="Z10" s="3">
        <v>611.53200000000004</v>
      </c>
      <c r="AA10" s="3">
        <f t="shared" ref="AA10:AD10" si="24">Z10*1.1</f>
        <v>672.68520000000012</v>
      </c>
      <c r="AB10" s="3">
        <f t="shared" si="24"/>
        <v>739.9537200000002</v>
      </c>
      <c r="AC10" s="3">
        <f t="shared" si="24"/>
        <v>813.94909200000029</v>
      </c>
      <c r="AD10" s="3">
        <f t="shared" si="24"/>
        <v>895.34400120000043</v>
      </c>
      <c r="AE10" s="3">
        <f t="shared" ref="AE10" si="25">AD10*1.1</f>
        <v>984.87840132000053</v>
      </c>
      <c r="AF10" s="3">
        <f t="shared" ref="AF10:AG10" si="26">AE10*1.1</f>
        <v>1083.3662414520006</v>
      </c>
      <c r="AG10" s="3">
        <f t="shared" si="26"/>
        <v>1191.7028655972008</v>
      </c>
    </row>
    <row r="11" spans="1:35" s="3" customFormat="1" x14ac:dyDescent="0.15">
      <c r="B11" s="3" t="s">
        <v>25</v>
      </c>
      <c r="C11" s="4"/>
      <c r="D11" s="4">
        <f t="shared" ref="D11:L11" si="27">SUM(D8:D10)</f>
        <v>282.62400000000002</v>
      </c>
      <c r="E11" s="4">
        <f t="shared" si="27"/>
        <v>987.803</v>
      </c>
      <c r="F11" s="4">
        <f t="shared" si="27"/>
        <v>408.15999999999997</v>
      </c>
      <c r="G11" s="4">
        <f t="shared" si="27"/>
        <v>381.137</v>
      </c>
      <c r="H11" s="4">
        <f t="shared" si="27"/>
        <v>430.86400000000003</v>
      </c>
      <c r="I11" s="4">
        <f t="shared" si="27"/>
        <v>397.28300000000002</v>
      </c>
      <c r="J11" s="4">
        <f t="shared" si="27"/>
        <v>404.24700000000001</v>
      </c>
      <c r="K11" s="4">
        <f t="shared" si="27"/>
        <v>391.39300000000003</v>
      </c>
      <c r="L11" s="4">
        <f t="shared" si="27"/>
        <v>412.53100000000001</v>
      </c>
      <c r="M11" s="4">
        <f t="shared" ref="M11:N11" si="28">SUM(M8:M10)</f>
        <v>415.53100000000001</v>
      </c>
      <c r="N11" s="4">
        <f t="shared" si="28"/>
        <v>422.13900000000001</v>
      </c>
      <c r="O11" s="4">
        <f>+O8+O9+O10</f>
        <v>413.42599999999999</v>
      </c>
      <c r="P11" s="4">
        <f>+P8+P9+P10</f>
        <v>416.34400000000005</v>
      </c>
      <c r="Q11" s="4">
        <f>+Q8+Q9+Q10</f>
        <v>410.25400000000002</v>
      </c>
      <c r="R11" s="4">
        <f>+R8+R9+R10</f>
        <v>433.91700000000003</v>
      </c>
      <c r="S11" s="4">
        <f>+S8+S9+S10</f>
        <v>437.20100000000002</v>
      </c>
      <c r="T11" s="4"/>
      <c r="Y11" s="3">
        <f>SUM(Y8:Y10)</f>
        <v>1913.8049999999998</v>
      </c>
      <c r="Z11" s="3">
        <f t="shared" ref="Z11" si="29">SUM(Z8:Z10)</f>
        <v>1613.5309999999999</v>
      </c>
      <c r="AA11" s="3">
        <f t="shared" ref="AA11" si="30">SUM(AA8:AA10)</f>
        <v>1774.8841000000002</v>
      </c>
      <c r="AB11" s="3">
        <f t="shared" ref="AB11" si="31">SUM(AB8:AB10)</f>
        <v>1952.3725100000004</v>
      </c>
      <c r="AC11" s="3">
        <f t="shared" ref="AC11" si="32">SUM(AC8:AC10)</f>
        <v>2147.6097610000006</v>
      </c>
      <c r="AD11" s="3">
        <f t="shared" ref="AD11" si="33">SUM(AD8:AD10)</f>
        <v>2362.370737100001</v>
      </c>
      <c r="AE11" s="3">
        <f t="shared" ref="AE11" si="34">SUM(AE8:AE10)</f>
        <v>2598.6078108100014</v>
      </c>
      <c r="AF11" s="3">
        <f t="shared" ref="AF11" si="35">SUM(AF8:AF10)</f>
        <v>2858.4685918910018</v>
      </c>
      <c r="AG11" s="3">
        <f t="shared" ref="AG11" si="36">SUM(AG8:AG10)</f>
        <v>3144.3154510801023</v>
      </c>
    </row>
    <row r="12" spans="1:35" s="3" customFormat="1" x14ac:dyDescent="0.15">
      <c r="B12" s="3" t="s">
        <v>26</v>
      </c>
      <c r="C12" s="4"/>
      <c r="D12" s="4">
        <f t="shared" ref="D12:L12" si="37">D7-D11</f>
        <v>-99.14500000000001</v>
      </c>
      <c r="E12" s="4">
        <f t="shared" si="37"/>
        <v>-847.77700000000004</v>
      </c>
      <c r="F12" s="4">
        <f t="shared" si="37"/>
        <v>-156.57199999999995</v>
      </c>
      <c r="G12" s="4">
        <f t="shared" si="37"/>
        <v>-114.01400000000001</v>
      </c>
      <c r="H12" s="4">
        <f t="shared" si="37"/>
        <v>-146.14800000000002</v>
      </c>
      <c r="I12" s="4">
        <f t="shared" si="37"/>
        <v>-91.941000000000031</v>
      </c>
      <c r="J12" s="4">
        <f t="shared" si="37"/>
        <v>-58.942999999999984</v>
      </c>
      <c r="K12" s="4">
        <f t="shared" si="37"/>
        <v>-39.439000000000021</v>
      </c>
      <c r="L12" s="4">
        <f t="shared" si="37"/>
        <v>-41.745000000000005</v>
      </c>
      <c r="M12" s="4">
        <f t="shared" ref="M12:N12" si="38">M7-M11</f>
        <v>-33.226999999999975</v>
      </c>
      <c r="N12" s="4">
        <f t="shared" si="38"/>
        <v>-17.826000000000022</v>
      </c>
      <c r="O12" s="4">
        <f>+O7-O11</f>
        <v>4.1150000000000659</v>
      </c>
      <c r="P12" s="4">
        <f>+P7-P11</f>
        <v>10.073999999999955</v>
      </c>
      <c r="Q12" s="4">
        <f>+Q7-Q11</f>
        <v>39.982999999999947</v>
      </c>
      <c r="R12" s="4">
        <f>+R7-R11</f>
        <v>65.44399999999996</v>
      </c>
      <c r="S12" s="4">
        <f>+S7-S11</f>
        <v>80.880999999999972</v>
      </c>
      <c r="T12" s="4"/>
      <c r="Y12" s="3">
        <f>Y7-Y11</f>
        <v>-1173.6789999999999</v>
      </c>
      <c r="Z12" s="3">
        <f t="shared" ref="Z12" si="39">Z7-Z11</f>
        <v>-411.04600000000005</v>
      </c>
      <c r="AA12" s="3">
        <f t="shared" ref="AA12" si="40">AA7-AA11</f>
        <v>-250.18730000000028</v>
      </c>
      <c r="AB12" s="3">
        <f t="shared" ref="AB12" si="41">AB7-AB11</f>
        <v>-122.73635000000058</v>
      </c>
      <c r="AC12" s="3">
        <f t="shared" ref="AC12" si="42">AC7-AC11</f>
        <v>47.95363099999895</v>
      </c>
      <c r="AD12" s="3">
        <f t="shared" ref="AD12" si="43">AD7-AD11</f>
        <v>272.30533329999889</v>
      </c>
      <c r="AE12" s="3">
        <f t="shared" ref="AE12" si="44">AE7-AE11</f>
        <v>563.00347366999813</v>
      </c>
      <c r="AF12" s="3">
        <f t="shared" ref="AF12" si="45">AF7-AF11</f>
        <v>935.46494948499731</v>
      </c>
      <c r="AG12" s="3">
        <f t="shared" ref="AG12" si="46">AG7-AG11</f>
        <v>1408.4047985710968</v>
      </c>
    </row>
    <row r="13" spans="1:35" s="3" customFormat="1" x14ac:dyDescent="0.15">
      <c r="B13" s="3" t="s">
        <v>27</v>
      </c>
      <c r="C13" s="4"/>
      <c r="D13" s="4">
        <f>0.551-5.646</f>
        <v>-5.0949999999999998</v>
      </c>
      <c r="E13" s="4">
        <f>0.494-2.085</f>
        <v>-1.591</v>
      </c>
      <c r="F13" s="4">
        <f>0.368-1.814</f>
        <v>-1.4460000000000002</v>
      </c>
      <c r="G13" s="4">
        <f>0.376-1.84</f>
        <v>-1.464</v>
      </c>
      <c r="H13" s="4">
        <f>0.372-0.59</f>
        <v>-0.21799999999999997</v>
      </c>
      <c r="I13" s="4">
        <f>0.379-0.609</f>
        <v>-0.22999999999999998</v>
      </c>
      <c r="J13" s="4">
        <f>0.48-0.601</f>
        <v>-0.121</v>
      </c>
      <c r="K13" s="4">
        <f>0.547-0.594</f>
        <v>-4.6999999999999931E-2</v>
      </c>
      <c r="L13" s="4">
        <f>1.472-0.67</f>
        <v>0.80199999999999994</v>
      </c>
      <c r="M13" s="4">
        <v>0</v>
      </c>
      <c r="N13" s="4">
        <f>12.75-1.712+44.637</f>
        <v>55.674999999999997</v>
      </c>
      <c r="O13" s="4">
        <f>20.853-4.136</f>
        <v>16.717000000000002</v>
      </c>
      <c r="P13" s="4">
        <f>30.31-1.317-9.024</f>
        <v>19.969000000000001</v>
      </c>
      <c r="Q13" s="4">
        <f>36.864-0.742+3.864</f>
        <v>39.985999999999997</v>
      </c>
      <c r="R13" s="4">
        <f>44.545-0.136-3.956</f>
        <v>40.452999999999996</v>
      </c>
      <c r="S13" s="4">
        <f>43.352-13.507</f>
        <v>29.844999999999999</v>
      </c>
      <c r="T13" s="4"/>
      <c r="Y13" s="3">
        <f>4.68-14.139</f>
        <v>-9.4589999999999996</v>
      </c>
      <c r="Z13" s="3">
        <f>1.607-3.64</f>
        <v>-2.0330000000000004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5" s="3" customFormat="1" x14ac:dyDescent="0.15">
      <c r="B14" s="3" t="s">
        <v>28</v>
      </c>
      <c r="C14" s="4"/>
      <c r="D14" s="4">
        <f t="shared" ref="D14:L14" si="47">D12-D13</f>
        <v>-94.050000000000011</v>
      </c>
      <c r="E14" s="4">
        <f t="shared" si="47"/>
        <v>-846.18600000000004</v>
      </c>
      <c r="F14" s="4">
        <f t="shared" si="47"/>
        <v>-155.12599999999995</v>
      </c>
      <c r="G14" s="4">
        <f t="shared" si="47"/>
        <v>-112.55000000000001</v>
      </c>
      <c r="H14" s="4">
        <f t="shared" si="47"/>
        <v>-145.93000000000004</v>
      </c>
      <c r="I14" s="4">
        <f t="shared" si="47"/>
        <v>-91.711000000000027</v>
      </c>
      <c r="J14" s="4">
        <f t="shared" si="47"/>
        <v>-58.821999999999981</v>
      </c>
      <c r="K14" s="4">
        <f t="shared" si="47"/>
        <v>-39.392000000000024</v>
      </c>
      <c r="L14" s="4">
        <f t="shared" si="47"/>
        <v>-42.547000000000004</v>
      </c>
      <c r="M14" s="4">
        <f t="shared" ref="M14" si="48">M12-M13</f>
        <v>-33.226999999999975</v>
      </c>
      <c r="N14" s="4">
        <f t="shared" ref="N14:S14" si="49">+N12+N13</f>
        <v>37.848999999999975</v>
      </c>
      <c r="O14" s="4">
        <f t="shared" si="49"/>
        <v>20.832000000000068</v>
      </c>
      <c r="P14" s="4">
        <f t="shared" si="49"/>
        <v>30.042999999999957</v>
      </c>
      <c r="Q14" s="4">
        <f t="shared" si="49"/>
        <v>79.968999999999937</v>
      </c>
      <c r="R14" s="4">
        <f t="shared" si="49"/>
        <v>105.89699999999996</v>
      </c>
      <c r="S14" s="4">
        <f t="shared" si="49"/>
        <v>110.72599999999997</v>
      </c>
      <c r="T14" s="4"/>
      <c r="Y14" s="3">
        <f t="shared" ref="Y14:AD14" si="50">Y12+Y13</f>
        <v>-1183.1379999999999</v>
      </c>
      <c r="Z14" s="3">
        <f t="shared" si="50"/>
        <v>-413.07900000000006</v>
      </c>
      <c r="AA14" s="3">
        <f t="shared" si="50"/>
        <v>-250.18730000000028</v>
      </c>
      <c r="AB14" s="3">
        <f t="shared" si="50"/>
        <v>-122.73635000000058</v>
      </c>
      <c r="AC14" s="3">
        <f t="shared" si="50"/>
        <v>47.95363099999895</v>
      </c>
      <c r="AD14" s="3">
        <f t="shared" si="50"/>
        <v>272.30533329999889</v>
      </c>
      <c r="AE14" s="3">
        <f t="shared" ref="AE14" si="51">AE12+AE13</f>
        <v>563.00347366999813</v>
      </c>
      <c r="AF14" s="3">
        <f t="shared" ref="AF14" si="52">AF12+AF13</f>
        <v>935.46494948499731</v>
      </c>
      <c r="AG14" s="3">
        <f t="shared" ref="AG14" si="53">AG12+AG13</f>
        <v>1408.4047985710968</v>
      </c>
    </row>
    <row r="15" spans="1:35" s="3" customFormat="1" x14ac:dyDescent="0.15">
      <c r="B15" s="3" t="s">
        <v>30</v>
      </c>
      <c r="C15" s="4"/>
      <c r="D15" s="4">
        <f>0.943</f>
        <v>0.94299999999999995</v>
      </c>
      <c r="E15" s="4">
        <v>-8.5429999999999993</v>
      </c>
      <c r="F15" s="4">
        <v>-7.593</v>
      </c>
      <c r="G15" s="4">
        <v>3.1019999999999999</v>
      </c>
      <c r="H15" s="4">
        <v>-5.6609999999999996</v>
      </c>
      <c r="I15" s="4">
        <v>1.4379999999999999</v>
      </c>
      <c r="J15" s="4">
        <v>33.006</v>
      </c>
      <c r="K15" s="4">
        <v>2.0230000000000001</v>
      </c>
      <c r="L15" s="4">
        <v>2.5880000000000001</v>
      </c>
      <c r="M15" s="4">
        <v>0</v>
      </c>
      <c r="N15" s="4">
        <f>4.36+2.611</f>
        <v>6.9710000000000001</v>
      </c>
      <c r="O15" s="4">
        <f>1.681+2.349</f>
        <v>4.03</v>
      </c>
      <c r="P15" s="4">
        <f>2.171-0.255</f>
        <v>1.9159999999999999</v>
      </c>
      <c r="Q15" s="4">
        <f>6.53+1.934</f>
        <v>8.4640000000000004</v>
      </c>
      <c r="R15" s="4">
        <f>9.334+3.522</f>
        <v>12.856</v>
      </c>
      <c r="S15" s="4">
        <f>4.655+0.541</f>
        <v>5.1960000000000006</v>
      </c>
      <c r="T15" s="4"/>
      <c r="Y15" s="3">
        <v>-12.635999999999999</v>
      </c>
      <c r="Z15" s="3">
        <v>31.885000000000002</v>
      </c>
      <c r="AA15" s="3">
        <v>0</v>
      </c>
      <c r="AB15" s="3">
        <v>0</v>
      </c>
      <c r="AC15" s="3">
        <v>0</v>
      </c>
      <c r="AD15" s="3">
        <f>AD14*0.1</f>
        <v>27.23053332999989</v>
      </c>
      <c r="AE15" s="3">
        <f t="shared" ref="AE15" si="54">AE14*0.1</f>
        <v>56.300347366999816</v>
      </c>
      <c r="AF15" s="3">
        <f t="shared" ref="AF15" si="55">AF14*0.1</f>
        <v>93.546494948499742</v>
      </c>
      <c r="AG15" s="3">
        <f t="shared" ref="AG15" si="56">AG14*0.1</f>
        <v>140.84047985710967</v>
      </c>
    </row>
    <row r="16" spans="1:35" s="3" customFormat="1" x14ac:dyDescent="0.15">
      <c r="B16" s="3" t="s">
        <v>31</v>
      </c>
      <c r="C16" s="4"/>
      <c r="D16" s="4">
        <f t="shared" ref="D16:L16" si="57">D14-D15</f>
        <v>-94.993000000000009</v>
      </c>
      <c r="E16" s="4">
        <f t="shared" si="57"/>
        <v>-837.64300000000003</v>
      </c>
      <c r="F16" s="4">
        <f t="shared" si="57"/>
        <v>-147.53299999999996</v>
      </c>
      <c r="G16" s="4">
        <f t="shared" si="57"/>
        <v>-115.65200000000002</v>
      </c>
      <c r="H16" s="4">
        <f t="shared" si="57"/>
        <v>-140.26900000000003</v>
      </c>
      <c r="I16" s="4">
        <f t="shared" si="57"/>
        <v>-93.149000000000029</v>
      </c>
      <c r="J16" s="4">
        <f t="shared" si="57"/>
        <v>-91.827999999999975</v>
      </c>
      <c r="K16" s="4">
        <f t="shared" si="57"/>
        <v>-41.415000000000028</v>
      </c>
      <c r="L16" s="4">
        <f t="shared" si="57"/>
        <v>-45.135000000000005</v>
      </c>
      <c r="M16" s="4">
        <f t="shared" ref="M16:N16" si="58">M14-M15</f>
        <v>-33.226999999999975</v>
      </c>
      <c r="N16" s="4">
        <f t="shared" si="58"/>
        <v>30.877999999999975</v>
      </c>
      <c r="O16" s="4">
        <f>+O14-O15</f>
        <v>16.802000000000067</v>
      </c>
      <c r="P16" s="4">
        <f>+P14-P15</f>
        <v>28.126999999999956</v>
      </c>
      <c r="Q16" s="4">
        <f>+Q14-Q15</f>
        <v>71.504999999999939</v>
      </c>
      <c r="R16" s="4">
        <f>+R14-R15</f>
        <v>93.040999999999968</v>
      </c>
      <c r="S16" s="4">
        <f>+S14-S15</f>
        <v>105.52999999999997</v>
      </c>
      <c r="T16" s="4"/>
      <c r="Y16" s="3">
        <f>Y14-Y15</f>
        <v>-1170.502</v>
      </c>
      <c r="Z16" s="3">
        <f>Z14-Z15</f>
        <v>-444.96400000000006</v>
      </c>
      <c r="AA16" s="3">
        <f t="shared" ref="AA16:AD16" si="59">AA14-AA15</f>
        <v>-250.18730000000028</v>
      </c>
      <c r="AB16" s="3">
        <f t="shared" si="59"/>
        <v>-122.73635000000058</v>
      </c>
      <c r="AC16" s="3">
        <f t="shared" si="59"/>
        <v>47.95363099999895</v>
      </c>
      <c r="AD16" s="3">
        <f t="shared" si="59"/>
        <v>245.07479996999899</v>
      </c>
      <c r="AE16" s="3">
        <f t="shared" ref="AE16" si="60">AE14-AE15</f>
        <v>506.70312630299833</v>
      </c>
      <c r="AF16" s="3">
        <f t="shared" ref="AF16" si="61">AF14-AF15</f>
        <v>841.91845453649762</v>
      </c>
      <c r="AG16" s="3">
        <f t="shared" ref="AG16" si="62">AG14-AG15</f>
        <v>1267.5643187139872</v>
      </c>
    </row>
    <row r="17" spans="2:33" x14ac:dyDescent="0.15">
      <c r="B17" s="3" t="s">
        <v>1</v>
      </c>
      <c r="D17" s="7">
        <f t="shared" ref="D17:L17" si="63">D16/D18</f>
        <v>-0.14827157237200492</v>
      </c>
      <c r="E17" s="7">
        <f t="shared" si="63"/>
        <v>-0.92510011463761044</v>
      </c>
      <c r="F17" s="7">
        <f t="shared" si="63"/>
        <v>-8.3658536308756248E-2</v>
      </c>
      <c r="G17" s="7">
        <f t="shared" si="63"/>
        <v>-6.3504649239659608E-2</v>
      </c>
      <c r="H17" s="7">
        <f t="shared" si="63"/>
        <v>-7.4035973706406522E-2</v>
      </c>
      <c r="I17" s="7">
        <f t="shared" si="63"/>
        <v>-4.7418670888492401E-2</v>
      </c>
      <c r="J17" s="7">
        <f t="shared" si="63"/>
        <v>-4.5645513091992884E-2</v>
      </c>
      <c r="K17" s="7">
        <f t="shared" si="63"/>
        <v>-2.0338288872945007E-2</v>
      </c>
      <c r="L17" s="7">
        <f t="shared" si="63"/>
        <v>-2.1965652114878394E-2</v>
      </c>
      <c r="M17" s="7">
        <f t="shared" ref="M17:N17" si="64">M16/M18</f>
        <v>-1.6170438081778302E-2</v>
      </c>
      <c r="N17" s="7">
        <f t="shared" si="64"/>
        <v>1.4011679273305783E-2</v>
      </c>
      <c r="O17" s="7">
        <f>+O16/O18</f>
        <v>7.5772095647276289E-3</v>
      </c>
      <c r="P17" s="7">
        <f>+P16/P18</f>
        <v>1.2346394341034721E-2</v>
      </c>
      <c r="Q17" s="7">
        <f>+Q16/Q18</f>
        <v>3.0746904024767777E-2</v>
      </c>
      <c r="R17" s="7">
        <f>+R16/R18</f>
        <v>3.9461908894187728E-2</v>
      </c>
      <c r="S17" s="7">
        <f>+S16/S18</f>
        <v>4.3968873054409649E-2</v>
      </c>
      <c r="T17" s="7"/>
      <c r="Y17" s="1">
        <f>Y16/Y18</f>
        <v>-1.1952069271849119</v>
      </c>
      <c r="Z17" s="1">
        <f>Z16/Z18</f>
        <v>-0.23131631712549852</v>
      </c>
      <c r="AA17" s="1">
        <f t="shared" ref="AA17:AD17" si="65">AA16/AA18</f>
        <v>-0.11985539971912569</v>
      </c>
      <c r="AB17" s="1">
        <f t="shared" si="65"/>
        <v>-5.8798405391946619E-2</v>
      </c>
      <c r="AC17" s="1">
        <f t="shared" si="65"/>
        <v>2.2972795227768655E-2</v>
      </c>
      <c r="AD17" s="1">
        <f t="shared" si="65"/>
        <v>0.11740619172711393</v>
      </c>
      <c r="AE17" s="1">
        <f t="shared" ref="AE17" si="66">AE16/AE18</f>
        <v>0.24274256024177257</v>
      </c>
      <c r="AF17" s="1">
        <f t="shared" ref="AF17" si="67">AF16/AF18</f>
        <v>0.4033317154762866</v>
      </c>
      <c r="AG17" s="1">
        <f t="shared" ref="AG17" si="68">AG16/AG18</f>
        <v>0.60724276607631966</v>
      </c>
    </row>
    <row r="18" spans="2:33" s="3" customFormat="1" x14ac:dyDescent="0.15">
      <c r="B18" s="3" t="s">
        <v>29</v>
      </c>
      <c r="C18" s="4"/>
      <c r="D18" s="4">
        <v>640.66899999999998</v>
      </c>
      <c r="E18" s="4">
        <v>905.46199999999999</v>
      </c>
      <c r="F18" s="4">
        <v>1763.5139999999999</v>
      </c>
      <c r="G18" s="4">
        <v>1821.1579999999999</v>
      </c>
      <c r="H18" s="4">
        <v>1894.606</v>
      </c>
      <c r="I18" s="4">
        <v>1964.395</v>
      </c>
      <c r="J18" s="4">
        <v>2011.7639999999999</v>
      </c>
      <c r="K18" s="4">
        <v>2036.307</v>
      </c>
      <c r="L18" s="4">
        <v>2054.799</v>
      </c>
      <c r="M18" s="4">
        <f t="shared" ref="M18" si="69">L18</f>
        <v>2054.799</v>
      </c>
      <c r="N18" s="4">
        <v>2203.7330000000002</v>
      </c>
      <c r="O18" s="4">
        <v>2217.4389999999999</v>
      </c>
      <c r="P18" s="4">
        <v>2278.1550000000002</v>
      </c>
      <c r="Q18" s="4">
        <v>2325.6</v>
      </c>
      <c r="R18" s="4">
        <v>2357.7420000000002</v>
      </c>
      <c r="S18" s="4">
        <v>2400.107</v>
      </c>
      <c r="T18" s="4"/>
      <c r="Y18" s="3">
        <v>979.33</v>
      </c>
      <c r="Z18" s="3">
        <v>1923.617</v>
      </c>
      <c r="AA18" s="3">
        <f>AVERAGE(K18:N18)</f>
        <v>2087.4094999999998</v>
      </c>
      <c r="AB18" s="3">
        <f>AA18</f>
        <v>2087.4094999999998</v>
      </c>
      <c r="AC18" s="3">
        <f>AB18</f>
        <v>2087.4094999999998</v>
      </c>
      <c r="AD18" s="3">
        <f>AC18</f>
        <v>2087.4094999999998</v>
      </c>
      <c r="AE18" s="3">
        <f t="shared" ref="AE18" si="70">AD18</f>
        <v>2087.4094999999998</v>
      </c>
      <c r="AF18" s="3">
        <f t="shared" ref="AF18:AG18" si="71">AE18</f>
        <v>2087.4094999999998</v>
      </c>
      <c r="AG18" s="3">
        <f t="shared" si="71"/>
        <v>2087.4094999999998</v>
      </c>
    </row>
    <row r="21" spans="2:33" s="11" customFormat="1" x14ac:dyDescent="0.15">
      <c r="B21" s="5" t="s">
        <v>32</v>
      </c>
      <c r="C21" s="9"/>
      <c r="D21" s="9"/>
      <c r="E21" s="9"/>
      <c r="F21" s="9"/>
      <c r="G21" s="9"/>
      <c r="H21" s="10">
        <f>H5/D5-1</f>
        <v>0.49129973917082514</v>
      </c>
      <c r="I21" s="10">
        <f>I5/E5-1</f>
        <v>0.35519031261447442</v>
      </c>
      <c r="J21" s="10">
        <f>J5/F5-1</f>
        <v>0.34392764777656004</v>
      </c>
      <c r="K21" s="10">
        <f>K5/G5-1</f>
        <v>0.30806719142875583</v>
      </c>
      <c r="L21" s="10">
        <f>L5/H5-1</f>
        <v>0.25920424233711881</v>
      </c>
      <c r="M21" s="10">
        <f t="shared" ref="M21:O21" si="72">M5/I5-1</f>
        <v>0.21862775598884077</v>
      </c>
      <c r="N21" s="10">
        <f t="shared" si="72"/>
        <v>0.17501218619113956</v>
      </c>
      <c r="O21" s="10">
        <f t="shared" si="72"/>
        <v>0.1766052733574246</v>
      </c>
      <c r="P21" s="10">
        <f t="shared" ref="P21:T21" si="73">P5/L5-1</f>
        <v>0.12749624743662924</v>
      </c>
      <c r="Q21" s="10">
        <f t="shared" si="73"/>
        <v>0.16798987193437687</v>
      </c>
      <c r="R21" s="10">
        <f t="shared" si="73"/>
        <v>0.19538205039479051</v>
      </c>
      <c r="S21" s="10">
        <f t="shared" si="73"/>
        <v>0.20783493847893864</v>
      </c>
      <c r="T21" s="10">
        <f t="shared" si="73"/>
        <v>0.22816261248000713</v>
      </c>
      <c r="Z21" s="12">
        <f>Z5/Y5-1</f>
        <v>0.41111659206368234</v>
      </c>
      <c r="AA21" s="12">
        <f>AA5/Z5-1</f>
        <v>0.23606238840798532</v>
      </c>
      <c r="AB21" s="12">
        <f>AB5/AA5-1</f>
        <v>0.19999999999999996</v>
      </c>
      <c r="AC21" s="12">
        <f>AC5/AB5-1</f>
        <v>0.19999999999999996</v>
      </c>
      <c r="AD21" s="12">
        <f>AD5/AC5-1</f>
        <v>0.19999999999999996</v>
      </c>
      <c r="AE21" s="12">
        <f t="shared" ref="AE21" si="74">AE5/AD5-1</f>
        <v>0.19999999999999996</v>
      </c>
      <c r="AF21" s="12">
        <f t="shared" ref="AF21:AG21" si="75">AF5/AE5-1</f>
        <v>0.19999999999999996</v>
      </c>
      <c r="AG21" s="12">
        <f t="shared" si="75"/>
        <v>0.19999999999999996</v>
      </c>
    </row>
    <row r="22" spans="2:33" x14ac:dyDescent="0.15">
      <c r="B22" t="s">
        <v>33</v>
      </c>
      <c r="D22" s="8">
        <f t="shared" ref="D22:K22" si="76">D7/D5</f>
        <v>0.72841211803611916</v>
      </c>
      <c r="E22" s="8">
        <f t="shared" si="76"/>
        <v>0.48390619492269304</v>
      </c>
      <c r="F22" s="8">
        <f t="shared" si="76"/>
        <v>0.78110844450791861</v>
      </c>
      <c r="G22" s="8">
        <f t="shared" si="76"/>
        <v>0.78281472537906538</v>
      </c>
      <c r="H22" s="8">
        <f t="shared" si="76"/>
        <v>0.75794506471587308</v>
      </c>
      <c r="I22" s="8">
        <f t="shared" si="76"/>
        <v>0.77864366842961541</v>
      </c>
      <c r="J22" s="8">
        <f t="shared" si="76"/>
        <v>0.79771384744043783</v>
      </c>
      <c r="K22" s="8">
        <f t="shared" si="76"/>
        <v>0.78850337286073702</v>
      </c>
      <c r="L22" s="8">
        <f t="shared" ref="L22:P22" si="77">L7/L5</f>
        <v>0.78388617576795416</v>
      </c>
      <c r="M22" s="8">
        <f t="shared" si="77"/>
        <v>0.8</v>
      </c>
      <c r="N22" s="8">
        <f t="shared" si="77"/>
        <v>0.79491530089024498</v>
      </c>
      <c r="O22" s="8">
        <f t="shared" si="77"/>
        <v>0.79503452110299977</v>
      </c>
      <c r="P22" s="8">
        <f t="shared" si="77"/>
        <v>0.79955823647099189</v>
      </c>
      <c r="Q22" s="8">
        <f t="shared" ref="Q22:R22" si="78">Q7/Q5</f>
        <v>0.80664649320354953</v>
      </c>
      <c r="R22" s="8">
        <f t="shared" si="78"/>
        <v>0.82131743421052628</v>
      </c>
      <c r="S22" s="8">
        <f t="shared" ref="S22:T22" si="79">S7/S5</f>
        <v>0.81672862101907817</v>
      </c>
      <c r="T22" s="8">
        <f t="shared" si="79"/>
        <v>0</v>
      </c>
      <c r="Y22" s="8">
        <f t="shared" ref="Y22:AD22" si="80">Y7/Y5</f>
        <v>0.67735360899372454</v>
      </c>
      <c r="Z22" s="8">
        <f t="shared" si="80"/>
        <v>0.77987779924495215</v>
      </c>
      <c r="AA22" s="8">
        <f t="shared" si="80"/>
        <v>0.8</v>
      </c>
      <c r="AB22" s="8">
        <f t="shared" si="80"/>
        <v>0.8</v>
      </c>
      <c r="AC22" s="8">
        <f t="shared" si="80"/>
        <v>0.79999999999999993</v>
      </c>
      <c r="AD22" s="8">
        <f t="shared" si="80"/>
        <v>0.8</v>
      </c>
      <c r="AE22" s="8">
        <f t="shared" ref="AE22" si="81">AE7/AE5</f>
        <v>0.8</v>
      </c>
      <c r="AF22" s="8">
        <f t="shared" ref="AF22:AG22" si="82">AF7/AF5</f>
        <v>0.8</v>
      </c>
      <c r="AG22" s="8">
        <f t="shared" si="82"/>
        <v>0.8</v>
      </c>
    </row>
    <row r="24" spans="2:33" s="3" customFormat="1" x14ac:dyDescent="0.15"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>
        <f>2269.411+33.804+252.563+29.222</f>
        <v>2585.0000000000005</v>
      </c>
      <c r="L24" s="4"/>
      <c r="M24" s="4"/>
      <c r="N24" s="4"/>
      <c r="O24" s="4">
        <f>1264.738+1639.797+11.946+12.095</f>
        <v>2928.5759999999996</v>
      </c>
      <c r="P24" s="4">
        <f>1055.923+2047.329</f>
        <v>3103.252</v>
      </c>
      <c r="Q24" s="4">
        <f>1040.31+2243.264</f>
        <v>3283.5740000000001</v>
      </c>
      <c r="R24" s="4">
        <f>831.047+2843.132</f>
        <v>3674.1790000000001</v>
      </c>
      <c r="S24" s="4">
        <f>520.388+3347.512</f>
        <v>3867.9</v>
      </c>
      <c r="T24" s="4"/>
    </row>
    <row r="25" spans="2:33" s="3" customFormat="1" x14ac:dyDescent="0.15">
      <c r="B25" s="3" t="s">
        <v>34</v>
      </c>
      <c r="C25" s="4"/>
      <c r="D25" s="4"/>
      <c r="E25" s="4"/>
      <c r="F25" s="4"/>
      <c r="G25" s="4"/>
      <c r="H25" s="4"/>
      <c r="I25" s="4"/>
      <c r="J25" s="4"/>
      <c r="K25" s="4">
        <v>256.55399999999997</v>
      </c>
      <c r="L25" s="4"/>
      <c r="M25" s="4"/>
      <c r="N25" s="4"/>
      <c r="O25" s="4">
        <v>254.041</v>
      </c>
      <c r="P25" s="4">
        <v>375.75599999999997</v>
      </c>
      <c r="Q25" s="4">
        <v>430.26900000000001</v>
      </c>
      <c r="R25" s="4">
        <v>364.78399999999999</v>
      </c>
      <c r="S25" s="4">
        <v>486.98599999999999</v>
      </c>
      <c r="T25" s="4"/>
    </row>
    <row r="26" spans="2:33" s="3" customFormat="1" x14ac:dyDescent="0.15">
      <c r="B26" s="3" t="s">
        <v>35</v>
      </c>
      <c r="C26" s="4"/>
      <c r="D26" s="4"/>
      <c r="E26" s="4"/>
      <c r="F26" s="4"/>
      <c r="G26" s="4"/>
      <c r="H26" s="4"/>
      <c r="I26" s="4"/>
      <c r="J26" s="4"/>
      <c r="K26" s="4">
        <v>115.042</v>
      </c>
      <c r="L26" s="4"/>
      <c r="M26" s="4"/>
      <c r="N26" s="4"/>
      <c r="O26" s="4">
        <v>85.625</v>
      </c>
      <c r="P26" s="4">
        <v>97.906000000000006</v>
      </c>
      <c r="Q26" s="4">
        <v>95.554000000000002</v>
      </c>
      <c r="R26" s="4">
        <v>99.655000000000001</v>
      </c>
      <c r="S26" s="4">
        <v>81.177999999999997</v>
      </c>
      <c r="T26" s="4"/>
    </row>
    <row r="27" spans="2:33" s="3" customFormat="1" x14ac:dyDescent="0.15">
      <c r="B27" s="3" t="s">
        <v>36</v>
      </c>
      <c r="C27" s="4"/>
      <c r="D27" s="4"/>
      <c r="E27" s="4"/>
      <c r="F27" s="4"/>
      <c r="G27" s="4"/>
      <c r="H27" s="4"/>
      <c r="I27" s="4"/>
      <c r="J27" s="4"/>
      <c r="K27" s="4">
        <v>41.866</v>
      </c>
      <c r="L27" s="4"/>
      <c r="M27" s="4"/>
      <c r="N27" s="4"/>
      <c r="O27" s="4">
        <v>63.115000000000002</v>
      </c>
      <c r="P27" s="4">
        <v>54.097000000000001</v>
      </c>
      <c r="Q27" s="4">
        <v>50.133000000000003</v>
      </c>
      <c r="R27" s="4">
        <v>47.758000000000003</v>
      </c>
      <c r="S27" s="4">
        <v>46.905999999999999</v>
      </c>
      <c r="T27" s="4"/>
    </row>
    <row r="28" spans="2:33" s="3" customFormat="1" x14ac:dyDescent="0.15">
      <c r="B28" s="3" t="s">
        <v>37</v>
      </c>
      <c r="C28" s="4"/>
      <c r="D28" s="4"/>
      <c r="E28" s="4"/>
      <c r="F28" s="4"/>
      <c r="G28" s="4"/>
      <c r="H28" s="4"/>
      <c r="I28" s="4"/>
      <c r="J28" s="4"/>
      <c r="K28" s="4">
        <v>224.88800000000001</v>
      </c>
      <c r="L28" s="4"/>
      <c r="M28" s="4"/>
      <c r="N28" s="4"/>
      <c r="O28" s="4">
        <v>210.01900000000001</v>
      </c>
      <c r="P28" s="4">
        <v>199.661</v>
      </c>
      <c r="Q28" s="4">
        <v>190.191</v>
      </c>
      <c r="R28" s="4">
        <v>182.863</v>
      </c>
      <c r="S28" s="4">
        <v>173.70699999999999</v>
      </c>
      <c r="T28" s="4"/>
    </row>
    <row r="29" spans="2:33" s="3" customFormat="1" x14ac:dyDescent="0.15">
      <c r="B29" s="3" t="s">
        <v>38</v>
      </c>
      <c r="C29" s="4"/>
      <c r="D29" s="4"/>
      <c r="E29" s="4"/>
      <c r="F29" s="4"/>
      <c r="G29" s="4"/>
      <c r="H29" s="4"/>
      <c r="I29" s="4"/>
      <c r="J29" s="4"/>
      <c r="K29" s="4">
        <v>95.828999999999994</v>
      </c>
      <c r="L29" s="4"/>
      <c r="M29" s="4"/>
      <c r="N29" s="4"/>
      <c r="O29" s="4">
        <v>141.762</v>
      </c>
      <c r="P29" s="4">
        <v>149.59200000000001</v>
      </c>
      <c r="Q29" s="4">
        <v>143.696</v>
      </c>
      <c r="R29" s="4">
        <v>153.18600000000001</v>
      </c>
      <c r="S29" s="4">
        <v>150.40199999999999</v>
      </c>
      <c r="T29" s="4"/>
    </row>
    <row r="30" spans="2:33" s="3" customFormat="1" x14ac:dyDescent="0.15">
      <c r="B30" s="3" t="s">
        <v>39</v>
      </c>
      <c r="C30" s="4"/>
      <c r="D30" s="4"/>
      <c r="E30" s="4"/>
      <c r="F30" s="4"/>
      <c r="G30" s="4"/>
      <c r="H30" s="4"/>
      <c r="I30" s="4"/>
      <c r="J30" s="4"/>
      <c r="K30" s="4">
        <f>SUM(K24:K29)</f>
        <v>3319.1790000000005</v>
      </c>
      <c r="L30" s="4"/>
      <c r="M30" s="4"/>
      <c r="N30" s="4"/>
      <c r="O30" s="4">
        <f>SUM(O24:O29)</f>
        <v>3683.1379999999995</v>
      </c>
      <c r="P30" s="4">
        <f>SUM(P24:P29)</f>
        <v>3980.2640000000001</v>
      </c>
      <c r="Q30" s="4">
        <f>SUM(Q24:Q29)</f>
        <v>4193.4169999999995</v>
      </c>
      <c r="R30" s="4">
        <f>SUM(R24:R29)</f>
        <v>4522.4250000000002</v>
      </c>
      <c r="S30" s="4">
        <f>SUM(S24:S29)</f>
        <v>4807.0790000000006</v>
      </c>
      <c r="T30" s="4"/>
    </row>
    <row r="32" spans="2:33" s="3" customFormat="1" x14ac:dyDescent="0.15">
      <c r="B32" s="3" t="s">
        <v>40</v>
      </c>
      <c r="C32" s="4"/>
      <c r="D32" s="4"/>
      <c r="E32" s="4"/>
      <c r="F32" s="4"/>
      <c r="G32" s="4"/>
      <c r="H32" s="4"/>
      <c r="I32" s="4"/>
      <c r="J32" s="4"/>
      <c r="K32" s="4">
        <v>27.454000000000001</v>
      </c>
      <c r="L32" s="4"/>
      <c r="M32" s="4"/>
      <c r="N32" s="4"/>
      <c r="O32" s="4">
        <v>4.53</v>
      </c>
      <c r="P32" s="4">
        <v>4.6130000000000004</v>
      </c>
      <c r="Q32" s="4">
        <v>9.4749999999999996</v>
      </c>
      <c r="R32" s="4">
        <v>12.122</v>
      </c>
      <c r="S32" s="4">
        <v>35.634</v>
      </c>
      <c r="T32" s="4"/>
    </row>
    <row r="33" spans="2:20" s="3" customFormat="1" x14ac:dyDescent="0.15">
      <c r="B33" s="3" t="s">
        <v>41</v>
      </c>
      <c r="C33" s="4"/>
      <c r="D33" s="4"/>
      <c r="E33" s="4"/>
      <c r="F33" s="4"/>
      <c r="G33" s="4"/>
      <c r="H33" s="4"/>
      <c r="I33" s="4"/>
      <c r="J33" s="4"/>
      <c r="K33" s="4">
        <v>150.17599999999999</v>
      </c>
      <c r="L33" s="4"/>
      <c r="M33" s="4"/>
      <c r="N33" s="4"/>
      <c r="O33" s="4">
        <v>174.52500000000001</v>
      </c>
      <c r="P33" s="4">
        <v>184.61699999999999</v>
      </c>
      <c r="Q33" s="4">
        <v>174.75299999999999</v>
      </c>
      <c r="R33" s="4">
        <v>222.99100000000001</v>
      </c>
      <c r="S33" s="4">
        <v>206.03399999999999</v>
      </c>
      <c r="T33" s="4"/>
    </row>
    <row r="34" spans="2:20" s="3" customFormat="1" x14ac:dyDescent="0.15">
      <c r="B34" s="3" t="s">
        <v>42</v>
      </c>
      <c r="C34" s="4"/>
      <c r="D34" s="4"/>
      <c r="E34" s="4"/>
      <c r="F34" s="4"/>
      <c r="G34" s="4"/>
      <c r="H34" s="4"/>
      <c r="I34" s="4"/>
      <c r="J34" s="4"/>
      <c r="K34" s="4">
        <f>218.521+33.244</f>
        <v>251.76499999999999</v>
      </c>
      <c r="L34" s="4"/>
      <c r="M34" s="4"/>
      <c r="N34" s="4"/>
      <c r="O34" s="4">
        <f>229.551+54.4</f>
        <v>283.95099999999996</v>
      </c>
      <c r="P34" s="4">
        <f>260.335+50.408</f>
        <v>310.74299999999999</v>
      </c>
      <c r="Q34" s="4">
        <f>223.507+34.88</f>
        <v>258.387</v>
      </c>
      <c r="R34" s="4">
        <f>246.901+28.047</f>
        <v>274.94800000000004</v>
      </c>
      <c r="S34" s="4">
        <f>237.195+20.722</f>
        <v>257.91699999999997</v>
      </c>
      <c r="T34" s="4"/>
    </row>
    <row r="35" spans="2:20" s="3" customFormat="1" x14ac:dyDescent="0.15">
      <c r="B35" s="3" t="s">
        <v>43</v>
      </c>
      <c r="C35" s="4"/>
      <c r="D35" s="4"/>
      <c r="E35" s="4"/>
      <c r="F35" s="4"/>
      <c r="G35" s="4"/>
      <c r="H35" s="4"/>
      <c r="I35" s="4"/>
      <c r="J35" s="4"/>
      <c r="K35" s="4">
        <f>232.908+22.276</f>
        <v>255.184</v>
      </c>
      <c r="L35" s="4"/>
      <c r="M35" s="4"/>
      <c r="N35" s="4"/>
      <c r="O35" s="4">
        <f>139.741+4.162</f>
        <v>143.90300000000002</v>
      </c>
      <c r="P35" s="4">
        <f>183.964+3.099</f>
        <v>187.06299999999999</v>
      </c>
      <c r="Q35" s="4">
        <f>228.986+2.234</f>
        <v>231.22</v>
      </c>
      <c r="R35" s="4">
        <f>1.477+209.828</f>
        <v>211.30500000000001</v>
      </c>
      <c r="S35" s="4">
        <f>217.634+1.651</f>
        <v>219.285</v>
      </c>
      <c r="T35" s="4"/>
    </row>
    <row r="36" spans="2:20" s="3" customFormat="1" x14ac:dyDescent="0.15">
      <c r="B36" s="3" t="s">
        <v>37</v>
      </c>
      <c r="C36" s="4"/>
      <c r="D36" s="4"/>
      <c r="E36" s="4"/>
      <c r="F36" s="4"/>
      <c r="G36" s="4"/>
      <c r="H36" s="4"/>
      <c r="I36" s="4"/>
      <c r="J36" s="4"/>
      <c r="K36" s="4">
        <f>40.045+227.617</f>
        <v>267.66199999999998</v>
      </c>
      <c r="L36" s="4"/>
      <c r="M36" s="4"/>
      <c r="N36" s="4"/>
      <c r="O36" s="4">
        <f>53.066+206.422</f>
        <v>259.488</v>
      </c>
      <c r="P36" s="4">
        <f>51.855+194.134</f>
        <v>245.98899999999998</v>
      </c>
      <c r="Q36" s="4">
        <f>52.204+184.067</f>
        <v>236.27100000000002</v>
      </c>
      <c r="R36" s="4">
        <f>54.176+175.216</f>
        <v>229.392</v>
      </c>
      <c r="S36" s="4">
        <f>54.056+163.013</f>
        <v>217.06900000000002</v>
      </c>
      <c r="T36" s="4"/>
    </row>
    <row r="37" spans="2:20" s="3" customFormat="1" x14ac:dyDescent="0.15">
      <c r="B37" s="3" t="s">
        <v>46</v>
      </c>
      <c r="C37" s="4"/>
      <c r="D37" s="4"/>
      <c r="E37" s="4"/>
      <c r="F37" s="4"/>
      <c r="G37" s="4"/>
      <c r="H37" s="4"/>
      <c r="I37" s="4"/>
      <c r="J37" s="4"/>
      <c r="K37" s="4">
        <v>2.1920000000000002</v>
      </c>
      <c r="L37" s="4"/>
      <c r="M37" s="4"/>
      <c r="N37" s="4"/>
      <c r="O37" s="4">
        <v>13.548</v>
      </c>
      <c r="P37" s="4">
        <v>12.101000000000001</v>
      </c>
      <c r="Q37" s="4">
        <v>11.414</v>
      </c>
      <c r="R37" s="4">
        <v>10.702</v>
      </c>
      <c r="S37" s="4">
        <v>9.968</v>
      </c>
      <c r="T37" s="4"/>
    </row>
    <row r="38" spans="2:20" s="3" customFormat="1" x14ac:dyDescent="0.15">
      <c r="B38" s="3" t="s">
        <v>44</v>
      </c>
      <c r="C38" s="4"/>
      <c r="D38" s="4"/>
      <c r="E38" s="4"/>
      <c r="F38" s="4"/>
      <c r="G38" s="4"/>
      <c r="H38" s="4"/>
      <c r="I38" s="4"/>
      <c r="J38" s="4"/>
      <c r="K38" s="4">
        <v>2364.7460000000001</v>
      </c>
      <c r="L38" s="4"/>
      <c r="M38" s="4"/>
      <c r="N38" s="4"/>
      <c r="O38" s="4">
        <v>2803.1930000000002</v>
      </c>
      <c r="P38" s="4">
        <v>3035.1379999999999</v>
      </c>
      <c r="Q38" s="4">
        <v>3271.8969999999999</v>
      </c>
      <c r="R38" s="4">
        <v>3560.9650000000001</v>
      </c>
      <c r="S38" s="4">
        <v>3861.172</v>
      </c>
      <c r="T38" s="4"/>
    </row>
    <row r="39" spans="2:20" s="3" customFormat="1" x14ac:dyDescent="0.15">
      <c r="B39" s="3" t="s">
        <v>45</v>
      </c>
      <c r="C39" s="4"/>
      <c r="D39" s="4"/>
      <c r="E39" s="4"/>
      <c r="F39" s="4"/>
      <c r="G39" s="4"/>
      <c r="H39" s="4"/>
      <c r="I39" s="4"/>
      <c r="J39" s="4"/>
      <c r="K39" s="4">
        <f>SUM(K32:K38)</f>
        <v>3319.1790000000001</v>
      </c>
      <c r="L39" s="4"/>
      <c r="M39" s="4"/>
      <c r="N39" s="4"/>
      <c r="O39" s="4">
        <f>SUM(O32:O38)</f>
        <v>3683.1379999999999</v>
      </c>
      <c r="P39" s="4">
        <f>SUM(P32:P38)</f>
        <v>3980.2639999999997</v>
      </c>
      <c r="Q39" s="4">
        <f>SUM(Q32:Q38)</f>
        <v>4193.4169999999995</v>
      </c>
      <c r="R39" s="4">
        <f>SUM(R32:R38)</f>
        <v>4522.4250000000002</v>
      </c>
      <c r="S39" s="4">
        <f>SUM(S32:S38)</f>
        <v>4807.0789999999997</v>
      </c>
      <c r="T39" s="4"/>
    </row>
    <row r="41" spans="2:20" x14ac:dyDescent="0.15">
      <c r="B41" s="3" t="s">
        <v>56</v>
      </c>
      <c r="O41" s="4">
        <f>+O16</f>
        <v>16.802000000000067</v>
      </c>
      <c r="R41" s="4"/>
      <c r="S41" s="4">
        <f>+S16</f>
        <v>105.52999999999997</v>
      </c>
    </row>
    <row r="42" spans="2:20" x14ac:dyDescent="0.15">
      <c r="B42" s="3" t="s">
        <v>57</v>
      </c>
      <c r="O42" s="4">
        <v>19.151</v>
      </c>
      <c r="R42" s="4"/>
      <c r="S42" s="4">
        <v>106.071</v>
      </c>
    </row>
    <row r="43" spans="2:20" x14ac:dyDescent="0.15">
      <c r="B43" s="3" t="s">
        <v>58</v>
      </c>
      <c r="O43" s="4">
        <v>8.32</v>
      </c>
      <c r="R43" s="4"/>
      <c r="S43" s="4">
        <v>8.4380000000000006</v>
      </c>
    </row>
    <row r="44" spans="2:20" x14ac:dyDescent="0.15">
      <c r="B44" s="3" t="s">
        <v>59</v>
      </c>
      <c r="O44" s="4">
        <v>114.714</v>
      </c>
      <c r="R44" s="4"/>
      <c r="S44" s="4">
        <v>125.651</v>
      </c>
    </row>
    <row r="45" spans="2:20" x14ac:dyDescent="0.15">
      <c r="B45" s="3" t="s">
        <v>37</v>
      </c>
      <c r="O45" s="4">
        <v>10.836</v>
      </c>
      <c r="R45" s="4"/>
      <c r="S45" s="4">
        <v>12.366</v>
      </c>
    </row>
    <row r="46" spans="2:20" x14ac:dyDescent="0.15">
      <c r="B46" s="3" t="s">
        <v>60</v>
      </c>
      <c r="O46" s="4">
        <v>8.5079999999999991</v>
      </c>
      <c r="R46" s="4"/>
      <c r="S46" s="4">
        <v>12.353999999999999</v>
      </c>
    </row>
    <row r="47" spans="2:20" x14ac:dyDescent="0.15">
      <c r="B47" s="3" t="s">
        <v>61</v>
      </c>
      <c r="O47" s="4">
        <v>0</v>
      </c>
      <c r="R47" s="4"/>
      <c r="S47" s="4">
        <v>-11.907</v>
      </c>
    </row>
    <row r="48" spans="2:20" x14ac:dyDescent="0.15">
      <c r="B48" s="3" t="s">
        <v>38</v>
      </c>
      <c r="O48" s="4">
        <v>-11.342000000000001</v>
      </c>
      <c r="R48" s="4"/>
      <c r="S48" s="4">
        <v>-6.774</v>
      </c>
    </row>
    <row r="49" spans="2:26" s="3" customFormat="1" x14ac:dyDescent="0.15">
      <c r="B49" s="3" t="s">
        <v>62</v>
      </c>
      <c r="C49" s="4"/>
      <c r="D49" s="4"/>
      <c r="E49" s="4"/>
      <c r="F49" s="4"/>
      <c r="G49" s="4">
        <v>116881</v>
      </c>
      <c r="H49" s="4"/>
      <c r="I49" s="4"/>
      <c r="J49" s="4"/>
      <c r="K49" s="4">
        <v>35477</v>
      </c>
      <c r="L49" s="4"/>
      <c r="M49" s="4"/>
      <c r="N49" s="4"/>
      <c r="O49" s="4">
        <f>-0.628+1.973-4.551-39.921+4.271+88.673-2.112-10.536+0.2</f>
        <v>37.369</v>
      </c>
      <c r="P49" s="4"/>
      <c r="Q49" s="4"/>
      <c r="R49" s="4"/>
      <c r="S49" s="4">
        <f>-121.884+19.399+3.525+23.809-19.105-14.802+7.953-15.482-0.033</f>
        <v>-116.61999999999999</v>
      </c>
      <c r="T49" s="4"/>
      <c r="Y49" s="3">
        <v>-296608</v>
      </c>
      <c r="Z49" s="3">
        <v>333851</v>
      </c>
    </row>
    <row r="50" spans="2:26" x14ac:dyDescent="0.15">
      <c r="B50" s="3" t="s">
        <v>47</v>
      </c>
      <c r="O50" s="4">
        <f>SUM(O42:O49)</f>
        <v>187.55600000000001</v>
      </c>
      <c r="R50" s="4"/>
      <c r="S50" s="4">
        <f>SUM(S42:S49)</f>
        <v>129.57900000000001</v>
      </c>
    </row>
    <row r="52" spans="2:26" x14ac:dyDescent="0.15">
      <c r="B52" s="3" t="s">
        <v>36</v>
      </c>
      <c r="O52" s="4">
        <v>-4.7549999999999999</v>
      </c>
      <c r="R52" s="4"/>
      <c r="S52" s="4">
        <v>-2.6640000000000001</v>
      </c>
    </row>
    <row r="53" spans="2:26" x14ac:dyDescent="0.15">
      <c r="B53" s="3" t="s">
        <v>64</v>
      </c>
      <c r="O53" s="4">
        <f>-2310.367+709.459+51.072</f>
        <v>-1549.8360000000002</v>
      </c>
      <c r="R53" s="4"/>
      <c r="S53" s="4">
        <f>-1260.327+751.746</f>
        <v>-508.58100000000002</v>
      </c>
    </row>
    <row r="54" spans="2:26" x14ac:dyDescent="0.15">
      <c r="B54" t="s">
        <v>63</v>
      </c>
      <c r="O54" s="4">
        <f>O52+O53</f>
        <v>-1554.5910000000003</v>
      </c>
      <c r="R54" s="4"/>
      <c r="S54" s="4">
        <f>SUM(S52:S53)</f>
        <v>-511.245</v>
      </c>
    </row>
    <row r="56" spans="2:26" x14ac:dyDescent="0.15">
      <c r="B56" t="s">
        <v>68</v>
      </c>
      <c r="O56" s="4">
        <v>25.923999999999999</v>
      </c>
      <c r="R56" s="4"/>
      <c r="S56" s="4">
        <v>83.84</v>
      </c>
    </row>
    <row r="57" spans="2:26" x14ac:dyDescent="0.15">
      <c r="B57" t="s">
        <v>69</v>
      </c>
      <c r="O57" s="4">
        <v>0</v>
      </c>
      <c r="R57" s="4"/>
      <c r="S57" s="4">
        <v>-9</v>
      </c>
    </row>
    <row r="58" spans="2:26" x14ac:dyDescent="0.15">
      <c r="B58" t="s">
        <v>38</v>
      </c>
      <c r="O58" s="4">
        <v>5.8999999999999997E-2</v>
      </c>
      <c r="R58" s="4"/>
      <c r="S58" s="4">
        <v>0.40799999999999997</v>
      </c>
    </row>
    <row r="59" spans="2:26" x14ac:dyDescent="0.15">
      <c r="B59" t="s">
        <v>67</v>
      </c>
      <c r="O59" s="4">
        <f>SUM(O56:O58)</f>
        <v>25.983000000000001</v>
      </c>
      <c r="R59" s="4"/>
      <c r="S59" s="4">
        <f>SUM(S56:S58)</f>
        <v>75.248000000000005</v>
      </c>
    </row>
    <row r="60" spans="2:26" x14ac:dyDescent="0.15">
      <c r="B60" t="s">
        <v>66</v>
      </c>
      <c r="O60" s="4">
        <v>2.6760000000000002</v>
      </c>
      <c r="R60" s="4"/>
      <c r="S60" s="4">
        <v>-4.024</v>
      </c>
    </row>
    <row r="61" spans="2:26" x14ac:dyDescent="0.15">
      <c r="B61" t="s">
        <v>65</v>
      </c>
      <c r="O61" s="4">
        <f>+O60+O59+O54+O50</f>
        <v>-1338.3760000000002</v>
      </c>
      <c r="R61" s="4"/>
      <c r="S61" s="4">
        <f>+S60+S59+S54+S50</f>
        <v>-310.44200000000001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2024-06-03T23:40:47Z</dcterms:modified>
</cp:coreProperties>
</file>