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showInkAnnotation="0" defaultThemeVersion="166925"/>
  <xr:revisionPtr revIDLastSave="0" documentId="13_ncr:1_{3534E9C7-946C-45CF-9C7E-4B7A8BFB950A}" xr6:coauthVersionLast="47" xr6:coauthVersionMax="47" xr10:uidLastSave="{00000000-0000-0000-0000-000000000000}"/>
  <bookViews>
    <workbookView xWindow="1170" yWindow="1170" windowWidth="38700" windowHeight="15345" activeTab="10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AI" sheetId="15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7" l="1"/>
  <c r="G8" i="7"/>
  <c r="E8" i="7"/>
  <c r="H8" i="7"/>
  <c r="O3" i="16" l="1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s="1"/>
  <c r="H3" i="5" l="1"/>
  <c r="E3" i="5" s="1"/>
  <c r="F24" i="5" l="1"/>
  <c r="H24" i="5"/>
  <c r="E24" i="5" s="1"/>
  <c r="G24" i="5" l="1"/>
  <c r="F8" i="9"/>
  <c r="H8" i="9"/>
  <c r="E8" i="9" s="1"/>
  <c r="G8" i="9" l="1"/>
  <c r="H5" i="10"/>
  <c r="N5" i="10"/>
  <c r="M5" i="10"/>
  <c r="K5" i="10"/>
  <c r="L5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E8" i="1" a="1"/>
  <c r="E8" i="1" s="1"/>
  <c r="H7" i="1" l="1"/>
  <c r="F7" i="1"/>
  <c r="E7" i="1"/>
  <c r="O4" i="1"/>
  <c r="N4" i="1"/>
  <c r="M4" i="1"/>
  <c r="L4" i="1"/>
  <c r="H4" i="1"/>
  <c r="G7" i="1" l="1"/>
  <c r="H5" i="1"/>
  <c r="L2" i="1"/>
  <c r="F3" i="5" l="1"/>
  <c r="G3" i="5" s="1"/>
  <c r="F5" i="5" a="1"/>
  <c r="F5" i="5" s="1"/>
  <c r="E5" i="5"/>
  <c r="F13" i="1"/>
  <c r="E13" i="1"/>
  <c r="G5" i="5" l="1"/>
  <c r="G14" i="8"/>
  <c r="G13" i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<sst xmlns="http://schemas.openxmlformats.org/spreadsheetml/2006/main" count="883" uniqueCount="549">
  <si>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</si>
  <si>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</si>
  <si>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</si>
  <si>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</si>
  <si>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</si>
  <si>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</si>
  <si>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</si>
  <si>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</si>
  <si>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</si>
  <si>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</si>
  <si>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</si>
  <si>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</si>
  <si>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</si>
  <si>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</si>
  <si>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</si>
  <si>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</si>
  <si>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</si>
  <si>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</si>
  <si>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</si>
  <si>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</si>
  <si>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</si>
  <si>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</si>
  <si>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</si>
  <si>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</si>
  <si>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</si>
  <si>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</si>
  <si>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</si>
  <si>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</si>
  <si>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</si>
  <si>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</si>
  <si>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</si>
  <si>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</si>
  <si>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</si>
  <si>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</si>
  <si>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</si>
  <si>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</si>
  <si>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</si>
  <si>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</si>
  <si>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</si>
  <si>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</si>
  <si>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</si>
  <si>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</si>
  <si>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</si>
  <si>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</si>
  <si>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</si>
  <si>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</si>
  <si>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</si>
  <si>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</si>
  <si>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</si>
  <si>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</si>
  <si>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</si>
  <si>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</si>
  <si>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</si>
  <si>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</si>
  <si>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</si>
  <si>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</si>
  <si>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</si>
  <si>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</si>
  <si>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</si>
  <si>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</si>
  <si>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</si>
  <si>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</si>
  <si>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</si>
  <si>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</si>
  <si>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</si>
  <si>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</si>
  <si>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</si>
  <si>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</si>
  <si>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</si>
  <si>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</si>
  <si>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</si>
  <si>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</si>
  <si>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</si>
  <si>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</si>
  <si>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</si>
  <si>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</si>
  <si>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</si>
  <si>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</si>
  <si>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</si>
  <si>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</si>
  <si>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</si>
  <si>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</si>
  <si>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</si>
  <si>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</si>
  <si>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</si>
  <si>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</si>
  <si>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</si>
  <si>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</si>
  <si>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</si>
  <si>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</si>
  <si>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</si>
  <si>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</si>
  <si>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</si>
  <si>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</si>
  <si>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</si>
  <si>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</si>
  <si>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</si>
  <si>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</si>
  <si>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</si>
  <si>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</si>
  <si>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</si>
  <si>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</si>
  <si>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</si>
  <si>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</si>
  <si>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</si>
  <si>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</si>
  <si>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</si>
  <si>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</si>
  <si>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</si>
  <si>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</si>
  <si>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</si>
  <si>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</si>
  <si>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</si>
  <si>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</si>
  <si>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</si>
  <si>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</si>
  <si>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</si>
  <si>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</si>
  <si>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</si>
  <si>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</si>
  <si>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</si>
  <si>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</si>
  <si>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</si>
  <si>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</si>
  <si>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</si>
  <si>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</si>
  <si>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</si>
  <si>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</si>
  <si>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</si>
  <si>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</si>
  <si>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</si>
  <si>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</si>
  <si>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</si>
  <si>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</si>
  <si>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</si>
  <si>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</si>
  <si>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</si>
  <si>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</si>
  <si>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</si>
  <si>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</si>
  <si>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</si>
  <si>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</si>
  <si>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</si>
  <si>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</si>
  <si>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</si>
  <si>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</si>
  <si>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</si>
  <si>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</si>
  <si>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</si>
  <si>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</si>
  <si>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</si>
  <si>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</si>
  <si>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</si>
  <si>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</si>
  <si>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</si>
  <si>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</si>
  <si>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</si>
  <si>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</si>
  <si>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</si>
  <si>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</si>
  <si>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</si>
  <si>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</si>
  <si>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</si>
  <si>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</si>
  <si>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</si>
  <si>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</si>
  <si>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</si>
  <si>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</si>
  <si>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</si>
  <si>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</si>
  <si>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</si>
  <si>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</si>
  <si>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</si>
  <si>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</si>
  <si>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</si>
  <si>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</si>
  <si>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</si>
  <si>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</si>
  <si>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</si>
  <si>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</si>
  <si>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</si>
  <si>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</si>
  <si>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</si>
  <si>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</si>
  <si>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</si>
  <si>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</si>
  <si>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</si>
  <si>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</si>
  <si>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</si>
  <si>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</si>
  <si>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</si>
  <si>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</si>
  <si>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</si>
  <si>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</si>
  <si>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</si>
  <si>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</si>
  <si>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</si>
  <si>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</si>
  <si>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</si>
  <si>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</si>
  <si>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</si>
  <si>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</si>
  <si>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</si>
  <si>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</si>
  <si>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</si>
  <si>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</si>
  <si>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</si>
  <si>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</si>
  <si>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</si>
  <si>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</si>
  <si>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</si>
  <si>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</si>
  <si>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</si>
  <si>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</si>
  <si>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</si>
  <si>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</si>
  <si>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</si>
  <si>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</si>
  <si>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</si>
  <si>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</si>
  <si>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</si>
  <si>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</si>
  <si>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</si>
  <si>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</si>
  <si>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</si>
  <si>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</si>
  <si>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</si>
  <si>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</si>
  <si>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</si>
  <si>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</si>
  <si>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</si>
  <si>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</si>
  <si>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</si>
  <si>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</si>
  <si>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</si>
  <si>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</si>
  <si>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</si>
  <si>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</si>
  <si>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</si>
  <si>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</si>
  <si>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</si>
  <si>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</si>
  <si>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</si>
  <si>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</si>
  <si>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</si>
  <si>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</si>
  <si>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</si>
  <si>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</si>
  <si>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</si>
  <si>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</si>
  <si>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</si>
  <si>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</si>
  <si>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</si>
  <si>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</si>
  <si>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</si>
  <si>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</si>
  <si>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</si>
  <si>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</si>
  <si>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</si>
  <si>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</si>
  <si>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</si>
  <si>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</si>
  <si>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</si>
  <si>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</si>
  <si>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</si>
  <si>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</si>
  <si>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</si>
  <si>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</si>
  <si>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</si>
  <si>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</si>
  <si>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</si>
  <si>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</si>
  <si>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</si>
  <si>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</si>
  <si>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</si>
  <si>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</si>
  <si>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</si>
  <si>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</si>
  <si>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</si>
  <si>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</si>
  <si>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</si>
  <si>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</si>
  <si>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</si>
  <si>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</si>
  <si>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</si>
  <si>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</si>
  <si>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</si>
  <si>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</si>
  <si>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</si>
  <si>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</si>
  <si>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</si>
  <si>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</si>
  <si>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</si>
  <si>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</si>
  <si>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</si>
  <si>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</si>
  <si>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</si>
  <si>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</si>
  <si>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</si>
  <si>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</si>
  <si>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</si>
  <si>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</si>
  <si>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</si>
  <si>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</si>
  <si>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</si>
  <si>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</si>
  <si>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</si>
  <si>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</si>
  <si>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</si>
  <si>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</si>
  <si>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</si>
  <si>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</si>
  <si>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</si>
  <si>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</si>
  <si>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</si>
  <si>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</si>
  <si>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</si>
  <si>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</si>
  <si>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</si>
  <si>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</si>
  <si>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</si>
  <si>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</si>
  <si>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</si>
  <si>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</si>
  <si>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</si>
  <si>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</si>
  <si>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</si>
  <si>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</si>
  <si>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</si>
  <si>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</si>
  <si>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</si>
  <si>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</si>
  <si>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</si>
  <si>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</si>
  <si>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</si>
  <si>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</si>
  <si>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</si>
  <si>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</si>
  <si>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</si>
  <si>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</si>
  <si>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</si>
  <si>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</si>
  <si>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</si>
  <si>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</si>
  <si>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</si>
  <si>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</si>
  <si>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</si>
  <si>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</si>
  <si>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</si>
  <si>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</si>
  <si>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</si>
  <si>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</si>
  <si>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</si>
  <si>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</si>
  <si>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</si>
  <si>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</si>
  <si>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</si>
  <si>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</si>
  <si>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</si>
  <si>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</si>
  <si>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</si>
  <si>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</si>
  <si>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</si>
  <si>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</si>
  <si>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</si>
  <si>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</si>
  <si>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</si>
  <si>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</si>
  <si>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</si>
  <si>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</si>
  <si>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</si>
  <si>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</si>
  <si>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</si>
  <si>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</si>
  <si>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</si>
  <si>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</si>
  <si>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</si>
  <si>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</si>
  <si>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</si>
  <si>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</si>
  <si>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</si>
  <si>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</si>
  <si>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</si>
  <si>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</si>
  <si>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</si>
  <si>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</si>
  <si>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</si>
  <si>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</si>
  <si>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</si>
  <si>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</si>
  <si>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</si>
  <si>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</si>
  <si>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</si>
  <si>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</si>
  <si>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</si>
  <si>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</si>
  <si>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</si>
  <si>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</si>
  <si>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</si>
  <si>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</si>
  <si>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</si>
  <si>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</si>
  <si>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</si>
  <si>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</si>
  <si>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Series B</t>
  </si>
  <si>
    <t>Claude</t>
  </si>
  <si>
    <t>Dario Amodei</t>
  </si>
  <si>
    <t>Cohere</t>
  </si>
  <si>
    <t>AI21 Labs</t>
  </si>
  <si>
    <t>580m</t>
  </si>
  <si>
    <t>Doximity</t>
  </si>
  <si>
    <t>Nextracker</t>
  </si>
  <si>
    <t>Confluent</t>
  </si>
  <si>
    <t>Pinecone</t>
  </si>
  <si>
    <t>Langchain</t>
  </si>
  <si>
    <t>Last Round</t>
  </si>
  <si>
    <t>Size</t>
  </si>
  <si>
    <t>Product</t>
  </si>
  <si>
    <t>ChatGPT</t>
  </si>
  <si>
    <t>Bard</t>
  </si>
  <si>
    <t>People</t>
  </si>
  <si>
    <t>Stability AI</t>
  </si>
  <si>
    <t>C3</t>
  </si>
  <si>
    <t>Perplexity AI</t>
  </si>
  <si>
    <t>Character AI</t>
  </si>
  <si>
    <t>Hugging Face</t>
  </si>
  <si>
    <t>Jasper</t>
  </si>
  <si>
    <t>Fetch.ai</t>
  </si>
  <si>
    <t>Weights and Biases</t>
  </si>
  <si>
    <t>Glean</t>
  </si>
  <si>
    <t>Typeface</t>
  </si>
  <si>
    <t>Cruise</t>
  </si>
  <si>
    <t>Databricks</t>
  </si>
  <si>
    <t>2100m</t>
  </si>
  <si>
    <t>Tesla</t>
  </si>
  <si>
    <t>1600m</t>
  </si>
  <si>
    <t>10000m</t>
  </si>
  <si>
    <t>Olive</t>
  </si>
  <si>
    <t>Notes</t>
  </si>
  <si>
    <t>Healthcare</t>
  </si>
  <si>
    <t>Adept AI</t>
  </si>
  <si>
    <t>350m</t>
  </si>
  <si>
    <t>Inflection AI</t>
  </si>
  <si>
    <t>Moveworks</t>
  </si>
  <si>
    <t>Zoovu</t>
  </si>
  <si>
    <t>Nauto</t>
  </si>
  <si>
    <t>Element AI</t>
  </si>
  <si>
    <t>150m</t>
  </si>
  <si>
    <t>Concert AI</t>
  </si>
  <si>
    <t>Clarify Health</t>
  </si>
  <si>
    <t>Innovaccer</t>
  </si>
  <si>
    <t>Jumio</t>
  </si>
  <si>
    <t>Verbit</t>
  </si>
  <si>
    <t>Yi+</t>
  </si>
  <si>
    <t>Xiaoice</t>
  </si>
  <si>
    <t>K Health</t>
  </si>
  <si>
    <t>Observe.AI</t>
  </si>
  <si>
    <t>Climavision</t>
  </si>
  <si>
    <t>Parametrix AI</t>
  </si>
  <si>
    <t>People.ai</t>
  </si>
  <si>
    <t>Game, NPC world</t>
  </si>
  <si>
    <t>Ascertain</t>
  </si>
  <si>
    <t>Noam Shazeer</t>
  </si>
  <si>
    <t>Seekr</t>
  </si>
  <si>
    <t>Inworld</t>
  </si>
  <si>
    <t>Wizard</t>
  </si>
  <si>
    <t>Ecommerce</t>
  </si>
  <si>
    <t>The Applied AI Company</t>
  </si>
  <si>
    <t>Irreverant Labs</t>
  </si>
  <si>
    <t>Modular</t>
  </si>
  <si>
    <t>Infrastructure</t>
  </si>
  <si>
    <t>Neo Cybernetica</t>
  </si>
  <si>
    <t>Stealth</t>
  </si>
  <si>
    <t>AXON Networks</t>
  </si>
  <si>
    <t>Orchestration</t>
  </si>
  <si>
    <t>Search</t>
  </si>
  <si>
    <t>Magic</t>
  </si>
  <si>
    <t>Programming</t>
  </si>
  <si>
    <t>Exafunction</t>
  </si>
  <si>
    <t>EnCharge AI</t>
  </si>
  <si>
    <t>Generally Intelligent</t>
  </si>
  <si>
    <t>Two Platforms</t>
  </si>
  <si>
    <t>Fixie.ai</t>
  </si>
  <si>
    <t>Enchanted Tools</t>
  </si>
  <si>
    <t>Tenyx</t>
  </si>
  <si>
    <t>Haiper</t>
  </si>
  <si>
    <t>Notion</t>
  </si>
  <si>
    <t>Sequoia, Coatue, Shine</t>
  </si>
  <si>
    <t>275 Series C 10/8/2021</t>
  </si>
  <si>
    <t>50m Series B 4/2/2020 at 2B</t>
  </si>
  <si>
    <t>Niantic</t>
  </si>
  <si>
    <t>Paddle</t>
  </si>
  <si>
    <t>100m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</si>
  <si>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</si>
  <si>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</si>
  <si>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</si>
  <si>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</si>
  <si>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</si>
  <si>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</si>
  <si>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</si>
  <si>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</si>
  <si>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</si>
  <si>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</si>
  <si>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</si>
  <si>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</si>
  <si>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</si>
  <si>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</si>
  <si>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</si>
  <si>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</si>
  <si>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</si>
  <si>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175m</t>
  </si>
  <si>
    <t>FSD</t>
  </si>
  <si>
    <t>Command</t>
  </si>
  <si>
    <t>TSLA</t>
  </si>
  <si>
    <t>10m</t>
  </si>
  <si>
    <t>Midjourney</t>
  </si>
  <si>
    <t>0m</t>
  </si>
  <si>
    <t>Dev Platform</t>
  </si>
  <si>
    <t>135m</t>
  </si>
  <si>
    <t>125m</t>
  </si>
  <si>
    <t>N/A</t>
  </si>
  <si>
    <t>FB</t>
  </si>
  <si>
    <t>Llama</t>
  </si>
  <si>
    <t>Yann Le Cun</t>
  </si>
  <si>
    <t>Ilya Sustkever, Andrej Karpathy</t>
  </si>
  <si>
    <t>GPT4, ChatGPT</t>
  </si>
  <si>
    <t>Series C in progress</t>
  </si>
  <si>
    <t>Self-Funded</t>
  </si>
  <si>
    <t>Hyperwrite</t>
  </si>
  <si>
    <t>GPT4All</t>
  </si>
  <si>
    <t>GPT-J</t>
  </si>
  <si>
    <t>Yuvanesh Anand, Zach Nussbaum, Brandon Duderstadt, Benjamin Schmidt, Andriy Mulyar</t>
  </si>
  <si>
    <t>Paperspace</t>
  </si>
  <si>
    <t>Nomic</t>
  </si>
  <si>
    <t>Chroma</t>
  </si>
  <si>
    <t>https://github.com/tloen/alpaca-lora</t>
  </si>
  <si>
    <t>Repos/Projects</t>
  </si>
  <si>
    <t>Alpaca-Lora</t>
  </si>
  <si>
    <t>Jurassic-2</t>
  </si>
  <si>
    <t>Docs</t>
  </si>
  <si>
    <t>https://huggingface.co/datasets/nomic-ai/gpt4all-j-prompt-generations/tree/main/data</t>
  </si>
  <si>
    <t>https://huggingface.co/chansung/alpaca-lora-65b/tree/main</t>
  </si>
  <si>
    <t>Alpaca-Lora-65B</t>
  </si>
  <si>
    <t>H2O GPT</t>
  </si>
  <si>
    <t>https://github.com/h2oai/h2ogpt</t>
  </si>
  <si>
    <t>HuggingChat</t>
  </si>
  <si>
    <t>Clement Delangue</t>
  </si>
  <si>
    <t>OpenAssistant</t>
  </si>
  <si>
    <t>Trainium, Bedrock, Infernium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</si>
</sst>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8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  <font>
      <u/>
      <sz val="10"/>
      <color theme="10"/>
      <name val="Aria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4" fillId="0" borderId="0" applyNumberFormat="0" applyFill="0" applyBorder="0" applyAlignment="0" applyProtection="0"/>
  </cellStyleXfs>
  <cellXfs count="189">
    <xf numFmtId="0" fontId="0" fillId="0" borderId="0" xfId="0"/>
    <xf numFmtId="0" fontId="73" fillId="0" borderId="0" xfId="0" applyFont="1"/>
    <xf numFmtId="2" fontId="73" fillId="0" borderId="0" xfId="0" applyNumberFormat="1" applyFont="1" applyAlignment="1">
      <alignment horizontal="right"/>
    </xf>
    <xf numFmtId="3" fontId="73" fillId="0" borderId="0" xfId="0" applyNumberFormat="1" applyFont="1" applyAlignment="1">
      <alignment horizontal="right"/>
    </xf>
    <xf numFmtId="0" fontId="73" fillId="0" borderId="0" xfId="0" applyFont="1" applyAlignment="1">
      <alignment horizontal="right"/>
    </xf>
    <xf numFmtId="0" fontId="75" fillId="0" borderId="0" xfId="1" applyFont="1"/>
    <xf numFmtId="0" fontId="72" fillId="0" borderId="0" xfId="0" applyFont="1"/>
    <xf numFmtId="3" fontId="72" fillId="0" borderId="0" xfId="0" applyNumberFormat="1" applyFont="1" applyAlignment="1">
      <alignment horizontal="right"/>
    </xf>
    <xf numFmtId="0" fontId="71" fillId="0" borderId="0" xfId="0" applyFont="1"/>
    <xf numFmtId="3" fontId="76" fillId="0" borderId="0" xfId="0" applyNumberFormat="1" applyFont="1" applyAlignment="1">
      <alignment horizontal="right"/>
    </xf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3" xfId="0" applyFont="1" applyBorder="1"/>
    <xf numFmtId="0" fontId="67" fillId="0" borderId="4" xfId="0" applyFont="1" applyBorder="1"/>
    <xf numFmtId="2" fontId="67" fillId="0" borderId="4" xfId="0" applyNumberFormat="1" applyFont="1" applyBorder="1" applyAlignment="1">
      <alignment horizontal="right"/>
    </xf>
    <xf numFmtId="3" fontId="67" fillId="0" borderId="4" xfId="0" applyNumberFormat="1" applyFont="1" applyBorder="1" applyAlignment="1">
      <alignment horizontal="right"/>
    </xf>
    <xf numFmtId="0" fontId="67" fillId="0" borderId="4" xfId="0" applyFont="1" applyBorder="1" applyAlignment="1">
      <alignment horizontal="right"/>
    </xf>
    <xf numFmtId="0" fontId="67" fillId="0" borderId="4" xfId="0" applyFont="1" applyBorder="1" applyAlignment="1">
      <alignment horizontal="center"/>
    </xf>
    <xf numFmtId="0" fontId="67" fillId="0" borderId="5" xfId="0" applyFont="1" applyBorder="1" applyAlignment="1">
      <alignment horizontal="center"/>
    </xf>
    <xf numFmtId="0" fontId="67" fillId="0" borderId="0" xfId="0" applyFont="1"/>
    <xf numFmtId="2" fontId="67" fillId="0" borderId="0" xfId="0" applyNumberFormat="1" applyFont="1" applyAlignment="1">
      <alignment horizontal="right"/>
    </xf>
    <xf numFmtId="3" fontId="67" fillId="0" borderId="0" xfId="0" applyNumberFormat="1" applyFont="1" applyAlignment="1">
      <alignment horizontal="right"/>
    </xf>
    <xf numFmtId="0" fontId="67" fillId="0" borderId="0" xfId="0" applyFont="1" applyAlignment="1">
      <alignment horizontal="right"/>
    </xf>
    <xf numFmtId="0" fontId="67" fillId="0" borderId="0" xfId="0" applyFont="1" applyAlignment="1">
      <alignment horizontal="center"/>
    </xf>
    <xf numFmtId="0" fontId="67" fillId="0" borderId="1" xfId="0" applyFont="1" applyBorder="1" applyAlignment="1">
      <alignment horizontal="center"/>
    </xf>
    <xf numFmtId="0" fontId="67" fillId="0" borderId="2" xfId="0" applyFont="1" applyBorder="1" applyAlignment="1">
      <alignment horizontal="center"/>
    </xf>
    <xf numFmtId="4" fontId="67" fillId="0" borderId="0" xfId="0" applyNumberFormat="1" applyFont="1" applyAlignment="1">
      <alignment horizontal="center"/>
    </xf>
    <xf numFmtId="9" fontId="67" fillId="0" borderId="0" xfId="0" applyNumberFormat="1" applyFont="1" applyAlignment="1">
      <alignment horizontal="center"/>
    </xf>
    <xf numFmtId="164" fontId="67" fillId="0" borderId="1" xfId="0" applyNumberFormat="1" applyFont="1" applyBorder="1" applyAlignment="1">
      <alignment horizontal="center"/>
    </xf>
    <xf numFmtId="164" fontId="67" fillId="0" borderId="0" xfId="0" applyNumberFormat="1" applyFont="1" applyAlignment="1">
      <alignment horizontal="center"/>
    </xf>
    <xf numFmtId="164" fontId="67" fillId="0" borderId="2" xfId="0" applyNumberFormat="1" applyFont="1" applyBorder="1" applyAlignment="1">
      <alignment horizontal="center"/>
    </xf>
    <xf numFmtId="4" fontId="67" fillId="0" borderId="1" xfId="0" applyNumberFormat="1" applyFont="1" applyBorder="1" applyAlignment="1">
      <alignment horizontal="center"/>
    </xf>
    <xf numFmtId="4" fontId="67" fillId="0" borderId="2" xfId="0" applyNumberFormat="1" applyFont="1" applyBorder="1" applyAlignment="1">
      <alignment horizontal="center"/>
    </xf>
    <xf numFmtId="0" fontId="66" fillId="0" borderId="0" xfId="0" applyFont="1" applyAlignment="1">
      <alignment horizontal="right"/>
    </xf>
    <xf numFmtId="0" fontId="65" fillId="0" borderId="0" xfId="0" applyFont="1" applyAlignment="1">
      <alignment horizontal="right"/>
    </xf>
    <xf numFmtId="9" fontId="65" fillId="0" borderId="0" xfId="0" applyNumberFormat="1" applyFont="1" applyAlignment="1">
      <alignment horizontal="center"/>
    </xf>
    <xf numFmtId="164" fontId="67" fillId="0" borderId="6" xfId="0" applyNumberFormat="1" applyFont="1" applyBorder="1" applyAlignment="1">
      <alignment horizontal="center"/>
    </xf>
    <xf numFmtId="0" fontId="64" fillId="0" borderId="0" xfId="0" applyFont="1" applyAlignment="1">
      <alignment horizontal="right"/>
    </xf>
    <xf numFmtId="0" fontId="63" fillId="0" borderId="0" xfId="0" applyFont="1" applyAlignment="1">
      <alignment horizontal="right"/>
    </xf>
    <xf numFmtId="0" fontId="62" fillId="0" borderId="0" xfId="0" applyFont="1"/>
    <xf numFmtId="4" fontId="67" fillId="0" borderId="0" xfId="0" applyNumberFormat="1" applyFont="1" applyAlignment="1">
      <alignment horizontal="right"/>
    </xf>
    <xf numFmtId="0" fontId="61" fillId="0" borderId="4" xfId="0" applyFont="1" applyBorder="1" applyAlignment="1">
      <alignment horizontal="right"/>
    </xf>
    <xf numFmtId="14" fontId="67" fillId="0" borderId="0" xfId="0" applyNumberFormat="1" applyFont="1" applyAlignment="1">
      <alignment horizontal="right"/>
    </xf>
    <xf numFmtId="0" fontId="61" fillId="0" borderId="0" xfId="0" applyFont="1" applyAlignment="1">
      <alignment horizontal="right"/>
    </xf>
    <xf numFmtId="0" fontId="61" fillId="0" borderId="0" xfId="0" applyFont="1"/>
    <xf numFmtId="0" fontId="60" fillId="0" borderId="0" xfId="0" applyFont="1"/>
    <xf numFmtId="0" fontId="60" fillId="0" borderId="0" xfId="0" applyFont="1" applyAlignment="1">
      <alignment horizontal="right"/>
    </xf>
    <xf numFmtId="0" fontId="60" fillId="0" borderId="3" xfId="0" applyFont="1" applyBorder="1" applyAlignment="1">
      <alignment horizontal="center"/>
    </xf>
    <xf numFmtId="0" fontId="60" fillId="0" borderId="6" xfId="0" applyFont="1" applyBorder="1" applyAlignment="1">
      <alignment horizontal="center"/>
    </xf>
    <xf numFmtId="0" fontId="60" fillId="0" borderId="4" xfId="0" applyFont="1" applyBorder="1" applyAlignment="1">
      <alignment horizontal="center"/>
    </xf>
    <xf numFmtId="0" fontId="67" fillId="0" borderId="5" xfId="0" applyFont="1" applyBorder="1"/>
    <xf numFmtId="3" fontId="70" fillId="0" borderId="0" xfId="0" applyNumberFormat="1" applyFont="1"/>
    <xf numFmtId="0" fontId="59" fillId="0" borderId="0" xfId="0" applyFont="1"/>
    <xf numFmtId="0" fontId="58" fillId="0" borderId="0" xfId="0" applyFont="1" applyAlignment="1">
      <alignment horizontal="right"/>
    </xf>
    <xf numFmtId="0" fontId="57" fillId="0" borderId="0" xfId="0" applyFont="1" applyAlignment="1">
      <alignment horizontal="right"/>
    </xf>
    <xf numFmtId="0" fontId="57" fillId="0" borderId="0" xfId="0" applyFont="1"/>
    <xf numFmtId="3" fontId="73" fillId="0" borderId="0" xfId="0" applyNumberFormat="1" applyFont="1"/>
    <xf numFmtId="3" fontId="76" fillId="0" borderId="0" xfId="0" applyNumberFormat="1" applyFont="1"/>
    <xf numFmtId="3" fontId="57" fillId="0" borderId="0" xfId="0" applyNumberFormat="1" applyFont="1"/>
    <xf numFmtId="4" fontId="73" fillId="0" borderId="0" xfId="0" applyNumberFormat="1" applyFont="1" applyAlignment="1">
      <alignment horizontal="right"/>
    </xf>
    <xf numFmtId="4" fontId="76" fillId="0" borderId="0" xfId="0" applyNumberFormat="1" applyFont="1" applyAlignment="1">
      <alignment horizontal="right"/>
    </xf>
    <xf numFmtId="0" fontId="56" fillId="0" borderId="0" xfId="0" applyFont="1"/>
    <xf numFmtId="0" fontId="55" fillId="0" borderId="0" xfId="0" applyFont="1"/>
    <xf numFmtId="0" fontId="77" fillId="0" borderId="0" xfId="0" applyFont="1"/>
    <xf numFmtId="0" fontId="54" fillId="0" borderId="0" xfId="0" applyFont="1"/>
    <xf numFmtId="0" fontId="54" fillId="0" borderId="0" xfId="0" applyFont="1" applyAlignment="1">
      <alignment horizontal="right"/>
    </xf>
    <xf numFmtId="14" fontId="70" fillId="0" borderId="0" xfId="0" applyNumberFormat="1" applyFont="1"/>
    <xf numFmtId="0" fontId="70" fillId="0" borderId="0" xfId="0" applyFont="1" applyAlignment="1">
      <alignment horizontal="right"/>
    </xf>
    <xf numFmtId="4" fontId="70" fillId="0" borderId="0" xfId="0" applyNumberFormat="1" applyFont="1" applyAlignment="1">
      <alignment horizontal="right"/>
    </xf>
    <xf numFmtId="3" fontId="70" fillId="0" borderId="0" xfId="0" applyNumberFormat="1" applyFont="1" applyAlignment="1">
      <alignment horizontal="right"/>
    </xf>
    <xf numFmtId="3" fontId="53" fillId="0" borderId="0" xfId="0" applyNumberFormat="1" applyFont="1"/>
    <xf numFmtId="0" fontId="53" fillId="0" borderId="0" xfId="0" applyFont="1"/>
    <xf numFmtId="0" fontId="53" fillId="0" borderId="3" xfId="0" applyFont="1" applyBorder="1"/>
    <xf numFmtId="0" fontId="53" fillId="0" borderId="4" xfId="0" applyFont="1" applyBorder="1"/>
    <xf numFmtId="2" fontId="53" fillId="0" borderId="4" xfId="0" applyNumberFormat="1" applyFont="1" applyBorder="1" applyAlignment="1">
      <alignment horizontal="right"/>
    </xf>
    <xf numFmtId="3" fontId="53" fillId="0" borderId="4" xfId="0" applyNumberFormat="1" applyFont="1" applyBorder="1" applyAlignment="1">
      <alignment horizontal="right"/>
    </xf>
    <xf numFmtId="0" fontId="53" fillId="0" borderId="4" xfId="0" applyFont="1" applyBorder="1" applyAlignment="1">
      <alignment horizontal="right"/>
    </xf>
    <xf numFmtId="0" fontId="53" fillId="0" borderId="4" xfId="0" applyFont="1" applyBorder="1" applyAlignment="1">
      <alignment horizontal="center"/>
    </xf>
    <xf numFmtId="0" fontId="53" fillId="0" borderId="5" xfId="0" applyFont="1" applyBorder="1" applyAlignment="1">
      <alignment horizontal="center"/>
    </xf>
    <xf numFmtId="0" fontId="53" fillId="0" borderId="3" xfId="0" applyFont="1" applyBorder="1" applyAlignment="1">
      <alignment horizontal="center"/>
    </xf>
    <xf numFmtId="0" fontId="53" fillId="0" borderId="6" xfId="0" applyFont="1" applyBorder="1" applyAlignment="1">
      <alignment horizontal="center"/>
    </xf>
    <xf numFmtId="0" fontId="52" fillId="0" borderId="0" xfId="0" applyFont="1"/>
    <xf numFmtId="3" fontId="52" fillId="0" borderId="0" xfId="0" applyNumberFormat="1" applyFont="1"/>
    <xf numFmtId="3" fontId="51" fillId="0" borderId="0" xfId="0" applyNumberFormat="1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3" fontId="44" fillId="0" borderId="0" xfId="0" applyNumberFormat="1" applyFont="1"/>
    <xf numFmtId="0" fontId="44" fillId="0" borderId="0" xfId="0" applyFont="1"/>
    <xf numFmtId="3" fontId="43" fillId="0" borderId="0" xfId="0" applyNumberFormat="1" applyFont="1"/>
    <xf numFmtId="0" fontId="42" fillId="0" borderId="0" xfId="0" applyFont="1"/>
    <xf numFmtId="0" fontId="78" fillId="0" borderId="0" xfId="0" applyFont="1"/>
    <xf numFmtId="0" fontId="41" fillId="0" borderId="0" xfId="0" applyFont="1"/>
    <xf numFmtId="0" fontId="79" fillId="0" borderId="0" xfId="1" applyFont="1"/>
    <xf numFmtId="0" fontId="40" fillId="0" borderId="0" xfId="0" applyFont="1"/>
    <xf numFmtId="3" fontId="40" fillId="0" borderId="0" xfId="0" applyNumberFormat="1" applyFont="1"/>
    <xf numFmtId="0" fontId="39" fillId="0" borderId="0" xfId="0" applyFont="1" applyAlignment="1">
      <alignment horizontal="right"/>
    </xf>
    <xf numFmtId="0" fontId="38" fillId="0" borderId="0" xfId="0" applyFont="1"/>
    <xf numFmtId="0" fontId="38" fillId="0" borderId="0" xfId="0" applyFont="1" applyAlignment="1">
      <alignment horizontal="right"/>
    </xf>
    <xf numFmtId="14" fontId="53" fillId="0" borderId="0" xfId="0" applyNumberFormat="1" applyFont="1"/>
    <xf numFmtId="3" fontId="37" fillId="0" borderId="0" xfId="0" applyNumberFormat="1" applyFont="1"/>
    <xf numFmtId="0" fontId="36" fillId="0" borderId="0" xfId="0" applyFont="1"/>
    <xf numFmtId="3" fontId="36" fillId="0" borderId="0" xfId="0" applyNumberFormat="1" applyFont="1"/>
    <xf numFmtId="0" fontId="35" fillId="0" borderId="0" xfId="0" applyFont="1"/>
    <xf numFmtId="0" fontId="34" fillId="0" borderId="0" xfId="0" applyFont="1"/>
    <xf numFmtId="3" fontId="33" fillId="0" borderId="0" xfId="0" applyNumberFormat="1" applyFont="1"/>
    <xf numFmtId="0" fontId="32" fillId="0" borderId="0" xfId="0" applyFont="1"/>
    <xf numFmtId="0" fontId="31" fillId="0" borderId="0" xfId="0" applyFont="1"/>
    <xf numFmtId="3" fontId="30" fillId="0" borderId="0" xfId="0" applyNumberFormat="1" applyFont="1"/>
    <xf numFmtId="0" fontId="29" fillId="0" borderId="0" xfId="0" applyFont="1"/>
    <xf numFmtId="0" fontId="75" fillId="0" borderId="1" xfId="1" applyFont="1" applyBorder="1"/>
    <xf numFmtId="9" fontId="67" fillId="0" borderId="2" xfId="0" applyNumberFormat="1" applyFont="1" applyBorder="1" applyAlignment="1">
      <alignment horizontal="center"/>
    </xf>
    <xf numFmtId="0" fontId="42" fillId="0" borderId="0" xfId="0" applyFont="1" applyAlignment="1">
      <alignment horizontal="right"/>
    </xf>
    <xf numFmtId="0" fontId="34" fillId="0" borderId="1" xfId="0" applyFont="1" applyBorder="1"/>
    <xf numFmtId="0" fontId="64" fillId="0" borderId="1" xfId="0" applyFont="1" applyBorder="1"/>
    <xf numFmtId="0" fontId="64" fillId="0" borderId="0" xfId="0" applyFont="1"/>
    <xf numFmtId="0" fontId="31" fillId="0" borderId="1" xfId="0" applyFont="1" applyBorder="1"/>
    <xf numFmtId="0" fontId="67" fillId="0" borderId="1" xfId="0" applyFont="1" applyBorder="1"/>
    <xf numFmtId="0" fontId="65" fillId="0" borderId="1" xfId="0" applyFont="1" applyBorder="1"/>
    <xf numFmtId="0" fontId="65" fillId="0" borderId="0" xfId="0" applyFont="1"/>
    <xf numFmtId="0" fontId="60" fillId="0" borderId="1" xfId="0" applyFont="1" applyBorder="1"/>
    <xf numFmtId="0" fontId="67" fillId="0" borderId="7" xfId="0" applyFont="1" applyBorder="1"/>
    <xf numFmtId="0" fontId="67" fillId="0" borderId="6" xfId="0" applyFont="1" applyBorder="1"/>
    <xf numFmtId="2" fontId="67" fillId="0" borderId="6" xfId="0" applyNumberFormat="1" applyFont="1" applyBorder="1" applyAlignment="1">
      <alignment horizontal="right"/>
    </xf>
    <xf numFmtId="3" fontId="67" fillId="0" borderId="6" xfId="0" applyNumberFormat="1" applyFont="1" applyBorder="1" applyAlignment="1">
      <alignment horizontal="right"/>
    </xf>
    <xf numFmtId="0" fontId="67" fillId="0" borderId="6" xfId="0" applyFont="1" applyBorder="1" applyAlignment="1">
      <alignment horizontal="right"/>
    </xf>
    <xf numFmtId="0" fontId="67" fillId="0" borderId="6" xfId="0" applyFont="1" applyBorder="1" applyAlignment="1">
      <alignment horizontal="center"/>
    </xf>
    <xf numFmtId="0" fontId="67" fillId="0" borderId="8" xfId="0" applyFont="1" applyBorder="1" applyAlignment="1">
      <alignment horizontal="center"/>
    </xf>
    <xf numFmtId="0" fontId="29" fillId="0" borderId="0" xfId="0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 applyAlignment="1">
      <alignment horizontal="right"/>
    </xf>
    <xf numFmtId="0" fontId="22" fillId="0" borderId="0" xfId="0" applyFont="1"/>
    <xf numFmtId="0" fontId="21" fillId="0" borderId="0" xfId="0" applyFont="1" applyAlignment="1">
      <alignment horizontal="right"/>
    </xf>
    <xf numFmtId="0" fontId="20" fillId="0" borderId="0" xfId="0" applyFont="1"/>
    <xf numFmtId="0" fontId="75" fillId="0" borderId="0" xfId="1" applyFont="1" applyBorder="1"/>
    <xf numFmtId="0" fontId="19" fillId="0" borderId="0" xfId="0" applyFont="1"/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5" fillId="0" borderId="0" xfId="0" applyFont="1"/>
    <xf numFmtId="14" fontId="15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14" fontId="73" fillId="0" borderId="0" xfId="0" applyNumberFormat="1" applyFont="1"/>
    <xf numFmtId="0" fontId="13" fillId="0" borderId="0" xfId="0" applyFont="1"/>
    <xf numFmtId="165" fontId="67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0" fillId="0" borderId="0" xfId="0" applyFont="1"/>
    <xf numFmtId="4" fontId="53" fillId="0" borderId="0" xfId="0" applyNumberFormat="1" applyFont="1"/>
    <xf numFmtId="0" fontId="9" fillId="0" borderId="0" xfId="0" applyFont="1"/>
    <xf numFmtId="0" fontId="8" fillId="0" borderId="1" xfId="0" applyFont="1" applyBorder="1"/>
    <xf numFmtId="0" fontId="8" fillId="0" borderId="0" xfId="0" applyFont="1"/>
    <xf numFmtId="0" fontId="7" fillId="0" borderId="0" xfId="0" applyFont="1"/>
    <xf numFmtId="3" fontId="80" fillId="0" borderId="0" xfId="0" applyNumberFormat="1" applyFont="1"/>
    <xf numFmtId="4" fontId="81" fillId="0" borderId="0" xfId="0" applyNumberFormat="1" applyFont="1" applyAlignment="1">
      <alignment horizontal="right"/>
    </xf>
    <xf numFmtId="3" fontId="80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3" fontId="55" fillId="0" borderId="0" xfId="0" applyNumberFormat="1" applyFont="1"/>
    <xf numFmtId="0" fontId="6" fillId="0" borderId="0" xfId="0" applyFont="1"/>
    <xf numFmtId="0" fontId="5" fillId="0" borderId="0" xfId="0" applyFont="1"/>
    <xf numFmtId="3" fontId="5" fillId="0" borderId="0" xfId="0" applyNumberFormat="1" applyFont="1"/>
    <xf numFmtId="3" fontId="5" fillId="2" borderId="0" xfId="0" applyNumberFormat="1" applyFont="1" applyFill="1"/>
    <xf numFmtId="0" fontId="4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7" fontId="3" fillId="0" borderId="0" xfId="0" applyNumberFormat="1" applyFont="1"/>
    <xf numFmtId="0" fontId="3" fillId="0" borderId="0" xfId="0" applyFont="1" applyAlignment="1">
      <alignment horizontal="center"/>
    </xf>
    <xf numFmtId="0" fontId="75" fillId="0" borderId="0" xfId="1" applyFont="1" applyAlignment="1"/>
    <xf numFmtId="0" fontId="82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3" fontId="75" fillId="0" borderId="0" xfId="1" applyNumberFormat="1" applyFont="1"/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9.8726994311717835</v>
          </cell>
          <cell r="BG32">
            <v>11.225772564777602</v>
          </cell>
          <cell r="BH32">
            <v>12.540877369501043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269.58547667575527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12947</v>
          </cell>
        </row>
        <row r="5">
          <cell r="L5">
            <v>144254</v>
          </cell>
        </row>
        <row r="6">
          <cell r="L6">
            <v>14701</v>
          </cell>
        </row>
      </sheetData>
      <sheetData sheetId="1">
        <row r="24">
          <cell r="AJ24">
            <v>4.5799964361174039</v>
          </cell>
          <cell r="AK24">
            <v>5.6080380594150139</v>
          </cell>
          <cell r="AL24">
            <v>6.6491005248224839</v>
          </cell>
          <cell r="AM24">
            <v>7.778431207897734</v>
          </cell>
        </row>
        <row r="27">
          <cell r="AU27">
            <v>-0.01</v>
          </cell>
        </row>
        <row r="28">
          <cell r="AU28">
            <v>0.08</v>
          </cell>
        </row>
        <row r="29">
          <cell r="AU29">
            <v>0.01</v>
          </cell>
        </row>
        <row r="31">
          <cell r="AU31">
            <v>164.8676811657561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1.6399777191456466</v>
          </cell>
          <cell r="BC33">
            <v>2.0086947796859072</v>
          </cell>
          <cell r="BD33">
            <v>3.4976216660564408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127.46157686951391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nomic.ai/" TargetMode="External"/><Relationship Id="rId7" Type="http://schemas.openxmlformats.org/officeDocument/2006/relationships/hyperlink" Target="https://huggingface.co/OpenAssistant/oasst-sft-6-llama-30b-xor" TargetMode="External"/><Relationship Id="rId2" Type="http://schemas.openxmlformats.org/officeDocument/2006/relationships/hyperlink" Target="https://docs.ai21.com/reference/j2-complete-api-ref" TargetMode="External"/><Relationship Id="rId1" Type="http://schemas.openxmlformats.org/officeDocument/2006/relationships/hyperlink" Target="https://github.com/tloen/alpaca-lora" TargetMode="External"/><Relationship Id="rId6" Type="http://schemas.openxmlformats.org/officeDocument/2006/relationships/hyperlink" Target="https://github.com/h2oai/h2ogpt" TargetMode="External"/><Relationship Id="rId5" Type="http://schemas.openxmlformats.org/officeDocument/2006/relationships/hyperlink" Target="https://huggingface.co/chansung/alpaca-lora-65b/tree/main" TargetMode="External"/><Relationship Id="rId4" Type="http://schemas.openxmlformats.org/officeDocument/2006/relationships/hyperlink" Target="https://huggingface.co/datasets/nomic-ai/gpt4all-j-prompt-generations/tree/main/dat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/>
  <cols>
    <col min="1" max="1" width="5" style="138" bestFit="1" customWidth="1"/>
    <col min="2" max="16384" width="9.140625" style="138"/>
  </cols>
  <sheetData>
    <row r="1" spans="1:3">
      <c r="A1" s="5" t="s">
        <v>148</v>
      </c>
    </row>
    <row r="2" spans="1:3">
      <c r="A2" s="5"/>
      <c r="B2" s="138" t="s">
        <v>19</v>
      </c>
    </row>
    <row r="3" spans="1:3">
      <c r="B3" s="138" t="s">
        <v>349</v>
      </c>
      <c r="C3" s="138" t="s">
        <v>350</v>
      </c>
    </row>
    <row r="4" spans="1:3">
      <c r="B4" s="138" t="s">
        <v>351</v>
      </c>
      <c r="C4" s="138" t="s">
        <v>352</v>
      </c>
    </row>
    <row r="5" spans="1:3">
      <c r="B5" s="138" t="s">
        <v>353</v>
      </c>
    </row>
    <row r="6" spans="1:3">
      <c r="B6" s="138" t="s">
        <v>346</v>
      </c>
    </row>
    <row r="7" spans="1:3">
      <c r="B7" s="138" t="s">
        <v>344</v>
      </c>
    </row>
    <row r="8" spans="1:3">
      <c r="B8" s="138" t="s">
        <v>348</v>
      </c>
    </row>
    <row r="9" spans="1:3">
      <c r="B9" s="138" t="s">
        <v>345</v>
      </c>
    </row>
    <row r="10" spans="1:3">
      <c r="B10" s="138" t="s">
        <v>354</v>
      </c>
    </row>
    <row r="11" spans="1:3">
      <c r="B11" s="138" t="s">
        <v>355</v>
      </c>
    </row>
    <row r="12" spans="1:3">
      <c r="B12" s="138" t="s">
        <v>347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>
      <selection activeCell="B7" sqref="B7"/>
    </sheetView>
  </sheetViews>
  <sheetFormatPr defaultRowHeight="12.75"/>
  <cols>
    <col min="1" max="1" width="5" style="138" bestFit="1" customWidth="1"/>
    <col min="2" max="2" width="10.5703125" style="138" customWidth="1"/>
    <col min="3" max="16384" width="9.140625" style="138"/>
  </cols>
  <sheetData>
    <row r="1" spans="1:3">
      <c r="A1" s="5" t="s">
        <v>148</v>
      </c>
    </row>
    <row r="2" spans="1:3">
      <c r="A2" s="5"/>
      <c r="B2" s="177" t="s">
        <v>507</v>
      </c>
    </row>
    <row r="3" spans="1:3">
      <c r="A3" s="5"/>
      <c r="B3" s="177" t="s">
        <v>503</v>
      </c>
    </row>
    <row r="4" spans="1:3">
      <c r="A4" s="5"/>
      <c r="B4" s="177" t="s">
        <v>506</v>
      </c>
    </row>
    <row r="5" spans="1:3">
      <c r="A5" s="5"/>
      <c r="B5" s="177" t="s">
        <v>504</v>
      </c>
    </row>
    <row r="6" spans="1:3">
      <c r="A6" s="5"/>
      <c r="B6" s="177" t="s">
        <v>508</v>
      </c>
    </row>
    <row r="7" spans="1:3">
      <c r="A7" s="5"/>
      <c r="B7" s="177" t="s">
        <v>505</v>
      </c>
    </row>
    <row r="8" spans="1:3">
      <c r="A8" s="5"/>
      <c r="B8" s="177"/>
    </row>
    <row r="9" spans="1:3">
      <c r="A9" s="5"/>
      <c r="B9" s="177"/>
    </row>
    <row r="10" spans="1:3">
      <c r="A10" s="5"/>
      <c r="B10" s="138" t="s">
        <v>360</v>
      </c>
    </row>
    <row r="11" spans="1:3">
      <c r="B11" s="138" t="s">
        <v>356</v>
      </c>
    </row>
    <row r="12" spans="1:3">
      <c r="B12" s="138" t="s">
        <v>357</v>
      </c>
      <c r="C12" s="138" t="s">
        <v>358</v>
      </c>
    </row>
    <row r="13" spans="1:3">
      <c r="B13" s="138" t="s">
        <v>359</v>
      </c>
    </row>
    <row r="14" spans="1:3">
      <c r="B14" s="173" t="s">
        <v>499</v>
      </c>
      <c r="C14" s="173" t="s">
        <v>500</v>
      </c>
    </row>
    <row r="15" spans="1:3">
      <c r="B15" s="173" t="s">
        <v>501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J7" sqref="J7"/>
    </sheetView>
  </sheetViews>
  <sheetFormatPr defaultColWidth="8.5703125" defaultRowHeight="12.75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>
      <c r="L2" s="28">
        <f>AVERAGE(L4:L5)</f>
        <v>0.20041740331883851</v>
      </c>
      <c r="P2" s="29">
        <f>AVERAGE(P4:P5)</f>
        <v>26.242629111540076</v>
      </c>
      <c r="Q2" s="37">
        <f>AVERAGE(Q4:Q5)</f>
        <v>23.921213842707509</v>
      </c>
      <c r="R2" s="37">
        <f>AVERAGE(R4:R5)</f>
        <v>20.722347204381379</v>
      </c>
      <c r="S2" s="30">
        <f>AVERAGE(S4:S5)</f>
        <v>18.251491495442547</v>
      </c>
    </row>
    <row r="3" spans="1:24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>
      <c r="A4" s="72" t="s">
        <v>263</v>
      </c>
      <c r="B4" s="114" t="s">
        <v>7</v>
      </c>
      <c r="C4" s="20" t="s">
        <v>8</v>
      </c>
      <c r="D4" s="21">
        <v>307.26</v>
      </c>
      <c r="E4" s="22">
        <f>D4*[1]Main!$L$3</f>
        <v>2296153.98</v>
      </c>
      <c r="F4" s="22">
        <f>[1]Main!$L$5-[1]Main!$L$6</f>
        <v>58489</v>
      </c>
      <c r="G4" s="22">
        <f>+E4-F4</f>
        <v>2237664.98</v>
      </c>
      <c r="H4" s="22">
        <f>+[1]Main!$L$3</f>
        <v>7473</v>
      </c>
      <c r="I4" s="176" t="s">
        <v>502</v>
      </c>
      <c r="J4" s="170">
        <v>45041</v>
      </c>
      <c r="K4" s="27">
        <f>+[1]Model!$BP$39</f>
        <v>269.58547667575527</v>
      </c>
      <c r="L4" s="28">
        <f>K4/D4-1</f>
        <v>-0.12261447413996196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31.041226416860436</v>
      </c>
      <c r="Q4" s="30">
        <f t="shared" ref="Q4:S4" si="0">+$G$4/$H$4/U4</f>
        <v>30.329424348429917</v>
      </c>
      <c r="R4" s="30">
        <f t="shared" si="0"/>
        <v>26.673735708135101</v>
      </c>
      <c r="S4" s="31">
        <f t="shared" si="0"/>
        <v>23.876582290862881</v>
      </c>
      <c r="T4" s="32">
        <f>+[1]Model!$BE$32</f>
        <v>9.6463099263974534</v>
      </c>
      <c r="U4" s="27">
        <f>+[1]Model!$BF$32</f>
        <v>9.8726994311717835</v>
      </c>
      <c r="V4" s="27">
        <f>+[1]Model!$BG$32</f>
        <v>11.225772564777602</v>
      </c>
      <c r="W4" s="33">
        <f>+[1]Model!$BH$32</f>
        <v>12.540877369501043</v>
      </c>
      <c r="X4" s="20">
        <v>1975</v>
      </c>
    </row>
    <row r="5" spans="1:24">
      <c r="A5" s="72" t="s">
        <v>263</v>
      </c>
      <c r="B5" s="114" t="s">
        <v>9</v>
      </c>
      <c r="C5" s="20" t="s">
        <v>10</v>
      </c>
      <c r="D5" s="21">
        <v>108.22</v>
      </c>
      <c r="E5" s="22">
        <f>D5*[2]Main!$L$3</f>
        <v>1401124.34</v>
      </c>
      <c r="F5" s="22">
        <f>[2]Main!$L$5-[2]Main!$L$6</f>
        <v>129553</v>
      </c>
      <c r="G5" s="22">
        <f>+E5-F5</f>
        <v>1271571.3400000001</v>
      </c>
      <c r="H5" s="22">
        <f>[2]Main!$L$3</f>
        <v>12947</v>
      </c>
      <c r="I5" s="176" t="s">
        <v>502</v>
      </c>
      <c r="J5" s="43">
        <v>45041</v>
      </c>
      <c r="K5" s="27">
        <f>[2]Model!$AU$31</f>
        <v>164.8676811657561</v>
      </c>
      <c r="L5" s="28">
        <f>K5/D5-1</f>
        <v>0.52344928077763897</v>
      </c>
      <c r="M5" s="28">
        <f>[2]Model!$AU$28</f>
        <v>0.08</v>
      </c>
      <c r="N5" s="28">
        <f>[2]Model!$AU$27</f>
        <v>-0.01</v>
      </c>
      <c r="O5" s="115">
        <f>[2]Model!$AU$29</f>
        <v>0.01</v>
      </c>
      <c r="P5" s="29">
        <f>+$G$5/$H$5/T5</f>
        <v>21.444031806219719</v>
      </c>
      <c r="Q5" s="30">
        <f>+$G$5/$H$5/U5</f>
        <v>17.513003336985097</v>
      </c>
      <c r="R5" s="30">
        <f>+$G$5/$H$5/V5</f>
        <v>14.770958700627652</v>
      </c>
      <c r="S5" s="30">
        <f>+$G$5/$H$5/W5</f>
        <v>12.626400700022211</v>
      </c>
      <c r="T5" s="32">
        <f>[2]Model!$AJ$24</f>
        <v>4.5799964361174039</v>
      </c>
      <c r="U5" s="27">
        <f>[2]Model!$AK$24</f>
        <v>5.6080380594150139</v>
      </c>
      <c r="V5" s="27">
        <f>[2]Model!$AL$24</f>
        <v>6.6491005248224839</v>
      </c>
      <c r="W5" s="33">
        <f>[2]Model!$AM$24</f>
        <v>7.778431207897734</v>
      </c>
      <c r="X5" s="20">
        <v>1998</v>
      </c>
    </row>
    <row r="6" spans="1:24">
      <c r="A6" s="107" t="s">
        <v>263</v>
      </c>
      <c r="B6" s="114" t="s">
        <v>182</v>
      </c>
      <c r="C6" s="20" t="s">
        <v>183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6" t="s">
        <v>392</v>
      </c>
      <c r="J6" s="43">
        <v>45047</v>
      </c>
      <c r="O6" s="26"/>
      <c r="X6" s="20">
        <v>1995</v>
      </c>
    </row>
    <row r="7" spans="1:24">
      <c r="A7" s="90" t="s">
        <v>263</v>
      </c>
      <c r="B7" s="114" t="s">
        <v>38</v>
      </c>
      <c r="C7" s="20" t="s">
        <v>39</v>
      </c>
      <c r="D7" s="21">
        <v>120.61</v>
      </c>
      <c r="E7" s="22">
        <f>+D7*[4]Main!$L$3</f>
        <v>41715.983749999999</v>
      </c>
      <c r="F7" s="22">
        <f>([4]Main!$L$5-[4]Main!$L$6)/RMB</f>
        <v>25459.792284866468</v>
      </c>
      <c r="G7" s="22">
        <f>E7-F7</f>
        <v>16256.191465133532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>
      <c r="A8" s="108" t="s">
        <v>263</v>
      </c>
      <c r="B8" s="118" t="s">
        <v>229</v>
      </c>
      <c r="C8" s="119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>
      <c r="A9" s="111" t="s">
        <v>263</v>
      </c>
      <c r="B9" s="120" t="s">
        <v>323</v>
      </c>
      <c r="C9" s="111" t="s">
        <v>324</v>
      </c>
      <c r="D9" s="21">
        <v>46.37</v>
      </c>
      <c r="E9" s="22">
        <v>20860</v>
      </c>
      <c r="O9" s="26"/>
      <c r="X9" s="20">
        <v>1987</v>
      </c>
    </row>
    <row r="10" spans="1:24">
      <c r="B10" s="121" t="s">
        <v>79</v>
      </c>
      <c r="C10" s="20" t="s">
        <v>184</v>
      </c>
      <c r="D10" s="21">
        <v>113.23</v>
      </c>
      <c r="E10" s="22">
        <v>33330</v>
      </c>
      <c r="O10" s="26"/>
      <c r="X10" s="20">
        <v>2007</v>
      </c>
    </row>
    <row r="11" spans="1:24">
      <c r="B11" s="121" t="s">
        <v>56</v>
      </c>
      <c r="C11" s="20" t="s">
        <v>57</v>
      </c>
      <c r="D11" s="21">
        <v>54.71</v>
      </c>
      <c r="E11" s="22">
        <v>28410</v>
      </c>
      <c r="O11" s="26"/>
      <c r="X11" s="20">
        <v>2009</v>
      </c>
    </row>
    <row r="12" spans="1:24">
      <c r="B12" s="121" t="s">
        <v>191</v>
      </c>
      <c r="C12" s="20" t="s">
        <v>192</v>
      </c>
      <c r="D12" s="21">
        <v>181.71</v>
      </c>
      <c r="E12" s="22">
        <v>25220</v>
      </c>
      <c r="O12" s="26"/>
      <c r="X12" s="20">
        <v>2007</v>
      </c>
    </row>
    <row r="13" spans="1:24">
      <c r="B13" s="114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  <c r="X13" s="20">
        <v>2003</v>
      </c>
    </row>
    <row r="14" spans="1:24">
      <c r="B14" s="121" t="s">
        <v>65</v>
      </c>
      <c r="C14" s="20" t="s">
        <v>66</v>
      </c>
      <c r="D14" s="21">
        <v>312</v>
      </c>
      <c r="E14" s="22">
        <v>19090</v>
      </c>
      <c r="O14" s="26"/>
      <c r="X14" s="20">
        <v>1998</v>
      </c>
    </row>
    <row r="15" spans="1:24">
      <c r="B15" s="121" t="s">
        <v>69</v>
      </c>
      <c r="C15" s="20" t="s">
        <v>70</v>
      </c>
      <c r="D15" s="21">
        <v>360.34</v>
      </c>
      <c r="E15" s="22">
        <v>18140</v>
      </c>
      <c r="O15" s="26"/>
      <c r="X15" s="20">
        <v>2006</v>
      </c>
    </row>
    <row r="16" spans="1:24">
      <c r="B16" s="121" t="s">
        <v>195</v>
      </c>
      <c r="C16" s="20" t="s">
        <v>196</v>
      </c>
      <c r="D16" s="21">
        <v>114.84</v>
      </c>
      <c r="E16" s="22">
        <v>17930</v>
      </c>
      <c r="O16" s="26"/>
      <c r="X16" s="20">
        <v>2003</v>
      </c>
    </row>
    <row r="17" spans="2:24">
      <c r="B17" s="121" t="s">
        <v>73</v>
      </c>
      <c r="C17" s="20" t="s">
        <v>74</v>
      </c>
      <c r="D17" s="21">
        <v>43.75</v>
      </c>
      <c r="E17" s="22">
        <v>17180</v>
      </c>
      <c r="O17" s="26"/>
      <c r="X17" s="20">
        <v>2012</v>
      </c>
    </row>
    <row r="18" spans="2:24">
      <c r="B18" s="121" t="s">
        <v>79</v>
      </c>
      <c r="C18" s="20" t="s">
        <v>80</v>
      </c>
      <c r="D18" s="21">
        <v>40.44</v>
      </c>
      <c r="E18" s="22">
        <v>16810</v>
      </c>
      <c r="O18" s="26"/>
      <c r="X18" s="20">
        <v>2007</v>
      </c>
    </row>
    <row r="19" spans="2:24">
      <c r="B19" s="121" t="s">
        <v>85</v>
      </c>
      <c r="C19" s="20" t="s">
        <v>86</v>
      </c>
      <c r="D19" s="21">
        <v>363.45</v>
      </c>
      <c r="E19" s="22">
        <v>15250</v>
      </c>
      <c r="O19" s="26"/>
      <c r="X19" s="20">
        <v>1966</v>
      </c>
    </row>
    <row r="20" spans="2:24">
      <c r="B20" s="121" t="s">
        <v>197</v>
      </c>
      <c r="C20" s="20" t="s">
        <v>198</v>
      </c>
      <c r="D20" s="21">
        <v>87.46</v>
      </c>
      <c r="E20" s="22">
        <v>16020</v>
      </c>
      <c r="O20" s="26"/>
      <c r="X20" s="20">
        <v>2008</v>
      </c>
    </row>
    <row r="21" spans="2:24">
      <c r="B21" s="121" t="s">
        <v>203</v>
      </c>
      <c r="C21" s="20" t="s">
        <v>204</v>
      </c>
      <c r="D21" s="21">
        <v>97.08</v>
      </c>
      <c r="E21" s="22">
        <v>15070</v>
      </c>
      <c r="O21" s="26"/>
      <c r="X21" s="20">
        <v>1998</v>
      </c>
    </row>
    <row r="22" spans="2:24">
      <c r="B22" s="121" t="s">
        <v>90</v>
      </c>
      <c r="C22" s="20" t="s">
        <v>91</v>
      </c>
      <c r="D22" s="21">
        <v>135.02000000000001</v>
      </c>
      <c r="E22" s="22">
        <v>14050</v>
      </c>
      <c r="O22" s="26"/>
      <c r="X22" s="20">
        <v>2006</v>
      </c>
    </row>
    <row r="23" spans="2:24">
      <c r="B23" s="121" t="s">
        <v>92</v>
      </c>
      <c r="C23" s="20" t="s">
        <v>93</v>
      </c>
      <c r="D23" s="21">
        <v>206.61</v>
      </c>
      <c r="E23" s="22">
        <v>13880</v>
      </c>
      <c r="O23" s="26"/>
    </row>
    <row r="24" spans="2:24">
      <c r="B24" s="121" t="s">
        <v>94</v>
      </c>
      <c r="C24" s="20" t="s">
        <v>94</v>
      </c>
      <c r="D24" s="21">
        <v>115.52</v>
      </c>
      <c r="E24" s="22">
        <v>13640</v>
      </c>
      <c r="O24" s="26"/>
    </row>
    <row r="25" spans="2:24">
      <c r="B25" s="121" t="s">
        <v>95</v>
      </c>
      <c r="C25" s="20" t="s">
        <v>95</v>
      </c>
      <c r="D25" s="21">
        <v>206.68</v>
      </c>
      <c r="E25" s="22">
        <v>12990</v>
      </c>
      <c r="O25" s="26"/>
      <c r="X25" s="20">
        <v>1986</v>
      </c>
    </row>
    <row r="26" spans="2:24">
      <c r="B26" s="121" t="s">
        <v>96</v>
      </c>
      <c r="C26" s="20" t="s">
        <v>97</v>
      </c>
      <c r="D26" s="21">
        <v>43.77</v>
      </c>
      <c r="E26" s="22">
        <v>12660</v>
      </c>
      <c r="O26" s="26"/>
      <c r="X26" s="20">
        <v>2005</v>
      </c>
    </row>
    <row r="27" spans="2:24">
      <c r="B27" s="121" t="s">
        <v>100</v>
      </c>
      <c r="C27" s="20" t="s">
        <v>101</v>
      </c>
      <c r="D27" s="21">
        <v>98.74</v>
      </c>
      <c r="E27" s="22">
        <v>12490</v>
      </c>
      <c r="O27" s="26"/>
    </row>
    <row r="28" spans="2:24">
      <c r="B28" s="121" t="s">
        <v>102</v>
      </c>
      <c r="C28" s="20" t="s">
        <v>103</v>
      </c>
      <c r="D28" s="21">
        <v>40.369999999999997</v>
      </c>
      <c r="E28" s="22">
        <v>11000</v>
      </c>
      <c r="O28" s="26"/>
      <c r="X28" s="20">
        <v>1991</v>
      </c>
    </row>
    <row r="29" spans="2:24">
      <c r="B29" s="121" t="s">
        <v>104</v>
      </c>
      <c r="C29" s="20" t="s">
        <v>105</v>
      </c>
      <c r="D29" s="21">
        <v>408.48</v>
      </c>
      <c r="E29" s="22">
        <v>10570</v>
      </c>
      <c r="O29" s="26"/>
    </row>
    <row r="30" spans="2:24">
      <c r="B30" s="121" t="s">
        <v>108</v>
      </c>
      <c r="C30" s="20" t="s">
        <v>109</v>
      </c>
      <c r="D30" s="21">
        <v>80.52</v>
      </c>
      <c r="E30" s="22">
        <v>10310</v>
      </c>
      <c r="O30" s="26"/>
      <c r="X30" s="20">
        <v>2007</v>
      </c>
    </row>
    <row r="31" spans="2:24">
      <c r="B31" s="121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24">
      <c r="B32" s="121" t="s">
        <v>113</v>
      </c>
      <c r="C32" s="20" t="s">
        <v>114</v>
      </c>
      <c r="D32" s="21">
        <v>8.17</v>
      </c>
      <c r="E32" s="22">
        <v>9320</v>
      </c>
      <c r="O32" s="26"/>
    </row>
    <row r="33" spans="2:24">
      <c r="B33" s="121" t="s">
        <v>115</v>
      </c>
      <c r="C33" s="20" t="s">
        <v>116</v>
      </c>
      <c r="D33" s="21">
        <v>14.73</v>
      </c>
      <c r="E33" s="22">
        <v>9140</v>
      </c>
      <c r="O33" s="26"/>
      <c r="X33" s="20">
        <v>2002</v>
      </c>
    </row>
    <row r="34" spans="2:24">
      <c r="B34" s="121" t="s">
        <v>117</v>
      </c>
      <c r="C34" s="20" t="s">
        <v>118</v>
      </c>
      <c r="D34" s="21">
        <v>56.9</v>
      </c>
      <c r="E34" s="22">
        <v>9000</v>
      </c>
      <c r="O34" s="26"/>
    </row>
    <row r="35" spans="2:24">
      <c r="B35" s="121" t="s">
        <v>119</v>
      </c>
      <c r="C35" s="20" t="s">
        <v>120</v>
      </c>
      <c r="D35" s="21">
        <v>203.42</v>
      </c>
      <c r="E35" s="22">
        <v>8580</v>
      </c>
      <c r="O35" s="26"/>
      <c r="X35" s="20">
        <v>2003</v>
      </c>
    </row>
    <row r="36" spans="2:24">
      <c r="B36" s="121" t="s">
        <v>122</v>
      </c>
      <c r="C36" s="20" t="s">
        <v>123</v>
      </c>
      <c r="D36" s="21">
        <v>126.81</v>
      </c>
      <c r="E36" s="22">
        <v>8200</v>
      </c>
      <c r="O36" s="26"/>
    </row>
    <row r="37" spans="2:24">
      <c r="B37" s="121" t="s">
        <v>124</v>
      </c>
      <c r="C37" s="20" t="s">
        <v>125</v>
      </c>
      <c r="D37" s="21">
        <v>50.35</v>
      </c>
      <c r="E37" s="22">
        <v>8150</v>
      </c>
      <c r="O37" s="26"/>
    </row>
    <row r="38" spans="2:24">
      <c r="B38" s="121" t="s">
        <v>127</v>
      </c>
      <c r="C38" s="20" t="s">
        <v>128</v>
      </c>
      <c r="D38" s="21">
        <v>88.7</v>
      </c>
      <c r="E38" s="22">
        <v>7910</v>
      </c>
      <c r="O38" s="26"/>
    </row>
    <row r="39" spans="2:24">
      <c r="B39" s="121" t="s">
        <v>129</v>
      </c>
      <c r="C39" s="20" t="s">
        <v>130</v>
      </c>
      <c r="D39" s="21">
        <v>78.3</v>
      </c>
      <c r="E39" s="22">
        <v>7580</v>
      </c>
      <c r="O39" s="26"/>
      <c r="X39" s="20">
        <v>2012</v>
      </c>
    </row>
    <row r="40" spans="2:24">
      <c r="B40" s="121" t="s">
        <v>131</v>
      </c>
      <c r="C40" s="20" t="s">
        <v>132</v>
      </c>
      <c r="D40" s="21">
        <v>50.36</v>
      </c>
      <c r="E40" s="22">
        <v>7140</v>
      </c>
      <c r="O40" s="26"/>
    </row>
    <row r="41" spans="2:24">
      <c r="B41" s="121" t="s">
        <v>133</v>
      </c>
      <c r="C41" s="20" t="s">
        <v>134</v>
      </c>
      <c r="D41" s="21">
        <v>80.58</v>
      </c>
      <c r="E41" s="22">
        <v>6930</v>
      </c>
      <c r="O41" s="26"/>
    </row>
    <row r="42" spans="2:24">
      <c r="B42" s="121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24">
      <c r="B43" s="121" t="s">
        <v>139</v>
      </c>
      <c r="C43" s="20" t="s">
        <v>140</v>
      </c>
      <c r="D43" s="21">
        <v>54.6</v>
      </c>
      <c r="E43" s="22">
        <v>6370</v>
      </c>
      <c r="O43" s="26"/>
    </row>
    <row r="44" spans="2:24">
      <c r="B44" s="121" t="s">
        <v>141</v>
      </c>
      <c r="C44" s="20" t="s">
        <v>142</v>
      </c>
      <c r="D44" s="21">
        <v>62.59</v>
      </c>
      <c r="E44" s="22">
        <v>6350</v>
      </c>
      <c r="O44" s="26"/>
    </row>
    <row r="45" spans="2:24">
      <c r="B45" s="121" t="s">
        <v>143</v>
      </c>
      <c r="C45" s="20" t="s">
        <v>143</v>
      </c>
      <c r="D45" s="21">
        <v>62.71</v>
      </c>
      <c r="E45" s="22">
        <v>3603</v>
      </c>
      <c r="O45" s="26"/>
    </row>
    <row r="46" spans="2:24">
      <c r="B46" s="121" t="s">
        <v>144</v>
      </c>
      <c r="C46" s="20" t="s">
        <v>145</v>
      </c>
      <c r="D46" s="21">
        <v>21.19</v>
      </c>
      <c r="E46" s="22">
        <v>2965</v>
      </c>
      <c r="O46" s="26"/>
    </row>
    <row r="47" spans="2:24">
      <c r="B47" s="121" t="s">
        <v>149</v>
      </c>
      <c r="C47" s="20" t="s">
        <v>150</v>
      </c>
      <c r="D47" s="21">
        <v>26.99</v>
      </c>
      <c r="E47" s="22">
        <v>1400</v>
      </c>
      <c r="O47" s="26"/>
    </row>
    <row r="48" spans="2:24">
      <c r="B48" s="122" t="s">
        <v>225</v>
      </c>
      <c r="C48" s="123" t="s">
        <v>226</v>
      </c>
      <c r="D48" s="21">
        <v>13.95</v>
      </c>
      <c r="E48" s="22">
        <v>2030</v>
      </c>
      <c r="O48" s="26"/>
    </row>
    <row r="49" spans="2:15">
      <c r="B49" s="122" t="s">
        <v>227</v>
      </c>
      <c r="C49" s="123" t="s">
        <v>228</v>
      </c>
      <c r="D49" s="21">
        <v>19.95</v>
      </c>
      <c r="E49" s="22">
        <v>2560</v>
      </c>
      <c r="O49" s="26"/>
    </row>
    <row r="50" spans="2:15">
      <c r="B50" s="124" t="s">
        <v>236</v>
      </c>
      <c r="C50" s="46" t="s">
        <v>237</v>
      </c>
      <c r="O50" s="26"/>
    </row>
    <row r="51" spans="2:15">
      <c r="B51" s="164" t="s">
        <v>410</v>
      </c>
      <c r="O51" s="26"/>
    </row>
    <row r="52" spans="2:15">
      <c r="B52" s="164" t="s">
        <v>411</v>
      </c>
      <c r="O52" s="26"/>
    </row>
    <row r="53" spans="2:15">
      <c r="B53" s="121"/>
      <c r="O53" s="26"/>
    </row>
    <row r="54" spans="2:15">
      <c r="B54" s="121"/>
      <c r="O54" s="26"/>
    </row>
    <row r="55" spans="2:15">
      <c r="B55" s="121"/>
      <c r="O55" s="26"/>
    </row>
    <row r="56" spans="2:15">
      <c r="B56" s="121"/>
      <c r="O56" s="26"/>
    </row>
    <row r="57" spans="2:15">
      <c r="B57" s="121"/>
      <c r="O57" s="26"/>
    </row>
    <row r="58" spans="2:15">
      <c r="B58" s="121"/>
      <c r="O58" s="26"/>
    </row>
    <row r="59" spans="2:15">
      <c r="B59" s="125"/>
      <c r="C59" s="126"/>
      <c r="D59" s="127"/>
      <c r="E59" s="128"/>
      <c r="F59" s="129"/>
      <c r="G59" s="129"/>
      <c r="H59" s="129"/>
      <c r="I59" s="129"/>
      <c r="J59" s="129"/>
      <c r="K59" s="130"/>
      <c r="L59" s="130"/>
      <c r="M59" s="130"/>
      <c r="N59" s="130"/>
      <c r="O59" s="131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defaultRowHeight="12.75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>
      <c r="A1" s="5" t="s">
        <v>148</v>
      </c>
    </row>
    <row r="2" spans="1:24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>
      <c r="A3" s="72" t="s">
        <v>263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6" t="s">
        <v>502</v>
      </c>
      <c r="J3" s="43">
        <v>45047</v>
      </c>
      <c r="K3" s="27">
        <f>+[6]Model!$BL$48</f>
        <v>127.46157686951391</v>
      </c>
      <c r="L3" s="28">
        <f>K3/D3-1</f>
        <v>0.20873946770520524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64.314822911120359</v>
      </c>
      <c r="R3" s="30">
        <f>+($G3/$H3)/V3</f>
        <v>52.509160501491465</v>
      </c>
      <c r="S3" s="31">
        <f>+($G3/$H3)/W3</f>
        <v>30.15617086566083</v>
      </c>
      <c r="T3" s="32">
        <f>+[6]Model!$BA$33</f>
        <v>0.51665847665847664</v>
      </c>
      <c r="U3" s="27">
        <f>+[6]Model!$BB$33</f>
        <v>1.6399777191456466</v>
      </c>
      <c r="V3" s="27">
        <f>+[6]Model!$BC$33</f>
        <v>2.0086947796859072</v>
      </c>
      <c r="W3" s="33">
        <f>+[6]Model!$BD$33</f>
        <v>3.4976216660564408</v>
      </c>
      <c r="X3" s="20">
        <v>1994</v>
      </c>
    </row>
    <row r="4" spans="1:24" s="20" customFormat="1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1" t="s">
        <v>361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6" t="s">
        <v>361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>
      <c r="A9" s="82" t="s">
        <v>263</v>
      </c>
      <c r="B9" s="82" t="s">
        <v>266</v>
      </c>
      <c r="C9" s="82" t="s">
        <v>266</v>
      </c>
      <c r="D9" s="162">
        <v>129.71</v>
      </c>
      <c r="E9" s="71">
        <v>118000</v>
      </c>
      <c r="X9" s="72">
        <v>1911</v>
      </c>
    </row>
    <row r="10" spans="1:24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J10" s="103">
        <v>45003</v>
      </c>
      <c r="X10" s="72">
        <v>2002</v>
      </c>
    </row>
    <row r="11" spans="1:24">
      <c r="A11" s="98" t="s">
        <v>263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+[13]Main!$P$5-[13]Main!$P$6</f>
        <v>2134</v>
      </c>
      <c r="G11" s="22">
        <f t="shared" si="1"/>
        <v>45746</v>
      </c>
      <c r="H11" s="23">
        <f>+[13]Main!$P$3</f>
        <v>252</v>
      </c>
      <c r="I11" s="157" t="s">
        <v>392</v>
      </c>
      <c r="J11" s="43">
        <v>45006</v>
      </c>
      <c r="X11" s="72">
        <v>2005</v>
      </c>
    </row>
    <row r="12" spans="1:24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>
      <c r="A14" s="105" t="s">
        <v>263</v>
      </c>
      <c r="B14" s="97" t="s">
        <v>306</v>
      </c>
      <c r="C14" s="105" t="s">
        <v>184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>
      <c r="B17" s="143" t="s">
        <v>201</v>
      </c>
      <c r="C17" s="20" t="s">
        <v>202</v>
      </c>
      <c r="D17" s="21">
        <v>84</v>
      </c>
      <c r="E17" s="22">
        <f>+D17*H17</f>
        <v>13188</v>
      </c>
      <c r="F17" s="22">
        <f>+[17]Main!$P$5-[17]Main!$P$6</f>
        <v>282</v>
      </c>
      <c r="G17" s="22">
        <f>+E17-F17</f>
        <v>12906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>
      <c r="B18" s="20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s="20" customFormat="1">
      <c r="B20" s="165" t="s">
        <v>412</v>
      </c>
      <c r="D20" s="21"/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4">
      <c r="B21" s="134" t="s">
        <v>339</v>
      </c>
      <c r="C21" s="142" t="s">
        <v>386</v>
      </c>
      <c r="D21" s="72">
        <v>25.54</v>
      </c>
      <c r="E21" s="71">
        <v>4800</v>
      </c>
      <c r="X21" s="72">
        <v>2012</v>
      </c>
    </row>
    <row r="22" spans="2:24">
      <c r="B22" s="161" t="s">
        <v>399</v>
      </c>
      <c r="C22" s="161" t="s">
        <v>400</v>
      </c>
      <c r="D22" s="72">
        <v>10.88</v>
      </c>
      <c r="E22" s="71">
        <v>3000</v>
      </c>
    </row>
    <row r="27" spans="2:24">
      <c r="B27" s="95" t="s">
        <v>258</v>
      </c>
      <c r="I27" s="166" t="s">
        <v>224</v>
      </c>
    </row>
    <row r="28" spans="2:24">
      <c r="B28" s="166" t="s">
        <v>432</v>
      </c>
      <c r="E28" s="72">
        <v>30000</v>
      </c>
      <c r="I28" s="166"/>
    </row>
    <row r="29" spans="2:24">
      <c r="B29" s="166" t="s">
        <v>486</v>
      </c>
      <c r="E29" s="72">
        <v>10000</v>
      </c>
      <c r="F29" s="166" t="s">
        <v>488</v>
      </c>
      <c r="G29" s="166" t="s">
        <v>487</v>
      </c>
      <c r="H29" s="166" t="s">
        <v>489</v>
      </c>
      <c r="I29" s="72">
        <v>2013</v>
      </c>
    </row>
    <row r="30" spans="2:24">
      <c r="B30" s="166" t="s">
        <v>126</v>
      </c>
      <c r="F30" s="166"/>
      <c r="G30" s="166"/>
      <c r="H30" s="166"/>
    </row>
    <row r="31" spans="2:24">
      <c r="B31" s="94" t="s">
        <v>286</v>
      </c>
      <c r="E3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>
      <c r="A1" s="5" t="s">
        <v>148</v>
      </c>
    </row>
    <row r="2" spans="1:24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>
      <c r="A3" s="72" t="s">
        <v>263</v>
      </c>
      <c r="B3" s="5" t="s">
        <v>13</v>
      </c>
      <c r="C3" s="20" t="s">
        <v>205</v>
      </c>
      <c r="D3" s="21">
        <v>210</v>
      </c>
      <c r="E3" s="22">
        <f>+D3*[18]Main!$M$3</f>
        <v>556825.22154000006</v>
      </c>
      <c r="F3" s="22">
        <f>+[18]Main!$M$5-[18]Main!$M$6</f>
        <v>38382</v>
      </c>
      <c r="G3" s="22">
        <f t="shared" ref="G3:G4" si="0">+E3-F3</f>
        <v>518443.22154000006</v>
      </c>
      <c r="H3" s="22">
        <f>+[18]Main!$M$3</f>
        <v>2651.5486740000001</v>
      </c>
      <c r="I3" s="139" t="s">
        <v>361</v>
      </c>
      <c r="J3" s="43">
        <v>44959</v>
      </c>
      <c r="K3" s="27">
        <f>+[18]Model!$AX$53</f>
        <v>215.87667010339968</v>
      </c>
      <c r="L3" s="28">
        <f>K3/D3-1</f>
        <v>2.7984143349522261E-2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6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>
      <c r="A6" s="136" t="s">
        <v>263</v>
      </c>
      <c r="B6" s="136" t="s">
        <v>340</v>
      </c>
      <c r="C6" s="136" t="s">
        <v>341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>
      <c r="A7" s="107" t="s">
        <v>263</v>
      </c>
      <c r="B7" s="143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>
      <c r="A8" s="144" t="s">
        <v>263</v>
      </c>
      <c r="B8" s="143" t="s">
        <v>387</v>
      </c>
      <c r="C8" s="144" t="s">
        <v>388</v>
      </c>
      <c r="D8" s="21">
        <v>12</v>
      </c>
      <c r="E8" s="22">
        <f>+D8*H8</f>
        <v>19357.212852000001</v>
      </c>
      <c r="F8" s="149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48" t="s">
        <v>210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>
      <c r="B11" s="133" t="s">
        <v>329</v>
      </c>
      <c r="C11" s="133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>
      <c r="B12" s="133" t="s">
        <v>135</v>
      </c>
      <c r="C12" s="133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>
      <c r="B13" s="140" t="s">
        <v>370</v>
      </c>
      <c r="C13" s="133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>
      <c r="B14" s="133" t="s">
        <v>334</v>
      </c>
      <c r="C14" s="133" t="s">
        <v>335</v>
      </c>
    </row>
    <row r="15" spans="1:24" s="20" customFormat="1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>
      <c r="B16" s="64" t="s">
        <v>258</v>
      </c>
    </row>
    <row r="17" spans="2:6">
      <c r="B17" s="96" t="s">
        <v>288</v>
      </c>
      <c r="E17" s="171">
        <v>400000</v>
      </c>
    </row>
    <row r="18" spans="2:6">
      <c r="B18" s="63" t="s">
        <v>257</v>
      </c>
      <c r="E18" s="171">
        <v>30000</v>
      </c>
    </row>
    <row r="19" spans="2:6">
      <c r="B19" s="20" t="s">
        <v>171</v>
      </c>
      <c r="C19" s="20" t="s">
        <v>172</v>
      </c>
      <c r="D19" s="21">
        <v>44.5</v>
      </c>
      <c r="E19" s="22">
        <v>34050</v>
      </c>
    </row>
    <row r="20" spans="2:6">
      <c r="B20" s="133" t="s">
        <v>328</v>
      </c>
      <c r="E20" s="171">
        <v>14500</v>
      </c>
      <c r="F20" s="63">
        <v>2015</v>
      </c>
    </row>
    <row r="21" spans="2:6">
      <c r="B21" s="64" t="s">
        <v>332</v>
      </c>
      <c r="E21" s="171">
        <v>10000</v>
      </c>
    </row>
    <row r="22" spans="2:6">
      <c r="B22" s="63" t="s">
        <v>256</v>
      </c>
      <c r="E22" s="63">
        <v>200</v>
      </c>
    </row>
    <row r="23" spans="2:6">
      <c r="B23" s="133" t="s">
        <v>331</v>
      </c>
    </row>
    <row r="24" spans="2:6">
      <c r="B24" s="133" t="s">
        <v>333</v>
      </c>
    </row>
    <row r="25" spans="2:6">
      <c r="B25" s="133" t="s">
        <v>336</v>
      </c>
    </row>
    <row r="26" spans="2:6">
      <c r="B26" s="133" t="s">
        <v>337</v>
      </c>
    </row>
    <row r="27" spans="2:6">
      <c r="B27" s="133" t="s">
        <v>338</v>
      </c>
    </row>
    <row r="28" spans="2:6">
      <c r="B28" s="140" t="s">
        <v>362</v>
      </c>
    </row>
    <row r="29" spans="2:6">
      <c r="B29" s="63" t="s">
        <v>255</v>
      </c>
    </row>
    <row r="30" spans="2:6">
      <c r="B30" s="140" t="s">
        <v>363</v>
      </c>
    </row>
    <row r="31" spans="2:6">
      <c r="B31" s="172" t="s">
        <v>495</v>
      </c>
    </row>
    <row r="32" spans="2:6">
      <c r="B32" s="140" t="s">
        <v>364</v>
      </c>
    </row>
    <row r="33" spans="2:2">
      <c r="B33" s="140" t="s">
        <v>365</v>
      </c>
    </row>
    <row r="34" spans="2:2">
      <c r="B34" s="140" t="s">
        <v>306</v>
      </c>
    </row>
    <row r="35" spans="2:2">
      <c r="B35" s="140" t="s">
        <v>366</v>
      </c>
    </row>
    <row r="36" spans="2:2">
      <c r="B36" s="140" t="s">
        <v>367</v>
      </c>
    </row>
    <row r="37" spans="2:2">
      <c r="B37" s="140" t="s">
        <v>368</v>
      </c>
    </row>
    <row r="38" spans="2:2">
      <c r="B38" s="140" t="s">
        <v>369</v>
      </c>
    </row>
    <row r="39" spans="2:2">
      <c r="B39" s="140" t="s">
        <v>371</v>
      </c>
    </row>
    <row r="40" spans="2:2">
      <c r="B40" s="140" t="s">
        <v>372</v>
      </c>
    </row>
    <row r="41" spans="2:2">
      <c r="B41" s="140" t="s">
        <v>373</v>
      </c>
    </row>
    <row r="42" spans="2:2">
      <c r="B42" s="140" t="s">
        <v>374</v>
      </c>
    </row>
    <row r="43" spans="2:2">
      <c r="B43" s="140" t="s">
        <v>375</v>
      </c>
    </row>
    <row r="44" spans="2:2">
      <c r="B44" s="140" t="s">
        <v>376</v>
      </c>
    </row>
    <row r="45" spans="2:2">
      <c r="B45" s="140" t="s">
        <v>377</v>
      </c>
    </row>
    <row r="46" spans="2:2">
      <c r="B46" s="140" t="s">
        <v>378</v>
      </c>
    </row>
    <row r="47" spans="2:2">
      <c r="B47" s="140" t="s">
        <v>379</v>
      </c>
    </row>
    <row r="48" spans="2:2">
      <c r="B48" s="140" t="s">
        <v>380</v>
      </c>
    </row>
    <row r="49" spans="2:2">
      <c r="B49" s="140" t="s">
        <v>381</v>
      </c>
    </row>
    <row r="50" spans="2:2">
      <c r="B50" s="140" t="s">
        <v>382</v>
      </c>
    </row>
    <row r="51" spans="2:2">
      <c r="B51" s="140" t="s">
        <v>383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1" sqref="E21"/>
    </sheetView>
  </sheetViews>
  <sheetFormatPr defaultRowHeight="12.75"/>
  <cols>
    <col min="1" max="1" width="5" style="113" bestFit="1" customWidth="1"/>
    <col min="2" max="2" width="15" style="113" customWidth="1"/>
    <col min="3" max="16384" width="9.140625" style="113"/>
  </cols>
  <sheetData>
    <row r="1" spans="1:24">
      <c r="A1" s="5" t="s">
        <v>148</v>
      </c>
    </row>
    <row r="2" spans="1:24">
      <c r="A2" s="5"/>
      <c r="B2" s="158" t="s">
        <v>0</v>
      </c>
      <c r="C2" s="158" t="s">
        <v>1</v>
      </c>
      <c r="D2" s="159" t="s">
        <v>2</v>
      </c>
      <c r="E2" s="160" t="s">
        <v>3</v>
      </c>
      <c r="F2" s="159" t="s">
        <v>397</v>
      </c>
      <c r="G2" s="159" t="s">
        <v>5</v>
      </c>
      <c r="H2" s="159" t="s">
        <v>223</v>
      </c>
      <c r="I2" s="159" t="s">
        <v>398</v>
      </c>
      <c r="J2" s="159" t="s">
        <v>234</v>
      </c>
    </row>
    <row r="3" spans="1:24" s="20" customFormat="1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>
      <c r="A4" s="89" t="s">
        <v>263</v>
      </c>
      <c r="B4" s="5" t="s">
        <v>185</v>
      </c>
      <c r="C4" s="20" t="s">
        <v>186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>E5-F5</f>
        <v>50843.144</v>
      </c>
      <c r="H5" s="22">
        <f>+[23]Main!$K$3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>E6-F6</f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>E7-F7</f>
        <v>20837.083825649999</v>
      </c>
      <c r="H7" s="22">
        <f>+[25]Main!$M$3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>
      <c r="B9" s="113" t="s">
        <v>326</v>
      </c>
      <c r="C9" s="142" t="s">
        <v>384</v>
      </c>
      <c r="D9" s="132"/>
      <c r="E9" s="132"/>
      <c r="F9" s="132"/>
      <c r="G9" s="132"/>
      <c r="H9" s="132"/>
      <c r="I9" s="132"/>
      <c r="J9" s="132"/>
    </row>
    <row r="10" spans="1:24">
      <c r="B10" s="113" t="s">
        <v>327</v>
      </c>
      <c r="D10" s="132"/>
      <c r="E10" s="132"/>
      <c r="F10" s="132"/>
      <c r="G10" s="132"/>
      <c r="H10" s="132"/>
      <c r="I10" s="132"/>
      <c r="J10" s="132"/>
    </row>
    <row r="17" spans="2:5">
      <c r="B17" s="95" t="s">
        <v>258</v>
      </c>
    </row>
    <row r="18" spans="2:5">
      <c r="B18" s="166" t="s">
        <v>494</v>
      </c>
      <c r="C18" s="72"/>
      <c r="D18" s="72"/>
      <c r="E18" s="72">
        <v>2400</v>
      </c>
    </row>
    <row r="19" spans="2:5">
      <c r="B19" s="158" t="s">
        <v>394</v>
      </c>
      <c r="E19" s="113">
        <v>1500</v>
      </c>
    </row>
    <row r="20" spans="2:5">
      <c r="B20" s="158" t="s">
        <v>396</v>
      </c>
      <c r="E20" s="113">
        <v>1000</v>
      </c>
    </row>
    <row r="21" spans="2:5">
      <c r="B21" s="166" t="s">
        <v>493</v>
      </c>
      <c r="E21" s="113">
        <v>1000</v>
      </c>
    </row>
    <row r="22" spans="2:5">
      <c r="B22" s="142" t="s">
        <v>385</v>
      </c>
    </row>
    <row r="23" spans="2:5">
      <c r="B23" s="158" t="s">
        <v>395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9C9-C58C-431A-80D5-5C7D568EC13B}">
  <dimension ref="A1:J7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7" sqref="D27"/>
    </sheetView>
  </sheetViews>
  <sheetFormatPr defaultRowHeight="12.75"/>
  <cols>
    <col min="1" max="1" width="5.42578125" style="179" bestFit="1" customWidth="1"/>
    <col min="2" max="2" width="23.42578125" style="179" customWidth="1"/>
    <col min="3" max="3" width="9.140625" style="182"/>
    <col min="4" max="4" width="9.140625" style="180"/>
    <col min="5" max="5" width="19" style="179" bestFit="1" customWidth="1"/>
    <col min="6" max="6" width="9.140625" style="180"/>
    <col min="7" max="7" width="13.28515625" style="179" customWidth="1"/>
    <col min="8" max="8" width="16" style="179" customWidth="1"/>
    <col min="9" max="16384" width="9.140625" style="179"/>
  </cols>
  <sheetData>
    <row r="1" spans="1:10">
      <c r="A1" s="5" t="s">
        <v>148</v>
      </c>
    </row>
    <row r="2" spans="1:10">
      <c r="B2" s="179" t="s">
        <v>0</v>
      </c>
      <c r="C2" s="182" t="s">
        <v>1</v>
      </c>
      <c r="D2" s="180" t="s">
        <v>3</v>
      </c>
      <c r="E2" s="179" t="s">
        <v>415</v>
      </c>
      <c r="F2" s="180" t="s">
        <v>416</v>
      </c>
      <c r="G2" s="179" t="s">
        <v>417</v>
      </c>
      <c r="H2" s="179" t="s">
        <v>420</v>
      </c>
      <c r="I2" s="179" t="s">
        <v>438</v>
      </c>
      <c r="J2" s="180" t="s">
        <v>224</v>
      </c>
    </row>
    <row r="3" spans="1:10">
      <c r="B3" s="179" t="s">
        <v>7</v>
      </c>
      <c r="C3" s="182" t="s">
        <v>8</v>
      </c>
      <c r="D3" s="180">
        <v>2000000</v>
      </c>
      <c r="E3" s="179" t="s">
        <v>520</v>
      </c>
      <c r="F3" s="180" t="s">
        <v>520</v>
      </c>
      <c r="G3" s="179" t="s">
        <v>418</v>
      </c>
      <c r="J3" s="179">
        <v>1975</v>
      </c>
    </row>
    <row r="4" spans="1:10">
      <c r="B4" s="179" t="s">
        <v>9</v>
      </c>
      <c r="C4" s="182" t="s">
        <v>10</v>
      </c>
      <c r="D4" s="180">
        <v>1000000</v>
      </c>
      <c r="E4" s="179" t="s">
        <v>520</v>
      </c>
      <c r="F4" s="180" t="s">
        <v>520</v>
      </c>
      <c r="G4" s="179" t="s">
        <v>419</v>
      </c>
      <c r="J4" s="179">
        <v>1998</v>
      </c>
    </row>
    <row r="5" spans="1:10">
      <c r="B5" s="179" t="s">
        <v>434</v>
      </c>
      <c r="C5" s="182" t="s">
        <v>513</v>
      </c>
      <c r="D5" s="180">
        <v>1000000</v>
      </c>
      <c r="E5" s="179" t="s">
        <v>520</v>
      </c>
      <c r="F5" s="180" t="s">
        <v>520</v>
      </c>
      <c r="G5" s="179" t="s">
        <v>511</v>
      </c>
      <c r="J5" s="179">
        <v>2003</v>
      </c>
    </row>
    <row r="6" spans="1:10">
      <c r="B6" s="185" t="s">
        <v>496</v>
      </c>
      <c r="C6" s="186" t="s">
        <v>12</v>
      </c>
      <c r="G6" s="185" t="s">
        <v>548</v>
      </c>
    </row>
    <row r="7" spans="1:10">
      <c r="B7" s="179" t="s">
        <v>13</v>
      </c>
      <c r="C7" s="182" t="s">
        <v>521</v>
      </c>
      <c r="D7" s="180">
        <v>500000</v>
      </c>
      <c r="E7" s="179" t="s">
        <v>520</v>
      </c>
      <c r="F7" s="180" t="s">
        <v>520</v>
      </c>
      <c r="G7" s="179" t="s">
        <v>522</v>
      </c>
      <c r="H7" s="179" t="s">
        <v>523</v>
      </c>
      <c r="J7" s="179">
        <v>2004</v>
      </c>
    </row>
    <row r="8" spans="1:10">
      <c r="B8" s="179" t="s">
        <v>403</v>
      </c>
      <c r="C8" s="182" t="s">
        <v>258</v>
      </c>
      <c r="D8" s="180">
        <v>35000</v>
      </c>
      <c r="F8" s="180" t="s">
        <v>436</v>
      </c>
      <c r="G8" s="179" t="s">
        <v>525</v>
      </c>
      <c r="H8" s="179" t="s">
        <v>524</v>
      </c>
      <c r="J8" s="179">
        <v>2015</v>
      </c>
    </row>
    <row r="9" spans="1:10">
      <c r="B9" s="179" t="s">
        <v>432</v>
      </c>
      <c r="C9" s="182" t="s">
        <v>258</v>
      </c>
      <c r="D9" s="180">
        <v>25000</v>
      </c>
      <c r="F9" s="180" t="s">
        <v>435</v>
      </c>
      <c r="J9" s="179">
        <v>2013</v>
      </c>
    </row>
    <row r="10" spans="1:10">
      <c r="B10" s="179" t="s">
        <v>431</v>
      </c>
      <c r="C10" s="182" t="s">
        <v>258</v>
      </c>
      <c r="D10" s="180">
        <v>21000</v>
      </c>
      <c r="F10" s="180" t="s">
        <v>433</v>
      </c>
      <c r="J10" s="179">
        <v>2013</v>
      </c>
    </row>
    <row r="11" spans="1:10">
      <c r="B11" s="179" t="s">
        <v>407</v>
      </c>
      <c r="C11" s="182" t="s">
        <v>258</v>
      </c>
      <c r="D11" s="180">
        <v>6000</v>
      </c>
      <c r="E11" s="179" t="s">
        <v>526</v>
      </c>
      <c r="F11" s="180" t="s">
        <v>510</v>
      </c>
      <c r="G11" s="179" t="s">
        <v>512</v>
      </c>
      <c r="J11" s="179">
        <v>2019</v>
      </c>
    </row>
    <row r="12" spans="1:10">
      <c r="B12" s="179" t="s">
        <v>146</v>
      </c>
      <c r="C12" s="182" t="s">
        <v>258</v>
      </c>
      <c r="D12" s="180">
        <v>4100</v>
      </c>
      <c r="E12" s="179" t="s">
        <v>404</v>
      </c>
      <c r="F12" s="180" t="s">
        <v>409</v>
      </c>
      <c r="G12" s="179" t="s">
        <v>405</v>
      </c>
      <c r="H12" s="179" t="s">
        <v>406</v>
      </c>
      <c r="J12" s="179">
        <v>2021</v>
      </c>
    </row>
    <row r="13" spans="1:10">
      <c r="B13" s="179" t="s">
        <v>421</v>
      </c>
      <c r="C13" s="182" t="s">
        <v>258</v>
      </c>
      <c r="D13" s="180">
        <v>4000</v>
      </c>
      <c r="F13" s="180" t="s">
        <v>492</v>
      </c>
      <c r="J13" s="179">
        <v>2019</v>
      </c>
    </row>
    <row r="14" spans="1:10">
      <c r="B14" s="179" t="s">
        <v>425</v>
      </c>
      <c r="C14" s="182" t="s">
        <v>258</v>
      </c>
      <c r="D14" s="180">
        <v>2000</v>
      </c>
      <c r="G14" s="179" t="s">
        <v>545</v>
      </c>
      <c r="H14" s="179" t="s">
        <v>546</v>
      </c>
      <c r="I14" s="184" t="s">
        <v>547</v>
      </c>
      <c r="J14" s="179">
        <v>2016</v>
      </c>
    </row>
    <row r="15" spans="1:10">
      <c r="B15" s="179" t="s">
        <v>422</v>
      </c>
      <c r="C15" s="182" t="s">
        <v>216</v>
      </c>
      <c r="D15" s="180">
        <v>1980</v>
      </c>
      <c r="E15" s="179" t="s">
        <v>520</v>
      </c>
      <c r="J15" s="179">
        <v>2009</v>
      </c>
    </row>
    <row r="16" spans="1:10">
      <c r="B16" s="179" t="s">
        <v>426</v>
      </c>
      <c r="C16" s="182" t="s">
        <v>258</v>
      </c>
      <c r="D16" s="180">
        <v>1500</v>
      </c>
      <c r="F16" s="180" t="s">
        <v>519</v>
      </c>
      <c r="J16" s="179">
        <v>2021</v>
      </c>
    </row>
    <row r="17" spans="2:10">
      <c r="B17" s="179" t="s">
        <v>428</v>
      </c>
      <c r="C17" s="182" t="s">
        <v>258</v>
      </c>
      <c r="D17" s="180">
        <v>1000</v>
      </c>
      <c r="F17" s="180" t="s">
        <v>518</v>
      </c>
      <c r="J17" s="179">
        <v>2017</v>
      </c>
    </row>
    <row r="18" spans="2:10">
      <c r="B18" s="179" t="s">
        <v>424</v>
      </c>
      <c r="C18" s="182" t="s">
        <v>258</v>
      </c>
      <c r="D18" s="180">
        <v>1000</v>
      </c>
      <c r="F18" s="180" t="s">
        <v>447</v>
      </c>
      <c r="H18" s="179" t="s">
        <v>462</v>
      </c>
      <c r="J18" s="179">
        <v>2021</v>
      </c>
    </row>
    <row r="19" spans="2:10">
      <c r="B19" s="179" t="s">
        <v>440</v>
      </c>
      <c r="C19" s="182" t="s">
        <v>258</v>
      </c>
      <c r="D19" s="180">
        <v>1000</v>
      </c>
      <c r="F19" s="180" t="s">
        <v>441</v>
      </c>
      <c r="J19" s="179">
        <v>2022</v>
      </c>
    </row>
    <row r="20" spans="2:10">
      <c r="B20" s="179" t="s">
        <v>515</v>
      </c>
      <c r="C20" s="182" t="s">
        <v>258</v>
      </c>
      <c r="D20" s="180">
        <v>1000</v>
      </c>
      <c r="E20" s="179" t="s">
        <v>527</v>
      </c>
      <c r="F20" s="180" t="s">
        <v>516</v>
      </c>
      <c r="J20" s="179">
        <v>2022</v>
      </c>
    </row>
    <row r="21" spans="2:10">
      <c r="B21" s="179" t="s">
        <v>413</v>
      </c>
      <c r="C21" s="182" t="s">
        <v>258</v>
      </c>
      <c r="D21" s="180">
        <v>750</v>
      </c>
      <c r="F21" s="180" t="s">
        <v>492</v>
      </c>
      <c r="J21" s="179">
        <v>2019</v>
      </c>
    </row>
    <row r="22" spans="2:10">
      <c r="B22" s="179" t="s">
        <v>408</v>
      </c>
      <c r="C22" s="182" t="s">
        <v>258</v>
      </c>
      <c r="D22" s="180">
        <v>600</v>
      </c>
      <c r="G22" s="179" t="s">
        <v>538</v>
      </c>
      <c r="I22" s="5" t="s">
        <v>349</v>
      </c>
      <c r="J22" s="179">
        <v>2017</v>
      </c>
    </row>
    <row r="23" spans="2:10">
      <c r="B23" s="179" t="s">
        <v>414</v>
      </c>
      <c r="C23" s="182" t="s">
        <v>258</v>
      </c>
      <c r="D23" s="180">
        <v>200</v>
      </c>
      <c r="F23" s="180" t="s">
        <v>514</v>
      </c>
      <c r="J23" s="179">
        <v>2023</v>
      </c>
    </row>
    <row r="24" spans="2:10">
      <c r="B24" s="179" t="s">
        <v>423</v>
      </c>
      <c r="C24" s="182" t="s">
        <v>258</v>
      </c>
      <c r="D24" s="180">
        <v>150</v>
      </c>
      <c r="F24" s="180">
        <v>26</v>
      </c>
      <c r="I24" s="179" t="s">
        <v>475</v>
      </c>
      <c r="J24" s="179">
        <v>2022</v>
      </c>
    </row>
    <row r="25" spans="2:10">
      <c r="B25" s="179" t="s">
        <v>427</v>
      </c>
      <c r="C25" s="182" t="s">
        <v>258</v>
      </c>
      <c r="I25" s="179" t="s">
        <v>517</v>
      </c>
    </row>
    <row r="26" spans="2:10">
      <c r="B26" s="179" t="s">
        <v>429</v>
      </c>
    </row>
    <row r="27" spans="2:10">
      <c r="B27" s="179" t="s">
        <v>430</v>
      </c>
      <c r="F27" s="180">
        <v>65</v>
      </c>
      <c r="J27" s="179">
        <v>2022</v>
      </c>
    </row>
    <row r="28" spans="2:10">
      <c r="B28" s="179" t="s">
        <v>463</v>
      </c>
      <c r="F28" s="180">
        <v>65</v>
      </c>
      <c r="J28" s="181">
        <v>44228</v>
      </c>
    </row>
    <row r="29" spans="2:10">
      <c r="B29" s="179" t="s">
        <v>464</v>
      </c>
      <c r="F29" s="180">
        <v>50</v>
      </c>
      <c r="I29" s="179" t="s">
        <v>249</v>
      </c>
      <c r="J29" s="181">
        <v>44378</v>
      </c>
    </row>
    <row r="30" spans="2:10">
      <c r="B30" s="179" t="s">
        <v>465</v>
      </c>
      <c r="F30" s="180">
        <v>50</v>
      </c>
      <c r="I30" s="179" t="s">
        <v>466</v>
      </c>
      <c r="J30" s="181">
        <v>44440</v>
      </c>
    </row>
    <row r="31" spans="2:10">
      <c r="B31" s="179" t="s">
        <v>467</v>
      </c>
      <c r="F31" s="180">
        <v>42</v>
      </c>
      <c r="J31" s="181">
        <v>44440</v>
      </c>
    </row>
    <row r="32" spans="2:10">
      <c r="B32" s="179" t="s">
        <v>468</v>
      </c>
      <c r="F32" s="180">
        <v>40</v>
      </c>
      <c r="J32" s="181">
        <v>44501</v>
      </c>
    </row>
    <row r="33" spans="2:10">
      <c r="B33" s="179" t="s">
        <v>469</v>
      </c>
      <c r="F33" s="180">
        <v>30</v>
      </c>
      <c r="I33" s="179" t="s">
        <v>470</v>
      </c>
      <c r="J33" s="181">
        <v>44562</v>
      </c>
    </row>
    <row r="34" spans="2:10">
      <c r="B34" s="179" t="s">
        <v>471</v>
      </c>
      <c r="F34" s="180">
        <v>30</v>
      </c>
      <c r="I34" s="179" t="s">
        <v>472</v>
      </c>
      <c r="J34" s="179">
        <v>2021</v>
      </c>
    </row>
    <row r="35" spans="2:10">
      <c r="B35" s="179" t="s">
        <v>473</v>
      </c>
      <c r="F35" s="180">
        <v>27</v>
      </c>
      <c r="I35" s="179" t="s">
        <v>474</v>
      </c>
      <c r="J35" s="179">
        <v>2021</v>
      </c>
    </row>
    <row r="36" spans="2:10">
      <c r="B36" s="179" t="s">
        <v>476</v>
      </c>
      <c r="F36" s="180">
        <v>23</v>
      </c>
      <c r="I36" s="179" t="s">
        <v>477</v>
      </c>
      <c r="J36" s="181">
        <v>44621</v>
      </c>
    </row>
    <row r="37" spans="2:10">
      <c r="B37" s="179" t="s">
        <v>478</v>
      </c>
      <c r="F37" s="180">
        <v>25</v>
      </c>
      <c r="I37" s="179" t="s">
        <v>470</v>
      </c>
      <c r="J37" s="179">
        <v>2021</v>
      </c>
    </row>
    <row r="38" spans="2:10">
      <c r="B38" s="179" t="s">
        <v>528</v>
      </c>
    </row>
    <row r="39" spans="2:10">
      <c r="B39" s="179" t="s">
        <v>437</v>
      </c>
      <c r="I39" s="179" t="s">
        <v>439</v>
      </c>
    </row>
    <row r="40" spans="2:10">
      <c r="B40" s="179" t="s">
        <v>442</v>
      </c>
      <c r="F40" s="180">
        <v>225</v>
      </c>
      <c r="J40" s="179">
        <v>2022</v>
      </c>
    </row>
    <row r="41" spans="2:10">
      <c r="B41" s="179" t="s">
        <v>443</v>
      </c>
    </row>
    <row r="42" spans="2:10">
      <c r="B42" s="179" t="s">
        <v>444</v>
      </c>
    </row>
    <row r="43" spans="2:10">
      <c r="B43" s="179" t="s">
        <v>445</v>
      </c>
      <c r="F43" s="180">
        <v>159</v>
      </c>
    </row>
    <row r="44" spans="2:10">
      <c r="B44" s="179" t="s">
        <v>446</v>
      </c>
      <c r="F44" s="180">
        <v>150</v>
      </c>
    </row>
    <row r="45" spans="2:10">
      <c r="B45" s="179" t="s">
        <v>448</v>
      </c>
      <c r="F45" s="180">
        <v>150</v>
      </c>
    </row>
    <row r="46" spans="2:10">
      <c r="B46" s="179" t="s">
        <v>449</v>
      </c>
      <c r="F46" s="180">
        <v>150</v>
      </c>
    </row>
    <row r="47" spans="2:10">
      <c r="B47" s="179" t="s">
        <v>450</v>
      </c>
      <c r="F47" s="180">
        <v>150</v>
      </c>
    </row>
    <row r="48" spans="2:10">
      <c r="B48" s="179" t="s">
        <v>451</v>
      </c>
      <c r="F48" s="180">
        <v>150</v>
      </c>
    </row>
    <row r="49" spans="2:10">
      <c r="B49" s="179" t="s">
        <v>452</v>
      </c>
      <c r="F49" s="180">
        <v>150</v>
      </c>
    </row>
    <row r="50" spans="2:10">
      <c r="B50" s="179" t="s">
        <v>453</v>
      </c>
      <c r="F50" s="180">
        <v>140</v>
      </c>
    </row>
    <row r="51" spans="2:10">
      <c r="B51" s="179" t="s">
        <v>454</v>
      </c>
      <c r="F51" s="180">
        <v>138</v>
      </c>
    </row>
    <row r="52" spans="2:10">
      <c r="B52" s="179" t="s">
        <v>455</v>
      </c>
      <c r="F52" s="180">
        <v>132</v>
      </c>
    </row>
    <row r="53" spans="2:10">
      <c r="B53" s="179" t="s">
        <v>456</v>
      </c>
      <c r="F53" s="180">
        <v>125</v>
      </c>
    </row>
    <row r="54" spans="2:10">
      <c r="B54" s="179" t="s">
        <v>457</v>
      </c>
      <c r="F54" s="180">
        <v>100</v>
      </c>
    </row>
    <row r="55" spans="2:10">
      <c r="B55" s="179" t="s">
        <v>458</v>
      </c>
      <c r="F55" s="180">
        <v>100</v>
      </c>
      <c r="I55" s="179" t="s">
        <v>460</v>
      </c>
    </row>
    <row r="56" spans="2:10">
      <c r="B56" s="179" t="s">
        <v>459</v>
      </c>
      <c r="F56" s="180">
        <v>100</v>
      </c>
    </row>
    <row r="57" spans="2:10">
      <c r="B57" s="179" t="s">
        <v>461</v>
      </c>
      <c r="F57" s="180">
        <v>100</v>
      </c>
      <c r="J57" s="179">
        <v>2022</v>
      </c>
    </row>
    <row r="58" spans="2:10">
      <c r="B58" s="179" t="s">
        <v>479</v>
      </c>
    </row>
    <row r="59" spans="2:10">
      <c r="B59" s="179" t="s">
        <v>532</v>
      </c>
    </row>
    <row r="60" spans="2:10">
      <c r="B60" s="179" t="s">
        <v>534</v>
      </c>
    </row>
    <row r="61" spans="2:10">
      <c r="B61" s="179" t="s">
        <v>533</v>
      </c>
      <c r="I61" s="5" t="s">
        <v>539</v>
      </c>
    </row>
    <row r="62" spans="2:10">
      <c r="B62" s="179" t="s">
        <v>480</v>
      </c>
    </row>
    <row r="63" spans="2:10">
      <c r="B63" s="179" t="s">
        <v>481</v>
      </c>
    </row>
    <row r="64" spans="2:10">
      <c r="B64" s="179" t="s">
        <v>482</v>
      </c>
    </row>
    <row r="65" spans="2:9">
      <c r="B65" s="179" t="s">
        <v>483</v>
      </c>
    </row>
    <row r="66" spans="2:9">
      <c r="B66" s="179" t="s">
        <v>484</v>
      </c>
    </row>
    <row r="67" spans="2:9">
      <c r="B67" s="179" t="s">
        <v>485</v>
      </c>
    </row>
    <row r="70" spans="2:9">
      <c r="B70" s="95" t="s">
        <v>536</v>
      </c>
    </row>
    <row r="71" spans="2:9">
      <c r="B71" s="179" t="s">
        <v>529</v>
      </c>
      <c r="H71" s="179" t="s">
        <v>531</v>
      </c>
      <c r="I71" s="5" t="s">
        <v>540</v>
      </c>
    </row>
    <row r="72" spans="2:9">
      <c r="B72" s="179" t="s">
        <v>530</v>
      </c>
    </row>
    <row r="73" spans="2:9">
      <c r="B73" s="179" t="s">
        <v>537</v>
      </c>
      <c r="C73" s="5" t="s">
        <v>535</v>
      </c>
    </row>
    <row r="74" spans="2:9">
      <c r="B74" s="179" t="s">
        <v>542</v>
      </c>
      <c r="C74" s="5" t="s">
        <v>541</v>
      </c>
    </row>
    <row r="75" spans="2:9">
      <c r="B75" s="179" t="s">
        <v>543</v>
      </c>
      <c r="C75" s="183" t="s">
        <v>544</v>
      </c>
    </row>
  </sheetData>
  <hyperlinks>
    <hyperlink ref="A1" location="Main!A1" display="Main" xr:uid="{A37A7071-3D61-430B-9870-62023C7BA352}"/>
    <hyperlink ref="C73" r:id="rId1" xr:uid="{61933356-4DAE-46D4-BAAB-523E916DA4CD}"/>
    <hyperlink ref="I22" r:id="rId2" xr:uid="{7C3C37F8-6BFF-44F4-8D86-2F59EFD976D8}"/>
    <hyperlink ref="I61" r:id="rId3" xr:uid="{82D25570-50C8-456F-B7DA-93D23837F857}"/>
    <hyperlink ref="I71" r:id="rId4" xr:uid="{1A3DF5F9-6F01-484D-8DB9-03E61CB068BA}"/>
    <hyperlink ref="C74" r:id="rId5" xr:uid="{EF10DB56-5F70-48B5-A61C-02F154472CAD}"/>
    <hyperlink ref="C75" r:id="rId6" xr:uid="{47D5FBF5-3BBD-473A-BCAE-24754E3588B6}"/>
    <hyperlink ref="I14" r:id="rId7" xr:uid="{07022640-08BF-41D5-A0CC-B198C79145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3" sqref="O3"/>
    </sheetView>
  </sheetViews>
  <sheetFormatPr defaultRowHeight="12.75"/>
  <cols>
    <col min="1" max="1" width="5" style="173" bestFit="1" customWidth="1"/>
    <col min="2" max="2" width="12.7109375" style="173" customWidth="1"/>
    <col min="3" max="16384" width="9.140625" style="173"/>
  </cols>
  <sheetData>
    <row r="1" spans="1:15">
      <c r="A1" s="5" t="s">
        <v>148</v>
      </c>
    </row>
    <row r="2" spans="1:15">
      <c r="B2" s="173" t="s">
        <v>0</v>
      </c>
      <c r="C2" s="173">
        <v>2010</v>
      </c>
      <c r="D2" s="173">
        <f>C2+1</f>
        <v>2011</v>
      </c>
      <c r="E2" s="173">
        <f t="shared" ref="E2:O2" si="0">D2+1</f>
        <v>2012</v>
      </c>
      <c r="F2" s="173">
        <f t="shared" si="0"/>
        <v>2013</v>
      </c>
      <c r="G2" s="173">
        <f t="shared" si="0"/>
        <v>2014</v>
      </c>
      <c r="H2" s="173">
        <f t="shared" si="0"/>
        <v>2015</v>
      </c>
      <c r="I2" s="173">
        <f t="shared" si="0"/>
        <v>2016</v>
      </c>
      <c r="J2" s="173">
        <f t="shared" si="0"/>
        <v>2017</v>
      </c>
      <c r="K2" s="173">
        <f t="shared" si="0"/>
        <v>2018</v>
      </c>
      <c r="L2" s="173">
        <f t="shared" si="0"/>
        <v>2019</v>
      </c>
      <c r="M2" s="173">
        <f t="shared" si="0"/>
        <v>2020</v>
      </c>
      <c r="N2" s="173">
        <f t="shared" si="0"/>
        <v>2021</v>
      </c>
      <c r="O2" s="173">
        <f t="shared" si="0"/>
        <v>2022</v>
      </c>
    </row>
    <row r="3" spans="1:15">
      <c r="B3" s="177" t="s">
        <v>509</v>
      </c>
      <c r="C3" s="174">
        <f>SUM(C5:C25)</f>
        <v>62484</v>
      </c>
      <c r="D3" s="174">
        <f t="shared" ref="D3:O3" si="1">SUM(D5:D25)</f>
        <v>69943</v>
      </c>
      <c r="E3" s="174">
        <f t="shared" si="1"/>
        <v>119762</v>
      </c>
      <c r="F3" s="174">
        <f t="shared" si="1"/>
        <v>141240</v>
      </c>
      <c r="G3" s="174">
        <f t="shared" si="1"/>
        <v>169944</v>
      </c>
      <c r="H3" s="174">
        <f t="shared" si="1"/>
        <v>194377</v>
      </c>
      <c r="I3" s="174">
        <f t="shared" si="1"/>
        <v>253177</v>
      </c>
      <c r="J3" s="174">
        <f t="shared" si="1"/>
        <v>305432</v>
      </c>
      <c r="K3" s="174">
        <f t="shared" si="1"/>
        <v>371389</v>
      </c>
      <c r="L3" s="174">
        <f t="shared" si="1"/>
        <v>436330</v>
      </c>
      <c r="M3" s="174">
        <f t="shared" si="1"/>
        <v>503965</v>
      </c>
      <c r="N3" s="174">
        <f t="shared" si="1"/>
        <v>718643</v>
      </c>
      <c r="O3" s="178">
        <f t="shared" si="1"/>
        <v>825015.8</v>
      </c>
    </row>
    <row r="5" spans="1:15">
      <c r="B5" s="173" t="s">
        <v>9</v>
      </c>
      <c r="E5" s="174">
        <v>46039</v>
      </c>
      <c r="F5" s="174">
        <v>55519</v>
      </c>
      <c r="G5" s="174">
        <v>66001</v>
      </c>
      <c r="H5" s="174">
        <v>74989</v>
      </c>
      <c r="I5" s="174">
        <v>90272</v>
      </c>
      <c r="J5" s="174">
        <v>110855</v>
      </c>
      <c r="K5" s="174">
        <v>136819</v>
      </c>
      <c r="L5" s="174">
        <v>161857</v>
      </c>
      <c r="M5" s="174">
        <v>182527</v>
      </c>
      <c r="N5" s="174">
        <v>257637</v>
      </c>
      <c r="O5" s="174">
        <v>282836</v>
      </c>
    </row>
    <row r="6" spans="1:15">
      <c r="B6" s="173" t="s">
        <v>7</v>
      </c>
      <c r="C6" s="174">
        <v>62484</v>
      </c>
      <c r="D6" s="174">
        <v>69943</v>
      </c>
      <c r="E6" s="174">
        <v>73723</v>
      </c>
      <c r="F6" s="174">
        <v>77849</v>
      </c>
      <c r="G6" s="174">
        <v>86833</v>
      </c>
      <c r="H6" s="174">
        <v>93580</v>
      </c>
      <c r="I6" s="174">
        <v>85320</v>
      </c>
      <c r="J6" s="174">
        <v>96571</v>
      </c>
      <c r="K6" s="174">
        <v>110360</v>
      </c>
      <c r="L6" s="174">
        <v>125843</v>
      </c>
      <c r="M6" s="174">
        <v>143015</v>
      </c>
      <c r="N6" s="174">
        <v>184903</v>
      </c>
      <c r="O6" s="174">
        <v>204094</v>
      </c>
    </row>
    <row r="7" spans="1:15">
      <c r="B7" s="173" t="s">
        <v>13</v>
      </c>
      <c r="F7" s="174">
        <v>7872</v>
      </c>
      <c r="G7" s="174">
        <v>12466</v>
      </c>
      <c r="H7" s="174">
        <v>17928</v>
      </c>
      <c r="I7" s="174">
        <v>27638</v>
      </c>
      <c r="J7" s="174">
        <v>40653</v>
      </c>
      <c r="K7" s="174">
        <v>55838</v>
      </c>
      <c r="L7" s="174">
        <v>70697</v>
      </c>
      <c r="M7" s="174">
        <v>85965</v>
      </c>
      <c r="N7" s="174">
        <v>117929</v>
      </c>
      <c r="O7" s="174">
        <v>116609</v>
      </c>
    </row>
    <row r="8" spans="1:15">
      <c r="B8" s="173" t="s">
        <v>496</v>
      </c>
      <c r="G8" s="174">
        <v>4644</v>
      </c>
      <c r="H8" s="174">
        <v>7880</v>
      </c>
      <c r="I8" s="174">
        <v>12219</v>
      </c>
      <c r="J8" s="174">
        <v>17459</v>
      </c>
      <c r="K8" s="174">
        <v>25655</v>
      </c>
      <c r="L8" s="174">
        <v>35026</v>
      </c>
      <c r="M8" s="174">
        <v>45370</v>
      </c>
      <c r="N8" s="174">
        <v>62202</v>
      </c>
      <c r="O8" s="174">
        <v>80096</v>
      </c>
    </row>
    <row r="9" spans="1:15">
      <c r="B9" s="173" t="s">
        <v>23</v>
      </c>
      <c r="I9" s="174">
        <v>37728</v>
      </c>
      <c r="J9" s="174">
        <v>39831</v>
      </c>
      <c r="K9" s="174">
        <v>39506</v>
      </c>
      <c r="L9" s="174">
        <v>39068</v>
      </c>
      <c r="M9" s="174">
        <v>40479</v>
      </c>
      <c r="N9" s="174">
        <v>42440</v>
      </c>
      <c r="O9" s="174">
        <v>46073</v>
      </c>
    </row>
    <row r="10" spans="1:15">
      <c r="B10" s="173" t="s">
        <v>25</v>
      </c>
      <c r="N10" s="174">
        <v>27843</v>
      </c>
      <c r="O10" s="175">
        <f>N10*1.1</f>
        <v>30627.300000000003</v>
      </c>
    </row>
    <row r="11" spans="1:15">
      <c r="B11" s="173" t="s">
        <v>21</v>
      </c>
      <c r="O11" s="175">
        <v>30294</v>
      </c>
    </row>
    <row r="12" spans="1:15">
      <c r="B12" s="173" t="s">
        <v>19</v>
      </c>
      <c r="N12" s="174">
        <v>15785</v>
      </c>
      <c r="O12" s="175">
        <f>N12*1.1</f>
        <v>17363.5</v>
      </c>
    </row>
    <row r="13" spans="1:15">
      <c r="B13" s="173" t="s">
        <v>497</v>
      </c>
      <c r="J13" s="174">
        <v>63</v>
      </c>
      <c r="K13" s="174">
        <v>150</v>
      </c>
      <c r="L13" s="174">
        <v>350</v>
      </c>
      <c r="M13" s="174">
        <v>2640</v>
      </c>
      <c r="N13" s="174">
        <v>4697</v>
      </c>
      <c r="O13" s="174">
        <v>9401</v>
      </c>
    </row>
    <row r="14" spans="1:15">
      <c r="B14" s="173" t="s">
        <v>266</v>
      </c>
    </row>
    <row r="15" spans="1:15">
      <c r="B15" s="173" t="s">
        <v>44</v>
      </c>
    </row>
    <row r="16" spans="1:15">
      <c r="B16" s="173" t="s">
        <v>180</v>
      </c>
    </row>
    <row r="17" spans="2:15">
      <c r="B17" s="173" t="s">
        <v>29</v>
      </c>
    </row>
    <row r="18" spans="2:15">
      <c r="B18" s="173" t="s">
        <v>498</v>
      </c>
    </row>
    <row r="19" spans="2:15">
      <c r="B19" s="177" t="s">
        <v>182</v>
      </c>
      <c r="K19" s="174">
        <v>3061</v>
      </c>
      <c r="L19" s="174">
        <v>3489</v>
      </c>
      <c r="M19" s="174">
        <v>3969</v>
      </c>
      <c r="N19" s="174">
        <v>5107</v>
      </c>
      <c r="O19" s="174">
        <v>6622</v>
      </c>
    </row>
    <row r="20" spans="2:15">
      <c r="B20" s="173" t="s">
        <v>33</v>
      </c>
    </row>
    <row r="21" spans="2:15">
      <c r="B21" s="173" t="s">
        <v>403</v>
      </c>
      <c r="N21" s="174">
        <v>100</v>
      </c>
      <c r="O21" s="174">
        <v>1000</v>
      </c>
    </row>
    <row r="22" spans="2:15">
      <c r="B22" s="173" t="s">
        <v>40</v>
      </c>
    </row>
    <row r="23" spans="2:15">
      <c r="B23" s="173" t="s">
        <v>50</v>
      </c>
    </row>
    <row r="24" spans="2:15">
      <c r="B24" s="173" t="s">
        <v>52</v>
      </c>
    </row>
    <row r="25" spans="2:15">
      <c r="B25" s="173" t="s">
        <v>306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8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4">
      <c r="A1" s="5" t="s">
        <v>148</v>
      </c>
    </row>
    <row r="2" spans="1:24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</row>
    <row r="4" spans="1:24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>
      <c r="A5" s="82" t="s">
        <v>263</v>
      </c>
      <c r="B5" s="5" t="s">
        <v>19</v>
      </c>
      <c r="C5" s="20" t="s">
        <v>20</v>
      </c>
      <c r="D5" s="21">
        <v>309.18</v>
      </c>
      <c r="E5" s="22">
        <f>+D5*[26]Main!$N$3</f>
        <v>146087.55000000002</v>
      </c>
      <c r="F5" s="22">
        <f>+[26]Main!$N$5-[26]Main!$N$6</f>
        <v>1173</v>
      </c>
      <c r="G5" s="22">
        <f t="shared" ref="G5:G7" si="0">+E5-F5</f>
        <v>144914.55000000002</v>
      </c>
      <c r="H5" s="22">
        <f>+[26]Main!$N$3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>
      <c r="A6" s="82" t="s">
        <v>263</v>
      </c>
      <c r="B6" s="5" t="s">
        <v>269</v>
      </c>
      <c r="C6" s="82" t="s">
        <v>270</v>
      </c>
      <c r="D6" s="155">
        <v>12025</v>
      </c>
      <c r="E6" s="22">
        <f>D6*H6/JPY</f>
        <v>108755.68776016941</v>
      </c>
      <c r="F6" s="22">
        <f>([27]Main!$O$7-[27]Main!$O$8)/JPY</f>
        <v>3147.411085956328</v>
      </c>
      <c r="G6" s="22">
        <f t="shared" si="0"/>
        <v>105608.27667421309</v>
      </c>
      <c r="H6" s="22">
        <f>[27]Main!$O$4</f>
        <v>1238.413</v>
      </c>
      <c r="I6" s="156" t="s">
        <v>392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>
      <c r="A7" s="154" t="s">
        <v>263</v>
      </c>
      <c r="B7" s="5" t="s">
        <v>269</v>
      </c>
      <c r="C7" s="154" t="s">
        <v>393</v>
      </c>
      <c r="D7" s="21">
        <v>87.8</v>
      </c>
      <c r="E7" s="22">
        <f>D7*H7</f>
        <v>108732.6614</v>
      </c>
      <c r="F7" s="22">
        <f>([27]Main!$O$7-[27]Main!$O$8)/JPY</f>
        <v>3147.411085956328</v>
      </c>
      <c r="G7" s="22">
        <f t="shared" si="0"/>
        <v>105585.25031404367</v>
      </c>
      <c r="H7" s="22">
        <f>[27]Main!$O$4</f>
        <v>1238.413</v>
      </c>
      <c r="I7" s="156" t="s">
        <v>392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>
      <c r="A8" s="85" t="s">
        <v>263</v>
      </c>
      <c r="B8" s="85" t="s">
        <v>273</v>
      </c>
      <c r="C8" s="85" t="s">
        <v>274</v>
      </c>
      <c r="D8" s="21"/>
      <c r="E8" s="22"/>
      <c r="F8" s="22"/>
      <c r="G8" s="22"/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>
      <c r="A9" s="87" t="s">
        <v>263</v>
      </c>
      <c r="B9" s="5" t="s">
        <v>177</v>
      </c>
      <c r="C9" s="10" t="s">
        <v>178</v>
      </c>
      <c r="D9" s="10">
        <v>73.88</v>
      </c>
      <c r="E9" s="52">
        <f>+D9*H9</f>
        <v>57820.358567719995</v>
      </c>
      <c r="F9" s="52">
        <f>+[28]Main!$J$5-[28]Main!$J$6</f>
        <v>7078</v>
      </c>
      <c r="G9" s="22">
        <f t="shared" ref="G9" si="1">+E9-F9</f>
        <v>50742.358567719995</v>
      </c>
      <c r="H9" s="52">
        <f>+[28]Main!$J$3</f>
        <v>782.62531899999999</v>
      </c>
      <c r="I9" s="145" t="s">
        <v>361</v>
      </c>
      <c r="J9" s="67">
        <v>44946</v>
      </c>
    </row>
    <row r="10" spans="1:24">
      <c r="A10" s="87" t="s">
        <v>263</v>
      </c>
      <c r="B10" s="10" t="s">
        <v>179</v>
      </c>
      <c r="C10" s="46" t="s">
        <v>242</v>
      </c>
      <c r="D10" s="52">
        <v>59910</v>
      </c>
      <c r="E10" s="52" cm="1">
        <f t="array" ref="E10">6975000/JPY</f>
        <v>50938.435697071494</v>
      </c>
    </row>
    <row r="11" spans="1:24">
      <c r="A11" s="88" t="s">
        <v>263</v>
      </c>
      <c r="B11" s="88" t="s">
        <v>277</v>
      </c>
      <c r="C11" s="88" t="s">
        <v>278</v>
      </c>
      <c r="D11" s="52"/>
      <c r="E11" s="52"/>
    </row>
    <row r="12" spans="1:24">
      <c r="A12" s="98" t="s">
        <v>263</v>
      </c>
      <c r="B12" s="98" t="s">
        <v>295</v>
      </c>
      <c r="C12" s="98" t="s">
        <v>296</v>
      </c>
      <c r="D12" s="52"/>
      <c r="E12" s="52"/>
    </row>
    <row r="13" spans="1:24">
      <c r="A13" s="98" t="s">
        <v>263</v>
      </c>
      <c r="B13" s="5" t="s">
        <v>173</v>
      </c>
      <c r="C13" s="10" t="s">
        <v>174</v>
      </c>
      <c r="D13" s="10">
        <v>130.47999999999999</v>
      </c>
      <c r="E13" s="52">
        <f>+D13*H13</f>
        <v>36664.879999999997</v>
      </c>
      <c r="F13" s="52">
        <f>+[29]Main!$N$5-[29]Main!$N$6</f>
        <v>538</v>
      </c>
      <c r="G13" s="52">
        <f>+E13-F13</f>
        <v>36126.879999999997</v>
      </c>
      <c r="H13" s="10">
        <f>+[29]Main!$N$3</f>
        <v>281</v>
      </c>
      <c r="I13" s="66" t="s">
        <v>210</v>
      </c>
      <c r="J13" s="67">
        <v>44799</v>
      </c>
      <c r="X13" s="10">
        <v>1982</v>
      </c>
    </row>
    <row r="14" spans="1:24" s="1" customFormat="1">
      <c r="A14" s="1" t="s">
        <v>263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[30]Main!$L$5-[30]Main!$L$6</f>
        <v>1988</v>
      </c>
      <c r="G14" s="3">
        <f>+E14-F14</f>
        <v>20861.913459200001</v>
      </c>
      <c r="H14" s="3">
        <f>[30]Main!$L$3</f>
        <v>605.13542000000007</v>
      </c>
      <c r="I14" s="4" t="s">
        <v>392</v>
      </c>
      <c r="J14" s="153">
        <v>44987</v>
      </c>
      <c r="X14" s="1">
        <v>2004</v>
      </c>
    </row>
    <row r="15" spans="1:24" s="1" customFormat="1">
      <c r="A15" s="1" t="s">
        <v>263</v>
      </c>
      <c r="B15" s="137" t="s">
        <v>342</v>
      </c>
      <c r="C15" s="1" t="s">
        <v>343</v>
      </c>
      <c r="D15" s="2"/>
      <c r="E15" s="3"/>
      <c r="F15" s="3"/>
      <c r="G15" s="3"/>
      <c r="H15" s="4"/>
      <c r="I15" s="4"/>
    </row>
    <row r="16" spans="1:24">
      <c r="B16" s="10" t="s">
        <v>175</v>
      </c>
      <c r="C16" s="10" t="s">
        <v>176</v>
      </c>
      <c r="D16" s="10">
        <v>127.74</v>
      </c>
      <c r="E16" s="52">
        <v>21290</v>
      </c>
    </row>
    <row r="17" spans="2:23" s="1" customFormat="1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3" s="1" customFormat="1">
      <c r="B18" s="1" t="s">
        <v>261</v>
      </c>
      <c r="C18" s="1" t="s">
        <v>262</v>
      </c>
      <c r="D18" s="2"/>
      <c r="E18" s="3"/>
      <c r="F18" s="4"/>
      <c r="G18" s="4"/>
      <c r="H18" s="4"/>
    </row>
    <row r="19" spans="2:23" s="20" customFormat="1">
      <c r="B19" s="114" t="s">
        <v>75</v>
      </c>
      <c r="C19" s="20" t="s">
        <v>76</v>
      </c>
      <c r="D19" s="21">
        <v>102.23</v>
      </c>
      <c r="E19" s="22">
        <f>+D19*[31]Main!$K$3</f>
        <v>20147.20788088</v>
      </c>
      <c r="F19" s="22">
        <f>+[31]Main!$K$5-[31]Main!$K$6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3" s="20" customFormat="1">
      <c r="B20" s="65" t="s">
        <v>260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s="20" customFormat="1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>
      <c r="B24" s="1" t="s">
        <v>54</v>
      </c>
      <c r="C24" s="1"/>
      <c r="D24" s="2"/>
      <c r="E24" s="3">
        <v>31500</v>
      </c>
    </row>
    <row r="25" spans="2:23" s="20" customFormat="1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s="20" customFormat="1">
      <c r="B26" s="20" t="s">
        <v>112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3">
      <c r="B27" s="63" t="s">
        <v>259</v>
      </c>
    </row>
    <row r="28" spans="2:23">
      <c r="B28" s="166" t="s">
        <v>490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tabSelected="1"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8" sqref="J8"/>
    </sheetView>
  </sheetViews>
  <sheetFormatPr defaultRowHeight="12.75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>
      <c r="A1" s="5" t="s">
        <v>148</v>
      </c>
    </row>
    <row r="2" spans="1:24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>
      <c r="A7" s="82" t="s">
        <v>263</v>
      </c>
      <c r="B7" s="143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[32]Main!$L$5-[32]Main!$L$6</f>
        <v>-2851</v>
      </c>
      <c r="G7" s="22">
        <f>E7-F7</f>
        <v>119466.20633988002</v>
      </c>
      <c r="H7" s="22">
        <f>+[32]Main!$L$3</f>
        <v>281.86987900000003</v>
      </c>
      <c r="I7" s="132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>
      <c r="A8" s="84" t="s">
        <v>263</v>
      </c>
      <c r="B8" s="187" t="s">
        <v>31</v>
      </c>
      <c r="C8" s="57" t="s">
        <v>32</v>
      </c>
      <c r="D8" s="60">
        <v>71.81</v>
      </c>
      <c r="E8" s="3">
        <f>D8*H8</f>
        <v>82150.64</v>
      </c>
      <c r="F8" s="70">
        <f>[37]Main!$M$5-[37]Main!$M$6</f>
        <v>5469</v>
      </c>
      <c r="G8" s="22">
        <f>E8-F8</f>
        <v>76681.64</v>
      </c>
      <c r="H8" s="70">
        <f>[37]Main!$M$3</f>
        <v>1144</v>
      </c>
      <c r="I8" s="188" t="s">
        <v>392</v>
      </c>
      <c r="J8" s="43">
        <v>45069</v>
      </c>
    </row>
    <row r="9" spans="1:24">
      <c r="A9" s="87" t="s">
        <v>263</v>
      </c>
      <c r="B9" s="87" t="s">
        <v>275</v>
      </c>
      <c r="C9" s="87" t="s">
        <v>276</v>
      </c>
    </row>
    <row r="10" spans="1:24">
      <c r="A10" s="88" t="s">
        <v>263</v>
      </c>
      <c r="B10" s="88" t="s">
        <v>279</v>
      </c>
      <c r="C10" s="88" t="s">
        <v>280</v>
      </c>
    </row>
    <row r="11" spans="1:24" s="52" customFormat="1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>
      <c r="A22" s="108" t="s">
        <v>263</v>
      </c>
      <c r="B22" s="117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>
      <c r="B28" s="167" t="s">
        <v>59</v>
      </c>
      <c r="C28" s="167"/>
      <c r="D28" s="168">
        <v>0</v>
      </c>
      <c r="E28" s="169">
        <v>26000</v>
      </c>
    </row>
    <row r="29" spans="1:23">
      <c r="B29" s="57" t="s">
        <v>87</v>
      </c>
      <c r="C29" s="57"/>
      <c r="D29" s="61">
        <v>0</v>
      </c>
      <c r="E29" s="3">
        <v>15000</v>
      </c>
    </row>
    <row r="30" spans="1:23">
      <c r="B30" s="56" t="s">
        <v>252</v>
      </c>
      <c r="D30" s="61">
        <v>0</v>
      </c>
      <c r="E30" s="68">
        <v>75</v>
      </c>
    </row>
    <row r="31" spans="1:23">
      <c r="B31" s="62" t="s">
        <v>254</v>
      </c>
      <c r="D31" s="61">
        <v>0</v>
      </c>
    </row>
    <row r="32" spans="1:23">
      <c r="B32" s="94" t="s">
        <v>285</v>
      </c>
      <c r="E32" s="68">
        <v>424</v>
      </c>
    </row>
    <row r="33" spans="2:5">
      <c r="B33" s="94" t="s">
        <v>287</v>
      </c>
      <c r="E33" s="68">
        <v>159.5</v>
      </c>
    </row>
    <row r="34" spans="2:5">
      <c r="B34" s="166" t="s">
        <v>491</v>
      </c>
    </row>
    <row r="35" spans="2:5">
      <c r="B35" s="166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/>
  <cols>
    <col min="1" max="1" width="5" style="10" bestFit="1" customWidth="1"/>
    <col min="2" max="2" width="11.85546875" style="10" customWidth="1"/>
    <col min="3" max="16384" width="9.140625" style="10"/>
  </cols>
  <sheetData>
    <row r="1" spans="1:24">
      <c r="A1" s="5" t="s">
        <v>148</v>
      </c>
    </row>
    <row r="2" spans="1:24" s="72" customFormat="1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>
      <c r="A3" s="72" t="s">
        <v>263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>
      <c r="A4" s="72" t="s">
        <v>263</v>
      </c>
      <c r="B4" s="5" t="s">
        <v>17</v>
      </c>
      <c r="C4" s="20" t="s">
        <v>18</v>
      </c>
      <c r="D4" s="21">
        <v>115.9</v>
      </c>
      <c r="E4" s="22">
        <f>D4*[33]Main!$L$3</f>
        <v>310046.98749999999</v>
      </c>
      <c r="F4" s="22" cm="1">
        <f t="array" ref="F4">([33]Main!$L$5-[33]Main!$L$6)/RMB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>
      <c r="A5" s="72" t="s">
        <v>263</v>
      </c>
      <c r="B5" s="5" t="s">
        <v>17</v>
      </c>
      <c r="C5" s="1" t="s">
        <v>18</v>
      </c>
      <c r="D5" s="2">
        <v>115.9</v>
      </c>
      <c r="E5" s="3">
        <f>D5*[33]Main!$L$3</f>
        <v>310046.98749999999</v>
      </c>
      <c r="F5" s="3" cm="1">
        <f t="array" ref="F5">([33]Main!$L$5-[33]Main!$L$6)/RMB</f>
        <v>119719.43620178041</v>
      </c>
      <c r="G5" s="3">
        <f>+E5-F5</f>
        <v>190327.55129821959</v>
      </c>
      <c r="I5" s="4" t="s">
        <v>14</v>
      </c>
    </row>
    <row r="6" spans="1:24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>
      <c r="A7" s="82" t="s">
        <v>263</v>
      </c>
      <c r="B7" s="82" t="s">
        <v>264</v>
      </c>
      <c r="C7" s="82" t="s">
        <v>265</v>
      </c>
    </row>
    <row r="8" spans="1:24">
      <c r="A8" s="86" t="s">
        <v>263</v>
      </c>
      <c r="B8" s="11" t="s">
        <v>208</v>
      </c>
      <c r="C8" s="11" t="s">
        <v>209</v>
      </c>
    </row>
    <row r="9" spans="1:24">
      <c r="A9" s="87" t="s">
        <v>263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+[34]Main!$L$5-[34]Main!$L$6</f>
        <v>7643.4470000000001</v>
      </c>
      <c r="G9" s="22">
        <f>E9-F9</f>
        <v>66071.040644859997</v>
      </c>
      <c r="H9" s="52">
        <f>+[34]Main!$L$3</f>
        <v>633.17718300000001</v>
      </c>
      <c r="I9" s="152" t="s">
        <v>361</v>
      </c>
      <c r="J9" s="67">
        <v>44971</v>
      </c>
    </row>
    <row r="10" spans="1:24">
      <c r="A10" s="86" t="s">
        <v>263</v>
      </c>
      <c r="B10" s="11" t="s">
        <v>206</v>
      </c>
      <c r="C10" s="11" t="s">
        <v>207</v>
      </c>
    </row>
    <row r="11" spans="1:24">
      <c r="A11" s="98" t="s">
        <v>263</v>
      </c>
      <c r="B11" s="98" t="s">
        <v>295</v>
      </c>
      <c r="C11" s="98" t="s">
        <v>296</v>
      </c>
    </row>
    <row r="12" spans="1:24">
      <c r="A12" s="96" t="s">
        <v>263</v>
      </c>
      <c r="B12" s="10" t="s">
        <v>42</v>
      </c>
      <c r="C12" s="10" t="s">
        <v>43</v>
      </c>
    </row>
    <row r="13" spans="1:24" s="20" customFormat="1">
      <c r="A13" s="98" t="s">
        <v>263</v>
      </c>
      <c r="B13" s="5" t="s">
        <v>36</v>
      </c>
      <c r="C13" s="20" t="s">
        <v>37</v>
      </c>
      <c r="D13" s="21">
        <v>36.71</v>
      </c>
      <c r="E13" s="22">
        <f>+D13*[35]Main!$M$3</f>
        <v>46254.6</v>
      </c>
      <c r="F13" s="22">
        <f>+[35]Main!$M$5-[35]Main!$M$6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>
      <c r="A14" s="98" t="s">
        <v>263</v>
      </c>
      <c r="B14" s="98" t="s">
        <v>297</v>
      </c>
      <c r="C14" s="98" t="s">
        <v>298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>
      <c r="A16" s="108" t="s">
        <v>263</v>
      </c>
      <c r="B16" s="108" t="s">
        <v>313</v>
      </c>
      <c r="C16" s="108" t="s">
        <v>314</v>
      </c>
    </row>
    <row r="17" spans="1:23">
      <c r="A17" s="108" t="s">
        <v>263</v>
      </c>
      <c r="B17" s="108" t="s">
        <v>315</v>
      </c>
      <c r="C17" s="108" t="s">
        <v>316</v>
      </c>
    </row>
    <row r="18" spans="1:23">
      <c r="A18" s="110" t="s">
        <v>263</v>
      </c>
      <c r="B18" s="110" t="s">
        <v>319</v>
      </c>
      <c r="C18" s="110" t="s">
        <v>320</v>
      </c>
    </row>
    <row r="19" spans="1:23">
      <c r="A19" s="111" t="s">
        <v>263</v>
      </c>
      <c r="B19" s="111" t="s">
        <v>321</v>
      </c>
      <c r="C19" s="111" t="s">
        <v>322</v>
      </c>
    </row>
    <row r="20" spans="1:23">
      <c r="A20" s="135" t="s">
        <v>263</v>
      </c>
      <c r="B20" s="10" t="s">
        <v>163</v>
      </c>
      <c r="C20" s="10" t="s">
        <v>164</v>
      </c>
    </row>
    <row r="21" spans="1:23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>
      <c r="B22" s="10" t="s">
        <v>165</v>
      </c>
      <c r="C22" s="10" t="s">
        <v>166</v>
      </c>
    </row>
    <row r="23" spans="1:23" s="20" customFormat="1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>
      <c r="B24" s="5" t="s">
        <v>389</v>
      </c>
      <c r="C24" s="147" t="s">
        <v>390</v>
      </c>
      <c r="D24" s="10">
        <v>8.86</v>
      </c>
      <c r="E24" s="52">
        <f>+D24*H24</f>
        <v>963.51364147999993</v>
      </c>
      <c r="F24" s="52">
        <f>+[36]Main!$K$5-[36]Main!$K$6</f>
        <v>-1163.2909999999999</v>
      </c>
      <c r="G24" s="52">
        <f>+E24-F24</f>
        <v>2126.8046414800001</v>
      </c>
      <c r="H24" s="52">
        <f>+[36]Main!$K$3</f>
        <v>108.748718</v>
      </c>
      <c r="I24" s="151" t="s">
        <v>361</v>
      </c>
      <c r="J24" s="67">
        <v>44965</v>
      </c>
    </row>
    <row r="25" spans="1:23">
      <c r="B25" s="150" t="s">
        <v>391</v>
      </c>
    </row>
    <row r="29" spans="1:23">
      <c r="B29" s="1" t="s">
        <v>121</v>
      </c>
      <c r="C29" s="1"/>
      <c r="D29" s="2"/>
      <c r="E29" s="3">
        <v>8333</v>
      </c>
    </row>
    <row r="30" spans="1:23">
      <c r="B30" s="20" t="s">
        <v>64</v>
      </c>
      <c r="C30" s="20"/>
      <c r="D30" s="21"/>
      <c r="E30" s="22">
        <v>22000</v>
      </c>
    </row>
    <row r="31" spans="1:23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/>
  <cols>
    <col min="1" max="1" width="5" style="10" bestFit="1" customWidth="1"/>
    <col min="2" max="2" width="17" style="10" bestFit="1" customWidth="1"/>
    <col min="3" max="16384" width="9.140625" style="10"/>
  </cols>
  <sheetData>
    <row r="1" spans="1:8">
      <c r="A1" s="5" t="s">
        <v>148</v>
      </c>
    </row>
    <row r="2" spans="1:8">
      <c r="B2" s="10" t="s">
        <v>0</v>
      </c>
      <c r="C2" s="10" t="s">
        <v>1</v>
      </c>
      <c r="D2" s="10" t="s">
        <v>2</v>
      </c>
      <c r="E2" s="10" t="s">
        <v>3</v>
      </c>
    </row>
    <row r="3" spans="1:8">
      <c r="A3" s="89" t="s">
        <v>263</v>
      </c>
      <c r="B3" s="10" t="s">
        <v>157</v>
      </c>
      <c r="C3" s="10" t="s">
        <v>158</v>
      </c>
    </row>
    <row r="4" spans="1:8">
      <c r="A4" s="90" t="s">
        <v>263</v>
      </c>
      <c r="B4" s="10" t="s">
        <v>162</v>
      </c>
      <c r="C4" s="10" t="s">
        <v>161</v>
      </c>
    </row>
    <row r="5" spans="1:8">
      <c r="A5" s="92" t="s">
        <v>263</v>
      </c>
      <c r="B5" s="10" t="s">
        <v>159</v>
      </c>
      <c r="C5" s="10" t="s">
        <v>160</v>
      </c>
    </row>
    <row r="6" spans="1:8">
      <c r="A6" s="101" t="s">
        <v>263</v>
      </c>
      <c r="B6" s="101" t="s">
        <v>302</v>
      </c>
      <c r="C6" s="101" t="s">
        <v>303</v>
      </c>
    </row>
    <row r="7" spans="1:8" s="1" customFormat="1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>
      <c r="B8" s="10" t="s">
        <v>199</v>
      </c>
      <c r="C8" s="10" t="s">
        <v>200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/>
  <cols>
    <col min="1" max="1" width="5" style="45" bestFit="1" customWidth="1"/>
    <col min="2" max="16384" width="9.140625" style="45"/>
  </cols>
  <sheetData>
    <row r="1" spans="1:3">
      <c r="A1" s="5" t="s">
        <v>148</v>
      </c>
    </row>
    <row r="2" spans="1:3">
      <c r="B2" s="45" t="s">
        <v>152</v>
      </c>
      <c r="C2" s="45">
        <v>7.8498000000000001</v>
      </c>
    </row>
    <row r="3" spans="1:3">
      <c r="B3" s="45" t="s">
        <v>153</v>
      </c>
      <c r="C3" s="45">
        <v>6.74</v>
      </c>
    </row>
    <row r="4" spans="1:3">
      <c r="B4" s="45" t="s">
        <v>217</v>
      </c>
      <c r="C4" s="45">
        <v>1.01</v>
      </c>
    </row>
    <row r="5" spans="1:3">
      <c r="B5" s="45" t="s">
        <v>235</v>
      </c>
      <c r="C5" s="45">
        <v>10.3437</v>
      </c>
    </row>
    <row r="6" spans="1:3">
      <c r="B6" s="46" t="s">
        <v>243</v>
      </c>
      <c r="C6" s="45">
        <v>136.93</v>
      </c>
    </row>
    <row r="7" spans="1:3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RowHeight="12.75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>
      <c r="A1" s="5" t="s">
        <v>148</v>
      </c>
    </row>
    <row r="2" spans="1:7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>
      <c r="B3" s="8" t="s">
        <v>33</v>
      </c>
      <c r="C3" s="7">
        <v>100000</v>
      </c>
      <c r="D3" s="12" t="s">
        <v>214</v>
      </c>
    </row>
    <row r="4" spans="1:7">
      <c r="B4" s="6" t="s">
        <v>87</v>
      </c>
      <c r="C4" s="7">
        <v>15000</v>
      </c>
      <c r="D4" s="12" t="s">
        <v>214</v>
      </c>
    </row>
    <row r="5" spans="1:7">
      <c r="B5" s="6" t="s">
        <v>126</v>
      </c>
      <c r="C5" s="7">
        <v>8000</v>
      </c>
      <c r="D5" s="12" t="s">
        <v>215</v>
      </c>
    </row>
    <row r="6" spans="1:7">
      <c r="B6" s="6" t="s">
        <v>146</v>
      </c>
      <c r="D6" s="12" t="s">
        <v>216</v>
      </c>
    </row>
    <row r="7" spans="1:7">
      <c r="B7" s="6" t="s">
        <v>147</v>
      </c>
      <c r="D7" s="12" t="s">
        <v>216</v>
      </c>
    </row>
    <row r="8" spans="1:7">
      <c r="B8" s="12" t="s">
        <v>211</v>
      </c>
      <c r="D8" s="12" t="s">
        <v>212</v>
      </c>
    </row>
    <row r="9" spans="1:7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>
      <c r="B10" s="53" t="s">
        <v>248</v>
      </c>
      <c r="D10" s="53" t="s">
        <v>249</v>
      </c>
      <c r="E10" s="6">
        <v>2021</v>
      </c>
      <c r="G10" s="53" t="s">
        <v>251</v>
      </c>
    </row>
    <row r="11" spans="1:7">
      <c r="B11" s="163" t="s">
        <v>401</v>
      </c>
      <c r="D11" s="163" t="s">
        <v>402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AI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2023-05-05T03:50:07Z</dcterms:modified>
  <cp:category/>
  <cp:contentStatus/>
</cp:coreProperties>
</file>