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2B6D328-E4EB-44B6-B7E0-87C255682337}" xr6:coauthVersionLast="47" xr6:coauthVersionMax="47" xr10:uidLastSave="{00000000-0000-0000-0000-000000000000}"/>
  <bookViews>
    <workbookView xWindow="-51720" yWindow="-120" windowWidth="51840" windowHeight="21120" activeTab="1" xr2:uid="{70329CC5-8756-4BA4-A5C1-E709DAADAB5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2" l="1"/>
  <c r="N25" i="2"/>
  <c r="N24" i="2"/>
  <c r="O14" i="2"/>
  <c r="O16" i="2"/>
  <c r="N16" i="2"/>
  <c r="N14" i="2"/>
  <c r="N12" i="2"/>
  <c r="N7" i="2"/>
  <c r="N9" i="2" s="1"/>
  <c r="P23" i="2"/>
  <c r="Q23" i="2"/>
  <c r="Q19" i="2"/>
  <c r="Q16" i="2"/>
  <c r="Q14" i="2"/>
  <c r="Q11" i="2"/>
  <c r="Q10" i="2"/>
  <c r="Q8" i="2"/>
  <c r="Q9" i="2" s="1"/>
  <c r="P25" i="2"/>
  <c r="P24" i="2"/>
  <c r="O25" i="2"/>
  <c r="O24" i="2"/>
  <c r="P18" i="2"/>
  <c r="P19" i="2"/>
  <c r="P17" i="2"/>
  <c r="O17" i="2"/>
  <c r="O18" i="2" s="1"/>
  <c r="P16" i="2"/>
  <c r="P15" i="2"/>
  <c r="O15" i="2"/>
  <c r="P14" i="2"/>
  <c r="O9" i="2"/>
  <c r="O12" i="2"/>
  <c r="P13" i="2"/>
  <c r="P12" i="2"/>
  <c r="P11" i="2"/>
  <c r="P10" i="2"/>
  <c r="P9" i="2"/>
  <c r="P8" i="2"/>
  <c r="O7" i="2"/>
  <c r="P7" i="2"/>
  <c r="G23" i="2"/>
  <c r="G24" i="2"/>
  <c r="F24" i="2"/>
  <c r="E24" i="2"/>
  <c r="D24" i="2"/>
  <c r="C14" i="2"/>
  <c r="C12" i="2"/>
  <c r="C9" i="2"/>
  <c r="C24" i="2" s="1"/>
  <c r="F14" i="2"/>
  <c r="F12" i="2"/>
  <c r="F9" i="2"/>
  <c r="H53" i="2"/>
  <c r="H54" i="2" s="1"/>
  <c r="H39" i="2"/>
  <c r="H33" i="2"/>
  <c r="H35" i="2" s="1"/>
  <c r="H43" i="2"/>
  <c r="D14" i="2"/>
  <c r="H23" i="2"/>
  <c r="D12" i="2"/>
  <c r="D9" i="2"/>
  <c r="G14" i="2"/>
  <c r="G12" i="2"/>
  <c r="G9" i="2"/>
  <c r="I53" i="2"/>
  <c r="I54" i="2" s="1"/>
  <c r="I39" i="2"/>
  <c r="I43" i="2" s="1"/>
  <c r="I33" i="2"/>
  <c r="I35" i="2" s="1"/>
  <c r="I23" i="2"/>
  <c r="E14" i="2"/>
  <c r="E12" i="2"/>
  <c r="E9" i="2"/>
  <c r="H14" i="2"/>
  <c r="H12" i="2"/>
  <c r="H9" i="2"/>
  <c r="H24" i="2" s="1"/>
  <c r="I19" i="2"/>
  <c r="I14" i="2"/>
  <c r="I12" i="2"/>
  <c r="I9" i="2"/>
  <c r="I13" i="2" s="1"/>
  <c r="I25" i="2" s="1"/>
  <c r="J4" i="1"/>
  <c r="J7" i="1" s="1"/>
  <c r="N13" i="2" l="1"/>
  <c r="N15" i="2" s="1"/>
  <c r="N17" i="2" s="1"/>
  <c r="N18" i="2" s="1"/>
  <c r="Q12" i="2"/>
  <c r="Q13" i="2" s="1"/>
  <c r="Q24" i="2"/>
  <c r="O13" i="2"/>
  <c r="C13" i="2"/>
  <c r="I24" i="2"/>
  <c r="F13" i="2"/>
  <c r="D13" i="2"/>
  <c r="G13" i="2"/>
  <c r="I15" i="2"/>
  <c r="I17" i="2" s="1"/>
  <c r="E13" i="2"/>
  <c r="H13" i="2"/>
  <c r="Q15" i="2" l="1"/>
  <c r="Q17" i="2" s="1"/>
  <c r="Q18" i="2" s="1"/>
  <c r="Q25" i="2"/>
  <c r="E15" i="2"/>
  <c r="E17" i="2" s="1"/>
  <c r="E18" i="2" s="1"/>
  <c r="E25" i="2"/>
  <c r="G15" i="2"/>
  <c r="G17" i="2" s="1"/>
  <c r="G18" i="2" s="1"/>
  <c r="G25" i="2"/>
  <c r="D15" i="2"/>
  <c r="D17" i="2" s="1"/>
  <c r="D18" i="2" s="1"/>
  <c r="D25" i="2"/>
  <c r="F15" i="2"/>
  <c r="F17" i="2" s="1"/>
  <c r="F18" i="2" s="1"/>
  <c r="F25" i="2"/>
  <c r="C15" i="2"/>
  <c r="C17" i="2" s="1"/>
  <c r="C18" i="2" s="1"/>
  <c r="C25" i="2"/>
  <c r="H15" i="2"/>
  <c r="H17" i="2" s="1"/>
  <c r="H25" i="2"/>
  <c r="I45" i="2"/>
  <c r="I18" i="2"/>
  <c r="H18" i="2" l="1"/>
  <c r="H45" i="2"/>
</calcChain>
</file>

<file path=xl/sharedStrings.xml><?xml version="1.0" encoding="utf-8"?>
<sst xmlns="http://schemas.openxmlformats.org/spreadsheetml/2006/main" count="83" uniqueCount="79">
  <si>
    <t>Price</t>
  </si>
  <si>
    <t>Shares</t>
  </si>
  <si>
    <t>MC</t>
  </si>
  <si>
    <t>Cash</t>
  </si>
  <si>
    <t>Debt</t>
  </si>
  <si>
    <t>EV</t>
  </si>
  <si>
    <t>Q423</t>
  </si>
  <si>
    <t>Main</t>
  </si>
  <si>
    <t>Revenue</t>
  </si>
  <si>
    <t>FQ224</t>
  </si>
  <si>
    <t>FQ124</t>
  </si>
  <si>
    <t>FQ423</t>
  </si>
  <si>
    <t>FQ323</t>
  </si>
  <si>
    <t>Revenue y/y</t>
  </si>
  <si>
    <t>COGS</t>
  </si>
  <si>
    <t>Gross Profit</t>
  </si>
  <si>
    <t>Gross Margin</t>
  </si>
  <si>
    <t>R&amp;D</t>
  </si>
  <si>
    <t>SG&amp;A</t>
  </si>
  <si>
    <t>Operating Expenses</t>
  </si>
  <si>
    <t>$ mil</t>
  </si>
  <si>
    <t>Operating Income</t>
  </si>
  <si>
    <t>Operating Margin</t>
  </si>
  <si>
    <t>Interest Expense</t>
  </si>
  <si>
    <t>Pretax Income</t>
  </si>
  <si>
    <t>Taxes</t>
  </si>
  <si>
    <t>Net Income</t>
  </si>
  <si>
    <t>Q123</t>
  </si>
  <si>
    <t>AR</t>
  </si>
  <si>
    <t>Inventory</t>
  </si>
  <si>
    <t>OCA</t>
  </si>
  <si>
    <t>PP&amp;E</t>
  </si>
  <si>
    <t>OLTA</t>
  </si>
  <si>
    <t>Goodwill</t>
  </si>
  <si>
    <t>Assets</t>
  </si>
  <si>
    <t>AP</t>
  </si>
  <si>
    <t>Employees</t>
  </si>
  <si>
    <t>OCL</t>
  </si>
  <si>
    <t>OLTL</t>
  </si>
  <si>
    <t>S/E</t>
  </si>
  <si>
    <t>L+S/E</t>
  </si>
  <si>
    <t>Model NI</t>
  </si>
  <si>
    <t>Reported NI</t>
  </si>
  <si>
    <t>Amortization</t>
  </si>
  <si>
    <t>SBC</t>
  </si>
  <si>
    <t>Depreciation</t>
  </si>
  <si>
    <t>CFFO</t>
  </si>
  <si>
    <t>WC</t>
  </si>
  <si>
    <t>DT</t>
  </si>
  <si>
    <t>Non-cash Interest</t>
  </si>
  <si>
    <t>Other</t>
  </si>
  <si>
    <t>FQ123</t>
  </si>
  <si>
    <t>FQ223</t>
  </si>
  <si>
    <t>FQ422</t>
  </si>
  <si>
    <t>T</t>
  </si>
  <si>
    <t>HPQ</t>
  </si>
  <si>
    <t>LSI</t>
  </si>
  <si>
    <t>BRCM</t>
  </si>
  <si>
    <t>BRCD</t>
  </si>
  <si>
    <t>SYMC</t>
  </si>
  <si>
    <t>VMW</t>
  </si>
  <si>
    <t>CMOS</t>
  </si>
  <si>
    <t>networking, broadband, set top boxes</t>
  </si>
  <si>
    <t>FC SAN (fibre channel)</t>
  </si>
  <si>
    <t>hybrid cloud</t>
  </si>
  <si>
    <t>11/22/23: VMware deal closes: $86.3B.</t>
  </si>
  <si>
    <t>analog III-V - faster switching transistors, better performance for RF and optoelectronics - 3rd to 5th element groups: gallium, indium</t>
  </si>
  <si>
    <t>Headcount</t>
  </si>
  <si>
    <t>2014: LSI acquisition</t>
  </si>
  <si>
    <t>TSM made 90% of wafers used by AVGO CM's in FY2023.</t>
  </si>
  <si>
    <t>FY2021</t>
  </si>
  <si>
    <t>FY2022</t>
  </si>
  <si>
    <t>FY2023</t>
  </si>
  <si>
    <t>FY2024</t>
  </si>
  <si>
    <t>FY2025</t>
  </si>
  <si>
    <t>Products</t>
  </si>
  <si>
    <t>Subscription/Services</t>
  </si>
  <si>
    <t>EPS</t>
  </si>
  <si>
    <t>WT Microelectronics - 21% of revenue FY2023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</si>
</sst>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2" fillId="0" borderId="0" xfId="1"/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E0F043A-EC25-4009-AA58-4BDE5C6B6B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32524</xdr:colOff>
      <xdr:row>0</xdr:row>
      <xdr:rowOff>9292</xdr:rowOff>
    </xdr:from>
    <xdr:to>
      <xdr:col>9</xdr:col>
      <xdr:colOff>32524</xdr:colOff>
      <xdr:row>66</xdr:row>
      <xdr:rowOff>134744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87A91EC-9E15-9529-0C0D-9DAE2C1C71FC}"/>
            </a:ext>
          </a:extLst>
        </xdr:cNvPr>
        <xdr:cNvCxnSpPr/>
      </xdr:nvCxnSpPr>
      <xdr:spPr>
        <a:xfrm>
          <a:off x="4618463" y="9292"/>
          <a:ext cx="0" cy="1037063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32523</xdr:colOff>
      <xdr:row>0</xdr:row>
      <xdr:rowOff>0</xdr:rowOff>
    </xdr:from>
    <xdr:to>
      <xdr:col>16</xdr:col>
      <xdr:colOff>32523</xdr:colOff>
      <xdr:row>66</xdr:row>
      <xdr:rowOff>125452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BBB0943-FDA3-4A05-A38B-0F4FC2910BE6}"/>
            </a:ext>
          </a:extLst>
        </xdr:cNvPr>
        <xdr:cNvCxnSpPr/>
      </xdr:nvCxnSpPr>
      <xdr:spPr>
        <a:xfrm>
          <a:off x="10449621" y="0"/>
          <a:ext cx="0" cy="108585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712-1B47-42A3-A902-777D3000824F}">
  <dimension ref="B2:K17"/>
  <sheetViews>
    <sheetView zoomScale="220" zoomScaleNormal="220" workbookViewId="0"/>
  </sheetViews>
  <sheetFormatPr defaultRowHeight="12.75" x14ac:dyDescent="0.2"/>
  <sheetData>
    <row r="2" spans="2:11" x14ac:dyDescent="0.2">
      <c r="I2" t="s">
        <v>0</v>
      </c>
      <c r="J2" s="1">
        <v>156</v>
      </c>
    </row>
    <row r="3" spans="2:11" x14ac:dyDescent="0.2">
      <c r="B3" t="s">
        <v>54</v>
      </c>
      <c r="I3" t="s">
        <v>1</v>
      </c>
      <c r="J3" s="2">
        <v>4800</v>
      </c>
      <c r="K3" s="3" t="s">
        <v>27</v>
      </c>
    </row>
    <row r="4" spans="2:11" x14ac:dyDescent="0.2">
      <c r="B4" t="s">
        <v>55</v>
      </c>
      <c r="I4" s="4" t="s">
        <v>2</v>
      </c>
      <c r="J4" s="5">
        <f>+J2*J3</f>
        <v>748800</v>
      </c>
    </row>
    <row r="5" spans="2:11" x14ac:dyDescent="0.2">
      <c r="B5" t="s">
        <v>56</v>
      </c>
      <c r="I5" t="s">
        <v>3</v>
      </c>
      <c r="J5" s="2">
        <v>11864</v>
      </c>
      <c r="K5" s="3" t="s">
        <v>6</v>
      </c>
    </row>
    <row r="6" spans="2:11" x14ac:dyDescent="0.2">
      <c r="B6" t="s">
        <v>57</v>
      </c>
      <c r="I6" t="s">
        <v>4</v>
      </c>
      <c r="J6" s="2">
        <v>73468</v>
      </c>
      <c r="K6" s="3" t="s">
        <v>6</v>
      </c>
    </row>
    <row r="7" spans="2:11" x14ac:dyDescent="0.2">
      <c r="B7" t="s">
        <v>58</v>
      </c>
      <c r="I7" t="s">
        <v>5</v>
      </c>
      <c r="J7" s="2">
        <f>+J4-J5+J6</f>
        <v>810404</v>
      </c>
    </row>
    <row r="8" spans="2:11" x14ac:dyDescent="0.2">
      <c r="B8" t="s">
        <v>59</v>
      </c>
    </row>
    <row r="9" spans="2:11" x14ac:dyDescent="0.2">
      <c r="B9" t="s">
        <v>60</v>
      </c>
      <c r="C9" t="s">
        <v>64</v>
      </c>
    </row>
    <row r="11" spans="2:11" x14ac:dyDescent="0.2">
      <c r="B11" t="s">
        <v>61</v>
      </c>
    </row>
    <row r="12" spans="2:11" x14ac:dyDescent="0.2">
      <c r="B12" t="s">
        <v>66</v>
      </c>
    </row>
    <row r="13" spans="2:11" x14ac:dyDescent="0.2">
      <c r="B13" t="s">
        <v>62</v>
      </c>
    </row>
    <row r="14" spans="2:11" x14ac:dyDescent="0.2">
      <c r="B14" t="s">
        <v>63</v>
      </c>
      <c r="I14" t="s">
        <v>68</v>
      </c>
    </row>
    <row r="15" spans="2:11" x14ac:dyDescent="0.2">
      <c r="I15" t="s">
        <v>65</v>
      </c>
    </row>
    <row r="16" spans="2:11" x14ac:dyDescent="0.2">
      <c r="B16" t="s">
        <v>69</v>
      </c>
    </row>
    <row r="17" spans="2:2" x14ac:dyDescent="0.2">
      <c r="B17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0775-30FD-4D74-BE40-C6F63DB74CF0}">
  <dimension ref="A1:R68"/>
  <sheetViews>
    <sheetView tabSelected="1" zoomScale="205" zoomScaleNormal="205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2.75" x14ac:dyDescent="0.2"/>
  <cols>
    <col min="1" max="1" width="5" bestFit="1" customWidth="1"/>
    <col min="2" max="2" width="18.140625" bestFit="1" customWidth="1"/>
    <col min="3" max="3" width="10.140625" style="3" customWidth="1"/>
    <col min="4" max="4" width="9.85546875" style="3" customWidth="1"/>
    <col min="5" max="6" width="9.140625" style="3"/>
    <col min="7" max="7" width="10.28515625" style="3" bestFit="1" customWidth="1"/>
    <col min="8" max="12" width="9.140625" style="3"/>
    <col min="14" max="14" width="9.140625" style="3"/>
    <col min="15" max="16" width="10.28515625" style="3" bestFit="1" customWidth="1"/>
    <col min="17" max="18" width="9.140625" style="3"/>
  </cols>
  <sheetData>
    <row r="1" spans="1:18" x14ac:dyDescent="0.2">
      <c r="A1" s="6" t="s">
        <v>7</v>
      </c>
    </row>
    <row r="2" spans="1:18" x14ac:dyDescent="0.2">
      <c r="C2" s="3" t="s">
        <v>53</v>
      </c>
      <c r="D2" s="3" t="s">
        <v>51</v>
      </c>
      <c r="E2" s="3" t="s">
        <v>52</v>
      </c>
      <c r="F2" s="3" t="s">
        <v>12</v>
      </c>
      <c r="G2" s="3" t="s">
        <v>11</v>
      </c>
      <c r="H2" s="3" t="s">
        <v>10</v>
      </c>
      <c r="I2" s="3" t="s">
        <v>9</v>
      </c>
      <c r="N2" s="3" t="s">
        <v>70</v>
      </c>
      <c r="O2" s="3" t="s">
        <v>71</v>
      </c>
      <c r="P2" s="3" t="s">
        <v>72</v>
      </c>
      <c r="Q2" s="3" t="s">
        <v>73</v>
      </c>
      <c r="R2" s="3" t="s">
        <v>74</v>
      </c>
    </row>
    <row r="3" spans="1:18" x14ac:dyDescent="0.2">
      <c r="B3" t="s">
        <v>20</v>
      </c>
      <c r="C3" s="7">
        <v>44864</v>
      </c>
      <c r="D3" s="7">
        <v>44955</v>
      </c>
      <c r="E3" s="7">
        <v>45046</v>
      </c>
      <c r="F3" s="7">
        <v>45137</v>
      </c>
      <c r="G3" s="7">
        <v>45228</v>
      </c>
      <c r="H3" s="7">
        <v>45326</v>
      </c>
      <c r="I3" s="7">
        <v>45417</v>
      </c>
      <c r="O3" s="7">
        <v>44864</v>
      </c>
      <c r="P3" s="7">
        <v>45228</v>
      </c>
    </row>
    <row r="4" spans="1:18" x14ac:dyDescent="0.2">
      <c r="C4" s="7"/>
      <c r="D4" s="7"/>
      <c r="E4" s="7"/>
      <c r="F4" s="7"/>
      <c r="G4" s="7"/>
      <c r="H4" s="7"/>
      <c r="I4" s="7"/>
      <c r="O4" s="7"/>
      <c r="P4" s="7"/>
    </row>
    <row r="5" spans="1:18" x14ac:dyDescent="0.2">
      <c r="B5" t="s">
        <v>75</v>
      </c>
      <c r="C5" s="7"/>
      <c r="D5" s="7"/>
      <c r="E5" s="7"/>
      <c r="F5" s="7"/>
      <c r="G5" s="7"/>
      <c r="H5" s="7"/>
      <c r="I5" s="7"/>
      <c r="N5" s="11">
        <v>20886</v>
      </c>
      <c r="O5" s="11">
        <v>26277</v>
      </c>
      <c r="P5" s="11">
        <v>27891</v>
      </c>
      <c r="Q5" s="11"/>
    </row>
    <row r="6" spans="1:18" x14ac:dyDescent="0.2">
      <c r="B6" t="s">
        <v>76</v>
      </c>
      <c r="C6" s="7"/>
      <c r="D6" s="7"/>
      <c r="E6" s="7"/>
      <c r="F6" s="7"/>
      <c r="G6" s="7"/>
      <c r="H6" s="7"/>
      <c r="I6" s="7"/>
      <c r="N6" s="11">
        <v>6564</v>
      </c>
      <c r="O6" s="11">
        <v>6926</v>
      </c>
      <c r="P6" s="11">
        <v>7928</v>
      </c>
      <c r="Q6" s="11"/>
    </row>
    <row r="7" spans="1:18" s="4" customFormat="1" x14ac:dyDescent="0.2">
      <c r="B7" s="4" t="s">
        <v>8</v>
      </c>
      <c r="C7" s="10">
        <v>8930</v>
      </c>
      <c r="D7" s="10">
        <v>8915</v>
      </c>
      <c r="E7" s="10">
        <v>8733</v>
      </c>
      <c r="F7" s="10">
        <v>8876</v>
      </c>
      <c r="G7" s="10">
        <v>9295</v>
      </c>
      <c r="H7" s="10">
        <v>11961</v>
      </c>
      <c r="I7" s="10">
        <v>12487</v>
      </c>
      <c r="J7" s="13"/>
      <c r="K7" s="13"/>
      <c r="L7" s="13"/>
      <c r="N7" s="10">
        <f>+N5+N6</f>
        <v>27450</v>
      </c>
      <c r="O7" s="10">
        <f>+O5+O6</f>
        <v>33203</v>
      </c>
      <c r="P7" s="10">
        <f>SUM(D7:G7)</f>
        <v>35819</v>
      </c>
      <c r="Q7" s="10">
        <v>45000</v>
      </c>
      <c r="R7" s="13"/>
    </row>
    <row r="8" spans="1:18" x14ac:dyDescent="0.2">
      <c r="B8" t="s">
        <v>14</v>
      </c>
      <c r="C8" s="11">
        <v>2298</v>
      </c>
      <c r="D8" s="11">
        <v>2374</v>
      </c>
      <c r="E8" s="11">
        <v>2177</v>
      </c>
      <c r="F8" s="11">
        <v>2272</v>
      </c>
      <c r="G8" s="11">
        <v>2449</v>
      </c>
      <c r="H8" s="11">
        <v>3114</v>
      </c>
      <c r="I8" s="11">
        <v>3142</v>
      </c>
      <c r="N8" s="8">
        <v>6555</v>
      </c>
      <c r="O8" s="8">
        <v>7629</v>
      </c>
      <c r="P8" s="11">
        <f>SUM(D8:G8)</f>
        <v>9272</v>
      </c>
      <c r="Q8" s="11">
        <f>+Q7*0.25</f>
        <v>11250</v>
      </c>
    </row>
    <row r="9" spans="1:18" x14ac:dyDescent="0.2">
      <c r="B9" t="s">
        <v>15</v>
      </c>
      <c r="C9" s="11">
        <f>+C7-C8</f>
        <v>6632</v>
      </c>
      <c r="D9" s="11">
        <f>+D7-D8</f>
        <v>6541</v>
      </c>
      <c r="E9" s="11">
        <f>+E7-E8</f>
        <v>6556</v>
      </c>
      <c r="F9" s="11">
        <f>+F7-F8</f>
        <v>6604</v>
      </c>
      <c r="G9" s="11">
        <f>+G7-G8</f>
        <v>6846</v>
      </c>
      <c r="H9" s="11">
        <f>+H7-H8</f>
        <v>8847</v>
      </c>
      <c r="I9" s="11">
        <f>+I7-I8</f>
        <v>9345</v>
      </c>
      <c r="N9" s="8">
        <f>+N7-N8</f>
        <v>20895</v>
      </c>
      <c r="O9" s="8">
        <f>+O7-O8</f>
        <v>25574</v>
      </c>
      <c r="P9" s="8">
        <f>+P7-P8</f>
        <v>26547</v>
      </c>
      <c r="Q9" s="8">
        <f>+Q7-Q8</f>
        <v>33750</v>
      </c>
    </row>
    <row r="10" spans="1:18" x14ac:dyDescent="0.2">
      <c r="B10" t="s">
        <v>17</v>
      </c>
      <c r="C10" s="11">
        <v>1197</v>
      </c>
      <c r="D10" s="11">
        <v>1195</v>
      </c>
      <c r="E10" s="11">
        <v>1312</v>
      </c>
      <c r="F10" s="11">
        <v>1358</v>
      </c>
      <c r="G10" s="11">
        <v>1388</v>
      </c>
      <c r="H10" s="11">
        <v>2308</v>
      </c>
      <c r="I10" s="11">
        <v>2415</v>
      </c>
      <c r="N10" s="8">
        <v>4854</v>
      </c>
      <c r="O10" s="8">
        <v>4919</v>
      </c>
      <c r="P10" s="11">
        <f>SUM(D10:G10)</f>
        <v>5253</v>
      </c>
      <c r="Q10" s="11">
        <f>+P10*1.1</f>
        <v>5778.3</v>
      </c>
    </row>
    <row r="11" spans="1:18" x14ac:dyDescent="0.2">
      <c r="B11" t="s">
        <v>18</v>
      </c>
      <c r="C11" s="11">
        <v>370</v>
      </c>
      <c r="D11" s="11">
        <v>348</v>
      </c>
      <c r="E11" s="11">
        <v>438</v>
      </c>
      <c r="F11" s="11">
        <v>388</v>
      </c>
      <c r="G11" s="11">
        <v>418</v>
      </c>
      <c r="H11" s="11">
        <v>1572</v>
      </c>
      <c r="I11" s="11">
        <v>1277</v>
      </c>
      <c r="N11" s="8">
        <v>1347</v>
      </c>
      <c r="O11" s="8">
        <v>1382</v>
      </c>
      <c r="P11" s="11">
        <f>SUM(D11:G11)</f>
        <v>1592</v>
      </c>
      <c r="Q11" s="11">
        <f>+P11*1.1</f>
        <v>1751.2</v>
      </c>
    </row>
    <row r="12" spans="1:18" x14ac:dyDescent="0.2">
      <c r="B12" t="s">
        <v>19</v>
      </c>
      <c r="C12" s="8">
        <f>+C10+C11</f>
        <v>1567</v>
      </c>
      <c r="D12" s="8">
        <f>+D10+D11</f>
        <v>1543</v>
      </c>
      <c r="E12" s="8">
        <f>+E10+E11</f>
        <v>1750</v>
      </c>
      <c r="F12" s="8">
        <f>+F10+F11</f>
        <v>1746</v>
      </c>
      <c r="G12" s="8">
        <f>+G10+G11</f>
        <v>1806</v>
      </c>
      <c r="H12" s="8">
        <f>+H10+H11</f>
        <v>3880</v>
      </c>
      <c r="I12" s="8">
        <f>+I10+I11</f>
        <v>3692</v>
      </c>
      <c r="N12" s="11">
        <f t="shared" ref="N12:O12" si="0">+N11+N10</f>
        <v>6201</v>
      </c>
      <c r="O12" s="11">
        <f t="shared" si="0"/>
        <v>6301</v>
      </c>
      <c r="P12" s="11">
        <f>+P11+P10</f>
        <v>6845</v>
      </c>
      <c r="Q12" s="11">
        <f>+Q11+Q10</f>
        <v>7529.5</v>
      </c>
    </row>
    <row r="13" spans="1:18" x14ac:dyDescent="0.2">
      <c r="B13" t="s">
        <v>21</v>
      </c>
      <c r="C13" s="11">
        <f>+C9-C12</f>
        <v>5065</v>
      </c>
      <c r="D13" s="11">
        <f>+D9-D12</f>
        <v>4998</v>
      </c>
      <c r="E13" s="11">
        <f>+E9-E12</f>
        <v>4806</v>
      </c>
      <c r="F13" s="11">
        <f>+F9-F12</f>
        <v>4858</v>
      </c>
      <c r="G13" s="11">
        <f>+G9-G12</f>
        <v>5040</v>
      </c>
      <c r="H13" s="11">
        <f>+H9-H12</f>
        <v>4967</v>
      </c>
      <c r="I13" s="11">
        <f>+I9-I12</f>
        <v>5653</v>
      </c>
      <c r="N13" s="8">
        <f t="shared" ref="N13:O13" si="1">+N9-N12</f>
        <v>14694</v>
      </c>
      <c r="O13" s="8">
        <f t="shared" si="1"/>
        <v>19273</v>
      </c>
      <c r="P13" s="8">
        <f>+P9-P12</f>
        <v>19702</v>
      </c>
      <c r="Q13" s="8">
        <f>+Q9-Q12</f>
        <v>26220.5</v>
      </c>
    </row>
    <row r="14" spans="1:18" x14ac:dyDescent="0.2">
      <c r="B14" t="s">
        <v>23</v>
      </c>
      <c r="C14" s="8">
        <f>-406+40</f>
        <v>-366</v>
      </c>
      <c r="D14" s="8">
        <f>-406-143</f>
        <v>-549</v>
      </c>
      <c r="E14" s="8">
        <f>-405+113</f>
        <v>-292</v>
      </c>
      <c r="F14" s="8">
        <f>-406+124</f>
        <v>-282</v>
      </c>
      <c r="G14" s="8">
        <f>-405+132</f>
        <v>-273</v>
      </c>
      <c r="H14" s="8">
        <f>-926+185</f>
        <v>-741</v>
      </c>
      <c r="I14" s="8">
        <f>-1047+87</f>
        <v>-960</v>
      </c>
      <c r="N14" s="8">
        <f>-1885+131</f>
        <v>-1754</v>
      </c>
      <c r="O14" s="8">
        <f>-1737-54</f>
        <v>-1791</v>
      </c>
      <c r="P14" s="11">
        <f>SUM(D14:G14)</f>
        <v>-1396</v>
      </c>
      <c r="Q14" s="11">
        <f>+P14</f>
        <v>-1396</v>
      </c>
    </row>
    <row r="15" spans="1:18" x14ac:dyDescent="0.2">
      <c r="B15" t="s">
        <v>24</v>
      </c>
      <c r="C15" s="8">
        <f>+C13+C14</f>
        <v>4699</v>
      </c>
      <c r="D15" s="8">
        <f>+D13+D14</f>
        <v>4449</v>
      </c>
      <c r="E15" s="8">
        <f>+E13+E14</f>
        <v>4514</v>
      </c>
      <c r="F15" s="8">
        <f>+F13+F14</f>
        <v>4576</v>
      </c>
      <c r="G15" s="8">
        <f>+G13+G14</f>
        <v>4767</v>
      </c>
      <c r="H15" s="8">
        <f>+H13+H14</f>
        <v>4226</v>
      </c>
      <c r="I15" s="8">
        <f>+I13+I14</f>
        <v>4693</v>
      </c>
      <c r="N15" s="8">
        <f>+N13+N14</f>
        <v>12940</v>
      </c>
      <c r="O15" s="8">
        <f>+O13+O14</f>
        <v>17482</v>
      </c>
      <c r="P15" s="8">
        <f>+P13+P14</f>
        <v>18306</v>
      </c>
      <c r="Q15" s="8">
        <f>+Q13+Q14</f>
        <v>24824.5</v>
      </c>
    </row>
    <row r="16" spans="1:18" x14ac:dyDescent="0.2">
      <c r="B16" t="s">
        <v>25</v>
      </c>
      <c r="C16" s="3">
        <v>261</v>
      </c>
      <c r="D16" s="3">
        <v>66</v>
      </c>
      <c r="E16" s="3">
        <v>235</v>
      </c>
      <c r="F16" s="3">
        <v>271</v>
      </c>
      <c r="G16" s="3">
        <v>443</v>
      </c>
      <c r="H16" s="3">
        <v>68</v>
      </c>
      <c r="I16" s="3">
        <v>-116</v>
      </c>
      <c r="N16" s="8">
        <f>29+299</f>
        <v>328</v>
      </c>
      <c r="O16" s="8">
        <f>939+272</f>
        <v>1211</v>
      </c>
      <c r="P16" s="11">
        <f>SUM(D16:G16)</f>
        <v>1015</v>
      </c>
      <c r="Q16" s="11">
        <f>+Q15*0.1</f>
        <v>2482.4500000000003</v>
      </c>
    </row>
    <row r="17" spans="2:17" x14ac:dyDescent="0.2">
      <c r="B17" s="14" t="s">
        <v>26</v>
      </c>
      <c r="C17" s="11">
        <f>+C15-C16</f>
        <v>4438</v>
      </c>
      <c r="D17" s="11">
        <f>+D15-D16</f>
        <v>4383</v>
      </c>
      <c r="E17" s="11">
        <f>+E15-E16</f>
        <v>4279</v>
      </c>
      <c r="F17" s="11">
        <f>+F15-F16</f>
        <v>4305</v>
      </c>
      <c r="G17" s="11">
        <f>+G15-G16</f>
        <v>4324</v>
      </c>
      <c r="H17" s="11">
        <f>+H15-H16</f>
        <v>4158</v>
      </c>
      <c r="I17" s="11">
        <f>+I15-I16</f>
        <v>4809</v>
      </c>
      <c r="N17" s="10">
        <f>+N15-N16</f>
        <v>12612</v>
      </c>
      <c r="O17" s="10">
        <f>+O15-O16</f>
        <v>16271</v>
      </c>
      <c r="P17" s="10">
        <f>+P15-P16</f>
        <v>17291</v>
      </c>
      <c r="Q17" s="10">
        <f>+Q15-Q16</f>
        <v>22342.05</v>
      </c>
    </row>
    <row r="18" spans="2:17" x14ac:dyDescent="0.2">
      <c r="B18" s="14" t="s">
        <v>77</v>
      </c>
      <c r="C18" s="12">
        <f>+C17/C19</f>
        <v>1.0344988344988344</v>
      </c>
      <c r="D18" s="12">
        <f>+D17/D19</f>
        <v>1.0216783216783216</v>
      </c>
      <c r="E18" s="12">
        <f>+E17/E19</f>
        <v>1.0021077283372366</v>
      </c>
      <c r="F18" s="12">
        <f>+F17/F19</f>
        <v>1.0081967213114753</v>
      </c>
      <c r="G18" s="12">
        <f>+G17/G19</f>
        <v>1.0126463700234192</v>
      </c>
      <c r="H18" s="12">
        <f>+H17/H19</f>
        <v>0.89036402569593143</v>
      </c>
      <c r="I18" s="12">
        <f>+I17/I19</f>
        <v>1.0018750000000001</v>
      </c>
      <c r="N18" s="12">
        <f>+N17/N19</f>
        <v>2.9398601398601398</v>
      </c>
      <c r="O18" s="12">
        <f>+O17/O19</f>
        <v>3.8465721040189127</v>
      </c>
      <c r="P18" s="12">
        <f>+P17/P19</f>
        <v>3.9567505720823797</v>
      </c>
      <c r="Q18" s="12">
        <f>+Q17/Q19</f>
        <v>4.6545937500000001</v>
      </c>
    </row>
    <row r="19" spans="2:17" x14ac:dyDescent="0.2">
      <c r="B19" t="s">
        <v>1</v>
      </c>
      <c r="C19" s="8">
        <v>4290</v>
      </c>
      <c r="D19" s="8">
        <v>4290</v>
      </c>
      <c r="E19" s="8">
        <v>4270</v>
      </c>
      <c r="F19" s="8">
        <v>4270</v>
      </c>
      <c r="G19" s="8">
        <v>4270</v>
      </c>
      <c r="H19" s="8">
        <v>4670</v>
      </c>
      <c r="I19" s="8">
        <f>480*10</f>
        <v>4800</v>
      </c>
      <c r="N19" s="8">
        <v>4290</v>
      </c>
      <c r="O19" s="8">
        <v>4230</v>
      </c>
      <c r="P19" s="8">
        <f>AVERAGE(E19:H19)</f>
        <v>4370</v>
      </c>
      <c r="Q19" s="8">
        <f>+I19</f>
        <v>4800</v>
      </c>
    </row>
    <row r="23" spans="2:17" x14ac:dyDescent="0.2">
      <c r="B23" t="s">
        <v>13</v>
      </c>
      <c r="G23" s="16">
        <f>+G7/C7-1</f>
        <v>4.0873460246360516E-2</v>
      </c>
      <c r="H23" s="16">
        <f>+H7/D7-1</f>
        <v>0.34167134043746494</v>
      </c>
      <c r="I23" s="16">
        <f>+I7/E7-1</f>
        <v>0.42986373525707089</v>
      </c>
      <c r="J23" s="16"/>
      <c r="K23" s="16"/>
      <c r="L23" s="16"/>
      <c r="O23" s="9">
        <f>+O7/N7-1</f>
        <v>0.20958105646630232</v>
      </c>
      <c r="P23" s="9">
        <f>+P7/O7-1</f>
        <v>7.8788061319760239E-2</v>
      </c>
      <c r="Q23" s="9">
        <f>+Q7/P7-1</f>
        <v>0.25631648008040431</v>
      </c>
    </row>
    <row r="24" spans="2:17" x14ac:dyDescent="0.2">
      <c r="B24" t="s">
        <v>16</v>
      </c>
      <c r="C24" s="9">
        <f t="shared" ref="C24:H24" si="2">+C9/C7</f>
        <v>0.7426651735722285</v>
      </c>
      <c r="D24" s="9">
        <f t="shared" si="2"/>
        <v>0.7337072349971957</v>
      </c>
      <c r="E24" s="9">
        <f t="shared" si="2"/>
        <v>0.75071567617084622</v>
      </c>
      <c r="F24" s="9">
        <f t="shared" si="2"/>
        <v>0.74402884182063989</v>
      </c>
      <c r="G24" s="9">
        <f t="shared" si="2"/>
        <v>0.7365250134480904</v>
      </c>
      <c r="H24" s="9">
        <f>+H9/H7</f>
        <v>0.73965387509405567</v>
      </c>
      <c r="I24" s="9">
        <f>+I9/I7</f>
        <v>0.74837831344598382</v>
      </c>
      <c r="N24" s="9">
        <f>+N9/N7</f>
        <v>0.76120218579234977</v>
      </c>
      <c r="O24" s="9">
        <f>+O9/O7</f>
        <v>0.77023160557780923</v>
      </c>
      <c r="P24" s="9">
        <f>+P9/P7</f>
        <v>0.74114296881543318</v>
      </c>
      <c r="Q24" s="9">
        <f>+Q9/Q7</f>
        <v>0.75</v>
      </c>
    </row>
    <row r="25" spans="2:17" x14ac:dyDescent="0.2">
      <c r="B25" s="14" t="s">
        <v>22</v>
      </c>
      <c r="C25" s="16">
        <f t="shared" ref="C25:H25" si="3">+C13/C7</f>
        <v>0.56718924972004481</v>
      </c>
      <c r="D25" s="16">
        <f t="shared" si="3"/>
        <v>0.56062815479528882</v>
      </c>
      <c r="E25" s="16">
        <f t="shared" si="3"/>
        <v>0.55032634833390592</v>
      </c>
      <c r="F25" s="16">
        <f t="shared" si="3"/>
        <v>0.54731861198738174</v>
      </c>
      <c r="G25" s="16">
        <f t="shared" si="3"/>
        <v>0.54222700376546529</v>
      </c>
      <c r="H25" s="16">
        <f>+H13/H7</f>
        <v>0.41526628208343785</v>
      </c>
      <c r="I25" s="16">
        <f>+I13/I7</f>
        <v>0.45271081925202211</v>
      </c>
      <c r="N25" s="16">
        <f>+N13/N7</f>
        <v>0.53530054644808744</v>
      </c>
      <c r="O25" s="16">
        <f>+O13/O7</f>
        <v>0.58045959702436523</v>
      </c>
      <c r="P25" s="16">
        <f>+P13/P7</f>
        <v>0.55004327312320278</v>
      </c>
      <c r="Q25" s="16">
        <f>+Q13/Q7</f>
        <v>0.58267777777777774</v>
      </c>
    </row>
    <row r="28" spans="2:17" x14ac:dyDescent="0.2">
      <c r="B28" t="s">
        <v>3</v>
      </c>
      <c r="H28" s="8">
        <v>11864</v>
      </c>
      <c r="I28" s="8">
        <v>9809</v>
      </c>
    </row>
    <row r="29" spans="2:17" x14ac:dyDescent="0.2">
      <c r="B29" t="s">
        <v>28</v>
      </c>
      <c r="H29" s="8">
        <v>4969</v>
      </c>
      <c r="I29" s="8">
        <v>5500</v>
      </c>
    </row>
    <row r="30" spans="2:17" x14ac:dyDescent="0.2">
      <c r="B30" t="s">
        <v>29</v>
      </c>
      <c r="H30" s="8">
        <v>1920</v>
      </c>
      <c r="I30" s="8">
        <v>1842</v>
      </c>
    </row>
    <row r="31" spans="2:17" x14ac:dyDescent="0.2">
      <c r="B31" t="s">
        <v>30</v>
      </c>
      <c r="H31" s="8">
        <v>8439</v>
      </c>
      <c r="I31" s="8">
        <v>8151</v>
      </c>
    </row>
    <row r="32" spans="2:17" x14ac:dyDescent="0.2">
      <c r="B32" t="s">
        <v>31</v>
      </c>
      <c r="H32" s="8">
        <v>2662</v>
      </c>
      <c r="I32" s="8">
        <v>2668</v>
      </c>
    </row>
    <row r="33" spans="2:9" x14ac:dyDescent="0.2">
      <c r="B33" t="s">
        <v>33</v>
      </c>
      <c r="H33" s="8">
        <f>97586+47185</f>
        <v>144771</v>
      </c>
      <c r="I33" s="8">
        <f>97873+45407</f>
        <v>143280</v>
      </c>
    </row>
    <row r="34" spans="2:9" x14ac:dyDescent="0.2">
      <c r="B34" t="s">
        <v>32</v>
      </c>
      <c r="H34" s="8">
        <v>3245</v>
      </c>
      <c r="I34" s="8">
        <v>3961</v>
      </c>
    </row>
    <row r="35" spans="2:9" x14ac:dyDescent="0.2">
      <c r="B35" t="s">
        <v>34</v>
      </c>
      <c r="H35" s="11">
        <f>SUM(H28:H34)</f>
        <v>177870</v>
      </c>
      <c r="I35" s="11">
        <f>SUM(I28:I34)</f>
        <v>175211</v>
      </c>
    </row>
    <row r="37" spans="2:9" x14ac:dyDescent="0.2">
      <c r="B37" t="s">
        <v>35</v>
      </c>
      <c r="H37" s="8">
        <v>1496</v>
      </c>
      <c r="I37" s="8">
        <v>1441</v>
      </c>
    </row>
    <row r="38" spans="2:9" x14ac:dyDescent="0.2">
      <c r="B38" t="s">
        <v>36</v>
      </c>
      <c r="H38" s="8">
        <v>1128</v>
      </c>
      <c r="I38" s="8">
        <v>1385</v>
      </c>
    </row>
    <row r="39" spans="2:9" x14ac:dyDescent="0.2">
      <c r="B39" t="s">
        <v>4</v>
      </c>
      <c r="H39" s="8">
        <f>2433+73468</f>
        <v>75901</v>
      </c>
      <c r="I39" s="8">
        <f>2426+71590</f>
        <v>74016</v>
      </c>
    </row>
    <row r="40" spans="2:9" x14ac:dyDescent="0.2">
      <c r="B40" t="s">
        <v>37</v>
      </c>
      <c r="H40" s="8">
        <v>15312</v>
      </c>
      <c r="I40" s="8">
        <v>14919</v>
      </c>
    </row>
    <row r="41" spans="2:9" x14ac:dyDescent="0.2">
      <c r="B41" t="s">
        <v>38</v>
      </c>
      <c r="H41" s="8">
        <v>13749</v>
      </c>
      <c r="I41" s="8">
        <v>13489</v>
      </c>
    </row>
    <row r="42" spans="2:9" x14ac:dyDescent="0.2">
      <c r="B42" t="s">
        <v>39</v>
      </c>
      <c r="H42" s="8">
        <v>70284</v>
      </c>
      <c r="I42" s="8">
        <v>69961</v>
      </c>
    </row>
    <row r="43" spans="2:9" x14ac:dyDescent="0.2">
      <c r="B43" t="s">
        <v>40</v>
      </c>
      <c r="H43" s="8">
        <f>SUM(H37:H42)</f>
        <v>177870</v>
      </c>
      <c r="I43" s="8">
        <f>SUM(I37:I42)</f>
        <v>175211</v>
      </c>
    </row>
    <row r="45" spans="2:9" x14ac:dyDescent="0.2">
      <c r="B45" t="s">
        <v>41</v>
      </c>
      <c r="H45" s="8">
        <f>+H17</f>
        <v>4158</v>
      </c>
      <c r="I45" s="8">
        <f>+I17</f>
        <v>4809</v>
      </c>
    </row>
    <row r="46" spans="2:9" x14ac:dyDescent="0.2">
      <c r="B46" t="s">
        <v>42</v>
      </c>
      <c r="H46" s="10">
        <v>1325</v>
      </c>
      <c r="I46" s="10">
        <v>2121</v>
      </c>
    </row>
    <row r="47" spans="2:9" x14ac:dyDescent="0.2">
      <c r="B47" t="s">
        <v>43</v>
      </c>
      <c r="H47" s="8">
        <v>2206</v>
      </c>
      <c r="I47" s="8">
        <v>2381</v>
      </c>
    </row>
    <row r="48" spans="2:9" x14ac:dyDescent="0.2">
      <c r="B48" t="s">
        <v>45</v>
      </c>
      <c r="H48" s="8">
        <v>139</v>
      </c>
      <c r="I48" s="8">
        <v>149</v>
      </c>
    </row>
    <row r="49" spans="2:16" x14ac:dyDescent="0.2">
      <c r="B49" s="14" t="s">
        <v>44</v>
      </c>
      <c r="C49" s="15"/>
      <c r="D49" s="15"/>
      <c r="E49" s="15"/>
      <c r="F49" s="15"/>
      <c r="G49" s="15"/>
      <c r="H49" s="11">
        <v>1582</v>
      </c>
      <c r="I49" s="11">
        <v>1457</v>
      </c>
    </row>
    <row r="50" spans="2:16" x14ac:dyDescent="0.2">
      <c r="B50" s="14" t="s">
        <v>48</v>
      </c>
      <c r="C50" s="15"/>
      <c r="D50" s="15"/>
      <c r="H50" s="8">
        <v>-294</v>
      </c>
      <c r="I50" s="8">
        <v>-511</v>
      </c>
    </row>
    <row r="51" spans="2:16" x14ac:dyDescent="0.2">
      <c r="B51" s="14" t="s">
        <v>49</v>
      </c>
      <c r="C51" s="15"/>
      <c r="D51" s="15"/>
      <c r="H51" s="8">
        <v>102</v>
      </c>
      <c r="I51" s="8">
        <v>119</v>
      </c>
    </row>
    <row r="52" spans="2:16" x14ac:dyDescent="0.2">
      <c r="B52" s="14" t="s">
        <v>50</v>
      </c>
      <c r="C52" s="15"/>
      <c r="D52" s="15"/>
      <c r="H52" s="8">
        <v>38</v>
      </c>
      <c r="I52" s="8">
        <v>92</v>
      </c>
    </row>
    <row r="53" spans="2:16" x14ac:dyDescent="0.2">
      <c r="B53" t="s">
        <v>47</v>
      </c>
      <c r="H53" s="8">
        <f>1756-14-74-660-2182+891</f>
        <v>-283</v>
      </c>
      <c r="I53" s="8">
        <f>-513+82-93+251-386-569</f>
        <v>-1228</v>
      </c>
    </row>
    <row r="54" spans="2:16" x14ac:dyDescent="0.2">
      <c r="B54" t="s">
        <v>46</v>
      </c>
      <c r="H54" s="10">
        <f>SUM(H46:H53)</f>
        <v>4815</v>
      </c>
      <c r="I54" s="10">
        <f>SUM(I46:I53)</f>
        <v>4580</v>
      </c>
      <c r="N54" s="10">
        <v>13764</v>
      </c>
      <c r="O54" s="10">
        <v>16736</v>
      </c>
      <c r="P54" s="10">
        <v>18085</v>
      </c>
    </row>
    <row r="68" spans="2:7" x14ac:dyDescent="0.2">
      <c r="B68" t="s">
        <v>67</v>
      </c>
      <c r="G68" s="3">
        <v>20000</v>
      </c>
    </row>
  </sheetData>
  <hyperlinks>
    <hyperlink ref="A1" location="Main!A1" display="Main" xr:uid="{858460FE-A70E-435C-889B-8559D29B5B8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2024-07-31T16:37:40Z</dcterms:created>
  <dcterms:modified xsi:type="dcterms:W3CDTF">2024-07-31T17:24:28Z</dcterms:modified>
</cp:coreProperties>
</file>