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223101B9-4326-46AC-B1E5-F227C2B42466}" xr6:coauthVersionLast="47" xr6:coauthVersionMax="47" xr10:uidLastSave="{00000000-0000-0000-0000-000000000000}"/>
  <bookViews>
    <workbookView xWindow="15915" yWindow="195" windowWidth="33150" windowHeight="20685" xr2:uid="{2734C5C3-33DF-4A68-91F9-B8E8FFD9BE4F}"/>
  </bookViews>
  <sheets>
    <sheet name="Main" sheetId="1" r:id="rId1"/>
    <sheet name="Model" sheetId="2" r:id="rId2"/>
    <sheet name="Skytrofa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13" i="2" l="1"/>
  <c r="Z13" i="2"/>
  <c r="Y13" i="2"/>
  <c r="X13" i="2"/>
  <c r="W13" i="2"/>
  <c r="V13" i="2"/>
  <c r="U13" i="2"/>
  <c r="T13" i="2"/>
  <c r="V26" i="2"/>
  <c r="W26" i="2" s="1"/>
  <c r="X26" i="2" s="1"/>
  <c r="Y26" i="2" s="1"/>
  <c r="Z26" i="2" s="1"/>
  <c r="AA26" i="2" s="1"/>
  <c r="AB26" i="2" s="1"/>
  <c r="AB19" i="2"/>
  <c r="AA19" i="2"/>
  <c r="Z19" i="2"/>
  <c r="Y19" i="2"/>
  <c r="X19" i="2"/>
  <c r="W19" i="2"/>
  <c r="V19" i="2"/>
  <c r="U19" i="2"/>
  <c r="W18" i="2"/>
  <c r="X18" i="2" s="1"/>
  <c r="Y18" i="2" s="1"/>
  <c r="Z18" i="2" s="1"/>
  <c r="AA18" i="2" s="1"/>
  <c r="AB18" i="2" s="1"/>
  <c r="V18" i="2"/>
  <c r="AB12" i="2"/>
  <c r="AA12" i="2"/>
  <c r="Z12" i="2"/>
  <c r="Y12" i="2"/>
  <c r="X12" i="2"/>
  <c r="AB2" i="2"/>
  <c r="AA2" i="2"/>
  <c r="Z2" i="2"/>
  <c r="Y2" i="2"/>
  <c r="T15" i="2"/>
  <c r="T16" i="2" s="1"/>
  <c r="U14" i="2"/>
  <c r="U15" i="2" s="1"/>
  <c r="T14" i="2"/>
  <c r="U12" i="2"/>
  <c r="T12" i="2"/>
  <c r="N13" i="2"/>
  <c r="M13" i="2"/>
  <c r="M14" i="2" s="1"/>
  <c r="L13" i="2"/>
  <c r="K13" i="2"/>
  <c r="N14" i="2"/>
  <c r="L14" i="2"/>
  <c r="K14" i="2"/>
  <c r="J14" i="2"/>
  <c r="L7" i="1"/>
  <c r="L5" i="1"/>
  <c r="L4" i="1"/>
  <c r="I20" i="2"/>
  <c r="I19" i="2"/>
  <c r="I16" i="2"/>
  <c r="W14" i="2" l="1"/>
  <c r="U16" i="2"/>
  <c r="U20" i="2" s="1"/>
  <c r="U22" i="2" s="1"/>
  <c r="U24" i="2" s="1"/>
  <c r="U25" i="2" s="1"/>
  <c r="V14" i="2"/>
  <c r="V15" i="2" s="1"/>
  <c r="V16" i="2" s="1"/>
  <c r="V20" i="2" s="1"/>
  <c r="V22" i="2" s="1"/>
  <c r="X14" i="2" l="1"/>
  <c r="V23" i="2"/>
  <c r="V24" i="2"/>
  <c r="W15" i="2"/>
  <c r="W16" i="2" s="1"/>
  <c r="W20" i="2" s="1"/>
  <c r="W22" i="2" s="1"/>
  <c r="Y14" i="2" l="1"/>
  <c r="W23" i="2"/>
  <c r="W24" i="2" s="1"/>
  <c r="V25" i="2"/>
  <c r="X15" i="2"/>
  <c r="X16" i="2"/>
  <c r="X20" i="2" s="1"/>
  <c r="X22" i="2" s="1"/>
  <c r="W25" i="2" l="1"/>
  <c r="X23" i="2"/>
  <c r="X24" i="2" s="1"/>
  <c r="Z14" i="2"/>
  <c r="Y15" i="2"/>
  <c r="Y16" i="2"/>
  <c r="Y20" i="2" s="1"/>
  <c r="Y22" i="2" s="1"/>
  <c r="X25" i="2" l="1"/>
  <c r="Y23" i="2"/>
  <c r="Y24" i="2" s="1"/>
  <c r="AB13" i="2"/>
  <c r="AB14" i="2" s="1"/>
  <c r="AA14" i="2"/>
  <c r="Z15" i="2"/>
  <c r="Z16" i="2"/>
  <c r="Z20" i="2" s="1"/>
  <c r="Z22" i="2" s="1"/>
  <c r="Y25" i="2" l="1"/>
  <c r="Z23" i="2"/>
  <c r="Z24" i="2" s="1"/>
  <c r="Z25" i="2" s="1"/>
  <c r="AA15" i="2"/>
  <c r="AA16" i="2" s="1"/>
  <c r="AA20" i="2" s="1"/>
  <c r="AA22" i="2" s="1"/>
  <c r="AB15" i="2"/>
  <c r="AB16" i="2" s="1"/>
  <c r="AB20" i="2" s="1"/>
  <c r="AB22" i="2" s="1"/>
  <c r="AA23" i="2" l="1"/>
  <c r="AA24" i="2" s="1"/>
  <c r="AA25" i="2" s="1"/>
  <c r="AB23" i="2"/>
  <c r="AB24" i="2" s="1"/>
  <c r="AC24" i="2" l="1"/>
  <c r="AD24" i="2" s="1"/>
  <c r="AE24" i="2" s="1"/>
  <c r="AF24" i="2" s="1"/>
  <c r="AG24" i="2" s="1"/>
  <c r="AH24" i="2" s="1"/>
  <c r="AI24" i="2" s="1"/>
  <c r="AJ24" i="2" s="1"/>
  <c r="AK24" i="2" s="1"/>
  <c r="AL24" i="2" s="1"/>
  <c r="AM24" i="2" s="1"/>
  <c r="AN24" i="2" s="1"/>
  <c r="AO24" i="2" s="1"/>
  <c r="AP24" i="2" s="1"/>
  <c r="AQ24" i="2" s="1"/>
  <c r="AR24" i="2" s="1"/>
  <c r="AS24" i="2" s="1"/>
  <c r="AT24" i="2" s="1"/>
  <c r="AU24" i="2" s="1"/>
  <c r="AV24" i="2" s="1"/>
  <c r="AW24" i="2" s="1"/>
  <c r="AX24" i="2" s="1"/>
  <c r="AY24" i="2" s="1"/>
  <c r="AZ24" i="2" s="1"/>
  <c r="BA24" i="2" s="1"/>
  <c r="BB24" i="2" s="1"/>
  <c r="BC24" i="2" s="1"/>
  <c r="BD24" i="2" s="1"/>
  <c r="BE24" i="2" s="1"/>
  <c r="BF24" i="2" s="1"/>
  <c r="BG24" i="2" s="1"/>
  <c r="BH24" i="2" s="1"/>
  <c r="BI24" i="2" s="1"/>
  <c r="BJ24" i="2" s="1"/>
  <c r="BK24" i="2" s="1"/>
  <c r="BL24" i="2" s="1"/>
  <c r="BM24" i="2" s="1"/>
  <c r="BN24" i="2" s="1"/>
  <c r="BO24" i="2" s="1"/>
  <c r="BP24" i="2" s="1"/>
  <c r="BQ24" i="2" s="1"/>
  <c r="BR24" i="2" s="1"/>
  <c r="BS24" i="2" s="1"/>
  <c r="BT24" i="2" s="1"/>
  <c r="BU24" i="2" s="1"/>
  <c r="BV24" i="2" s="1"/>
  <c r="BW24" i="2" s="1"/>
  <c r="BX24" i="2" s="1"/>
  <c r="BY24" i="2" s="1"/>
  <c r="BZ24" i="2" s="1"/>
  <c r="CA24" i="2" s="1"/>
  <c r="CB24" i="2" s="1"/>
  <c r="CC24" i="2" s="1"/>
  <c r="CD24" i="2" s="1"/>
  <c r="CE24" i="2" s="1"/>
  <c r="CF24" i="2" s="1"/>
  <c r="CG24" i="2" s="1"/>
  <c r="AE28" i="2" s="1"/>
  <c r="AB25" i="2"/>
  <c r="R2" i="2" l="1"/>
  <c r="S2" i="2" s="1"/>
  <c r="T2" i="2" s="1"/>
  <c r="U2" i="2" s="1"/>
  <c r="V2" i="2" s="1"/>
  <c r="W2" i="2" s="1"/>
  <c r="X2" i="2" s="1"/>
</calcChain>
</file>

<file path=xl/sharedStrings.xml><?xml version="1.0" encoding="utf-8"?>
<sst xmlns="http://schemas.openxmlformats.org/spreadsheetml/2006/main" count="70" uniqueCount="66">
  <si>
    <t>Price</t>
  </si>
  <si>
    <t>Shares</t>
  </si>
  <si>
    <t>MC</t>
  </si>
  <si>
    <t>Cash</t>
  </si>
  <si>
    <t>Debt</t>
  </si>
  <si>
    <t>EV</t>
  </si>
  <si>
    <t>Name</t>
  </si>
  <si>
    <t>Skytrokfa (lonapegsomatropin)</t>
  </si>
  <si>
    <t>Indication</t>
  </si>
  <si>
    <t>pediatric GHD</t>
  </si>
  <si>
    <t>PTH</t>
  </si>
  <si>
    <t>CNP</t>
  </si>
  <si>
    <t>Achondroplasia</t>
  </si>
  <si>
    <t>TLR7/8 agonist</t>
  </si>
  <si>
    <t>IL-2 beta/gamma</t>
  </si>
  <si>
    <t>Oncology</t>
  </si>
  <si>
    <t>Hypoparathyroidism</t>
  </si>
  <si>
    <t>Economics</t>
  </si>
  <si>
    <t>IP</t>
  </si>
  <si>
    <t>Admin</t>
  </si>
  <si>
    <t>Approved</t>
  </si>
  <si>
    <t>Phase</t>
  </si>
  <si>
    <t>Main</t>
  </si>
  <si>
    <t>Q121</t>
  </si>
  <si>
    <t>Q221</t>
  </si>
  <si>
    <t>Q321</t>
  </si>
  <si>
    <t>Q421</t>
  </si>
  <si>
    <t>Q122</t>
  </si>
  <si>
    <t>Q222</t>
  </si>
  <si>
    <t>Q322</t>
  </si>
  <si>
    <t>Q422</t>
  </si>
  <si>
    <t>Revenue</t>
  </si>
  <si>
    <t>Genotropin</t>
  </si>
  <si>
    <t>Nutropin</t>
  </si>
  <si>
    <t>once-weekly SC</t>
  </si>
  <si>
    <t>Saizen</t>
  </si>
  <si>
    <t>Humatrope</t>
  </si>
  <si>
    <t>Competition</t>
  </si>
  <si>
    <t>Genotropin (PFE), Humatrope (LLY), Norditropin (NVO)</t>
  </si>
  <si>
    <t>Norditropin</t>
  </si>
  <si>
    <t>Omnitrope</t>
  </si>
  <si>
    <t>Serostim</t>
  </si>
  <si>
    <t>Sogroya</t>
  </si>
  <si>
    <t>Skytrofa</t>
  </si>
  <si>
    <t>Q123</t>
  </si>
  <si>
    <t>Q223</t>
  </si>
  <si>
    <t>Q323</t>
  </si>
  <si>
    <t>Q423</t>
  </si>
  <si>
    <t>4/30/23 PDUFA</t>
  </si>
  <si>
    <t>ranibizumab</t>
  </si>
  <si>
    <t>AMD</t>
  </si>
  <si>
    <t>2024 IND</t>
  </si>
  <si>
    <t>COGS</t>
  </si>
  <si>
    <t>Gross Profit</t>
  </si>
  <si>
    <t>R&amp;D</t>
  </si>
  <si>
    <t>SG&amp;A</t>
  </si>
  <si>
    <t>Operating Expenses</t>
  </si>
  <si>
    <t>Operating Income</t>
  </si>
  <si>
    <t>Taxes</t>
  </si>
  <si>
    <t>Pretax Income</t>
  </si>
  <si>
    <t>Interest</t>
  </si>
  <si>
    <t>Net Income</t>
  </si>
  <si>
    <t>EPS</t>
  </si>
  <si>
    <t>Discount</t>
  </si>
  <si>
    <t>Terminal</t>
  </si>
  <si>
    <t>NPV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</si>
</sst>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#,##0.0"/>
  </numFmts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2">
    <xf numFmtId="0" fontId="0" fillId="0" borderId="0" xfId="0"/>
    <xf numFmtId="4" fontId="0" fillId="0" borderId="0" xfId="0" applyNumberFormat="1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0" xfId="0" applyAlignment="1">
      <alignment horizontal="right"/>
    </xf>
    <xf numFmtId="0" fontId="2" fillId="0" borderId="0" xfId="1"/>
    <xf numFmtId="3" fontId="0" fillId="0" borderId="0" xfId="0" applyNumberFormat="1"/>
    <xf numFmtId="3" fontId="0" fillId="0" borderId="0" xfId="0" applyNumberFormat="1" applyAlignment="1">
      <alignment horizontal="right"/>
    </xf>
    <xf numFmtId="164" fontId="0" fillId="0" borderId="0" xfId="0" applyNumberFormat="1"/>
    <xf numFmtId="164" fontId="0" fillId="0" borderId="0" xfId="0" applyNumberFormat="1" applyAlignment="1">
      <alignment horizontal="right"/>
    </xf>
    <xf numFmtId="164" fontId="1" fillId="0" borderId="0" xfId="0" applyNumberFormat="1" applyFont="1"/>
    <xf numFmtId="164" fontId="1" fillId="0" borderId="0" xfId="0" applyNumberFormat="1" applyFont="1" applyAlignment="1">
      <alignment horizontal="right"/>
    </xf>
    <xf numFmtId="0" fontId="0" fillId="0" borderId="2" xfId="0" applyBorder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14" fontId="0" fillId="0" borderId="5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9" fontId="0" fillId="0" borderId="0" xfId="0" applyNumberFormat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A4F32344-C8B8-4AF8-BE35-523C667707C8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21771</xdr:colOff>
      <xdr:row>0</xdr:row>
      <xdr:rowOff>27214</xdr:rowOff>
    </xdr:from>
    <xdr:to>
      <xdr:col>9</xdr:col>
      <xdr:colOff>21771</xdr:colOff>
      <xdr:row>30</xdr:row>
      <xdr:rowOff>87086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20FBF489-22FA-B557-F11F-2FC33D7C36AA}"/>
            </a:ext>
          </a:extLst>
        </xdr:cNvPr>
        <xdr:cNvCxnSpPr/>
      </xdr:nvCxnSpPr>
      <xdr:spPr>
        <a:xfrm>
          <a:off x="5829300" y="27214"/>
          <a:ext cx="0" cy="495844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32657</xdr:colOff>
      <xdr:row>0</xdr:row>
      <xdr:rowOff>0</xdr:rowOff>
    </xdr:from>
    <xdr:to>
      <xdr:col>20</xdr:col>
      <xdr:colOff>32657</xdr:colOff>
      <xdr:row>30</xdr:row>
      <xdr:rowOff>59872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41C0AEDC-28F4-4D9B-A91F-BF1D8E374B3F}"/>
            </a:ext>
          </a:extLst>
        </xdr:cNvPr>
        <xdr:cNvCxnSpPr/>
      </xdr:nvCxnSpPr>
      <xdr:spPr>
        <a:xfrm>
          <a:off x="12545786" y="0"/>
          <a:ext cx="0" cy="495844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E2054-6D94-40E2-B91A-78070665C073}">
  <dimension ref="B2:L12"/>
  <sheetViews>
    <sheetView tabSelected="1" zoomScale="160" zoomScaleNormal="160" workbookViewId="0">
      <selection activeCell="M3" sqref="M3"/>
    </sheetView>
  </sheetViews>
  <sheetFormatPr defaultRowHeight="12.75" x14ac:dyDescent="0.2"/>
  <cols>
    <col min="1" max="1" width="3.7109375" customWidth="1"/>
    <col min="2" max="2" width="27.7109375" customWidth="1"/>
    <col min="3" max="3" width="19.5703125" customWidth="1"/>
    <col min="4" max="4" width="11.28515625" customWidth="1"/>
    <col min="5" max="5" width="19.140625" customWidth="1"/>
    <col min="6" max="6" width="16.28515625" customWidth="1"/>
  </cols>
  <sheetData>
    <row r="2" spans="2:12" x14ac:dyDescent="0.2">
      <c r="B2" s="2" t="s">
        <v>6</v>
      </c>
      <c r="C2" s="13" t="s">
        <v>8</v>
      </c>
      <c r="D2" s="13" t="s">
        <v>17</v>
      </c>
      <c r="E2" s="13" t="s">
        <v>19</v>
      </c>
      <c r="F2" s="13" t="s">
        <v>20</v>
      </c>
      <c r="G2" s="17" t="s">
        <v>18</v>
      </c>
      <c r="K2" t="s">
        <v>0</v>
      </c>
      <c r="L2" s="1">
        <v>112</v>
      </c>
    </row>
    <row r="3" spans="2:12" x14ac:dyDescent="0.2">
      <c r="B3" s="3" t="s">
        <v>7</v>
      </c>
      <c r="C3" s="15" t="s">
        <v>9</v>
      </c>
      <c r="D3" s="15"/>
      <c r="E3" s="15" t="s">
        <v>34</v>
      </c>
      <c r="F3" s="14">
        <v>44433</v>
      </c>
      <c r="G3" s="18"/>
      <c r="K3" t="s">
        <v>1</v>
      </c>
      <c r="L3" s="7">
        <v>55.831561000000001</v>
      </c>
    </row>
    <row r="4" spans="2:12" x14ac:dyDescent="0.2">
      <c r="B4" s="2"/>
      <c r="C4" s="13"/>
      <c r="D4" s="13"/>
      <c r="E4" s="13"/>
      <c r="F4" s="13" t="s">
        <v>21</v>
      </c>
      <c r="G4" s="17"/>
      <c r="K4" t="s">
        <v>2</v>
      </c>
      <c r="L4" s="7">
        <f>+L2*L3</f>
        <v>6253.1348319999997</v>
      </c>
    </row>
    <row r="5" spans="2:12" x14ac:dyDescent="0.2">
      <c r="B5" s="3" t="s">
        <v>10</v>
      </c>
      <c r="C5" s="15" t="s">
        <v>16</v>
      </c>
      <c r="D5" s="15"/>
      <c r="E5" s="15"/>
      <c r="F5" s="15" t="s">
        <v>48</v>
      </c>
      <c r="G5" s="19"/>
      <c r="K5" t="s">
        <v>3</v>
      </c>
      <c r="L5" s="7">
        <f>608.33+311.48+15.338</f>
        <v>935.14800000000002</v>
      </c>
    </row>
    <row r="6" spans="2:12" x14ac:dyDescent="0.2">
      <c r="B6" s="3" t="s">
        <v>11</v>
      </c>
      <c r="C6" s="15" t="s">
        <v>12</v>
      </c>
      <c r="D6" s="15"/>
      <c r="E6" s="15"/>
      <c r="F6" s="15"/>
      <c r="G6" s="19"/>
      <c r="K6" t="s">
        <v>4</v>
      </c>
      <c r="L6" s="7">
        <v>533.14499999999998</v>
      </c>
    </row>
    <row r="7" spans="2:12" x14ac:dyDescent="0.2">
      <c r="B7" s="3" t="s">
        <v>13</v>
      </c>
      <c r="C7" s="15" t="s">
        <v>15</v>
      </c>
      <c r="D7" s="15"/>
      <c r="E7" s="15"/>
      <c r="F7" s="15"/>
      <c r="G7" s="19"/>
      <c r="K7" t="s">
        <v>5</v>
      </c>
      <c r="L7" s="7">
        <f>+L4-L5+L6</f>
        <v>5851.1318319999991</v>
      </c>
    </row>
    <row r="8" spans="2:12" x14ac:dyDescent="0.2">
      <c r="B8" s="3" t="s">
        <v>14</v>
      </c>
      <c r="C8" s="15" t="s">
        <v>15</v>
      </c>
      <c r="D8" s="15"/>
      <c r="E8" s="15"/>
      <c r="F8" s="15"/>
      <c r="G8" s="19"/>
    </row>
    <row r="9" spans="2:12" x14ac:dyDescent="0.2">
      <c r="B9" s="3" t="s">
        <v>49</v>
      </c>
      <c r="C9" s="15" t="s">
        <v>50</v>
      </c>
      <c r="D9" s="15"/>
      <c r="E9" s="15"/>
      <c r="F9" s="15" t="s">
        <v>51</v>
      </c>
      <c r="G9" s="19"/>
    </row>
    <row r="10" spans="2:12" x14ac:dyDescent="0.2">
      <c r="B10" s="3"/>
      <c r="C10" s="15"/>
      <c r="D10" s="15"/>
      <c r="E10" s="15"/>
      <c r="F10" s="15"/>
      <c r="G10" s="19"/>
    </row>
    <row r="11" spans="2:12" x14ac:dyDescent="0.2">
      <c r="B11" s="3"/>
      <c r="C11" s="15"/>
      <c r="D11" s="15"/>
      <c r="E11" s="15"/>
      <c r="F11" s="15"/>
      <c r="G11" s="19"/>
    </row>
    <row r="12" spans="2:12" x14ac:dyDescent="0.2">
      <c r="B12" s="4"/>
      <c r="C12" s="16"/>
      <c r="D12" s="16"/>
      <c r="E12" s="16"/>
      <c r="F12" s="16"/>
      <c r="G12" s="2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FE991-EB13-4971-84D4-47487AF983B8}">
  <dimension ref="A1:CG28"/>
  <sheetViews>
    <sheetView zoomScale="175" zoomScaleNormal="175" workbookViewId="0">
      <pane xSplit="2" ySplit="2" topLeftCell="T23" activePane="bottomRight" state="frozen"/>
      <selection pane="topRight" activeCell="C1" sqref="C1"/>
      <selection pane="bottomLeft" activeCell="A3" sqref="A3"/>
      <selection pane="bottomRight" activeCell="AE23" sqref="AE23"/>
    </sheetView>
  </sheetViews>
  <sheetFormatPr defaultRowHeight="12.75" x14ac:dyDescent="0.2"/>
  <cols>
    <col min="1" max="1" width="5" bestFit="1" customWidth="1"/>
    <col min="2" max="2" width="18.140625" bestFit="1" customWidth="1"/>
    <col min="3" max="14" width="9.140625" style="5"/>
    <col min="31" max="31" width="10" bestFit="1" customWidth="1"/>
  </cols>
  <sheetData>
    <row r="1" spans="1:28" x14ac:dyDescent="0.2">
      <c r="A1" s="6" t="s">
        <v>22</v>
      </c>
    </row>
    <row r="2" spans="1:28" x14ac:dyDescent="0.2">
      <c r="C2" s="5" t="s">
        <v>23</v>
      </c>
      <c r="D2" s="5" t="s">
        <v>24</v>
      </c>
      <c r="E2" s="5" t="s">
        <v>25</v>
      </c>
      <c r="F2" s="5" t="s">
        <v>26</v>
      </c>
      <c r="G2" s="5" t="s">
        <v>27</v>
      </c>
      <c r="H2" s="5" t="s">
        <v>28</v>
      </c>
      <c r="I2" s="5" t="s">
        <v>29</v>
      </c>
      <c r="J2" s="5" t="s">
        <v>30</v>
      </c>
      <c r="K2" s="5" t="s">
        <v>44</v>
      </c>
      <c r="L2" s="5" t="s">
        <v>45</v>
      </c>
      <c r="M2" s="5" t="s">
        <v>46</v>
      </c>
      <c r="N2" s="5" t="s">
        <v>47</v>
      </c>
      <c r="Q2">
        <v>2019</v>
      </c>
      <c r="R2">
        <f>+Q2+1</f>
        <v>2020</v>
      </c>
      <c r="S2">
        <f t="shared" ref="S2:X2" si="0">+R2+1</f>
        <v>2021</v>
      </c>
      <c r="T2">
        <f t="shared" si="0"/>
        <v>2022</v>
      </c>
      <c r="U2">
        <f t="shared" si="0"/>
        <v>2023</v>
      </c>
      <c r="V2">
        <f t="shared" si="0"/>
        <v>2024</v>
      </c>
      <c r="W2">
        <f t="shared" si="0"/>
        <v>2025</v>
      </c>
      <c r="X2">
        <f t="shared" si="0"/>
        <v>2026</v>
      </c>
      <c r="Y2">
        <f>+X2+1</f>
        <v>2027</v>
      </c>
      <c r="Z2">
        <f>+Y2+1</f>
        <v>2028</v>
      </c>
      <c r="AA2">
        <f>+Z2+1</f>
        <v>2029</v>
      </c>
      <c r="AB2">
        <f>+AA2+1</f>
        <v>2030</v>
      </c>
    </row>
    <row r="3" spans="1:28" s="7" customFormat="1" x14ac:dyDescent="0.2">
      <c r="B3" s="7" t="s">
        <v>32</v>
      </c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Q3" s="7">
        <v>498</v>
      </c>
      <c r="R3" s="7">
        <v>428</v>
      </c>
      <c r="S3" s="7">
        <v>390</v>
      </c>
      <c r="T3" s="7">
        <v>360</v>
      </c>
    </row>
    <row r="4" spans="1:28" s="7" customFormat="1" x14ac:dyDescent="0.2">
      <c r="B4" s="7" t="s">
        <v>35</v>
      </c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T4" s="7">
        <v>240</v>
      </c>
    </row>
    <row r="5" spans="1:28" s="7" customFormat="1" x14ac:dyDescent="0.2">
      <c r="B5" s="7" t="s">
        <v>39</v>
      </c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T5" s="7">
        <v>1000</v>
      </c>
    </row>
    <row r="6" spans="1:28" s="7" customFormat="1" x14ac:dyDescent="0.2">
      <c r="B6" s="7" t="s">
        <v>33</v>
      </c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T6" s="7">
        <v>250</v>
      </c>
    </row>
    <row r="7" spans="1:28" s="7" customFormat="1" x14ac:dyDescent="0.2">
      <c r="B7" s="7" t="s">
        <v>40</v>
      </c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T7" s="7">
        <v>100</v>
      </c>
    </row>
    <row r="8" spans="1:28" s="7" customFormat="1" x14ac:dyDescent="0.2">
      <c r="B8" s="7" t="s">
        <v>41</v>
      </c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T8" s="7">
        <v>100</v>
      </c>
    </row>
    <row r="9" spans="1:28" s="7" customFormat="1" x14ac:dyDescent="0.2">
      <c r="B9" s="7" t="s">
        <v>42</v>
      </c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T9" s="7">
        <v>5</v>
      </c>
    </row>
    <row r="10" spans="1:28" s="7" customFormat="1" x14ac:dyDescent="0.2">
      <c r="B10" s="7" t="s">
        <v>36</v>
      </c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T10" s="7">
        <v>100</v>
      </c>
    </row>
    <row r="11" spans="1:28" s="7" customFormat="1" x14ac:dyDescent="0.2"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</row>
    <row r="12" spans="1:28" s="7" customFormat="1" x14ac:dyDescent="0.2">
      <c r="B12" s="7" t="s">
        <v>10</v>
      </c>
      <c r="C12" s="8"/>
      <c r="D12" s="8"/>
      <c r="E12" s="8"/>
      <c r="F12" s="8"/>
      <c r="G12" s="8"/>
      <c r="H12" s="8"/>
      <c r="I12" s="8"/>
      <c r="J12" s="8"/>
      <c r="K12" s="8"/>
      <c r="L12" s="8"/>
      <c r="M12" s="10">
        <v>5</v>
      </c>
      <c r="N12" s="10">
        <v>10</v>
      </c>
      <c r="T12" s="9">
        <f t="shared" ref="T12" si="1">SUM(G12:J12)</f>
        <v>0</v>
      </c>
      <c r="U12" s="9">
        <f t="shared" ref="U12" si="2">SUM(K12:N12)</f>
        <v>15</v>
      </c>
      <c r="V12" s="9">
        <v>50</v>
      </c>
      <c r="W12" s="9">
        <v>100</v>
      </c>
      <c r="X12" s="9">
        <f>+W12*1.1</f>
        <v>110.00000000000001</v>
      </c>
      <c r="Y12" s="9">
        <f>+X12*1.1</f>
        <v>121.00000000000003</v>
      </c>
      <c r="Z12" s="9">
        <f>+Y12*1.1</f>
        <v>133.10000000000005</v>
      </c>
      <c r="AA12" s="9">
        <f>+Z12*1.1</f>
        <v>146.41000000000008</v>
      </c>
      <c r="AB12" s="9">
        <f>+AA12*1.1</f>
        <v>161.0510000000001</v>
      </c>
    </row>
    <row r="13" spans="1:28" s="9" customFormat="1" x14ac:dyDescent="0.2">
      <c r="B13" s="9" t="s">
        <v>43</v>
      </c>
      <c r="C13" s="10"/>
      <c r="D13" s="10"/>
      <c r="E13" s="10"/>
      <c r="F13" s="10"/>
      <c r="G13" s="10">
        <v>1.9</v>
      </c>
      <c r="H13" s="10">
        <v>4.4000000000000004</v>
      </c>
      <c r="I13" s="10">
        <v>12.3</v>
      </c>
      <c r="J13" s="10">
        <v>17.100000000000001</v>
      </c>
      <c r="K13" s="10">
        <f>+J13+5</f>
        <v>22.1</v>
      </c>
      <c r="L13" s="10">
        <f>+K13+5</f>
        <v>27.1</v>
      </c>
      <c r="M13" s="10">
        <f>+L13+5</f>
        <v>32.1</v>
      </c>
      <c r="N13" s="10">
        <f>+M13+5</f>
        <v>37.1</v>
      </c>
      <c r="T13" s="9">
        <f>SUM(G13:J13)</f>
        <v>35.700000000000003</v>
      </c>
      <c r="U13" s="9">
        <f>SUM(K13:N13)</f>
        <v>118.4</v>
      </c>
      <c r="V13" s="9">
        <f>+U13*2.5</f>
        <v>296</v>
      </c>
      <c r="W13" s="9">
        <f>+V13*1.5</f>
        <v>444</v>
      </c>
      <c r="X13" s="9">
        <f>+W13*1.3</f>
        <v>577.20000000000005</v>
      </c>
      <c r="Y13" s="9">
        <f>+X13*1.3</f>
        <v>750.36000000000013</v>
      </c>
      <c r="Z13" s="9">
        <f>+Y13*1.1</f>
        <v>825.39600000000019</v>
      </c>
      <c r="AA13" s="9">
        <f>+Z13*1.1</f>
        <v>907.93560000000025</v>
      </c>
      <c r="AB13" s="9">
        <f>+AA13*1.05</f>
        <v>953.33238000000028</v>
      </c>
    </row>
    <row r="14" spans="1:28" s="11" customFormat="1" x14ac:dyDescent="0.2">
      <c r="B14" s="11" t="s">
        <v>31</v>
      </c>
      <c r="C14" s="12"/>
      <c r="D14" s="12"/>
      <c r="E14" s="12"/>
      <c r="F14" s="12"/>
      <c r="G14" s="12"/>
      <c r="H14" s="12"/>
      <c r="I14" s="12">
        <v>15.29</v>
      </c>
      <c r="J14" s="12">
        <f>+J13+J12</f>
        <v>17.100000000000001</v>
      </c>
      <c r="K14" s="12">
        <f t="shared" ref="K14:N14" si="3">+K13+K12</f>
        <v>22.1</v>
      </c>
      <c r="L14" s="12">
        <f t="shared" si="3"/>
        <v>27.1</v>
      </c>
      <c r="M14" s="12">
        <f t="shared" si="3"/>
        <v>37.1</v>
      </c>
      <c r="N14" s="12">
        <f t="shared" si="3"/>
        <v>47.1</v>
      </c>
      <c r="T14" s="11">
        <f>+T13+T12</f>
        <v>35.700000000000003</v>
      </c>
      <c r="U14" s="11">
        <f>+U13+U12</f>
        <v>133.4</v>
      </c>
      <c r="V14" s="11">
        <f t="shared" ref="V14:AB14" si="4">+V13+V12</f>
        <v>346</v>
      </c>
      <c r="W14" s="11">
        <f t="shared" si="4"/>
        <v>544</v>
      </c>
      <c r="X14" s="11">
        <f t="shared" si="4"/>
        <v>687.2</v>
      </c>
      <c r="Y14" s="11">
        <f t="shared" si="4"/>
        <v>871.36000000000013</v>
      </c>
      <c r="Z14" s="11">
        <f t="shared" si="4"/>
        <v>958.49600000000021</v>
      </c>
      <c r="AA14" s="11">
        <f t="shared" si="4"/>
        <v>1054.3456000000003</v>
      </c>
      <c r="AB14" s="11">
        <f t="shared" si="4"/>
        <v>1114.3833800000004</v>
      </c>
    </row>
    <row r="15" spans="1:28" s="9" customFormat="1" x14ac:dyDescent="0.2">
      <c r="B15" s="9" t="s">
        <v>52</v>
      </c>
      <c r="C15" s="10"/>
      <c r="D15" s="10"/>
      <c r="E15" s="10"/>
      <c r="F15" s="10"/>
      <c r="G15" s="10"/>
      <c r="H15" s="10"/>
      <c r="I15" s="10">
        <v>1.6930000000000001</v>
      </c>
      <c r="J15" s="10"/>
      <c r="K15" s="10"/>
      <c r="L15" s="10"/>
      <c r="M15" s="10"/>
      <c r="N15" s="10"/>
      <c r="T15" s="9">
        <f>+T14*0.1</f>
        <v>3.5700000000000003</v>
      </c>
      <c r="U15" s="9">
        <f>+U14*0.1</f>
        <v>13.340000000000002</v>
      </c>
      <c r="V15" s="9">
        <f t="shared" ref="V15:AB15" si="5">+V14*0.1</f>
        <v>34.6</v>
      </c>
      <c r="W15" s="9">
        <f t="shared" si="5"/>
        <v>54.400000000000006</v>
      </c>
      <c r="X15" s="9">
        <f t="shared" si="5"/>
        <v>68.720000000000013</v>
      </c>
      <c r="Y15" s="9">
        <f t="shared" si="5"/>
        <v>87.136000000000024</v>
      </c>
      <c r="Z15" s="9">
        <f t="shared" si="5"/>
        <v>95.849600000000024</v>
      </c>
      <c r="AA15" s="9">
        <f t="shared" si="5"/>
        <v>105.43456000000003</v>
      </c>
      <c r="AB15" s="9">
        <f t="shared" si="5"/>
        <v>111.43833800000004</v>
      </c>
    </row>
    <row r="16" spans="1:28" s="9" customFormat="1" x14ac:dyDescent="0.2">
      <c r="B16" s="9" t="s">
        <v>53</v>
      </c>
      <c r="C16" s="10"/>
      <c r="D16" s="10"/>
      <c r="E16" s="10"/>
      <c r="F16" s="10"/>
      <c r="G16" s="10"/>
      <c r="H16" s="10"/>
      <c r="I16" s="10">
        <f>+I14-I15</f>
        <v>13.597</v>
      </c>
      <c r="J16" s="10"/>
      <c r="K16" s="10"/>
      <c r="L16" s="10"/>
      <c r="M16" s="10"/>
      <c r="N16" s="10"/>
      <c r="T16" s="9">
        <f>+T14-T15</f>
        <v>32.130000000000003</v>
      </c>
      <c r="U16" s="9">
        <f>+U14-U15</f>
        <v>120.06</v>
      </c>
      <c r="V16" s="9">
        <f t="shared" ref="V16:AB16" si="6">+V14-V15</f>
        <v>311.39999999999998</v>
      </c>
      <c r="W16" s="9">
        <f t="shared" si="6"/>
        <v>489.6</v>
      </c>
      <c r="X16" s="9">
        <f t="shared" si="6"/>
        <v>618.48</v>
      </c>
      <c r="Y16" s="9">
        <f t="shared" si="6"/>
        <v>784.22400000000016</v>
      </c>
      <c r="Z16" s="9">
        <f t="shared" si="6"/>
        <v>862.6464000000002</v>
      </c>
      <c r="AA16" s="9">
        <f t="shared" si="6"/>
        <v>948.9110400000003</v>
      </c>
      <c r="AB16" s="9">
        <f t="shared" si="6"/>
        <v>1002.9450420000004</v>
      </c>
    </row>
    <row r="17" spans="2:85" s="9" customFormat="1" x14ac:dyDescent="0.2">
      <c r="B17" s="9" t="s">
        <v>54</v>
      </c>
      <c r="C17" s="10"/>
      <c r="D17" s="10"/>
      <c r="E17" s="10"/>
      <c r="F17" s="10"/>
      <c r="G17" s="10"/>
      <c r="H17" s="10"/>
      <c r="I17" s="10">
        <v>97.430999999999997</v>
      </c>
      <c r="J17" s="10"/>
      <c r="K17" s="10"/>
      <c r="L17" s="10"/>
      <c r="M17" s="10"/>
      <c r="N17" s="10"/>
    </row>
    <row r="18" spans="2:85" s="9" customFormat="1" x14ac:dyDescent="0.2">
      <c r="B18" s="9" t="s">
        <v>55</v>
      </c>
      <c r="C18" s="10"/>
      <c r="D18" s="10"/>
      <c r="E18" s="10"/>
      <c r="F18" s="10"/>
      <c r="G18" s="10"/>
      <c r="H18" s="10"/>
      <c r="I18" s="10">
        <v>60.670999999999999</v>
      </c>
      <c r="J18" s="10"/>
      <c r="K18" s="10"/>
      <c r="L18" s="10"/>
      <c r="M18" s="10"/>
      <c r="N18" s="10"/>
      <c r="U18" s="9">
        <v>200</v>
      </c>
      <c r="V18" s="9">
        <f>+U18*1.01</f>
        <v>202</v>
      </c>
      <c r="W18" s="9">
        <f t="shared" ref="W18:AB18" si="7">+V18*1.01</f>
        <v>204.02</v>
      </c>
      <c r="X18" s="9">
        <f t="shared" si="7"/>
        <v>206.06020000000001</v>
      </c>
      <c r="Y18" s="9">
        <f t="shared" si="7"/>
        <v>208.120802</v>
      </c>
      <c r="Z18" s="9">
        <f t="shared" si="7"/>
        <v>210.20201001999999</v>
      </c>
      <c r="AA18" s="9">
        <f t="shared" si="7"/>
        <v>212.3040301202</v>
      </c>
      <c r="AB18" s="9">
        <f t="shared" si="7"/>
        <v>214.42707042140199</v>
      </c>
    </row>
    <row r="19" spans="2:85" s="9" customFormat="1" x14ac:dyDescent="0.2">
      <c r="B19" s="9" t="s">
        <v>56</v>
      </c>
      <c r="C19" s="10"/>
      <c r="D19" s="10"/>
      <c r="E19" s="10"/>
      <c r="F19" s="10"/>
      <c r="G19" s="10"/>
      <c r="H19" s="10"/>
      <c r="I19" s="10">
        <f>+I17+I18</f>
        <v>158.102</v>
      </c>
      <c r="J19" s="10"/>
      <c r="K19" s="10"/>
      <c r="L19" s="10"/>
      <c r="M19" s="10"/>
      <c r="N19" s="10"/>
      <c r="U19" s="9">
        <f>+U18</f>
        <v>200</v>
      </c>
      <c r="V19" s="9">
        <f t="shared" ref="V19:AB19" si="8">+V18</f>
        <v>202</v>
      </c>
      <c r="W19" s="9">
        <f t="shared" si="8"/>
        <v>204.02</v>
      </c>
      <c r="X19" s="9">
        <f t="shared" si="8"/>
        <v>206.06020000000001</v>
      </c>
      <c r="Y19" s="9">
        <f t="shared" si="8"/>
        <v>208.120802</v>
      </c>
      <c r="Z19" s="9">
        <f t="shared" si="8"/>
        <v>210.20201001999999</v>
      </c>
      <c r="AA19" s="9">
        <f t="shared" si="8"/>
        <v>212.3040301202</v>
      </c>
      <c r="AB19" s="9">
        <f t="shared" si="8"/>
        <v>214.42707042140199</v>
      </c>
    </row>
    <row r="20" spans="2:85" s="9" customFormat="1" x14ac:dyDescent="0.2">
      <c r="B20" s="9" t="s">
        <v>57</v>
      </c>
      <c r="C20" s="10"/>
      <c r="D20" s="10"/>
      <c r="E20" s="10"/>
      <c r="F20" s="10"/>
      <c r="G20" s="10"/>
      <c r="H20" s="10"/>
      <c r="I20" s="10">
        <f>+I16-I19</f>
        <v>-144.505</v>
      </c>
      <c r="J20" s="10"/>
      <c r="K20" s="10"/>
      <c r="L20" s="10"/>
      <c r="M20" s="10"/>
      <c r="N20" s="10"/>
      <c r="U20" s="9">
        <f>+U16-U19</f>
        <v>-79.94</v>
      </c>
      <c r="V20" s="9">
        <f t="shared" ref="V20:AB20" si="9">+V16-V19</f>
        <v>109.39999999999998</v>
      </c>
      <c r="W20" s="9">
        <f t="shared" si="9"/>
        <v>285.58000000000004</v>
      </c>
      <c r="X20" s="9">
        <f t="shared" si="9"/>
        <v>412.41980000000001</v>
      </c>
      <c r="Y20" s="9">
        <f t="shared" si="9"/>
        <v>576.10319800000013</v>
      </c>
      <c r="Z20" s="9">
        <f t="shared" si="9"/>
        <v>652.44438998000021</v>
      </c>
      <c r="AA20" s="9">
        <f t="shared" si="9"/>
        <v>736.60700987980033</v>
      </c>
      <c r="AB20" s="9">
        <f t="shared" si="9"/>
        <v>788.51797157859846</v>
      </c>
    </row>
    <row r="21" spans="2:85" x14ac:dyDescent="0.2">
      <c r="B21" s="9" t="s">
        <v>60</v>
      </c>
      <c r="U21" s="9">
        <v>0</v>
      </c>
      <c r="V21" s="9">
        <v>0</v>
      </c>
      <c r="W21" s="9">
        <v>0</v>
      </c>
      <c r="X21" s="9">
        <v>0</v>
      </c>
      <c r="Y21" s="9">
        <v>0</v>
      </c>
      <c r="Z21" s="9">
        <v>0</v>
      </c>
      <c r="AA21" s="9">
        <v>0</v>
      </c>
      <c r="AB21" s="9">
        <v>0</v>
      </c>
    </row>
    <row r="22" spans="2:85" x14ac:dyDescent="0.2">
      <c r="B22" s="9" t="s">
        <v>59</v>
      </c>
      <c r="U22" s="9">
        <f>+U20+U21</f>
        <v>-79.94</v>
      </c>
      <c r="V22" s="9">
        <f t="shared" ref="V22:AB22" si="10">+V20+V21</f>
        <v>109.39999999999998</v>
      </c>
      <c r="W22" s="9">
        <f t="shared" si="10"/>
        <v>285.58000000000004</v>
      </c>
      <c r="X22" s="9">
        <f t="shared" si="10"/>
        <v>412.41980000000001</v>
      </c>
      <c r="Y22" s="9">
        <f t="shared" si="10"/>
        <v>576.10319800000013</v>
      </c>
      <c r="Z22" s="9">
        <f t="shared" si="10"/>
        <v>652.44438998000021</v>
      </c>
      <c r="AA22" s="9">
        <f t="shared" si="10"/>
        <v>736.60700987980033</v>
      </c>
      <c r="AB22" s="9">
        <f t="shared" si="10"/>
        <v>788.51797157859846</v>
      </c>
    </row>
    <row r="23" spans="2:85" x14ac:dyDescent="0.2">
      <c r="B23" s="9" t="s">
        <v>58</v>
      </c>
      <c r="U23" s="9">
        <v>0</v>
      </c>
      <c r="V23" s="9">
        <f>+V22*0.05</f>
        <v>5.4699999999999989</v>
      </c>
      <c r="W23" s="9">
        <f t="shared" ref="W23:AB23" si="11">+W22*0.05</f>
        <v>14.279000000000003</v>
      </c>
      <c r="X23" s="9">
        <f t="shared" si="11"/>
        <v>20.620990000000003</v>
      </c>
      <c r="Y23" s="9">
        <f t="shared" si="11"/>
        <v>28.805159900000007</v>
      </c>
      <c r="Z23" s="9">
        <f t="shared" si="11"/>
        <v>32.622219499000011</v>
      </c>
      <c r="AA23" s="9">
        <f t="shared" si="11"/>
        <v>36.830350493990018</v>
      </c>
      <c r="AB23" s="9">
        <f t="shared" si="11"/>
        <v>39.425898578929925</v>
      </c>
    </row>
    <row r="24" spans="2:85" x14ac:dyDescent="0.2">
      <c r="B24" s="9" t="s">
        <v>61</v>
      </c>
      <c r="U24" s="9">
        <f>+U22-U23</f>
        <v>-79.94</v>
      </c>
      <c r="V24" s="9">
        <f t="shared" ref="V24:AB24" si="12">+V22-V23</f>
        <v>103.92999999999998</v>
      </c>
      <c r="W24" s="9">
        <f t="shared" si="12"/>
        <v>271.30100000000004</v>
      </c>
      <c r="X24" s="9">
        <f t="shared" si="12"/>
        <v>391.79881</v>
      </c>
      <c r="Y24" s="9">
        <f t="shared" si="12"/>
        <v>547.2980381000001</v>
      </c>
      <c r="Z24" s="9">
        <f t="shared" si="12"/>
        <v>619.82217048100017</v>
      </c>
      <c r="AA24" s="9">
        <f t="shared" si="12"/>
        <v>699.77665938581026</v>
      </c>
      <c r="AB24" s="9">
        <f t="shared" si="12"/>
        <v>749.09207299966852</v>
      </c>
      <c r="AC24" s="9">
        <f>AB24*(1+$AE$27)</f>
        <v>741.60115226967184</v>
      </c>
      <c r="AD24" s="9">
        <f t="shared" ref="AD24:CG24" si="13">AC24*(1+$AE$27)</f>
        <v>734.18514074697509</v>
      </c>
      <c r="AE24" s="9">
        <f t="shared" si="13"/>
        <v>726.8432893395053</v>
      </c>
      <c r="AF24" s="9">
        <f t="shared" si="13"/>
        <v>719.57485644611029</v>
      </c>
      <c r="AG24" s="9">
        <f t="shared" si="13"/>
        <v>712.37910788164913</v>
      </c>
      <c r="AH24" s="9">
        <f t="shared" si="13"/>
        <v>705.25531680283268</v>
      </c>
      <c r="AI24" s="9">
        <f t="shared" si="13"/>
        <v>698.20276363480434</v>
      </c>
      <c r="AJ24" s="9">
        <f t="shared" si="13"/>
        <v>691.22073599845635</v>
      </c>
      <c r="AK24" s="9">
        <f t="shared" si="13"/>
        <v>684.30852863847178</v>
      </c>
      <c r="AL24" s="9">
        <f t="shared" si="13"/>
        <v>677.46544335208705</v>
      </c>
      <c r="AM24" s="9">
        <f t="shared" si="13"/>
        <v>670.69078891856623</v>
      </c>
      <c r="AN24" s="9">
        <f t="shared" si="13"/>
        <v>663.98388102938054</v>
      </c>
      <c r="AO24" s="9">
        <f t="shared" si="13"/>
        <v>657.34404221908676</v>
      </c>
      <c r="AP24" s="9">
        <f t="shared" si="13"/>
        <v>650.7706017968959</v>
      </c>
      <c r="AQ24" s="9">
        <f t="shared" si="13"/>
        <v>644.26289577892692</v>
      </c>
      <c r="AR24" s="9">
        <f t="shared" si="13"/>
        <v>637.82026682113769</v>
      </c>
      <c r="AS24" s="9">
        <f t="shared" si="13"/>
        <v>631.44206415292626</v>
      </c>
      <c r="AT24" s="9">
        <f t="shared" si="13"/>
        <v>625.12764351139697</v>
      </c>
      <c r="AU24" s="9">
        <f t="shared" si="13"/>
        <v>618.87636707628303</v>
      </c>
      <c r="AV24" s="9">
        <f t="shared" si="13"/>
        <v>612.68760340552024</v>
      </c>
      <c r="AW24" s="9">
        <f t="shared" si="13"/>
        <v>606.56072737146508</v>
      </c>
      <c r="AX24" s="9">
        <f t="shared" si="13"/>
        <v>600.49512009775037</v>
      </c>
      <c r="AY24" s="9">
        <f t="shared" si="13"/>
        <v>594.49016889677284</v>
      </c>
      <c r="AZ24" s="9">
        <f t="shared" si="13"/>
        <v>588.54526720780507</v>
      </c>
      <c r="BA24" s="9">
        <f t="shared" si="13"/>
        <v>582.65981453572704</v>
      </c>
      <c r="BB24" s="9">
        <f t="shared" si="13"/>
        <v>576.83321639036978</v>
      </c>
      <c r="BC24" s="9">
        <f t="shared" si="13"/>
        <v>571.06488422646612</v>
      </c>
      <c r="BD24" s="9">
        <f t="shared" si="13"/>
        <v>565.3542353842015</v>
      </c>
      <c r="BE24" s="9">
        <f t="shared" si="13"/>
        <v>559.7006930303595</v>
      </c>
      <c r="BF24" s="9">
        <f t="shared" si="13"/>
        <v>554.10368610005594</v>
      </c>
      <c r="BG24" s="9">
        <f t="shared" si="13"/>
        <v>548.56264923905542</v>
      </c>
      <c r="BH24" s="9">
        <f t="shared" si="13"/>
        <v>543.07702274666485</v>
      </c>
      <c r="BI24" s="9">
        <f t="shared" si="13"/>
        <v>537.64625251919824</v>
      </c>
      <c r="BJ24" s="9">
        <f t="shared" si="13"/>
        <v>532.26978999400626</v>
      </c>
      <c r="BK24" s="9">
        <f t="shared" si="13"/>
        <v>526.94709209406619</v>
      </c>
      <c r="BL24" s="9">
        <f t="shared" si="13"/>
        <v>521.67762117312554</v>
      </c>
      <c r="BM24" s="9">
        <f t="shared" si="13"/>
        <v>516.46084496139429</v>
      </c>
      <c r="BN24" s="9">
        <f t="shared" si="13"/>
        <v>511.29623651178036</v>
      </c>
      <c r="BO24" s="9">
        <f t="shared" si="13"/>
        <v>506.18327414666254</v>
      </c>
      <c r="BP24" s="9">
        <f t="shared" si="13"/>
        <v>501.12144140519592</v>
      </c>
      <c r="BQ24" s="9">
        <f t="shared" si="13"/>
        <v>496.11022699114397</v>
      </c>
      <c r="BR24" s="9">
        <f t="shared" si="13"/>
        <v>491.14912472123251</v>
      </c>
      <c r="BS24" s="9">
        <f t="shared" si="13"/>
        <v>486.23763347402019</v>
      </c>
      <c r="BT24" s="9">
        <f t="shared" si="13"/>
        <v>481.37525713928</v>
      </c>
      <c r="BU24" s="9">
        <f t="shared" si="13"/>
        <v>476.5615045678872</v>
      </c>
      <c r="BV24" s="9">
        <f t="shared" si="13"/>
        <v>471.79588952220831</v>
      </c>
      <c r="BW24" s="9">
        <f t="shared" si="13"/>
        <v>467.07793062698624</v>
      </c>
      <c r="BX24" s="9">
        <f t="shared" si="13"/>
        <v>462.40715132071637</v>
      </c>
      <c r="BY24" s="9">
        <f t="shared" si="13"/>
        <v>457.78307980750918</v>
      </c>
      <c r="BZ24" s="9">
        <f t="shared" si="13"/>
        <v>453.20524900943411</v>
      </c>
      <c r="CA24" s="9">
        <f t="shared" si="13"/>
        <v>448.67319651933974</v>
      </c>
      <c r="CB24" s="9">
        <f t="shared" si="13"/>
        <v>444.18646455414631</v>
      </c>
      <c r="CC24" s="9">
        <f t="shared" si="13"/>
        <v>439.74459990860487</v>
      </c>
      <c r="CD24" s="9">
        <f t="shared" si="13"/>
        <v>435.34715390951879</v>
      </c>
      <c r="CE24" s="9">
        <f t="shared" si="13"/>
        <v>430.99368237042358</v>
      </c>
      <c r="CF24" s="9">
        <f t="shared" si="13"/>
        <v>426.68374554671936</v>
      </c>
      <c r="CG24" s="9">
        <f t="shared" si="13"/>
        <v>422.41690809125214</v>
      </c>
    </row>
    <row r="25" spans="2:85" x14ac:dyDescent="0.2">
      <c r="B25" s="9" t="s">
        <v>1</v>
      </c>
      <c r="U25" s="1">
        <f>+U24/U26</f>
        <v>-1.4275</v>
      </c>
      <c r="V25" s="1">
        <f t="shared" ref="V25:AB25" si="14">+V24/V26</f>
        <v>1.8558928571428568</v>
      </c>
      <c r="W25" s="1">
        <f t="shared" si="14"/>
        <v>4.8446607142857152</v>
      </c>
      <c r="X25" s="1">
        <f t="shared" si="14"/>
        <v>6.9964073214285714</v>
      </c>
      <c r="Y25" s="1">
        <f t="shared" si="14"/>
        <v>9.7731792517857166</v>
      </c>
      <c r="Z25" s="1">
        <f t="shared" si="14"/>
        <v>11.068253044303574</v>
      </c>
      <c r="AA25" s="1">
        <f t="shared" si="14"/>
        <v>12.496011774746611</v>
      </c>
      <c r="AB25" s="1">
        <f t="shared" si="14"/>
        <v>13.376644160708366</v>
      </c>
    </row>
    <row r="26" spans="2:85" x14ac:dyDescent="0.2">
      <c r="B26" s="9" t="s">
        <v>62</v>
      </c>
      <c r="U26" s="9">
        <v>56</v>
      </c>
      <c r="V26" s="9">
        <f>+U26</f>
        <v>56</v>
      </c>
      <c r="W26" s="9">
        <f t="shared" ref="W26:AB26" si="15">+V26</f>
        <v>56</v>
      </c>
      <c r="X26" s="9">
        <f t="shared" si="15"/>
        <v>56</v>
      </c>
      <c r="Y26" s="9">
        <f t="shared" si="15"/>
        <v>56</v>
      </c>
      <c r="Z26" s="9">
        <f t="shared" si="15"/>
        <v>56</v>
      </c>
      <c r="AA26" s="9">
        <f t="shared" si="15"/>
        <v>56</v>
      </c>
      <c r="AB26" s="9">
        <f t="shared" si="15"/>
        <v>56</v>
      </c>
      <c r="AD26" t="s">
        <v>63</v>
      </c>
      <c r="AE26" s="21">
        <v>0.09</v>
      </c>
    </row>
    <row r="27" spans="2:85" x14ac:dyDescent="0.2">
      <c r="AD27" t="s">
        <v>64</v>
      </c>
      <c r="AE27" s="21">
        <v>-0.01</v>
      </c>
    </row>
    <row r="28" spans="2:85" x14ac:dyDescent="0.2">
      <c r="AD28" t="s">
        <v>65</v>
      </c>
      <c r="AE28" s="7">
        <f>NPV(AE26,V24:CG24)+Main!L5-Main!L6</f>
        <v>6685.8178001009601</v>
      </c>
    </row>
  </sheetData>
  <hyperlinks>
    <hyperlink ref="A1" location="Main!A1" display="Main" xr:uid="{82E77963-5160-489B-BAD7-F614A24F6B02}"/>
  </hyperlink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C1ADA-BB4A-4FAA-A26D-E4D074BEE288}">
  <dimension ref="A1:C2"/>
  <sheetViews>
    <sheetView zoomScale="220" zoomScaleNormal="220" workbookViewId="0"/>
  </sheetViews>
  <sheetFormatPr defaultRowHeight="12.75" x14ac:dyDescent="0.2"/>
  <cols>
    <col min="1" max="1" width="6.28515625" customWidth="1"/>
    <col min="2" max="2" width="12.85546875" customWidth="1"/>
  </cols>
  <sheetData>
    <row r="1" spans="1:3" x14ac:dyDescent="0.2">
      <c r="A1" s="6" t="s">
        <v>22</v>
      </c>
    </row>
    <row r="2" spans="1:3" x14ac:dyDescent="0.2">
      <c r="B2" t="s">
        <v>37</v>
      </c>
      <c r="C2" t="s">
        <v>38</v>
      </c>
    </row>
  </sheetData>
  <hyperlinks>
    <hyperlink ref="A1" location="Main!A1" display="Main" xr:uid="{12226ACA-7B94-4A90-9FC0-400D92625DD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Model</vt:lpstr>
      <vt:lpstr>Skytrofa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2023-02-16T13:41:39Z</dcterms:created>
  <dcterms:modified xsi:type="dcterms:W3CDTF">2023-03-16T00:17:47Z</dcterms:modified>
</cp:coreProperties>
</file>