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A47BF8B-D42D-45DF-ABEB-0CE2E15703F5}" xr6:coauthVersionLast="47" xr6:coauthVersionMax="47" xr10:uidLastSave="{00000000-0000-0000-0000-000000000000}"/>
  <bookViews>
    <workbookView xWindow="-25275" yWindow="2745" windowWidth="24870" windowHeight="17595" xr2:uid="{3564809F-01A6-46D3-96C5-46308A52165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2" l="1"/>
  <c r="N39" i="2"/>
  <c r="N37" i="2"/>
  <c r="N36" i="2"/>
  <c r="N32" i="2"/>
  <c r="N8" i="2"/>
  <c r="N17" i="2"/>
  <c r="N5" i="2"/>
  <c r="N4" i="2"/>
  <c r="J5" i="1"/>
  <c r="O30" i="2"/>
  <c r="N30" i="2"/>
  <c r="M17" i="2"/>
  <c r="M8" i="2"/>
  <c r="M9" i="2"/>
  <c r="M5" i="2"/>
  <c r="M4" i="2"/>
  <c r="M59" i="2"/>
  <c r="M64" i="2" s="1"/>
  <c r="M47" i="2"/>
  <c r="M45" i="2"/>
  <c r="I40" i="2"/>
  <c r="I38" i="2"/>
  <c r="I35" i="2"/>
  <c r="I34" i="2"/>
  <c r="I33" i="2"/>
  <c r="I36" i="2" s="1"/>
  <c r="I31" i="2"/>
  <c r="I28" i="2"/>
  <c r="I27" i="2"/>
  <c r="I30" i="2" s="1"/>
  <c r="I32" i="2" s="1"/>
  <c r="I37" i="2" s="1"/>
  <c r="I39" i="2" s="1"/>
  <c r="M40" i="2"/>
  <c r="M38" i="2"/>
  <c r="M36" i="2"/>
  <c r="M35" i="2"/>
  <c r="M34" i="2"/>
  <c r="M33" i="2"/>
  <c r="M31" i="2"/>
  <c r="M29" i="2"/>
  <c r="M28" i="2"/>
  <c r="M27" i="2"/>
  <c r="M30" i="2" s="1"/>
  <c r="M32" i="2" s="1"/>
  <c r="M37" i="2" s="1"/>
  <c r="M39" i="2" s="1"/>
  <c r="M41" i="2" s="1"/>
  <c r="L9" i="2"/>
  <c r="K9" i="2"/>
  <c r="J9" i="2"/>
  <c r="I9" i="2"/>
  <c r="H9" i="2"/>
  <c r="L17" i="2"/>
  <c r="K17" i="2"/>
  <c r="J17" i="2"/>
  <c r="I17" i="2"/>
  <c r="L8" i="2"/>
  <c r="K8" i="2"/>
  <c r="J8" i="2"/>
  <c r="I8" i="2"/>
  <c r="H8" i="2"/>
  <c r="L5" i="2"/>
  <c r="K5" i="2"/>
  <c r="J5" i="2"/>
  <c r="I5" i="2"/>
  <c r="H5" i="2"/>
  <c r="L4" i="2"/>
  <c r="K4" i="2"/>
  <c r="J4" i="2"/>
  <c r="I4" i="2"/>
  <c r="H4" i="2"/>
  <c r="L60" i="2"/>
  <c r="L59" i="2"/>
  <c r="L64" i="2" s="1"/>
  <c r="L47" i="2"/>
  <c r="L45" i="2"/>
  <c r="L55" i="2" s="1"/>
  <c r="H38" i="2"/>
  <c r="L38" i="2"/>
  <c r="H36" i="2"/>
  <c r="L36" i="2"/>
  <c r="L30" i="2"/>
  <c r="L32" i="2" s="1"/>
  <c r="H30" i="2"/>
  <c r="H32" i="2" s="1"/>
  <c r="J4" i="1"/>
  <c r="J7" i="1" l="1"/>
  <c r="M55" i="2"/>
  <c r="I41" i="2"/>
  <c r="L37" i="2"/>
  <c r="L39" i="2" s="1"/>
  <c r="L41" i="2" s="1"/>
  <c r="H37" i="2"/>
  <c r="H39" i="2" s="1"/>
  <c r="H41" i="2" s="1"/>
</calcChain>
</file>

<file path=xl/sharedStrings.xml><?xml version="1.0" encoding="utf-8"?>
<sst xmlns="http://schemas.openxmlformats.org/spreadsheetml/2006/main" count="148" uniqueCount="120">
  <si>
    <t>Price JPY</t>
  </si>
  <si>
    <t>Shares</t>
  </si>
  <si>
    <t>MC JPY</t>
  </si>
  <si>
    <t>Cash JPY</t>
  </si>
  <si>
    <t>Debt JPY</t>
  </si>
  <si>
    <t>EV JPY</t>
  </si>
  <si>
    <t>Q122</t>
  </si>
  <si>
    <t>Main</t>
  </si>
  <si>
    <t>Revenue</t>
  </si>
  <si>
    <t>Q121</t>
  </si>
  <si>
    <t>Q221</t>
  </si>
  <si>
    <t>Q321</t>
  </si>
  <si>
    <t>Q421</t>
  </si>
  <si>
    <t>Q222</t>
  </si>
  <si>
    <t>Q322</t>
  </si>
  <si>
    <t>Q422</t>
  </si>
  <si>
    <t>Q120</t>
  </si>
  <si>
    <t>Q220</t>
  </si>
  <si>
    <t>Q320</t>
  </si>
  <si>
    <t>Q420</t>
  </si>
  <si>
    <t>Q419</t>
  </si>
  <si>
    <t>Sales</t>
  </si>
  <si>
    <t>Royalties</t>
  </si>
  <si>
    <t>Other</t>
  </si>
  <si>
    <t>COGS</t>
  </si>
  <si>
    <t>Gross Profit</t>
  </si>
  <si>
    <t>Operating Expenses</t>
  </si>
  <si>
    <t>Operating Income</t>
  </si>
  <si>
    <t>M&amp;D</t>
  </si>
  <si>
    <t>R&amp;D</t>
  </si>
  <si>
    <t>G&amp;A</t>
  </si>
  <si>
    <t>Net Income</t>
  </si>
  <si>
    <t>Taxes</t>
  </si>
  <si>
    <t>Pretax Income</t>
  </si>
  <si>
    <t>Interest</t>
  </si>
  <si>
    <t>PP&amp;E</t>
  </si>
  <si>
    <t>Cash</t>
  </si>
  <si>
    <t>OCA</t>
  </si>
  <si>
    <t>Tax</t>
  </si>
  <si>
    <t>AR</t>
  </si>
  <si>
    <t>Inventories</t>
  </si>
  <si>
    <t>Assets</t>
  </si>
  <si>
    <t>ROU</t>
  </si>
  <si>
    <t>Intangibles</t>
  </si>
  <si>
    <t>Pension</t>
  </si>
  <si>
    <t>ONCA</t>
  </si>
  <si>
    <t>OCL</t>
  </si>
  <si>
    <t>AP</t>
  </si>
  <si>
    <t>Provisions</t>
  </si>
  <si>
    <t>L+SE</t>
  </si>
  <si>
    <t>SE</t>
  </si>
  <si>
    <t>ONCL</t>
  </si>
  <si>
    <t>Avastin</t>
  </si>
  <si>
    <t>Tecentriq</t>
  </si>
  <si>
    <t>Perjeta</t>
  </si>
  <si>
    <t>Alecensa</t>
  </si>
  <si>
    <t>Polivy</t>
  </si>
  <si>
    <t>Kadcyla</t>
  </si>
  <si>
    <t>Herceptin</t>
  </si>
  <si>
    <t>Gazyva</t>
  </si>
  <si>
    <t>Rituxan</t>
  </si>
  <si>
    <t>Ronapreve</t>
  </si>
  <si>
    <t>Hemlibra</t>
  </si>
  <si>
    <t>Actemra</t>
  </si>
  <si>
    <t>Enspryng</t>
  </si>
  <si>
    <t>Edirol</t>
  </si>
  <si>
    <t>Mircera</t>
  </si>
  <si>
    <t>Evrysdi</t>
  </si>
  <si>
    <t>CellCept</t>
  </si>
  <si>
    <t>Bonviva</t>
  </si>
  <si>
    <t>Oxarol</t>
  </si>
  <si>
    <t>Name</t>
  </si>
  <si>
    <t>Indication</t>
  </si>
  <si>
    <t>MOA</t>
  </si>
  <si>
    <t>Approval</t>
  </si>
  <si>
    <t>Economics</t>
  </si>
  <si>
    <t>IP</t>
  </si>
  <si>
    <t>Oncology</t>
  </si>
  <si>
    <t>Hemophilia</t>
  </si>
  <si>
    <t>RA</t>
  </si>
  <si>
    <t>VEGF mab</t>
  </si>
  <si>
    <t>PD-1 mab</t>
  </si>
  <si>
    <t>HER2 mab</t>
  </si>
  <si>
    <t>Foundation Medicine</t>
  </si>
  <si>
    <t>Neutrogin</t>
  </si>
  <si>
    <t>Headcount</t>
  </si>
  <si>
    <t>Vabysmo</t>
  </si>
  <si>
    <t>Vabysmo (faricimab)</t>
  </si>
  <si>
    <t>AMD</t>
  </si>
  <si>
    <t>NMOSD</t>
  </si>
  <si>
    <t>Enspryng (satralizumab)</t>
  </si>
  <si>
    <t>IL-6 mab</t>
  </si>
  <si>
    <t>NHL</t>
  </si>
  <si>
    <t>CD20 mab</t>
  </si>
  <si>
    <t>Rituxan (rituximab)</t>
  </si>
  <si>
    <t>HER2 ADC</t>
  </si>
  <si>
    <t>ALK TKI</t>
  </si>
  <si>
    <t>Gazyva (obinutuzumab)</t>
  </si>
  <si>
    <t>HER2 mBC</t>
  </si>
  <si>
    <t>NSCLC</t>
  </si>
  <si>
    <t>COVID-19</t>
  </si>
  <si>
    <t>Hemlibra (emicizumab)</t>
  </si>
  <si>
    <t>Alecensa (alectinib)</t>
  </si>
  <si>
    <t>Tecentriq (atezolizumab)</t>
  </si>
  <si>
    <t>crovalimab</t>
  </si>
  <si>
    <t>Avastin (bevacizumab)</t>
  </si>
  <si>
    <t>ipatasertib</t>
  </si>
  <si>
    <t>giredestrant</t>
  </si>
  <si>
    <t>mosunetuzumab</t>
  </si>
  <si>
    <t>pralsetinib</t>
  </si>
  <si>
    <t>tiragolumab</t>
  </si>
  <si>
    <t>delandistrogene moxeparvovec</t>
  </si>
  <si>
    <t>ralmitaront</t>
  </si>
  <si>
    <t>codrituzumab</t>
  </si>
  <si>
    <t>DNOQ52</t>
  </si>
  <si>
    <t>Celiac Disease</t>
  </si>
  <si>
    <t>RG6330</t>
  </si>
  <si>
    <t>KRAS G12C</t>
  </si>
  <si>
    <t>RG6433</t>
  </si>
  <si>
    <t>SHP2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</si>
</sst>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1"/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41671</xdr:colOff>
      <xdr:row>0</xdr:row>
      <xdr:rowOff>59531</xdr:rowOff>
    </xdr:from>
    <xdr:to>
      <xdr:col>14</xdr:col>
      <xdr:colOff>41671</xdr:colOff>
      <xdr:row>76</xdr:row>
      <xdr:rowOff>41671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68A1819-2AD8-BA53-0DA7-2ECC2AE0C43E}"/>
            </a:ext>
          </a:extLst>
        </xdr:cNvPr>
        <xdr:cNvCxnSpPr/>
      </xdr:nvCxnSpPr>
      <xdr:spPr>
        <a:xfrm>
          <a:off x="8935640" y="59531"/>
          <a:ext cx="0" cy="1219795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87E22-4E4C-49B0-BEBE-68FEA42F09BE}">
  <dimension ref="B2:K35"/>
  <sheetViews>
    <sheetView tabSelected="1" topLeftCell="A10" zoomScale="160" zoomScaleNormal="160" workbookViewId="0">
      <selection activeCell="A34" sqref="A34"/>
    </sheetView>
  </sheetViews>
  <sheetFormatPr defaultRowHeight="12.75" x14ac:dyDescent="0.2"/>
  <cols>
    <col min="1" max="1" width="4.42578125" customWidth="1"/>
    <col min="2" max="2" width="19.5703125" customWidth="1"/>
    <col min="3" max="3" width="10.5703125" customWidth="1"/>
    <col min="4" max="4" width="10.42578125" customWidth="1"/>
    <col min="6" max="6" width="10.7109375" customWidth="1"/>
    <col min="9" max="9" width="10" customWidth="1"/>
    <col min="10" max="10" width="10.28515625" customWidth="1"/>
  </cols>
  <sheetData>
    <row r="2" spans="2:11" x14ac:dyDescent="0.2">
      <c r="B2" s="6" t="s">
        <v>71</v>
      </c>
      <c r="C2" s="7" t="s">
        <v>72</v>
      </c>
      <c r="D2" s="7" t="s">
        <v>73</v>
      </c>
      <c r="E2" s="7" t="s">
        <v>74</v>
      </c>
      <c r="F2" s="7" t="s">
        <v>75</v>
      </c>
      <c r="G2" s="8" t="s">
        <v>76</v>
      </c>
      <c r="I2" t="s">
        <v>0</v>
      </c>
      <c r="J2">
        <v>3626</v>
      </c>
    </row>
    <row r="3" spans="2:11" x14ac:dyDescent="0.2">
      <c r="B3" s="9" t="s">
        <v>105</v>
      </c>
      <c r="C3" t="s">
        <v>77</v>
      </c>
      <c r="D3" t="s">
        <v>80</v>
      </c>
      <c r="G3" s="10"/>
      <c r="I3" t="s">
        <v>1</v>
      </c>
      <c r="J3" s="1">
        <v>1644.7253820000001</v>
      </c>
      <c r="K3" s="2" t="s">
        <v>14</v>
      </c>
    </row>
    <row r="4" spans="2:11" x14ac:dyDescent="0.2">
      <c r="B4" s="9" t="s">
        <v>103</v>
      </c>
      <c r="C4" t="s">
        <v>77</v>
      </c>
      <c r="D4" t="s">
        <v>81</v>
      </c>
      <c r="G4" s="10"/>
      <c r="I4" t="s">
        <v>2</v>
      </c>
      <c r="J4" s="1">
        <f>+J2*J3</f>
        <v>5963774.2351320004</v>
      </c>
    </row>
    <row r="5" spans="2:11" x14ac:dyDescent="0.2">
      <c r="B5" s="9" t="s">
        <v>54</v>
      </c>
      <c r="C5" t="s">
        <v>77</v>
      </c>
      <c r="D5" t="s">
        <v>82</v>
      </c>
      <c r="G5" s="10"/>
      <c r="I5" t="s">
        <v>3</v>
      </c>
      <c r="J5" s="1">
        <f>274043+271252+1822</f>
        <v>547117</v>
      </c>
      <c r="K5" s="2" t="s">
        <v>14</v>
      </c>
    </row>
    <row r="6" spans="2:11" x14ac:dyDescent="0.2">
      <c r="B6" s="9" t="s">
        <v>102</v>
      </c>
      <c r="C6" t="s">
        <v>99</v>
      </c>
      <c r="D6" t="s">
        <v>96</v>
      </c>
      <c r="G6" s="10"/>
      <c r="I6" t="s">
        <v>4</v>
      </c>
      <c r="J6" s="1">
        <v>0</v>
      </c>
      <c r="K6" s="2" t="s">
        <v>14</v>
      </c>
    </row>
    <row r="7" spans="2:11" x14ac:dyDescent="0.2">
      <c r="B7" s="9" t="s">
        <v>56</v>
      </c>
      <c r="C7" t="s">
        <v>92</v>
      </c>
      <c r="G7" s="10"/>
      <c r="I7" t="s">
        <v>5</v>
      </c>
      <c r="J7" s="1">
        <f>+J4-J5+J6</f>
        <v>5416657.2351320004</v>
      </c>
    </row>
    <row r="8" spans="2:11" x14ac:dyDescent="0.2">
      <c r="B8" s="9" t="s">
        <v>57</v>
      </c>
      <c r="C8" t="s">
        <v>98</v>
      </c>
      <c r="D8" t="s">
        <v>95</v>
      </c>
      <c r="G8" s="10"/>
    </row>
    <row r="9" spans="2:11" x14ac:dyDescent="0.2">
      <c r="B9" s="9" t="s">
        <v>58</v>
      </c>
      <c r="C9" t="s">
        <v>98</v>
      </c>
      <c r="D9" t="s">
        <v>82</v>
      </c>
      <c r="G9" s="10"/>
    </row>
    <row r="10" spans="2:11" x14ac:dyDescent="0.2">
      <c r="B10" s="9" t="s">
        <v>97</v>
      </c>
      <c r="C10" t="s">
        <v>92</v>
      </c>
      <c r="D10" t="s">
        <v>93</v>
      </c>
      <c r="G10" s="10"/>
    </row>
    <row r="11" spans="2:11" x14ac:dyDescent="0.2">
      <c r="B11" s="9" t="s">
        <v>94</v>
      </c>
      <c r="C11" t="s">
        <v>92</v>
      </c>
      <c r="D11" t="s">
        <v>93</v>
      </c>
      <c r="G11" s="10"/>
    </row>
    <row r="12" spans="2:11" x14ac:dyDescent="0.2">
      <c r="B12" s="9" t="s">
        <v>61</v>
      </c>
      <c r="C12" t="s">
        <v>100</v>
      </c>
      <c r="G12" s="10"/>
    </row>
    <row r="13" spans="2:11" x14ac:dyDescent="0.2">
      <c r="B13" s="9" t="s">
        <v>101</v>
      </c>
      <c r="C13" t="s">
        <v>78</v>
      </c>
      <c r="G13" s="10"/>
    </row>
    <row r="14" spans="2:11" x14ac:dyDescent="0.2">
      <c r="B14" s="9" t="s">
        <v>63</v>
      </c>
      <c r="C14" t="s">
        <v>79</v>
      </c>
      <c r="D14" t="s">
        <v>91</v>
      </c>
      <c r="G14" s="10"/>
    </row>
    <row r="15" spans="2:11" x14ac:dyDescent="0.2">
      <c r="B15" s="9" t="s">
        <v>87</v>
      </c>
      <c r="C15" t="s">
        <v>88</v>
      </c>
      <c r="G15" s="10"/>
    </row>
    <row r="16" spans="2:11" x14ac:dyDescent="0.2">
      <c r="B16" s="9" t="s">
        <v>90</v>
      </c>
      <c r="C16" t="s">
        <v>89</v>
      </c>
      <c r="D16" t="s">
        <v>91</v>
      </c>
      <c r="G16" s="10"/>
    </row>
    <row r="17" spans="2:7" x14ac:dyDescent="0.2">
      <c r="B17" s="9" t="s">
        <v>65</v>
      </c>
      <c r="G17" s="10"/>
    </row>
    <row r="18" spans="2:7" x14ac:dyDescent="0.2">
      <c r="B18" s="9" t="s">
        <v>66</v>
      </c>
      <c r="G18" s="10"/>
    </row>
    <row r="19" spans="2:7" x14ac:dyDescent="0.2">
      <c r="B19" s="9" t="s">
        <v>67</v>
      </c>
      <c r="G19" s="10"/>
    </row>
    <row r="20" spans="2:7" x14ac:dyDescent="0.2">
      <c r="B20" s="9" t="s">
        <v>68</v>
      </c>
      <c r="G20" s="10"/>
    </row>
    <row r="21" spans="2:7" x14ac:dyDescent="0.2">
      <c r="B21" s="9" t="s">
        <v>69</v>
      </c>
      <c r="G21" s="10"/>
    </row>
    <row r="22" spans="2:7" x14ac:dyDescent="0.2">
      <c r="B22" s="11" t="s">
        <v>70</v>
      </c>
      <c r="C22" s="12"/>
      <c r="D22" s="12"/>
      <c r="E22" s="12"/>
      <c r="F22" s="12"/>
      <c r="G22" s="13"/>
    </row>
    <row r="23" spans="2:7" x14ac:dyDescent="0.2">
      <c r="B23" s="6"/>
      <c r="C23" s="7"/>
      <c r="D23" s="7"/>
      <c r="E23" s="7"/>
      <c r="F23" s="7"/>
      <c r="G23" s="8"/>
    </row>
    <row r="24" spans="2:7" x14ac:dyDescent="0.2">
      <c r="B24" s="9" t="s">
        <v>104</v>
      </c>
      <c r="C24" s="15"/>
      <c r="D24" s="15"/>
      <c r="E24" s="15"/>
      <c r="F24" s="15"/>
      <c r="G24" s="10"/>
    </row>
    <row r="25" spans="2:7" x14ac:dyDescent="0.2">
      <c r="B25" s="9" t="s">
        <v>106</v>
      </c>
      <c r="C25" s="15"/>
      <c r="D25" s="15"/>
      <c r="E25" s="15"/>
      <c r="F25" s="15"/>
      <c r="G25" s="10"/>
    </row>
    <row r="26" spans="2:7" x14ac:dyDescent="0.2">
      <c r="B26" s="9" t="s">
        <v>107</v>
      </c>
      <c r="C26" s="15"/>
      <c r="D26" s="15"/>
      <c r="E26" s="15"/>
      <c r="F26" s="15"/>
      <c r="G26" s="10"/>
    </row>
    <row r="27" spans="2:7" x14ac:dyDescent="0.2">
      <c r="B27" s="9" t="s">
        <v>108</v>
      </c>
      <c r="C27" s="15"/>
      <c r="D27" s="15"/>
      <c r="E27" s="15"/>
      <c r="F27" s="15"/>
      <c r="G27" s="10"/>
    </row>
    <row r="28" spans="2:7" x14ac:dyDescent="0.2">
      <c r="B28" s="9" t="s">
        <v>109</v>
      </c>
      <c r="C28" s="15"/>
      <c r="D28" s="15"/>
      <c r="E28" s="15"/>
      <c r="F28" s="15"/>
      <c r="G28" s="10"/>
    </row>
    <row r="29" spans="2:7" x14ac:dyDescent="0.2">
      <c r="B29" s="9" t="s">
        <v>110</v>
      </c>
      <c r="C29" s="15"/>
      <c r="D29" s="15"/>
      <c r="E29" s="15"/>
      <c r="F29" s="15"/>
      <c r="G29" s="10"/>
    </row>
    <row r="30" spans="2:7" x14ac:dyDescent="0.2">
      <c r="B30" s="9" t="s">
        <v>111</v>
      </c>
      <c r="C30" s="15"/>
      <c r="D30" s="15"/>
      <c r="E30" s="15"/>
      <c r="F30" s="15"/>
      <c r="G30" s="10"/>
    </row>
    <row r="31" spans="2:7" x14ac:dyDescent="0.2">
      <c r="B31" s="9" t="s">
        <v>112</v>
      </c>
      <c r="C31" s="15"/>
      <c r="D31" s="15"/>
      <c r="E31" s="15"/>
      <c r="F31" s="15"/>
      <c r="G31" s="10"/>
    </row>
    <row r="32" spans="2:7" x14ac:dyDescent="0.2">
      <c r="B32" s="9" t="s">
        <v>116</v>
      </c>
      <c r="C32" s="15" t="s">
        <v>117</v>
      </c>
      <c r="D32" s="15" t="s">
        <v>117</v>
      </c>
      <c r="E32" s="15"/>
      <c r="F32" s="15"/>
      <c r="G32" s="10"/>
    </row>
    <row r="33" spans="2:7" x14ac:dyDescent="0.2">
      <c r="B33" s="9" t="s">
        <v>118</v>
      </c>
      <c r="C33" s="15" t="s">
        <v>77</v>
      </c>
      <c r="D33" s="15" t="s">
        <v>119</v>
      </c>
      <c r="E33" s="15"/>
      <c r="F33" s="15"/>
      <c r="G33" s="10"/>
    </row>
    <row r="34" spans="2:7" x14ac:dyDescent="0.2">
      <c r="B34" s="9" t="s">
        <v>114</v>
      </c>
      <c r="C34" s="15" t="s">
        <v>115</v>
      </c>
      <c r="D34" s="15"/>
      <c r="E34" s="15"/>
      <c r="F34" s="15"/>
      <c r="G34" s="10"/>
    </row>
    <row r="35" spans="2:7" x14ac:dyDescent="0.2">
      <c r="B35" s="11" t="s">
        <v>113</v>
      </c>
      <c r="C35" s="12"/>
      <c r="D35" s="12"/>
      <c r="E35" s="12"/>
      <c r="F35" s="12"/>
      <c r="G35" s="1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815EA-00C2-4327-B106-FFC6B3AC13D1}">
  <dimension ref="A1:O67"/>
  <sheetViews>
    <sheetView zoomScale="160" zoomScaleNormal="160" workbookViewId="0">
      <pane xSplit="2" ySplit="2" topLeftCell="F20" activePane="bottomRight" state="frozen"/>
      <selection pane="topRight" activeCell="C1" sqref="C1"/>
      <selection pane="bottomLeft" activeCell="A3" sqref="A3"/>
      <selection pane="bottomRight" activeCell="N41" sqref="N41"/>
    </sheetView>
  </sheetViews>
  <sheetFormatPr defaultRowHeight="12.75" x14ac:dyDescent="0.2"/>
  <cols>
    <col min="1" max="1" width="5" bestFit="1" customWidth="1"/>
    <col min="2" max="2" width="18.140625" bestFit="1" customWidth="1"/>
    <col min="3" max="11" width="9.140625" style="2"/>
    <col min="12" max="12" width="9.7109375" style="2" customWidth="1"/>
    <col min="13" max="13" width="9.42578125" style="2" customWidth="1"/>
    <col min="14" max="15" width="9.140625" style="2"/>
  </cols>
  <sheetData>
    <row r="1" spans="1:15" x14ac:dyDescent="0.2">
      <c r="A1" s="14" t="s">
        <v>7</v>
      </c>
    </row>
    <row r="2" spans="1:15" x14ac:dyDescent="0.2">
      <c r="C2" s="2" t="s">
        <v>20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6</v>
      </c>
      <c r="M2" s="2" t="s">
        <v>13</v>
      </c>
      <c r="N2" s="2" t="s">
        <v>14</v>
      </c>
      <c r="O2" s="2" t="s">
        <v>15</v>
      </c>
    </row>
    <row r="3" spans="1:15" s="1" customFormat="1" x14ac:dyDescent="0.2">
      <c r="B3" s="1" t="s">
        <v>61</v>
      </c>
      <c r="C3" s="3"/>
      <c r="D3" s="3"/>
      <c r="E3" s="3"/>
      <c r="F3" s="3"/>
      <c r="G3" s="3"/>
      <c r="H3" s="3">
        <v>0</v>
      </c>
      <c r="I3" s="3">
        <v>0</v>
      </c>
      <c r="J3" s="3">
        <v>42800</v>
      </c>
      <c r="K3" s="3">
        <v>34600</v>
      </c>
      <c r="L3" s="3">
        <v>60800</v>
      </c>
      <c r="M3" s="3">
        <v>0</v>
      </c>
      <c r="N3" s="3"/>
      <c r="O3" s="3"/>
    </row>
    <row r="4" spans="1:15" s="1" customFormat="1" x14ac:dyDescent="0.2">
      <c r="B4" s="1" t="s">
        <v>62</v>
      </c>
      <c r="C4" s="3"/>
      <c r="D4" s="3"/>
      <c r="E4" s="3"/>
      <c r="F4" s="3"/>
      <c r="G4" s="3"/>
      <c r="H4" s="3">
        <f>8800+8500</f>
        <v>17300</v>
      </c>
      <c r="I4" s="3">
        <f>9900+24700</f>
        <v>34600</v>
      </c>
      <c r="J4" s="3">
        <f>10600+28500</f>
        <v>39100</v>
      </c>
      <c r="K4" s="3">
        <f>12300+52500</f>
        <v>64800</v>
      </c>
      <c r="L4" s="3">
        <f>10000+44700</f>
        <v>54700</v>
      </c>
      <c r="M4" s="3">
        <f>12100+46300</f>
        <v>58400</v>
      </c>
      <c r="N4" s="3">
        <f>13100+44000</f>
        <v>57100</v>
      </c>
      <c r="O4" s="3"/>
    </row>
    <row r="5" spans="1:15" s="1" customFormat="1" x14ac:dyDescent="0.2">
      <c r="B5" s="1" t="s">
        <v>63</v>
      </c>
      <c r="C5" s="3"/>
      <c r="D5" s="3"/>
      <c r="E5" s="3"/>
      <c r="F5" s="3"/>
      <c r="G5" s="3"/>
      <c r="H5" s="3">
        <f>9200+17400</f>
        <v>26600</v>
      </c>
      <c r="I5" s="3">
        <f>11000+20500</f>
        <v>31500</v>
      </c>
      <c r="J5" s="3">
        <f>11600+25600</f>
        <v>37200</v>
      </c>
      <c r="K5" s="3">
        <f>11400+39300</f>
        <v>50700</v>
      </c>
      <c r="L5" s="3">
        <f>9900+25700</f>
        <v>35600</v>
      </c>
      <c r="M5" s="3">
        <f>10700+37700</f>
        <v>48400</v>
      </c>
      <c r="N5" s="3">
        <f>10600+16800</f>
        <v>27400</v>
      </c>
      <c r="O5" s="3"/>
    </row>
    <row r="6" spans="1:15" s="1" customFormat="1" x14ac:dyDescent="0.2">
      <c r="B6" s="1" t="s">
        <v>52</v>
      </c>
      <c r="C6" s="3"/>
      <c r="D6" s="3"/>
      <c r="E6" s="3"/>
      <c r="F6" s="3"/>
      <c r="G6" s="3"/>
      <c r="H6" s="3">
        <v>18800</v>
      </c>
      <c r="I6" s="3">
        <v>20400</v>
      </c>
      <c r="J6" s="3">
        <v>20600</v>
      </c>
      <c r="K6" s="3">
        <v>21100</v>
      </c>
      <c r="L6" s="3">
        <v>16500</v>
      </c>
      <c r="M6" s="3">
        <v>17700</v>
      </c>
      <c r="N6" s="3">
        <v>16700</v>
      </c>
      <c r="O6" s="3"/>
    </row>
    <row r="7" spans="1:15" s="1" customFormat="1" x14ac:dyDescent="0.2">
      <c r="B7" s="1" t="s">
        <v>53</v>
      </c>
      <c r="C7" s="3"/>
      <c r="D7" s="3"/>
      <c r="E7" s="3"/>
      <c r="F7" s="3"/>
      <c r="G7" s="3"/>
      <c r="H7" s="3">
        <v>14100</v>
      </c>
      <c r="I7" s="3">
        <v>16400</v>
      </c>
      <c r="J7" s="3">
        <v>15500</v>
      </c>
      <c r="K7" s="3">
        <v>16100</v>
      </c>
      <c r="L7" s="3">
        <v>13400</v>
      </c>
      <c r="M7" s="3">
        <v>15000</v>
      </c>
      <c r="N7" s="3">
        <v>15500</v>
      </c>
      <c r="O7" s="3"/>
    </row>
    <row r="8" spans="1:15" s="1" customFormat="1" x14ac:dyDescent="0.2">
      <c r="B8" s="1" t="s">
        <v>55</v>
      </c>
      <c r="C8" s="3"/>
      <c r="D8" s="3"/>
      <c r="E8" s="3"/>
      <c r="F8" s="3"/>
      <c r="G8" s="3"/>
      <c r="H8" s="3">
        <f>6000+6000</f>
        <v>12000</v>
      </c>
      <c r="I8" s="3">
        <f>7100+15000</f>
        <v>22100</v>
      </c>
      <c r="J8" s="3">
        <f>7000+17200</f>
        <v>24200</v>
      </c>
      <c r="K8" s="3">
        <f>7500+11800</f>
        <v>19300</v>
      </c>
      <c r="L8" s="3">
        <f>6300+5200</f>
        <v>11500</v>
      </c>
      <c r="M8" s="3">
        <f>7400+9400</f>
        <v>16800</v>
      </c>
      <c r="N8" s="3">
        <f>7100+12400</f>
        <v>19500</v>
      </c>
      <c r="O8" s="3"/>
    </row>
    <row r="9" spans="1:15" s="1" customFormat="1" x14ac:dyDescent="0.2">
      <c r="B9" s="1" t="s">
        <v>23</v>
      </c>
      <c r="C9" s="3"/>
      <c r="D9" s="3"/>
      <c r="E9" s="3"/>
      <c r="F9" s="3"/>
      <c r="G9" s="3"/>
      <c r="H9" s="3">
        <f>2600+5800+1200</f>
        <v>9600</v>
      </c>
      <c r="I9" s="3">
        <f>3100+5100+1700</f>
        <v>9900</v>
      </c>
      <c r="J9" s="3">
        <f>3100+5000+1600</f>
        <v>9700</v>
      </c>
      <c r="K9" s="3">
        <f>2900+7600+1700</f>
        <v>12200</v>
      </c>
      <c r="L9" s="3">
        <f>2600+6300+1900</f>
        <v>10800</v>
      </c>
      <c r="M9" s="3">
        <f>2600+1800+6500</f>
        <v>10900</v>
      </c>
      <c r="N9" s="3">
        <v>6400</v>
      </c>
      <c r="O9" s="3"/>
    </row>
    <row r="10" spans="1:15" s="1" customFormat="1" x14ac:dyDescent="0.2">
      <c r="B10" s="1" t="s">
        <v>54</v>
      </c>
      <c r="C10" s="3"/>
      <c r="D10" s="3"/>
      <c r="E10" s="3"/>
      <c r="F10" s="3"/>
      <c r="G10" s="3"/>
      <c r="H10" s="3">
        <v>7400</v>
      </c>
      <c r="I10" s="3">
        <v>8200</v>
      </c>
      <c r="J10" s="3">
        <v>8100</v>
      </c>
      <c r="K10" s="3">
        <v>8500</v>
      </c>
      <c r="L10" s="3">
        <v>7400</v>
      </c>
      <c r="M10" s="3">
        <v>8200</v>
      </c>
      <c r="N10" s="3">
        <v>8000</v>
      </c>
      <c r="O10" s="3"/>
    </row>
    <row r="11" spans="1:15" s="1" customFormat="1" x14ac:dyDescent="0.2">
      <c r="B11" s="1" t="s">
        <v>56</v>
      </c>
      <c r="C11" s="3"/>
      <c r="D11" s="3"/>
      <c r="E11" s="3"/>
      <c r="F11" s="3"/>
      <c r="G11" s="3"/>
      <c r="H11" s="3">
        <v>0</v>
      </c>
      <c r="I11" s="3">
        <v>900</v>
      </c>
      <c r="J11" s="3">
        <v>2600</v>
      </c>
      <c r="K11" s="3">
        <v>3300</v>
      </c>
      <c r="L11" s="3">
        <v>2700</v>
      </c>
      <c r="M11" s="3">
        <v>2900</v>
      </c>
      <c r="N11" s="3">
        <v>3500</v>
      </c>
      <c r="O11" s="3"/>
    </row>
    <row r="12" spans="1:15" s="1" customFormat="1" x14ac:dyDescent="0.2">
      <c r="B12" s="1" t="s">
        <v>57</v>
      </c>
      <c r="C12" s="3"/>
      <c r="D12" s="3"/>
      <c r="E12" s="3"/>
      <c r="F12" s="3"/>
      <c r="G12" s="3"/>
      <c r="H12" s="3">
        <v>3200</v>
      </c>
      <c r="I12" s="3">
        <v>4000</v>
      </c>
      <c r="J12" s="3">
        <v>4100</v>
      </c>
      <c r="K12" s="3">
        <v>4400</v>
      </c>
      <c r="L12" s="3">
        <v>4100</v>
      </c>
      <c r="M12" s="3">
        <v>4800</v>
      </c>
      <c r="N12" s="3">
        <v>4700</v>
      </c>
      <c r="O12" s="3"/>
    </row>
    <row r="13" spans="1:15" s="1" customFormat="1" x14ac:dyDescent="0.2">
      <c r="B13" s="1" t="s">
        <v>58</v>
      </c>
      <c r="C13" s="3"/>
      <c r="D13" s="3"/>
      <c r="E13" s="3"/>
      <c r="F13" s="3"/>
      <c r="G13" s="3"/>
      <c r="H13" s="3">
        <v>2600</v>
      </c>
      <c r="I13" s="3">
        <v>2600</v>
      </c>
      <c r="J13" s="3">
        <v>2300</v>
      </c>
      <c r="K13" s="3">
        <v>2300</v>
      </c>
      <c r="L13" s="3">
        <v>1800</v>
      </c>
      <c r="M13" s="3">
        <v>1900</v>
      </c>
      <c r="N13" s="3">
        <v>1700</v>
      </c>
      <c r="O13" s="3"/>
    </row>
    <row r="14" spans="1:15" s="1" customFormat="1" x14ac:dyDescent="0.2">
      <c r="B14" s="1" t="s">
        <v>59</v>
      </c>
      <c r="C14" s="3"/>
      <c r="D14" s="3"/>
      <c r="E14" s="3"/>
      <c r="F14" s="3"/>
      <c r="G14" s="3"/>
      <c r="H14" s="3">
        <v>1000</v>
      </c>
      <c r="I14" s="3">
        <v>1100</v>
      </c>
      <c r="J14" s="3">
        <v>1100</v>
      </c>
      <c r="K14" s="3">
        <v>1200</v>
      </c>
      <c r="L14" s="3">
        <v>1000</v>
      </c>
      <c r="M14" s="3">
        <v>1100</v>
      </c>
      <c r="N14" s="3">
        <v>1000</v>
      </c>
      <c r="O14" s="3"/>
    </row>
    <row r="15" spans="1:15" s="1" customFormat="1" x14ac:dyDescent="0.2">
      <c r="B15" s="1" t="s">
        <v>60</v>
      </c>
      <c r="C15" s="3"/>
      <c r="D15" s="3"/>
      <c r="E15" s="3"/>
      <c r="F15" s="3"/>
      <c r="G15" s="3"/>
      <c r="H15" s="3">
        <v>1200</v>
      </c>
      <c r="I15" s="3">
        <v>1200</v>
      </c>
      <c r="J15" s="3">
        <v>1200</v>
      </c>
      <c r="K15" s="3">
        <v>1500</v>
      </c>
      <c r="L15" s="3">
        <v>1000</v>
      </c>
      <c r="M15" s="3">
        <v>1200</v>
      </c>
      <c r="N15" s="3">
        <v>1100</v>
      </c>
      <c r="O15" s="3"/>
    </row>
    <row r="16" spans="1:15" s="1" customFormat="1" x14ac:dyDescent="0.2">
      <c r="B16" s="1" t="s">
        <v>83</v>
      </c>
      <c r="C16" s="3"/>
      <c r="D16" s="3"/>
      <c r="E16" s="3"/>
      <c r="F16" s="3"/>
      <c r="G16" s="3"/>
      <c r="H16" s="3">
        <v>1000</v>
      </c>
      <c r="I16" s="3">
        <v>1200</v>
      </c>
      <c r="J16" s="3">
        <v>1300</v>
      </c>
      <c r="K16" s="3">
        <v>1600</v>
      </c>
      <c r="L16" s="3">
        <v>1600</v>
      </c>
      <c r="M16" s="3">
        <v>1700</v>
      </c>
      <c r="N16" s="3">
        <v>1900</v>
      </c>
      <c r="O16" s="3"/>
    </row>
    <row r="17" spans="2:15" s="1" customFormat="1" x14ac:dyDescent="0.2">
      <c r="B17" s="1" t="s">
        <v>64</v>
      </c>
      <c r="C17" s="3"/>
      <c r="D17" s="3"/>
      <c r="E17" s="3"/>
      <c r="F17" s="3"/>
      <c r="G17" s="3"/>
      <c r="H17" s="3">
        <v>1400</v>
      </c>
      <c r="I17" s="3">
        <f>2200+900</f>
        <v>3100</v>
      </c>
      <c r="J17" s="3">
        <f>2600+300</f>
        <v>2900</v>
      </c>
      <c r="K17" s="3">
        <f>3500+300</f>
        <v>3800</v>
      </c>
      <c r="L17" s="3">
        <f>3300+1200</f>
        <v>4500</v>
      </c>
      <c r="M17" s="3">
        <f>3900+500</f>
        <v>4400</v>
      </c>
      <c r="N17" s="3">
        <f>4400+300</f>
        <v>4700</v>
      </c>
      <c r="O17" s="3"/>
    </row>
    <row r="18" spans="2:15" s="1" customFormat="1" x14ac:dyDescent="0.2">
      <c r="B18" s="1" t="s">
        <v>65</v>
      </c>
      <c r="C18" s="3"/>
      <c r="D18" s="3"/>
      <c r="E18" s="3"/>
      <c r="F18" s="3"/>
      <c r="G18" s="3"/>
      <c r="H18" s="3">
        <v>2900</v>
      </c>
      <c r="I18" s="3">
        <v>4700</v>
      </c>
      <c r="J18" s="3">
        <v>9900</v>
      </c>
      <c r="K18" s="3">
        <v>4900</v>
      </c>
      <c r="L18" s="3">
        <v>3300</v>
      </c>
      <c r="M18" s="3">
        <v>2700</v>
      </c>
      <c r="N18" s="3">
        <v>2500</v>
      </c>
      <c r="O18" s="3"/>
    </row>
    <row r="19" spans="2:15" s="1" customFormat="1" x14ac:dyDescent="0.2">
      <c r="B19" s="1" t="s">
        <v>66</v>
      </c>
      <c r="C19" s="3"/>
      <c r="D19" s="3"/>
      <c r="E19" s="3"/>
      <c r="F19" s="3"/>
      <c r="G19" s="3"/>
      <c r="H19" s="3">
        <v>3400</v>
      </c>
      <c r="I19" s="3">
        <v>3600</v>
      </c>
      <c r="J19" s="3">
        <v>3700</v>
      </c>
      <c r="K19" s="3">
        <v>3700</v>
      </c>
      <c r="L19" s="3">
        <v>2600</v>
      </c>
      <c r="M19" s="3">
        <v>2800</v>
      </c>
      <c r="N19" s="3">
        <v>2700</v>
      </c>
      <c r="O19" s="3"/>
    </row>
    <row r="20" spans="2:15" s="1" customFormat="1" x14ac:dyDescent="0.2">
      <c r="B20" s="1" t="s">
        <v>67</v>
      </c>
      <c r="C20" s="3"/>
      <c r="D20" s="3"/>
      <c r="E20" s="3"/>
      <c r="F20" s="3"/>
      <c r="G20" s="3"/>
      <c r="H20" s="3">
        <v>0</v>
      </c>
      <c r="I20" s="3">
        <v>0</v>
      </c>
      <c r="J20" s="3">
        <v>400</v>
      </c>
      <c r="K20" s="3">
        <v>1900</v>
      </c>
      <c r="L20" s="3">
        <v>2100</v>
      </c>
      <c r="M20" s="3">
        <v>2800</v>
      </c>
      <c r="N20" s="3">
        <v>3100</v>
      </c>
      <c r="O20" s="3"/>
    </row>
    <row r="21" spans="2:15" s="1" customFormat="1" x14ac:dyDescent="0.2">
      <c r="B21" s="1" t="s">
        <v>68</v>
      </c>
      <c r="C21" s="3"/>
      <c r="D21" s="3"/>
      <c r="E21" s="3"/>
      <c r="F21" s="3"/>
      <c r="G21" s="3"/>
      <c r="H21" s="3">
        <v>2000</v>
      </c>
      <c r="I21" s="3">
        <v>2200</v>
      </c>
      <c r="J21" s="3">
        <v>2000</v>
      </c>
      <c r="K21" s="3">
        <v>2200</v>
      </c>
      <c r="L21" s="3">
        <v>1800</v>
      </c>
      <c r="M21" s="3">
        <v>2000</v>
      </c>
      <c r="N21" s="3">
        <v>2000</v>
      </c>
      <c r="O21" s="3"/>
    </row>
    <row r="22" spans="2:15" s="1" customFormat="1" x14ac:dyDescent="0.2">
      <c r="B22" s="1" t="s">
        <v>69</v>
      </c>
      <c r="C22" s="3"/>
      <c r="D22" s="3"/>
      <c r="E22" s="3"/>
      <c r="F22" s="3"/>
      <c r="G22" s="3"/>
      <c r="H22" s="3">
        <v>2000</v>
      </c>
      <c r="I22" s="3">
        <v>2100</v>
      </c>
      <c r="J22" s="3">
        <v>2000</v>
      </c>
      <c r="K22" s="3">
        <v>2100</v>
      </c>
      <c r="L22" s="3">
        <v>1700</v>
      </c>
      <c r="M22" s="3">
        <v>1800</v>
      </c>
      <c r="N22" s="3">
        <v>1700</v>
      </c>
      <c r="O22" s="3"/>
    </row>
    <row r="23" spans="2:15" s="1" customFormat="1" x14ac:dyDescent="0.2">
      <c r="B23" s="1" t="s">
        <v>70</v>
      </c>
      <c r="C23" s="3"/>
      <c r="D23" s="3"/>
      <c r="E23" s="3"/>
      <c r="F23" s="3"/>
      <c r="G23" s="3"/>
      <c r="H23" s="3">
        <v>1400</v>
      </c>
      <c r="I23" s="3">
        <v>1500</v>
      </c>
      <c r="J23" s="3">
        <v>1600</v>
      </c>
      <c r="K23" s="3">
        <v>1600</v>
      </c>
      <c r="L23" s="3">
        <v>1400</v>
      </c>
      <c r="M23" s="3">
        <v>1400</v>
      </c>
      <c r="N23" s="3">
        <v>1400</v>
      </c>
      <c r="O23" s="3"/>
    </row>
    <row r="24" spans="2:15" s="1" customFormat="1" x14ac:dyDescent="0.2">
      <c r="B24" s="1" t="s">
        <v>86</v>
      </c>
      <c r="C24" s="3"/>
      <c r="D24" s="3"/>
      <c r="E24" s="3"/>
      <c r="F24" s="3"/>
      <c r="G24" s="3"/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900</v>
      </c>
      <c r="N24" s="3">
        <v>2300</v>
      </c>
      <c r="O24" s="3"/>
    </row>
    <row r="25" spans="2:15" s="1" customFormat="1" x14ac:dyDescent="0.2">
      <c r="B25" s="1" t="s">
        <v>84</v>
      </c>
      <c r="C25" s="3"/>
      <c r="D25" s="3"/>
      <c r="E25" s="3"/>
      <c r="F25" s="3"/>
      <c r="G25" s="3"/>
      <c r="H25" s="3">
        <v>2200</v>
      </c>
      <c r="I25" s="3">
        <v>2500</v>
      </c>
      <c r="J25" s="3">
        <v>2100</v>
      </c>
      <c r="K25" s="3">
        <v>2300</v>
      </c>
      <c r="L25" s="3">
        <v>2400</v>
      </c>
      <c r="M25" s="3">
        <v>2200</v>
      </c>
      <c r="N25" s="3">
        <v>2200</v>
      </c>
      <c r="O25" s="3"/>
    </row>
    <row r="26" spans="2:15" s="1" customFormat="1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2:15" s="1" customFormat="1" x14ac:dyDescent="0.2">
      <c r="B27" s="1" t="s">
        <v>21</v>
      </c>
      <c r="C27" s="3"/>
      <c r="D27" s="3"/>
      <c r="E27" s="3"/>
      <c r="F27" s="3"/>
      <c r="G27" s="3"/>
      <c r="H27" s="3">
        <v>130265</v>
      </c>
      <c r="I27" s="3">
        <f>304150-H27</f>
        <v>173885</v>
      </c>
      <c r="J27" s="3"/>
      <c r="K27" s="3"/>
      <c r="L27" s="3">
        <v>242716</v>
      </c>
      <c r="M27" s="3">
        <f>452811-L27</f>
        <v>210095</v>
      </c>
      <c r="N27" s="3"/>
      <c r="O27" s="3"/>
    </row>
    <row r="28" spans="2:15" s="1" customFormat="1" x14ac:dyDescent="0.2">
      <c r="B28" s="1" t="s">
        <v>22</v>
      </c>
      <c r="C28" s="3"/>
      <c r="D28" s="3"/>
      <c r="E28" s="3"/>
      <c r="F28" s="3"/>
      <c r="G28" s="3"/>
      <c r="H28" s="3">
        <v>38553</v>
      </c>
      <c r="I28" s="3">
        <f>86079-H28</f>
        <v>47526</v>
      </c>
      <c r="J28" s="3">
        <v>52700</v>
      </c>
      <c r="K28" s="3">
        <v>58100</v>
      </c>
      <c r="L28" s="3">
        <v>25924</v>
      </c>
      <c r="M28" s="3">
        <f>51440-L28</f>
        <v>25516</v>
      </c>
      <c r="N28" s="3">
        <v>33400</v>
      </c>
      <c r="O28" s="3"/>
    </row>
    <row r="29" spans="2:15" s="1" customFormat="1" x14ac:dyDescent="0.2">
      <c r="B29" s="1" t="s">
        <v>23</v>
      </c>
      <c r="C29" s="3"/>
      <c r="D29" s="3"/>
      <c r="E29" s="3"/>
      <c r="F29" s="3"/>
      <c r="G29" s="3"/>
      <c r="H29" s="3">
        <v>0</v>
      </c>
      <c r="I29" s="3">
        <v>0</v>
      </c>
      <c r="J29" s="3"/>
      <c r="K29" s="3"/>
      <c r="L29" s="3">
        <v>91915</v>
      </c>
      <c r="M29" s="3">
        <f>91915-L29</f>
        <v>0</v>
      </c>
      <c r="N29" s="3"/>
      <c r="O29" s="3"/>
    </row>
    <row r="30" spans="2:15" s="4" customFormat="1" x14ac:dyDescent="0.2">
      <c r="B30" s="4" t="s">
        <v>8</v>
      </c>
      <c r="C30" s="5"/>
      <c r="D30" s="5"/>
      <c r="E30" s="5"/>
      <c r="F30" s="5"/>
      <c r="G30" s="5"/>
      <c r="H30" s="5">
        <f>+H27+H28</f>
        <v>168818</v>
      </c>
      <c r="I30" s="5">
        <f>+I27+I28</f>
        <v>221411</v>
      </c>
      <c r="J30" s="5">
        <v>287300</v>
      </c>
      <c r="K30" s="5">
        <v>322300</v>
      </c>
      <c r="L30" s="5">
        <f>SUM(L27:L29)</f>
        <v>360555</v>
      </c>
      <c r="M30" s="5">
        <f>SUM(M27:M29)</f>
        <v>235611</v>
      </c>
      <c r="N30" s="5">
        <f t="shared" ref="N30:O30" si="0">SUM(N27:N29)</f>
        <v>33400</v>
      </c>
      <c r="O30" s="5">
        <f t="shared" si="0"/>
        <v>0</v>
      </c>
    </row>
    <row r="31" spans="2:15" s="1" customFormat="1" x14ac:dyDescent="0.2">
      <c r="B31" s="1" t="s">
        <v>24</v>
      </c>
      <c r="C31" s="3"/>
      <c r="D31" s="3"/>
      <c r="E31" s="3"/>
      <c r="F31" s="3"/>
      <c r="G31" s="3"/>
      <c r="H31" s="3">
        <v>55338</v>
      </c>
      <c r="I31" s="3">
        <f>123397-H31</f>
        <v>68059</v>
      </c>
      <c r="J31" s="3"/>
      <c r="K31" s="3"/>
      <c r="L31" s="3">
        <v>114424</v>
      </c>
      <c r="M31" s="3">
        <f>194247-L31</f>
        <v>79823</v>
      </c>
      <c r="N31" s="3">
        <v>69100</v>
      </c>
      <c r="O31" s="3"/>
    </row>
    <row r="32" spans="2:15" s="1" customFormat="1" x14ac:dyDescent="0.2">
      <c r="B32" s="1" t="s">
        <v>25</v>
      </c>
      <c r="C32" s="3"/>
      <c r="D32" s="3"/>
      <c r="E32" s="3"/>
      <c r="F32" s="3"/>
      <c r="G32" s="3"/>
      <c r="H32" s="3">
        <f>+H30-H31</f>
        <v>113480</v>
      </c>
      <c r="I32" s="3">
        <f>+I30-I31</f>
        <v>153352</v>
      </c>
      <c r="J32" s="3"/>
      <c r="K32" s="3"/>
      <c r="L32" s="3">
        <f>+L30-L31</f>
        <v>246131</v>
      </c>
      <c r="M32" s="3">
        <f>+M30-M31</f>
        <v>155788</v>
      </c>
      <c r="N32" s="3">
        <f>+N30-N31</f>
        <v>-35700</v>
      </c>
      <c r="O32" s="3"/>
    </row>
    <row r="33" spans="2:15" s="1" customFormat="1" x14ac:dyDescent="0.2">
      <c r="B33" s="1" t="s">
        <v>28</v>
      </c>
      <c r="C33" s="3"/>
      <c r="D33" s="3"/>
      <c r="E33" s="3"/>
      <c r="F33" s="3"/>
      <c r="G33" s="3"/>
      <c r="H33" s="3">
        <v>15874</v>
      </c>
      <c r="I33" s="3">
        <f>33788-H33</f>
        <v>17914</v>
      </c>
      <c r="J33" s="3"/>
      <c r="K33" s="3"/>
      <c r="L33" s="3">
        <v>16790</v>
      </c>
      <c r="M33" s="3">
        <f>35286-L33</f>
        <v>18496</v>
      </c>
      <c r="N33" s="3">
        <v>18800</v>
      </c>
      <c r="O33" s="3"/>
    </row>
    <row r="34" spans="2:15" s="1" customFormat="1" x14ac:dyDescent="0.2">
      <c r="B34" s="1" t="s">
        <v>29</v>
      </c>
      <c r="C34" s="3"/>
      <c r="D34" s="3"/>
      <c r="E34" s="3"/>
      <c r="F34" s="3"/>
      <c r="G34" s="3"/>
      <c r="H34" s="3">
        <v>29727</v>
      </c>
      <c r="I34" s="3">
        <f>63289-H34</f>
        <v>33562</v>
      </c>
      <c r="J34" s="3"/>
      <c r="K34" s="3"/>
      <c r="L34" s="3">
        <v>33866</v>
      </c>
      <c r="M34" s="3">
        <f>67685-L34</f>
        <v>33819</v>
      </c>
      <c r="N34" s="3">
        <v>36700</v>
      </c>
      <c r="O34" s="3"/>
    </row>
    <row r="35" spans="2:15" s="1" customFormat="1" x14ac:dyDescent="0.2">
      <c r="B35" s="1" t="s">
        <v>30</v>
      </c>
      <c r="C35" s="3"/>
      <c r="D35" s="3"/>
      <c r="E35" s="3"/>
      <c r="F35" s="3"/>
      <c r="G35" s="3"/>
      <c r="H35" s="3">
        <v>3912</v>
      </c>
      <c r="I35" s="3">
        <f>9076-H35</f>
        <v>5164</v>
      </c>
      <c r="J35" s="3"/>
      <c r="K35" s="3"/>
      <c r="L35" s="3">
        <v>8467</v>
      </c>
      <c r="M35" s="3">
        <f>12001-L35</f>
        <v>3534</v>
      </c>
      <c r="N35" s="3">
        <v>3800</v>
      </c>
      <c r="O35" s="3"/>
    </row>
    <row r="36" spans="2:15" s="1" customFormat="1" x14ac:dyDescent="0.2">
      <c r="B36" s="1" t="s">
        <v>26</v>
      </c>
      <c r="C36" s="3"/>
      <c r="D36" s="3"/>
      <c r="E36" s="3"/>
      <c r="F36" s="3"/>
      <c r="G36" s="3"/>
      <c r="H36" s="3">
        <f>SUM(H33:H35)</f>
        <v>49513</v>
      </c>
      <c r="I36" s="3">
        <f>SUM(I33:I35)</f>
        <v>56640</v>
      </c>
      <c r="J36" s="3"/>
      <c r="K36" s="3"/>
      <c r="L36" s="3">
        <f>SUM(L33:L35)</f>
        <v>59123</v>
      </c>
      <c r="M36" s="3">
        <f>SUM(M33:M35)</f>
        <v>55849</v>
      </c>
      <c r="N36" s="3">
        <f>SUM(N33:N35)</f>
        <v>59300</v>
      </c>
      <c r="O36" s="3"/>
    </row>
    <row r="37" spans="2:15" s="1" customFormat="1" x14ac:dyDescent="0.2">
      <c r="B37" s="1" t="s">
        <v>27</v>
      </c>
      <c r="C37" s="3"/>
      <c r="D37" s="3"/>
      <c r="E37" s="3"/>
      <c r="F37" s="3"/>
      <c r="G37" s="3"/>
      <c r="H37" s="3">
        <f>H32-H36</f>
        <v>63967</v>
      </c>
      <c r="I37" s="3">
        <f>I32-I36</f>
        <v>96712</v>
      </c>
      <c r="J37" s="3"/>
      <c r="K37" s="3"/>
      <c r="L37" s="3">
        <f>L32-L36</f>
        <v>187008</v>
      </c>
      <c r="M37" s="3">
        <f>M32-M36</f>
        <v>99939</v>
      </c>
      <c r="N37" s="3">
        <f>N32-N36</f>
        <v>-95000</v>
      </c>
      <c r="O37" s="3"/>
    </row>
    <row r="38" spans="2:15" s="1" customFormat="1" x14ac:dyDescent="0.2">
      <c r="B38" s="1" t="s">
        <v>34</v>
      </c>
      <c r="C38" s="3"/>
      <c r="D38" s="3"/>
      <c r="E38" s="3"/>
      <c r="F38" s="3"/>
      <c r="G38" s="3"/>
      <c r="H38" s="3">
        <f>-12+285</f>
        <v>273</v>
      </c>
      <c r="I38" s="3">
        <f>-24+606-4-H38</f>
        <v>305</v>
      </c>
      <c r="J38" s="3"/>
      <c r="K38" s="3"/>
      <c r="L38" s="3">
        <f>-14+1614-2401</f>
        <v>-801</v>
      </c>
      <c r="M38" s="3">
        <f>-29+2402-2401-L38</f>
        <v>773</v>
      </c>
      <c r="N38" s="3"/>
      <c r="O38" s="3"/>
    </row>
    <row r="39" spans="2:15" s="1" customFormat="1" x14ac:dyDescent="0.2">
      <c r="B39" s="1" t="s">
        <v>33</v>
      </c>
      <c r="C39" s="3"/>
      <c r="D39" s="3"/>
      <c r="E39" s="3"/>
      <c r="F39" s="3"/>
      <c r="G39" s="3"/>
      <c r="H39" s="3">
        <f>+H37+H38</f>
        <v>64240</v>
      </c>
      <c r="I39" s="3">
        <f>+I37+I38</f>
        <v>97017</v>
      </c>
      <c r="J39" s="3"/>
      <c r="K39" s="3"/>
      <c r="L39" s="3">
        <f>+L37+L38</f>
        <v>186207</v>
      </c>
      <c r="M39" s="3">
        <f>+M37+M38</f>
        <v>100712</v>
      </c>
      <c r="N39" s="3">
        <f>+N37+N38</f>
        <v>-95000</v>
      </c>
      <c r="O39" s="3"/>
    </row>
    <row r="40" spans="2:15" s="1" customFormat="1" x14ac:dyDescent="0.2">
      <c r="B40" s="1" t="s">
        <v>32</v>
      </c>
      <c r="C40" s="3"/>
      <c r="D40" s="3"/>
      <c r="E40" s="3"/>
      <c r="F40" s="3"/>
      <c r="G40" s="3"/>
      <c r="H40" s="3">
        <v>16830</v>
      </c>
      <c r="I40" s="3">
        <f>43119-H40</f>
        <v>26289</v>
      </c>
      <c r="J40" s="3"/>
      <c r="K40" s="3"/>
      <c r="L40" s="3">
        <v>54431</v>
      </c>
      <c r="M40" s="3">
        <f>82765-L40</f>
        <v>28334</v>
      </c>
      <c r="N40" s="3"/>
      <c r="O40" s="3"/>
    </row>
    <row r="41" spans="2:15" s="1" customFormat="1" x14ac:dyDescent="0.2">
      <c r="B41" s="1" t="s">
        <v>31</v>
      </c>
      <c r="C41" s="3"/>
      <c r="D41" s="3"/>
      <c r="E41" s="3"/>
      <c r="F41" s="3"/>
      <c r="G41" s="3"/>
      <c r="H41" s="3">
        <f>+H39-H40</f>
        <v>47410</v>
      </c>
      <c r="I41" s="3">
        <f>+I39-I40</f>
        <v>70728</v>
      </c>
      <c r="J41" s="3"/>
      <c r="K41" s="3"/>
      <c r="L41" s="3">
        <f>+L39-L40</f>
        <v>131776</v>
      </c>
      <c r="M41" s="3">
        <f>+M39-M40</f>
        <v>72378</v>
      </c>
      <c r="N41" s="3">
        <f>+N39-N40</f>
        <v>-95000</v>
      </c>
      <c r="O41" s="3"/>
    </row>
    <row r="45" spans="2:15" s="1" customFormat="1" x14ac:dyDescent="0.2">
      <c r="B45" s="1" t="s">
        <v>36</v>
      </c>
      <c r="C45" s="3"/>
      <c r="D45" s="3"/>
      <c r="E45" s="3"/>
      <c r="F45" s="3"/>
      <c r="G45" s="3"/>
      <c r="H45" s="3"/>
      <c r="I45" s="3"/>
      <c r="J45" s="3"/>
      <c r="K45" s="3"/>
      <c r="L45" s="3">
        <f>230474+201348+2385</f>
        <v>434207</v>
      </c>
      <c r="M45" s="3">
        <f>360311+2309+231930</f>
        <v>594550</v>
      </c>
      <c r="N45" s="3"/>
      <c r="O45" s="3"/>
    </row>
    <row r="46" spans="2:15" s="1" customFormat="1" x14ac:dyDescent="0.2">
      <c r="B46" s="1" t="s">
        <v>37</v>
      </c>
      <c r="C46" s="3"/>
      <c r="D46" s="3"/>
      <c r="E46" s="3"/>
      <c r="F46" s="3"/>
      <c r="G46" s="3"/>
      <c r="H46" s="3"/>
      <c r="I46" s="3"/>
      <c r="J46" s="3"/>
      <c r="K46" s="3"/>
      <c r="L46" s="3">
        <v>43049</v>
      </c>
      <c r="M46" s="3">
        <v>46919</v>
      </c>
      <c r="N46" s="3"/>
      <c r="O46" s="3"/>
    </row>
    <row r="47" spans="2:15" s="1" customFormat="1" x14ac:dyDescent="0.2">
      <c r="B47" s="1" t="s">
        <v>38</v>
      </c>
      <c r="C47" s="3"/>
      <c r="D47" s="3"/>
      <c r="E47" s="3"/>
      <c r="F47" s="3"/>
      <c r="G47" s="3"/>
      <c r="H47" s="3"/>
      <c r="I47" s="3"/>
      <c r="J47" s="3"/>
      <c r="K47" s="3"/>
      <c r="L47" s="3">
        <f>731+64194</f>
        <v>64925</v>
      </c>
      <c r="M47" s="3">
        <f>413+63032</f>
        <v>63445</v>
      </c>
      <c r="N47" s="3"/>
      <c r="O47" s="3"/>
    </row>
    <row r="48" spans="2:15" s="1" customFormat="1" x14ac:dyDescent="0.2">
      <c r="B48" s="1" t="s">
        <v>39</v>
      </c>
      <c r="C48" s="3"/>
      <c r="D48" s="3"/>
      <c r="E48" s="3"/>
      <c r="F48" s="3"/>
      <c r="G48" s="3"/>
      <c r="H48" s="3"/>
      <c r="I48" s="3"/>
      <c r="J48" s="3"/>
      <c r="K48" s="3"/>
      <c r="L48" s="3">
        <v>390567</v>
      </c>
      <c r="M48" s="3">
        <v>268484</v>
      </c>
      <c r="N48" s="3"/>
      <c r="O48" s="3"/>
    </row>
    <row r="49" spans="2:15" s="1" customFormat="1" x14ac:dyDescent="0.2">
      <c r="B49" s="1" t="s">
        <v>40</v>
      </c>
      <c r="C49" s="3"/>
      <c r="D49" s="3"/>
      <c r="E49" s="3"/>
      <c r="F49" s="3"/>
      <c r="G49" s="3"/>
      <c r="H49" s="3"/>
      <c r="I49" s="3"/>
      <c r="J49" s="3"/>
      <c r="K49" s="3"/>
      <c r="L49" s="3">
        <v>225480</v>
      </c>
      <c r="M49" s="3">
        <v>218465</v>
      </c>
      <c r="N49" s="3"/>
      <c r="O49" s="3"/>
    </row>
    <row r="50" spans="2:15" s="1" customFormat="1" x14ac:dyDescent="0.2">
      <c r="B50" s="1" t="s">
        <v>35</v>
      </c>
      <c r="C50" s="3"/>
      <c r="D50" s="3"/>
      <c r="E50" s="3"/>
      <c r="F50" s="3"/>
      <c r="G50" s="3"/>
      <c r="H50" s="3"/>
      <c r="I50" s="3"/>
      <c r="J50" s="3"/>
      <c r="K50" s="3"/>
      <c r="L50" s="3">
        <v>348368</v>
      </c>
      <c r="M50" s="3">
        <v>354787</v>
      </c>
      <c r="N50" s="3"/>
      <c r="O50" s="3"/>
    </row>
    <row r="51" spans="2:15" s="1" customFormat="1" x14ac:dyDescent="0.2">
      <c r="B51" s="1" t="s">
        <v>45</v>
      </c>
      <c r="C51" s="3"/>
      <c r="D51" s="3"/>
      <c r="E51" s="3"/>
      <c r="F51" s="3"/>
      <c r="G51" s="3"/>
      <c r="H51" s="3"/>
      <c r="I51" s="3"/>
      <c r="J51" s="3"/>
      <c r="K51" s="3"/>
      <c r="L51" s="3">
        <v>39700</v>
      </c>
      <c r="M51" s="3">
        <v>40656</v>
      </c>
      <c r="N51" s="3"/>
      <c r="O51" s="3"/>
    </row>
    <row r="52" spans="2:15" s="1" customFormat="1" x14ac:dyDescent="0.2">
      <c r="B52" s="1" t="s">
        <v>44</v>
      </c>
      <c r="C52" s="3"/>
      <c r="D52" s="3"/>
      <c r="E52" s="3"/>
      <c r="F52" s="3"/>
      <c r="G52" s="3"/>
      <c r="H52" s="3"/>
      <c r="I52" s="3"/>
      <c r="J52" s="3"/>
      <c r="K52" s="3"/>
      <c r="L52" s="3">
        <v>993</v>
      </c>
      <c r="M52" s="3">
        <v>654</v>
      </c>
      <c r="N52" s="3"/>
      <c r="O52" s="3"/>
    </row>
    <row r="53" spans="2:15" s="1" customFormat="1" x14ac:dyDescent="0.2">
      <c r="B53" s="1" t="s">
        <v>43</v>
      </c>
      <c r="C53" s="3"/>
      <c r="D53" s="3"/>
      <c r="E53" s="3"/>
      <c r="F53" s="3"/>
      <c r="G53" s="3"/>
      <c r="H53" s="3"/>
      <c r="I53" s="3"/>
      <c r="J53" s="3"/>
      <c r="K53" s="3"/>
      <c r="L53" s="3">
        <v>24897</v>
      </c>
      <c r="M53" s="3">
        <v>25520</v>
      </c>
      <c r="N53" s="3"/>
      <c r="O53" s="3"/>
    </row>
    <row r="54" spans="2:15" s="1" customFormat="1" x14ac:dyDescent="0.2">
      <c r="B54" s="1" t="s">
        <v>42</v>
      </c>
      <c r="C54" s="3"/>
      <c r="D54" s="3"/>
      <c r="E54" s="3"/>
      <c r="F54" s="3"/>
      <c r="G54" s="3"/>
      <c r="H54" s="3"/>
      <c r="I54" s="3"/>
      <c r="J54" s="3"/>
      <c r="K54" s="3"/>
      <c r="L54" s="3">
        <v>12763</v>
      </c>
      <c r="M54" s="3">
        <v>12123</v>
      </c>
      <c r="N54" s="3"/>
      <c r="O54" s="3"/>
    </row>
    <row r="55" spans="2:15" s="1" customFormat="1" x14ac:dyDescent="0.2">
      <c r="B55" s="1" t="s">
        <v>41</v>
      </c>
      <c r="C55" s="3"/>
      <c r="D55" s="3"/>
      <c r="E55" s="3"/>
      <c r="F55" s="3"/>
      <c r="G55" s="3"/>
      <c r="H55" s="3"/>
      <c r="I55" s="3"/>
      <c r="J55" s="3"/>
      <c r="K55" s="3"/>
      <c r="L55" s="3">
        <f>SUM(L45:L54)</f>
        <v>1584949</v>
      </c>
      <c r="M55" s="3">
        <f t="shared" ref="M55" si="1">SUM(M45:M54)</f>
        <v>1625603</v>
      </c>
      <c r="N55" s="3"/>
      <c r="O55" s="3"/>
    </row>
    <row r="57" spans="2:15" s="1" customFormat="1" x14ac:dyDescent="0.2">
      <c r="B57" s="1" t="s">
        <v>46</v>
      </c>
      <c r="C57" s="3"/>
      <c r="D57" s="3"/>
      <c r="E57" s="3"/>
      <c r="F57" s="3"/>
      <c r="G57" s="3"/>
      <c r="H57" s="3"/>
      <c r="I57" s="3"/>
      <c r="J57" s="3"/>
      <c r="K57" s="3"/>
      <c r="L57" s="3">
        <v>104205</v>
      </c>
      <c r="M57" s="3">
        <v>117485</v>
      </c>
      <c r="N57" s="3"/>
      <c r="O57" s="3"/>
    </row>
    <row r="58" spans="2:15" s="1" customFormat="1" x14ac:dyDescent="0.2">
      <c r="B58" s="1" t="s">
        <v>47</v>
      </c>
      <c r="C58" s="3"/>
      <c r="D58" s="3"/>
      <c r="E58" s="3"/>
      <c r="F58" s="3"/>
      <c r="G58" s="3"/>
      <c r="H58" s="3"/>
      <c r="I58" s="3"/>
      <c r="J58" s="3"/>
      <c r="K58" s="3"/>
      <c r="L58" s="3">
        <v>153074</v>
      </c>
      <c r="M58" s="3">
        <v>93258</v>
      </c>
      <c r="N58" s="3"/>
      <c r="O58" s="3"/>
    </row>
    <row r="59" spans="2:15" s="1" customFormat="1" x14ac:dyDescent="0.2">
      <c r="B59" s="1" t="s">
        <v>48</v>
      </c>
      <c r="C59" s="3"/>
      <c r="D59" s="3"/>
      <c r="E59" s="3"/>
      <c r="F59" s="3"/>
      <c r="G59" s="3"/>
      <c r="H59" s="3"/>
      <c r="I59" s="3"/>
      <c r="J59" s="3"/>
      <c r="K59" s="3"/>
      <c r="L59" s="3">
        <f>2057+4584</f>
        <v>6641</v>
      </c>
      <c r="M59" s="3">
        <f>1385+4475+7045</f>
        <v>12905</v>
      </c>
      <c r="N59" s="3"/>
      <c r="O59" s="3"/>
    </row>
    <row r="60" spans="2:15" s="1" customFormat="1" x14ac:dyDescent="0.2">
      <c r="B60" s="1" t="s">
        <v>38</v>
      </c>
      <c r="C60" s="3"/>
      <c r="D60" s="3"/>
      <c r="E60" s="3"/>
      <c r="F60" s="3"/>
      <c r="G60" s="3"/>
      <c r="H60" s="3"/>
      <c r="I60" s="3"/>
      <c r="J60" s="3"/>
      <c r="K60" s="3"/>
      <c r="L60" s="3">
        <f>61179+6334</f>
        <v>67513</v>
      </c>
      <c r="M60" s="3">
        <v>82315</v>
      </c>
      <c r="N60" s="3"/>
      <c r="O60" s="3"/>
    </row>
    <row r="61" spans="2:15" s="1" customFormat="1" x14ac:dyDescent="0.2">
      <c r="B61" s="1" t="s">
        <v>51</v>
      </c>
      <c r="C61" s="3"/>
      <c r="D61" s="3"/>
      <c r="E61" s="3"/>
      <c r="F61" s="3"/>
      <c r="G61" s="3"/>
      <c r="H61" s="3"/>
      <c r="I61" s="3"/>
      <c r="J61" s="3"/>
      <c r="K61" s="3"/>
      <c r="L61" s="3">
        <v>10088</v>
      </c>
      <c r="M61" s="3">
        <v>9247</v>
      </c>
      <c r="N61" s="3"/>
      <c r="O61" s="3"/>
    </row>
    <row r="62" spans="2:15" s="1" customFormat="1" x14ac:dyDescent="0.2">
      <c r="B62" s="1" t="s">
        <v>44</v>
      </c>
      <c r="C62" s="3"/>
      <c r="D62" s="3"/>
      <c r="E62" s="3"/>
      <c r="F62" s="3"/>
      <c r="G62" s="3"/>
      <c r="H62" s="3"/>
      <c r="I62" s="3"/>
      <c r="J62" s="3"/>
      <c r="K62" s="3"/>
      <c r="L62" s="3">
        <v>2916</v>
      </c>
      <c r="M62" s="3">
        <v>3054</v>
      </c>
      <c r="N62" s="3"/>
      <c r="O62" s="3"/>
    </row>
    <row r="63" spans="2:15" s="1" customFormat="1" x14ac:dyDescent="0.2">
      <c r="B63" s="1" t="s">
        <v>50</v>
      </c>
      <c r="C63" s="3"/>
      <c r="D63" s="3"/>
      <c r="E63" s="3"/>
      <c r="F63" s="3"/>
      <c r="G63" s="3"/>
      <c r="H63" s="3"/>
      <c r="I63" s="3"/>
      <c r="J63" s="3"/>
      <c r="K63" s="3"/>
      <c r="L63" s="3">
        <v>1240510</v>
      </c>
      <c r="M63" s="3">
        <v>1307340</v>
      </c>
      <c r="N63" s="3"/>
      <c r="O63" s="3"/>
    </row>
    <row r="64" spans="2:15" s="1" customFormat="1" x14ac:dyDescent="0.2">
      <c r="B64" s="1" t="s">
        <v>49</v>
      </c>
      <c r="C64" s="3"/>
      <c r="D64" s="3"/>
      <c r="E64" s="3"/>
      <c r="F64" s="3"/>
      <c r="G64" s="3"/>
      <c r="H64" s="3"/>
      <c r="I64" s="3"/>
      <c r="J64" s="3"/>
      <c r="K64" s="3"/>
      <c r="L64" s="3">
        <f>SUM(L57:L63)</f>
        <v>1584947</v>
      </c>
      <c r="M64" s="3">
        <f t="shared" ref="M64" si="2">SUM(M57:M63)</f>
        <v>1625604</v>
      </c>
      <c r="N64" s="3"/>
      <c r="O64" s="3"/>
    </row>
    <row r="67" spans="2:15" s="1" customFormat="1" x14ac:dyDescent="0.2">
      <c r="B67" s="1" t="s">
        <v>85</v>
      </c>
      <c r="C67" s="3"/>
      <c r="D67" s="3"/>
      <c r="E67" s="3"/>
      <c r="F67" s="3"/>
      <c r="G67" s="3">
        <v>7555</v>
      </c>
      <c r="H67" s="3">
        <v>7490</v>
      </c>
      <c r="I67" s="3">
        <v>7679</v>
      </c>
      <c r="J67" s="3">
        <v>7674</v>
      </c>
      <c r="K67" s="3">
        <v>7664</v>
      </c>
      <c r="L67" s="3">
        <v>7642</v>
      </c>
      <c r="M67" s="3">
        <v>7791</v>
      </c>
      <c r="N67" s="3">
        <v>7797</v>
      </c>
      <c r="O67" s="3"/>
    </row>
  </sheetData>
  <hyperlinks>
    <hyperlink ref="A1" location="Main!A1" display="Main" xr:uid="{53E12F78-5B9C-496C-B87B-3C68F65B6DED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2022-09-30T12:25:36Z</dcterms:created>
  <dcterms:modified xsi:type="dcterms:W3CDTF">2022-11-24T05:34:37Z</dcterms:modified>
</cp:coreProperties>
</file>