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E2B15CB-BF40-424C-9BC4-8A3ED80761E9}" xr6:coauthVersionLast="47" xr6:coauthVersionMax="47" xr10:uidLastSave="{00000000-0000-0000-0000-000000000000}"/>
  <bookViews>
    <workbookView xWindow="29835" yWindow="0" windowWidth="26460" windowHeight="2088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32" i="2" l="1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R37" i="2"/>
  <c r="BQ37" i="2"/>
  <c r="BP37" i="2"/>
  <c r="BO37" i="2"/>
  <c r="BN37" i="2"/>
  <c r="BM37" i="2"/>
  <c r="BL37" i="2"/>
  <c r="BR36" i="2"/>
  <c r="BQ36" i="2"/>
  <c r="BP36" i="2"/>
  <c r="BO36" i="2"/>
  <c r="BN36" i="2"/>
  <c r="BM36" i="2"/>
  <c r="BL36" i="2"/>
  <c r="BR35" i="2"/>
  <c r="BQ35" i="2"/>
  <c r="BP35" i="2"/>
  <c r="BO35" i="2"/>
  <c r="BN35" i="2"/>
  <c r="BM35" i="2"/>
  <c r="BL35" i="2"/>
  <c r="BR34" i="2"/>
  <c r="BQ34" i="2"/>
  <c r="BP34" i="2"/>
  <c r="BO34" i="2"/>
  <c r="BN34" i="2"/>
  <c r="BM34" i="2"/>
  <c r="BL34" i="2"/>
  <c r="BR33" i="2"/>
  <c r="BQ33" i="2"/>
  <c r="BP33" i="2"/>
  <c r="BO33" i="2"/>
  <c r="BN33" i="2"/>
  <c r="BM33" i="2"/>
  <c r="BL33" i="2"/>
  <c r="BK37" i="2"/>
  <c r="BJ37" i="2"/>
  <c r="BI37" i="2"/>
  <c r="BH37" i="2"/>
  <c r="BG37" i="2"/>
  <c r="BF37" i="2"/>
  <c r="BE37" i="2"/>
  <c r="BD37" i="2"/>
  <c r="BC37" i="2"/>
  <c r="BB37" i="2"/>
  <c r="BK36" i="2"/>
  <c r="BJ36" i="2"/>
  <c r="BI36" i="2"/>
  <c r="BH36" i="2"/>
  <c r="BG36" i="2"/>
  <c r="BF36" i="2"/>
  <c r="BE36" i="2"/>
  <c r="BD36" i="2"/>
  <c r="BC36" i="2"/>
  <c r="BB36" i="2"/>
  <c r="BK35" i="2"/>
  <c r="BJ35" i="2"/>
  <c r="BI35" i="2"/>
  <c r="BH35" i="2"/>
  <c r="BG35" i="2"/>
  <c r="BF35" i="2"/>
  <c r="BE35" i="2"/>
  <c r="BD35" i="2"/>
  <c r="BC35" i="2"/>
  <c r="BB35" i="2"/>
  <c r="BK34" i="2"/>
  <c r="BJ34" i="2"/>
  <c r="BI34" i="2"/>
  <c r="BH34" i="2"/>
  <c r="BG34" i="2"/>
  <c r="BF34" i="2"/>
  <c r="BE34" i="2"/>
  <c r="BD34" i="2"/>
  <c r="BC34" i="2"/>
  <c r="BB34" i="2"/>
  <c r="BK33" i="2"/>
  <c r="BJ33" i="2"/>
  <c r="BI33" i="2"/>
  <c r="BH33" i="2"/>
  <c r="BG33" i="2"/>
  <c r="BF33" i="2"/>
  <c r="BE33" i="2"/>
  <c r="BD33" i="2"/>
  <c r="BC33" i="2"/>
  <c r="BB33" i="2"/>
  <c r="AE37" i="2"/>
  <c r="AD37" i="2"/>
  <c r="AE36" i="2"/>
  <c r="AD36" i="2"/>
  <c r="AE35" i="2"/>
  <c r="AD35" i="2"/>
  <c r="AE34" i="2"/>
  <c r="AD34" i="2"/>
  <c r="AE33" i="2"/>
  <c r="AD33" i="2"/>
  <c r="AD21" i="2"/>
  <c r="AD18" i="2"/>
  <c r="AD22" i="2" s="1"/>
  <c r="AD24" i="2" s="1"/>
  <c r="AD26" i="2" s="1"/>
  <c r="AD27" i="2" s="1"/>
  <c r="AD8" i="2"/>
  <c r="AD12" i="2"/>
  <c r="AD14" i="2" s="1"/>
  <c r="AD30" i="2" s="1"/>
  <c r="AE21" i="2"/>
  <c r="AE18" i="2"/>
  <c r="AE22" i="2" s="1"/>
  <c r="AE24" i="2" s="1"/>
  <c r="AE26" i="2" s="1"/>
  <c r="AE27" i="2" s="1"/>
  <c r="AE12" i="2"/>
  <c r="AE14" i="2" s="1"/>
  <c r="AE13" i="2"/>
  <c r="AI37" i="2"/>
  <c r="AH37" i="2"/>
  <c r="AG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F21" i="2"/>
  <c r="AF22" i="2" s="1"/>
  <c r="AF24" i="2" s="1"/>
  <c r="AF18" i="2"/>
  <c r="AF14" i="2"/>
  <c r="AF12" i="2"/>
  <c r="AF13" i="2"/>
  <c r="AF10" i="2"/>
  <c r="AG21" i="2"/>
  <c r="AH21" i="2"/>
  <c r="AI21" i="2"/>
  <c r="AH13" i="2"/>
  <c r="AG13" i="2"/>
  <c r="AG10" i="2"/>
  <c r="AG12" i="2" s="1"/>
  <c r="AG14" i="2" s="1"/>
  <c r="AH10" i="2"/>
  <c r="AH12" i="2" s="1"/>
  <c r="AH14" i="2" s="1"/>
  <c r="AI10" i="2"/>
  <c r="AI12" i="2" s="1"/>
  <c r="AI13" i="2"/>
  <c r="AL10" i="2"/>
  <c r="AL12" i="2" s="1"/>
  <c r="AL35" i="2" s="1"/>
  <c r="AK10" i="2"/>
  <c r="AK12" i="2" s="1"/>
  <c r="AK35" i="2" s="1"/>
  <c r="AJ10" i="2"/>
  <c r="AJ12" i="2" s="1"/>
  <c r="AK13" i="2"/>
  <c r="AK34" i="2" s="1"/>
  <c r="AJ13" i="2"/>
  <c r="AJ34" i="2" s="1"/>
  <c r="AL31" i="2"/>
  <c r="AJ21" i="2"/>
  <c r="AK21" i="2"/>
  <c r="AM31" i="2"/>
  <c r="AL21" i="2"/>
  <c r="AL13" i="2"/>
  <c r="AL34" i="2" s="1"/>
  <c r="AN31" i="2"/>
  <c r="AM21" i="2"/>
  <c r="AM13" i="2"/>
  <c r="AM34" i="2" s="1"/>
  <c r="AM6" i="2"/>
  <c r="AM10" i="2"/>
  <c r="AM12" i="2" s="1"/>
  <c r="AO31" i="2"/>
  <c r="AN21" i="2"/>
  <c r="AN10" i="2"/>
  <c r="AN12" i="2" s="1"/>
  <c r="AN13" i="2"/>
  <c r="AN34" i="2" s="1"/>
  <c r="AN6" i="2"/>
  <c r="AU34" i="2"/>
  <c r="AU21" i="2"/>
  <c r="AU6" i="2"/>
  <c r="AT34" i="2"/>
  <c r="AT31" i="2"/>
  <c r="AT21" i="2"/>
  <c r="AT6" i="2"/>
  <c r="AS34" i="2"/>
  <c r="AS31" i="2"/>
  <c r="AS21" i="2"/>
  <c r="AX13" i="2"/>
  <c r="AS12" i="2"/>
  <c r="AS35" i="2" s="1"/>
  <c r="AR12" i="2"/>
  <c r="AR35" i="2" s="1"/>
  <c r="AS6" i="2"/>
  <c r="AR31" i="2"/>
  <c r="AQ31" i="2"/>
  <c r="AP31" i="2"/>
  <c r="AR34" i="2"/>
  <c r="AQ34" i="2"/>
  <c r="AP34" i="2"/>
  <c r="AO34" i="2"/>
  <c r="AO21" i="2"/>
  <c r="AO6" i="2"/>
  <c r="AO10" i="2"/>
  <c r="AO12" i="2" s="1"/>
  <c r="AO35" i="2" s="1"/>
  <c r="AP21" i="2"/>
  <c r="AQ21" i="2"/>
  <c r="AR21" i="2"/>
  <c r="AR10" i="2"/>
  <c r="AQ10" i="2"/>
  <c r="AQ12" i="2" s="1"/>
  <c r="AQ14" i="2" s="1"/>
  <c r="AP10" i="2"/>
  <c r="AP12" i="2" s="1"/>
  <c r="AR6" i="2"/>
  <c r="AQ6" i="2"/>
  <c r="AP6" i="2"/>
  <c r="V12" i="2"/>
  <c r="V14" i="2" s="1"/>
  <c r="U12" i="2"/>
  <c r="U14" i="2" s="1"/>
  <c r="AZ13" i="2"/>
  <c r="AZ10" i="2"/>
  <c r="AZ9" i="2"/>
  <c r="BA9" i="2" s="1"/>
  <c r="BB9" i="2" s="1"/>
  <c r="AZ8" i="2"/>
  <c r="AZ4" i="2"/>
  <c r="T12" i="2"/>
  <c r="T14" i="2" s="1"/>
  <c r="S12" i="2"/>
  <c r="S14" i="2" s="1"/>
  <c r="W14" i="2"/>
  <c r="AY4" i="2"/>
  <c r="Z14" i="2"/>
  <c r="Y14" i="2"/>
  <c r="X14" i="2"/>
  <c r="AW31" i="2"/>
  <c r="W35" i="2"/>
  <c r="W34" i="2"/>
  <c r="W32" i="2"/>
  <c r="W31" i="2"/>
  <c r="W21" i="2"/>
  <c r="W17" i="2"/>
  <c r="AY5" i="2"/>
  <c r="AX5" i="2"/>
  <c r="AW5" i="2"/>
  <c r="AW6" i="2" s="1"/>
  <c r="T6" i="2"/>
  <c r="S6" i="2"/>
  <c r="R6" i="2"/>
  <c r="Q6" i="2"/>
  <c r="U6" i="2" s="1"/>
  <c r="U5" i="2" s="1"/>
  <c r="P6" i="2"/>
  <c r="O6" i="2"/>
  <c r="N6" i="2"/>
  <c r="M6" i="2"/>
  <c r="L6" i="2"/>
  <c r="K6" i="2"/>
  <c r="F28" i="2"/>
  <c r="F25" i="2"/>
  <c r="F23" i="2"/>
  <c r="F20" i="2"/>
  <c r="F19" i="2"/>
  <c r="F17" i="2"/>
  <c r="F13" i="2"/>
  <c r="F10" i="2"/>
  <c r="F9" i="2"/>
  <c r="F8" i="2"/>
  <c r="F5" i="2"/>
  <c r="AV5" i="2" s="1"/>
  <c r="AV6" i="2" s="1"/>
  <c r="AT12" i="2"/>
  <c r="AT35" i="2" s="1"/>
  <c r="AU12" i="2"/>
  <c r="AU35" i="2" s="1"/>
  <c r="AU31" i="2"/>
  <c r="AV31" i="2"/>
  <c r="F4" i="2"/>
  <c r="C28" i="2"/>
  <c r="C21" i="2"/>
  <c r="C12" i="2"/>
  <c r="C14" i="2" s="1"/>
  <c r="C18" i="2" s="1"/>
  <c r="C6" i="2"/>
  <c r="D6" i="2"/>
  <c r="D28" i="2"/>
  <c r="D21" i="2"/>
  <c r="D12" i="2"/>
  <c r="D14" i="2" s="1"/>
  <c r="D18" i="2" s="1"/>
  <c r="E28" i="2"/>
  <c r="E6" i="2"/>
  <c r="AW12" i="2"/>
  <c r="AW14" i="2" s="1"/>
  <c r="AV12" i="2"/>
  <c r="AV14" i="2" s="1"/>
  <c r="R12" i="2"/>
  <c r="R14" i="2" s="1"/>
  <c r="Q12" i="2"/>
  <c r="Q14" i="2" s="1"/>
  <c r="P12" i="2"/>
  <c r="P14" i="2" s="1"/>
  <c r="O12" i="2"/>
  <c r="O14" i="2" s="1"/>
  <c r="N12" i="2"/>
  <c r="N14" i="2" s="1"/>
  <c r="M12" i="2"/>
  <c r="M14" i="2" s="1"/>
  <c r="L12" i="2"/>
  <c r="L14" i="2" s="1"/>
  <c r="K12" i="2"/>
  <c r="K14" i="2" s="1"/>
  <c r="E12" i="2"/>
  <c r="E14" i="2" s="1"/>
  <c r="E21" i="2"/>
  <c r="J2" i="2"/>
  <c r="I2" i="2" s="1"/>
  <c r="H2" i="2" s="1"/>
  <c r="G2" i="2" s="1"/>
  <c r="F2" i="2" s="1"/>
  <c r="AW34" i="2"/>
  <c r="AV34" i="2"/>
  <c r="AW32" i="2"/>
  <c r="AV28" i="2"/>
  <c r="AV21" i="2"/>
  <c r="AV17" i="2"/>
  <c r="U34" i="2"/>
  <c r="T34" i="2"/>
  <c r="S34" i="2"/>
  <c r="R34" i="2"/>
  <c r="Q34" i="2"/>
  <c r="P34" i="2"/>
  <c r="O34" i="2"/>
  <c r="N34" i="2"/>
  <c r="M34" i="2"/>
  <c r="L34" i="2"/>
  <c r="K34" i="2"/>
  <c r="AZ20" i="2"/>
  <c r="BA20" i="2" s="1"/>
  <c r="BB20" i="2" s="1"/>
  <c r="AZ28" i="2"/>
  <c r="BA28" i="2" s="1"/>
  <c r="BB28" i="2" s="1"/>
  <c r="U32" i="2"/>
  <c r="T32" i="2"/>
  <c r="S32" i="2"/>
  <c r="R32" i="2"/>
  <c r="Q32" i="2"/>
  <c r="P32" i="2"/>
  <c r="O32" i="2"/>
  <c r="V32" i="2"/>
  <c r="AW21" i="2"/>
  <c r="AW17" i="2"/>
  <c r="K21" i="2"/>
  <c r="K17" i="2"/>
  <c r="P31" i="2"/>
  <c r="O31" i="2"/>
  <c r="S31" i="2"/>
  <c r="R31" i="2"/>
  <c r="Q31" i="2"/>
  <c r="L21" i="2"/>
  <c r="L17" i="2"/>
  <c r="M21" i="2"/>
  <c r="M17" i="2"/>
  <c r="AY28" i="2"/>
  <c r="AX28" i="2"/>
  <c r="AY25" i="2"/>
  <c r="AX25" i="2"/>
  <c r="AZ23" i="2"/>
  <c r="AY23" i="2"/>
  <c r="AX23" i="2"/>
  <c r="AY20" i="2"/>
  <c r="AX20" i="2"/>
  <c r="AY19" i="2"/>
  <c r="AX19" i="2"/>
  <c r="AY16" i="2"/>
  <c r="AX16" i="2"/>
  <c r="AY15" i="2"/>
  <c r="AX15" i="2"/>
  <c r="AY13" i="2"/>
  <c r="AY10" i="2"/>
  <c r="AX10" i="2"/>
  <c r="AY9" i="2"/>
  <c r="AX9" i="2"/>
  <c r="AY8" i="2"/>
  <c r="AX8" i="2"/>
  <c r="AX4" i="2"/>
  <c r="AX31" i="2" s="1"/>
  <c r="V2" i="2"/>
  <c r="N21" i="2"/>
  <c r="N17" i="2"/>
  <c r="R21" i="2"/>
  <c r="R17" i="2"/>
  <c r="O21" i="2"/>
  <c r="O17" i="2"/>
  <c r="S21" i="2"/>
  <c r="S17" i="2"/>
  <c r="U31" i="2"/>
  <c r="Q21" i="2"/>
  <c r="Q17" i="2"/>
  <c r="U21" i="2"/>
  <c r="U17" i="2"/>
  <c r="T31" i="2"/>
  <c r="P21" i="2"/>
  <c r="P17" i="2"/>
  <c r="T21" i="2"/>
  <c r="T17" i="2"/>
  <c r="O6" i="1"/>
  <c r="O5" i="1"/>
  <c r="O4" i="1"/>
  <c r="AE30" i="2" l="1"/>
  <c r="AF26" i="2"/>
  <c r="AF27" i="2" s="1"/>
  <c r="AF37" i="2"/>
  <c r="AF30" i="2"/>
  <c r="AG18" i="2"/>
  <c r="AG30" i="2"/>
  <c r="AH18" i="2"/>
  <c r="AH22" i="2" s="1"/>
  <c r="AH24" i="2" s="1"/>
  <c r="AH26" i="2" s="1"/>
  <c r="AH27" i="2" s="1"/>
  <c r="AH30" i="2"/>
  <c r="AO14" i="2"/>
  <c r="AO18" i="2" s="1"/>
  <c r="AO33" i="2" s="1"/>
  <c r="AI14" i="2"/>
  <c r="AZ31" i="2"/>
  <c r="AG22" i="2"/>
  <c r="AG24" i="2" s="1"/>
  <c r="AG26" i="2" s="1"/>
  <c r="AG27" i="2" s="1"/>
  <c r="AJ14" i="2"/>
  <c r="AJ18" i="2" s="1"/>
  <c r="AN14" i="2"/>
  <c r="AN35" i="2"/>
  <c r="AM35" i="2"/>
  <c r="AM14" i="2"/>
  <c r="AM18" i="2" s="1"/>
  <c r="AM33" i="2" s="1"/>
  <c r="AJ35" i="2"/>
  <c r="AL14" i="2"/>
  <c r="AK14" i="2"/>
  <c r="AM22" i="2"/>
  <c r="AT14" i="2"/>
  <c r="AT18" i="2" s="1"/>
  <c r="AT22" i="2" s="1"/>
  <c r="AT24" i="2" s="1"/>
  <c r="C22" i="2"/>
  <c r="C24" i="2" s="1"/>
  <c r="C26" i="2" s="1"/>
  <c r="C27" i="2" s="1"/>
  <c r="AP35" i="2"/>
  <c r="AP14" i="2"/>
  <c r="AQ30" i="2" s="1"/>
  <c r="AQ18" i="2"/>
  <c r="AU14" i="2"/>
  <c r="AU18" i="2" s="1"/>
  <c r="AQ35" i="2"/>
  <c r="AR14" i="2"/>
  <c r="AS14" i="2"/>
  <c r="F6" i="2"/>
  <c r="AY6" i="2"/>
  <c r="W18" i="2"/>
  <c r="W33" i="2" s="1"/>
  <c r="X30" i="2"/>
  <c r="Y30" i="2"/>
  <c r="W30" i="2"/>
  <c r="AZ12" i="2"/>
  <c r="AZ14" i="2" s="1"/>
  <c r="BA8" i="2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A10" i="2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O7" i="1"/>
  <c r="BC20" i="2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C28" i="2"/>
  <c r="BC9" i="2"/>
  <c r="F12" i="2"/>
  <c r="F14" i="2" s="1"/>
  <c r="F18" i="2" s="1"/>
  <c r="F21" i="2"/>
  <c r="AX6" i="2"/>
  <c r="AV18" i="2"/>
  <c r="AV33" i="2" s="1"/>
  <c r="D22" i="2"/>
  <c r="D24" i="2" s="1"/>
  <c r="D26" i="2" s="1"/>
  <c r="D27" i="2" s="1"/>
  <c r="AX12" i="2"/>
  <c r="AY12" i="2"/>
  <c r="E18" i="2"/>
  <c r="L35" i="2"/>
  <c r="AX34" i="2"/>
  <c r="AW30" i="2"/>
  <c r="M35" i="2"/>
  <c r="O35" i="2"/>
  <c r="P35" i="2"/>
  <c r="K35" i="2"/>
  <c r="S35" i="2"/>
  <c r="Q35" i="2"/>
  <c r="AY34" i="2"/>
  <c r="AV35" i="2"/>
  <c r="AW35" i="2"/>
  <c r="AX32" i="2"/>
  <c r="AY32" i="2"/>
  <c r="T35" i="2"/>
  <c r="V21" i="2"/>
  <c r="U35" i="2"/>
  <c r="AZ16" i="2"/>
  <c r="R35" i="2"/>
  <c r="N35" i="2"/>
  <c r="AZ19" i="2"/>
  <c r="AY31" i="2"/>
  <c r="BA13" i="2"/>
  <c r="Q30" i="2"/>
  <c r="AY17" i="2"/>
  <c r="AY21" i="2"/>
  <c r="AW18" i="2"/>
  <c r="R18" i="2"/>
  <c r="R33" i="2" s="1"/>
  <c r="K18" i="2"/>
  <c r="O30" i="2"/>
  <c r="AX21" i="2"/>
  <c r="AX17" i="2"/>
  <c r="L18" i="2"/>
  <c r="P30" i="2"/>
  <c r="M18" i="2"/>
  <c r="T18" i="2"/>
  <c r="T33" i="2" s="1"/>
  <c r="N18" i="2"/>
  <c r="R30" i="2"/>
  <c r="S30" i="2"/>
  <c r="O18" i="2"/>
  <c r="S18" i="2"/>
  <c r="Q18" i="2"/>
  <c r="U30" i="2"/>
  <c r="U18" i="2"/>
  <c r="T30" i="2"/>
  <c r="P18" i="2"/>
  <c r="AJ22" i="2" l="1"/>
  <c r="AJ33" i="2"/>
  <c r="AJ30" i="2"/>
  <c r="AO22" i="2"/>
  <c r="AI18" i="2"/>
  <c r="AI22" i="2" s="1"/>
  <c r="AI24" i="2" s="1"/>
  <c r="AI26" i="2" s="1"/>
  <c r="AI27" i="2" s="1"/>
  <c r="AI30" i="2"/>
  <c r="AO30" i="2"/>
  <c r="AU30" i="2"/>
  <c r="AM30" i="2"/>
  <c r="AL18" i="2"/>
  <c r="AT33" i="2"/>
  <c r="AT36" i="2"/>
  <c r="AL30" i="2"/>
  <c r="AK18" i="2"/>
  <c r="AK30" i="2"/>
  <c r="AT30" i="2"/>
  <c r="AN18" i="2"/>
  <c r="AN30" i="2"/>
  <c r="AM24" i="2"/>
  <c r="AM36" i="2"/>
  <c r="AV30" i="2"/>
  <c r="AS30" i="2"/>
  <c r="AS18" i="2"/>
  <c r="AR18" i="2"/>
  <c r="AR30" i="2"/>
  <c r="AQ22" i="2"/>
  <c r="AQ33" i="2"/>
  <c r="AT37" i="2"/>
  <c r="AT26" i="2"/>
  <c r="AT27" i="2" s="1"/>
  <c r="AP18" i="2"/>
  <c r="AP30" i="2"/>
  <c r="AU33" i="2"/>
  <c r="AU22" i="2"/>
  <c r="W22" i="2"/>
  <c r="AO24" i="2"/>
  <c r="AO36" i="2"/>
  <c r="BA32" i="2"/>
  <c r="F22" i="2"/>
  <c r="F24" i="2" s="1"/>
  <c r="F26" i="2" s="1"/>
  <c r="F27" i="2" s="1"/>
  <c r="W24" i="2"/>
  <c r="W36" i="2"/>
  <c r="AZ21" i="2"/>
  <c r="BA19" i="2"/>
  <c r="BA16" i="2"/>
  <c r="BA34" i="2" s="1"/>
  <c r="BB13" i="2"/>
  <c r="BD28" i="2"/>
  <c r="BD9" i="2"/>
  <c r="AV22" i="2"/>
  <c r="AV36" i="2" s="1"/>
  <c r="E22" i="2"/>
  <c r="E33" i="2"/>
  <c r="V34" i="2"/>
  <c r="AZ32" i="2"/>
  <c r="AZ34" i="2"/>
  <c r="AY14" i="2"/>
  <c r="AY18" i="2" s="1"/>
  <c r="AY35" i="2"/>
  <c r="AW22" i="2"/>
  <c r="AW33" i="2"/>
  <c r="AX14" i="2"/>
  <c r="AX18" i="2" s="1"/>
  <c r="AX35" i="2"/>
  <c r="R22" i="2"/>
  <c r="R24" i="2" s="1"/>
  <c r="T22" i="2"/>
  <c r="T36" i="2" s="1"/>
  <c r="O22" i="2"/>
  <c r="O33" i="2"/>
  <c r="N22" i="2"/>
  <c r="N33" i="2"/>
  <c r="M22" i="2"/>
  <c r="M33" i="2"/>
  <c r="Q22" i="2"/>
  <c r="Q33" i="2"/>
  <c r="K22" i="2"/>
  <c r="K33" i="2"/>
  <c r="L22" i="2"/>
  <c r="L33" i="2"/>
  <c r="P22" i="2"/>
  <c r="P33" i="2"/>
  <c r="U22" i="2"/>
  <c r="U33" i="2"/>
  <c r="S22" i="2"/>
  <c r="S33" i="2"/>
  <c r="AJ24" i="2" l="1"/>
  <c r="AJ36" i="2"/>
  <c r="AV24" i="2"/>
  <c r="AV26" i="2" s="1"/>
  <c r="AV27" i="2" s="1"/>
  <c r="AN33" i="2"/>
  <c r="AN22" i="2"/>
  <c r="AK33" i="2"/>
  <c r="AK22" i="2"/>
  <c r="AL22" i="2"/>
  <c r="AL33" i="2"/>
  <c r="AM26" i="2"/>
  <c r="AM27" i="2" s="1"/>
  <c r="AM37" i="2"/>
  <c r="AP33" i="2"/>
  <c r="AP22" i="2"/>
  <c r="AQ24" i="2"/>
  <c r="AQ36" i="2"/>
  <c r="AS33" i="2"/>
  <c r="AS22" i="2"/>
  <c r="AU36" i="2"/>
  <c r="AU24" i="2"/>
  <c r="AR22" i="2"/>
  <c r="AR33" i="2"/>
  <c r="AO26" i="2"/>
  <c r="AO27" i="2" s="1"/>
  <c r="AO37" i="2"/>
  <c r="AX30" i="2"/>
  <c r="AY30" i="2"/>
  <c r="W37" i="2"/>
  <c r="W26" i="2"/>
  <c r="W27" i="2" s="1"/>
  <c r="BB19" i="2"/>
  <c r="BA21" i="2"/>
  <c r="BB16" i="2"/>
  <c r="BC13" i="2"/>
  <c r="BE28" i="2"/>
  <c r="BE9" i="2"/>
  <c r="E24" i="2"/>
  <c r="E36" i="2"/>
  <c r="AX22" i="2"/>
  <c r="AX33" i="2"/>
  <c r="T24" i="2"/>
  <c r="AY22" i="2"/>
  <c r="AY33" i="2"/>
  <c r="AW24" i="2"/>
  <c r="AW36" i="2"/>
  <c r="R36" i="2"/>
  <c r="T26" i="2"/>
  <c r="T27" i="2" s="1"/>
  <c r="T37" i="2"/>
  <c r="R26" i="2"/>
  <c r="R27" i="2" s="1"/>
  <c r="R37" i="2"/>
  <c r="P24" i="2"/>
  <c r="P36" i="2"/>
  <c r="L24" i="2"/>
  <c r="L36" i="2"/>
  <c r="K24" i="2"/>
  <c r="K36" i="2"/>
  <c r="M24" i="2"/>
  <c r="M36" i="2"/>
  <c r="Q24" i="2"/>
  <c r="Q36" i="2"/>
  <c r="N24" i="2"/>
  <c r="N36" i="2"/>
  <c r="O24" i="2"/>
  <c r="O36" i="2"/>
  <c r="S24" i="2"/>
  <c r="S36" i="2"/>
  <c r="U24" i="2"/>
  <c r="U36" i="2"/>
  <c r="AJ26" i="2" l="1"/>
  <c r="AJ27" i="2" s="1"/>
  <c r="AJ37" i="2"/>
  <c r="AV37" i="2"/>
  <c r="AL24" i="2"/>
  <c r="AL36" i="2"/>
  <c r="AK24" i="2"/>
  <c r="AK36" i="2"/>
  <c r="AN24" i="2"/>
  <c r="AN36" i="2"/>
  <c r="AU26" i="2"/>
  <c r="AU27" i="2" s="1"/>
  <c r="AU37" i="2"/>
  <c r="AS36" i="2"/>
  <c r="AS24" i="2"/>
  <c r="AP24" i="2"/>
  <c r="AP36" i="2"/>
  <c r="AR36" i="2"/>
  <c r="AR24" i="2"/>
  <c r="AQ26" i="2"/>
  <c r="AQ27" i="2" s="1"/>
  <c r="AQ37" i="2"/>
  <c r="BC19" i="2"/>
  <c r="BB21" i="2"/>
  <c r="BD13" i="2"/>
  <c r="BC16" i="2"/>
  <c r="BF28" i="2"/>
  <c r="BF9" i="2"/>
  <c r="E26" i="2"/>
  <c r="E27" i="2" s="1"/>
  <c r="E37" i="2"/>
  <c r="AW26" i="2"/>
  <c r="AW27" i="2" s="1"/>
  <c r="AW37" i="2"/>
  <c r="AY24" i="2"/>
  <c r="AY36" i="2"/>
  <c r="AX24" i="2"/>
  <c r="AX36" i="2"/>
  <c r="S26" i="2"/>
  <c r="S27" i="2" s="1"/>
  <c r="S37" i="2"/>
  <c r="U26" i="2"/>
  <c r="U27" i="2" s="1"/>
  <c r="U37" i="2"/>
  <c r="O26" i="2"/>
  <c r="O27" i="2" s="1"/>
  <c r="O37" i="2"/>
  <c r="N26" i="2"/>
  <c r="N27" i="2" s="1"/>
  <c r="N37" i="2"/>
  <c r="Q26" i="2"/>
  <c r="Q27" i="2" s="1"/>
  <c r="Q37" i="2"/>
  <c r="M26" i="2"/>
  <c r="M27" i="2" s="1"/>
  <c r="M37" i="2"/>
  <c r="K26" i="2"/>
  <c r="K27" i="2" s="1"/>
  <c r="K37" i="2"/>
  <c r="L26" i="2"/>
  <c r="L27" i="2" s="1"/>
  <c r="L37" i="2"/>
  <c r="P26" i="2"/>
  <c r="P27" i="2" s="1"/>
  <c r="P37" i="2"/>
  <c r="AN26" i="2" l="1"/>
  <c r="AN27" i="2" s="1"/>
  <c r="AN37" i="2"/>
  <c r="AK26" i="2"/>
  <c r="AK27" i="2" s="1"/>
  <c r="AK37" i="2"/>
  <c r="AL26" i="2"/>
  <c r="AL27" i="2" s="1"/>
  <c r="AL37" i="2"/>
  <c r="AP37" i="2"/>
  <c r="AP26" i="2"/>
  <c r="AP27" i="2" s="1"/>
  <c r="AR26" i="2"/>
  <c r="AR27" i="2" s="1"/>
  <c r="AR37" i="2"/>
  <c r="AS37" i="2"/>
  <c r="AS26" i="2"/>
  <c r="AS27" i="2" s="1"/>
  <c r="BD19" i="2"/>
  <c r="BC21" i="2"/>
  <c r="BE13" i="2"/>
  <c r="BD16" i="2"/>
  <c r="BG28" i="2"/>
  <c r="BG9" i="2"/>
  <c r="AX26" i="2"/>
  <c r="AX27" i="2" s="1"/>
  <c r="AX37" i="2"/>
  <c r="AY26" i="2"/>
  <c r="AY27" i="2" s="1"/>
  <c r="AY37" i="2"/>
  <c r="V31" i="2"/>
  <c r="AZ5" i="2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D21" i="2" l="1"/>
  <c r="BE19" i="2"/>
  <c r="BE16" i="2"/>
  <c r="BF13" i="2"/>
  <c r="BH28" i="2"/>
  <c r="BH9" i="2"/>
  <c r="AZ6" i="2"/>
  <c r="BA6" i="2" s="1"/>
  <c r="V17" i="2"/>
  <c r="AZ15" i="2"/>
  <c r="AZ17" i="2" s="1"/>
  <c r="Z30" i="2"/>
  <c r="V35" i="2"/>
  <c r="BB6" i="2" l="1"/>
  <c r="BA4" i="2"/>
  <c r="BE21" i="2"/>
  <c r="BF19" i="2"/>
  <c r="BG13" i="2"/>
  <c r="BF16" i="2"/>
  <c r="BI28" i="2"/>
  <c r="BI9" i="2"/>
  <c r="V30" i="2"/>
  <c r="V18" i="2"/>
  <c r="AZ35" i="2"/>
  <c r="AZ30" i="2"/>
  <c r="AZ18" i="2"/>
  <c r="BA31" i="2" l="1"/>
  <c r="BA12" i="2"/>
  <c r="BC6" i="2"/>
  <c r="BB4" i="2"/>
  <c r="BF21" i="2"/>
  <c r="BG19" i="2"/>
  <c r="BG16" i="2"/>
  <c r="BH13" i="2"/>
  <c r="BJ28" i="2"/>
  <c r="BJ9" i="2"/>
  <c r="AZ22" i="2"/>
  <c r="AZ33" i="2"/>
  <c r="V22" i="2"/>
  <c r="V33" i="2"/>
  <c r="BA14" i="2" l="1"/>
  <c r="BD6" i="2"/>
  <c r="BC4" i="2"/>
  <c r="BB31" i="2"/>
  <c r="BB12" i="2"/>
  <c r="BA15" i="2"/>
  <c r="BA17" i="2" s="1"/>
  <c r="BH19" i="2"/>
  <c r="BG21" i="2"/>
  <c r="BI13" i="2"/>
  <c r="BH16" i="2"/>
  <c r="BK28" i="2"/>
  <c r="BK9" i="2"/>
  <c r="V36" i="2"/>
  <c r="V24" i="2"/>
  <c r="AZ36" i="2"/>
  <c r="AZ24" i="2"/>
  <c r="BA35" i="2" l="1"/>
  <c r="BA18" i="2"/>
  <c r="BA30" i="2"/>
  <c r="BB15" i="2"/>
  <c r="BB17" i="2" s="1"/>
  <c r="BB14" i="2"/>
  <c r="BC31" i="2"/>
  <c r="BC12" i="2"/>
  <c r="BE6" i="2"/>
  <c r="BD4" i="2"/>
  <c r="BI19" i="2"/>
  <c r="BH21" i="2"/>
  <c r="BJ13" i="2"/>
  <c r="BI16" i="2"/>
  <c r="BL28" i="2"/>
  <c r="BL9" i="2"/>
  <c r="BA22" i="2" l="1"/>
  <c r="BA33" i="2"/>
  <c r="BD31" i="2"/>
  <c r="BD12" i="2"/>
  <c r="BF6" i="2"/>
  <c r="BE4" i="2"/>
  <c r="BC15" i="2"/>
  <c r="BC17" i="2" s="1"/>
  <c r="BC14" i="2"/>
  <c r="BB30" i="2"/>
  <c r="BB18" i="2"/>
  <c r="BB22" i="2" s="1"/>
  <c r="BB24" i="2" s="1"/>
  <c r="BI21" i="2"/>
  <c r="BJ19" i="2"/>
  <c r="BK13" i="2"/>
  <c r="BJ16" i="2"/>
  <c r="BM28" i="2"/>
  <c r="BM9" i="2"/>
  <c r="AZ25" i="2"/>
  <c r="V37" i="2"/>
  <c r="V26" i="2"/>
  <c r="V27" i="2" s="1"/>
  <c r="BA24" i="2" l="1"/>
  <c r="BA25" i="2" s="1"/>
  <c r="BA36" i="2"/>
  <c r="BB25" i="2"/>
  <c r="BB26" i="2" s="1"/>
  <c r="BB27" i="2" s="1"/>
  <c r="BC30" i="2"/>
  <c r="BC18" i="2"/>
  <c r="BC22" i="2" s="1"/>
  <c r="BC24" i="2" s="1"/>
  <c r="BC25" i="2" s="1"/>
  <c r="BC26" i="2" s="1"/>
  <c r="BC27" i="2" s="1"/>
  <c r="BG6" i="2"/>
  <c r="BF4" i="2"/>
  <c r="BD15" i="2"/>
  <c r="BD17" i="2" s="1"/>
  <c r="BD14" i="2"/>
  <c r="BE31" i="2"/>
  <c r="BE12" i="2"/>
  <c r="BK19" i="2"/>
  <c r="BJ21" i="2"/>
  <c r="BL13" i="2"/>
  <c r="BK16" i="2"/>
  <c r="BN28" i="2"/>
  <c r="BN9" i="2"/>
  <c r="AZ37" i="2"/>
  <c r="AZ26" i="2"/>
  <c r="AZ27" i="2" s="1"/>
  <c r="BA26" i="2" l="1"/>
  <c r="BA27" i="2" s="1"/>
  <c r="BA37" i="2"/>
  <c r="BE15" i="2"/>
  <c r="BE17" i="2" s="1"/>
  <c r="BE14" i="2"/>
  <c r="BD18" i="2"/>
  <c r="BD22" i="2" s="1"/>
  <c r="BD24" i="2" s="1"/>
  <c r="BD25" i="2" s="1"/>
  <c r="BD26" i="2" s="1"/>
  <c r="BD27" i="2" s="1"/>
  <c r="BD30" i="2"/>
  <c r="BF31" i="2"/>
  <c r="BF12" i="2"/>
  <c r="BH6" i="2"/>
  <c r="BG4" i="2"/>
  <c r="BK21" i="2"/>
  <c r="BL19" i="2"/>
  <c r="BM13" i="2"/>
  <c r="BL16" i="2"/>
  <c r="BO28" i="2"/>
  <c r="BO9" i="2"/>
  <c r="BG31" i="2" l="1"/>
  <c r="BG12" i="2"/>
  <c r="BI6" i="2"/>
  <c r="BH4" i="2"/>
  <c r="BF15" i="2"/>
  <c r="BF17" i="2" s="1"/>
  <c r="BF14" i="2"/>
  <c r="BF30" i="2" s="1"/>
  <c r="BE30" i="2"/>
  <c r="BE18" i="2"/>
  <c r="BE22" i="2" s="1"/>
  <c r="BE24" i="2" s="1"/>
  <c r="BM19" i="2"/>
  <c r="BL21" i="2"/>
  <c r="BN13" i="2"/>
  <c r="BM16" i="2"/>
  <c r="BP28" i="2"/>
  <c r="BP9" i="2"/>
  <c r="BE25" i="2" l="1"/>
  <c r="BE26" i="2" s="1"/>
  <c r="BE27" i="2" s="1"/>
  <c r="BF18" i="2"/>
  <c r="BF22" i="2" s="1"/>
  <c r="BF24" i="2" s="1"/>
  <c r="BF25" i="2" s="1"/>
  <c r="BF26" i="2" s="1"/>
  <c r="BF27" i="2" s="1"/>
  <c r="BH31" i="2"/>
  <c r="BH12" i="2"/>
  <c r="BJ6" i="2"/>
  <c r="BI4" i="2"/>
  <c r="BG15" i="2"/>
  <c r="BG17" i="2" s="1"/>
  <c r="BG14" i="2"/>
  <c r="BM21" i="2"/>
  <c r="BN19" i="2"/>
  <c r="BO13" i="2"/>
  <c r="BN16" i="2"/>
  <c r="BQ28" i="2"/>
  <c r="BQ9" i="2"/>
  <c r="BG18" i="2" l="1"/>
  <c r="BG22" i="2" s="1"/>
  <c r="BG24" i="2" s="1"/>
  <c r="BG25" i="2" s="1"/>
  <c r="BG26" i="2" s="1"/>
  <c r="BG27" i="2" s="1"/>
  <c r="BG30" i="2"/>
  <c r="BI31" i="2"/>
  <c r="BI12" i="2"/>
  <c r="BK6" i="2"/>
  <c r="BJ4" i="2"/>
  <c r="BH15" i="2"/>
  <c r="BH17" i="2" s="1"/>
  <c r="BH14" i="2"/>
  <c r="BN21" i="2"/>
  <c r="BO19" i="2"/>
  <c r="BP13" i="2"/>
  <c r="BO16" i="2"/>
  <c r="BR28" i="2"/>
  <c r="BR9" i="2"/>
  <c r="BH18" i="2" l="1"/>
  <c r="BH22" i="2" s="1"/>
  <c r="BH24" i="2" s="1"/>
  <c r="BH30" i="2"/>
  <c r="BJ31" i="2"/>
  <c r="BJ12" i="2"/>
  <c r="BL6" i="2"/>
  <c r="BK4" i="2"/>
  <c r="BI15" i="2"/>
  <c r="BI17" i="2" s="1"/>
  <c r="BI14" i="2"/>
  <c r="BP19" i="2"/>
  <c r="BO21" i="2"/>
  <c r="BQ13" i="2"/>
  <c r="BP16" i="2"/>
  <c r="BK31" i="2" l="1"/>
  <c r="BK12" i="2"/>
  <c r="BI30" i="2"/>
  <c r="BI18" i="2"/>
  <c r="BI22" i="2" s="1"/>
  <c r="BI24" i="2" s="1"/>
  <c r="BI25" i="2" s="1"/>
  <c r="BI26" i="2" s="1"/>
  <c r="BI27" i="2" s="1"/>
  <c r="BM6" i="2"/>
  <c r="BL4" i="2"/>
  <c r="BJ15" i="2"/>
  <c r="BJ17" i="2" s="1"/>
  <c r="BJ14" i="2"/>
  <c r="BH25" i="2"/>
  <c r="BH26" i="2" s="1"/>
  <c r="BH27" i="2" s="1"/>
  <c r="BQ19" i="2"/>
  <c r="BP21" i="2"/>
  <c r="BR13" i="2"/>
  <c r="BQ16" i="2"/>
  <c r="BJ18" i="2" l="1"/>
  <c r="BJ22" i="2" s="1"/>
  <c r="BJ24" i="2" s="1"/>
  <c r="BJ30" i="2"/>
  <c r="BN6" i="2"/>
  <c r="BM4" i="2"/>
  <c r="BL31" i="2"/>
  <c r="BL12" i="2"/>
  <c r="BK15" i="2"/>
  <c r="BK17" i="2" s="1"/>
  <c r="BK14" i="2"/>
  <c r="BR19" i="2"/>
  <c r="BR21" i="2" s="1"/>
  <c r="BQ21" i="2"/>
  <c r="BR16" i="2"/>
  <c r="BK30" i="2" l="1"/>
  <c r="BK18" i="2"/>
  <c r="BK22" i="2" s="1"/>
  <c r="BK24" i="2" s="1"/>
  <c r="BK25" i="2" s="1"/>
  <c r="BK26" i="2" s="1"/>
  <c r="BK27" i="2" s="1"/>
  <c r="BM31" i="2"/>
  <c r="BM12" i="2"/>
  <c r="BO6" i="2"/>
  <c r="BN4" i="2"/>
  <c r="BL15" i="2"/>
  <c r="BL17" i="2" s="1"/>
  <c r="BL14" i="2"/>
  <c r="BJ25" i="2"/>
  <c r="BJ26" i="2" s="1"/>
  <c r="BJ27" i="2" s="1"/>
  <c r="BL30" i="2" l="1"/>
  <c r="BL18" i="2"/>
  <c r="BL22" i="2" s="1"/>
  <c r="BL24" i="2" s="1"/>
  <c r="BL25" i="2" s="1"/>
  <c r="BL26" i="2" s="1"/>
  <c r="BL27" i="2" s="1"/>
  <c r="BN31" i="2"/>
  <c r="BN12" i="2"/>
  <c r="BP6" i="2"/>
  <c r="BO4" i="2"/>
  <c r="BM15" i="2"/>
  <c r="BM17" i="2" s="1"/>
  <c r="BM14" i="2"/>
  <c r="BO31" i="2" l="1"/>
  <c r="BO12" i="2"/>
  <c r="BM30" i="2"/>
  <c r="BM18" i="2"/>
  <c r="BM22" i="2" s="1"/>
  <c r="BM24" i="2" s="1"/>
  <c r="BM25" i="2" s="1"/>
  <c r="BM26" i="2" s="1"/>
  <c r="BM27" i="2" s="1"/>
  <c r="BQ6" i="2"/>
  <c r="BP4" i="2"/>
  <c r="BN15" i="2"/>
  <c r="BN17" i="2" s="1"/>
  <c r="BN14" i="2"/>
  <c r="BN30" i="2" l="1"/>
  <c r="BN18" i="2"/>
  <c r="BN22" i="2" s="1"/>
  <c r="BN24" i="2" s="1"/>
  <c r="BN25" i="2" s="1"/>
  <c r="BN26" i="2" s="1"/>
  <c r="BN27" i="2" s="1"/>
  <c r="BP31" i="2"/>
  <c r="BP12" i="2"/>
  <c r="BR6" i="2"/>
  <c r="BR4" i="2" s="1"/>
  <c r="BQ4" i="2"/>
  <c r="BO15" i="2"/>
  <c r="BO17" i="2" s="1"/>
  <c r="BO14" i="2"/>
  <c r="BO30" i="2" l="1"/>
  <c r="BO18" i="2"/>
  <c r="BO22" i="2" s="1"/>
  <c r="BO24" i="2" s="1"/>
  <c r="BO25" i="2" s="1"/>
  <c r="BO26" i="2" s="1"/>
  <c r="BO27" i="2" s="1"/>
  <c r="BQ31" i="2"/>
  <c r="BQ12" i="2"/>
  <c r="BR31" i="2"/>
  <c r="BR12" i="2"/>
  <c r="BP15" i="2"/>
  <c r="BP17" i="2" s="1"/>
  <c r="BP14" i="2"/>
  <c r="BP30" i="2" l="1"/>
  <c r="BP18" i="2"/>
  <c r="BP22" i="2" s="1"/>
  <c r="BP24" i="2" s="1"/>
  <c r="BP25" i="2" s="1"/>
  <c r="BP26" i="2" s="1"/>
  <c r="BP27" i="2" s="1"/>
  <c r="BQ15" i="2"/>
  <c r="BQ17" i="2" s="1"/>
  <c r="BQ14" i="2"/>
  <c r="BR15" i="2"/>
  <c r="BR17" i="2" s="1"/>
  <c r="BR14" i="2"/>
  <c r="BR30" i="2" l="1"/>
  <c r="BR18" i="2"/>
  <c r="BR22" i="2" s="1"/>
  <c r="BR24" i="2" s="1"/>
  <c r="BR25" i="2" s="1"/>
  <c r="BR26" i="2" s="1"/>
  <c r="BQ30" i="2"/>
  <c r="BQ18" i="2"/>
  <c r="BQ22" i="2" s="1"/>
  <c r="BQ24" i="2" s="1"/>
  <c r="BQ25" i="2" s="1"/>
  <c r="BQ26" i="2" s="1"/>
  <c r="BQ27" i="2" s="1"/>
  <c r="BR27" i="2" l="1"/>
  <c r="BS26" i="2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BU32" i="2" s="1"/>
  <c r="BU33" i="2" s="1"/>
  <c r="BU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tc={27342C5B-88CE-4063-B8D4-B55BA2454541}</author>
  </authors>
  <commentList>
    <comment ref="O4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4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G5" authorId="2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</commentList>
</comments>
</file>

<file path=xl/sharedStrings.xml><?xml version="1.0" encoding="utf-8"?>
<sst xmlns="http://schemas.openxmlformats.org/spreadsheetml/2006/main" count="123" uniqueCount="116">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</sst>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12667</xdr:colOff>
      <xdr:row>0</xdr:row>
      <xdr:rowOff>53579</xdr:rowOff>
    </xdr:from>
    <xdr:to>
      <xdr:col>23</xdr:col>
      <xdr:colOff>12667</xdr:colOff>
      <xdr:row>51</xdr:row>
      <xdr:rowOff>136922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4157292" y="53579"/>
          <a:ext cx="0" cy="82807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54974</xdr:colOff>
      <xdr:row>0</xdr:row>
      <xdr:rowOff>0</xdr:rowOff>
    </xdr:from>
    <xdr:to>
      <xdr:col>52</xdr:col>
      <xdr:colOff>54974</xdr:colOff>
      <xdr:row>39</xdr:row>
      <xdr:rowOff>44585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22093443" y="0"/>
          <a:ext cx="0" cy="63132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2-08-26T02:45:15.22" personId="{4B463983-1ED9-4483-807D-A99FFA75D83D}" id="{C30768C0-880B-4B40-A104-685F835131C2}">
    <text>Releases iPhone 12</text>
  </threadedComment>
  <threadedComment ref="R4" dT="2022-08-26T02:45:35.85" personId="{4B463983-1ED9-4483-807D-A99FFA75D83D}" id="{7E0EAC92-01A4-4259-A810-ACD05E803073}">
    <text>iPhone 13 launch</text>
  </threadedComment>
  <threadedComment ref="G5" dT="2022-08-26T03:07:04.99" personId="{4B463983-1ED9-4483-807D-A99FFA75D83D}" id="{27342C5B-88CE-4063-B8D4-B55BA2454541}">
    <text>From Statista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7"/>
  <sheetViews>
    <sheetView zoomScale="160" zoomScaleNormal="160" workbookViewId="0">
      <selection activeCell="N3" sqref="N3"/>
    </sheetView>
  </sheetViews>
  <sheetFormatPr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154</v>
      </c>
    </row>
    <row r="3" spans="14:16" x14ac:dyDescent="0.2">
      <c r="N3" t="s">
        <v>1</v>
      </c>
      <c r="O3" s="2">
        <v>16070.752</v>
      </c>
      <c r="P3" s="1" t="s">
        <v>6</v>
      </c>
    </row>
    <row r="4" spans="14:16" x14ac:dyDescent="0.2">
      <c r="N4" t="s">
        <v>2</v>
      </c>
      <c r="O4" s="2">
        <f>+O2*O3</f>
        <v>2474895.8080000002</v>
      </c>
    </row>
    <row r="5" spans="14:16" x14ac:dyDescent="0.2">
      <c r="N5" t="s">
        <v>3</v>
      </c>
      <c r="O5" s="2">
        <f>27502+20729+131077</f>
        <v>179308</v>
      </c>
      <c r="P5" s="1" t="s">
        <v>6</v>
      </c>
    </row>
    <row r="6" spans="14:16" x14ac:dyDescent="0.2">
      <c r="N6" t="s">
        <v>4</v>
      </c>
      <c r="O6" s="2">
        <f>14009+94700+10982</f>
        <v>119691</v>
      </c>
      <c r="P6" s="1" t="s">
        <v>6</v>
      </c>
    </row>
    <row r="7" spans="14:16" x14ac:dyDescent="0.2">
      <c r="N7" t="s">
        <v>5</v>
      </c>
      <c r="O7" s="2">
        <f>+O4-O5+O6</f>
        <v>2415278.8080000002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FZ41"/>
  <sheetViews>
    <sheetView tabSelected="1" zoomScale="160" zoomScaleNormal="160" workbookViewId="0">
      <pane xSplit="2" ySplit="3" topLeftCell="C23" activePane="bottomRight" state="frozen"/>
      <selection pane="topRight" activeCell="C1" sqref="C1"/>
      <selection pane="bottomLeft" activeCell="A3" sqref="A3"/>
      <selection pane="bottomRight" activeCell="C41" sqref="C41"/>
    </sheetView>
  </sheetViews>
  <sheetFormatPr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53" max="53" width="9.85546875" bestFit="1" customWidth="1"/>
    <col min="70" max="70" width="9.5703125" customWidth="1"/>
    <col min="73" max="73" width="10.85546875" customWidth="1"/>
  </cols>
  <sheetData>
    <row r="1" spans="1:70" x14ac:dyDescent="0.2">
      <c r="A1" s="3" t="s">
        <v>7</v>
      </c>
    </row>
    <row r="2" spans="1:7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AY2" s="11">
        <v>44464</v>
      </c>
      <c r="AZ2" s="11">
        <v>44828</v>
      </c>
    </row>
    <row r="3" spans="1:70" s="1" customFormat="1" x14ac:dyDescent="0.2">
      <c r="C3" s="1" t="s">
        <v>89</v>
      </c>
      <c r="D3" s="1" t="s">
        <v>88</v>
      </c>
      <c r="E3" s="1" t="s">
        <v>84</v>
      </c>
      <c r="F3" s="1" t="s">
        <v>83</v>
      </c>
      <c r="G3" s="1" t="s">
        <v>82</v>
      </c>
      <c r="H3" s="1" t="s">
        <v>81</v>
      </c>
      <c r="I3" s="1" t="s">
        <v>69</v>
      </c>
      <c r="J3" s="1" t="s">
        <v>70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44</v>
      </c>
      <c r="X3" s="1" t="s">
        <v>45</v>
      </c>
      <c r="Y3" s="1" t="s">
        <v>46</v>
      </c>
      <c r="Z3" s="1" t="s">
        <v>47</v>
      </c>
      <c r="AB3" s="1" t="s">
        <v>115</v>
      </c>
      <c r="AC3" s="1" t="s">
        <v>114</v>
      </c>
      <c r="AD3" s="1" t="s">
        <v>113</v>
      </c>
      <c r="AE3" s="1" t="s">
        <v>112</v>
      </c>
      <c r="AF3" s="1" t="s">
        <v>111</v>
      </c>
      <c r="AG3" s="1" t="s">
        <v>109</v>
      </c>
      <c r="AH3" s="1" t="s">
        <v>108</v>
      </c>
      <c r="AI3" s="1" t="s">
        <v>107</v>
      </c>
      <c r="AJ3" s="1" t="s">
        <v>106</v>
      </c>
      <c r="AK3" s="1" t="s">
        <v>105</v>
      </c>
      <c r="AL3" s="1" t="s">
        <v>103</v>
      </c>
      <c r="AM3" s="1" t="s">
        <v>104</v>
      </c>
      <c r="AN3" s="1" t="s">
        <v>102</v>
      </c>
      <c r="AO3" s="1" t="s">
        <v>101</v>
      </c>
      <c r="AP3" s="1" t="s">
        <v>100</v>
      </c>
      <c r="AQ3" s="1" t="s">
        <v>99</v>
      </c>
      <c r="AR3" s="1" t="s">
        <v>93</v>
      </c>
      <c r="AS3" s="1" t="s">
        <v>92</v>
      </c>
      <c r="AT3" s="1" t="s">
        <v>91</v>
      </c>
      <c r="AU3" s="1" t="s">
        <v>90</v>
      </c>
      <c r="AV3" s="1" t="s">
        <v>76</v>
      </c>
      <c r="AW3" s="1" t="s">
        <v>72</v>
      </c>
      <c r="AX3" s="1" t="s">
        <v>48</v>
      </c>
      <c r="AY3" s="1" t="s">
        <v>49</v>
      </c>
      <c r="AZ3" s="1" t="s">
        <v>50</v>
      </c>
      <c r="BA3" s="1" t="s">
        <v>51</v>
      </c>
      <c r="BB3" s="1" t="s">
        <v>52</v>
      </c>
      <c r="BC3" s="1" t="s">
        <v>53</v>
      </c>
      <c r="BD3" s="1" t="s">
        <v>54</v>
      </c>
      <c r="BE3" s="1" t="s">
        <v>55</v>
      </c>
      <c r="BF3" s="1" t="s">
        <v>56</v>
      </c>
      <c r="BG3" s="1" t="s">
        <v>57</v>
      </c>
      <c r="BH3" s="1" t="s">
        <v>58</v>
      </c>
      <c r="BI3" s="1" t="s">
        <v>59</v>
      </c>
      <c r="BJ3" s="1" t="s">
        <v>60</v>
      </c>
      <c r="BK3" s="1" t="s">
        <v>61</v>
      </c>
      <c r="BL3" s="1" t="s">
        <v>62</v>
      </c>
      <c r="BM3" s="1" t="s">
        <v>63</v>
      </c>
      <c r="BN3" s="1" t="s">
        <v>64</v>
      </c>
      <c r="BO3" s="1" t="s">
        <v>65</v>
      </c>
      <c r="BP3" s="1" t="s">
        <v>66</v>
      </c>
      <c r="BQ3" s="1" t="s">
        <v>67</v>
      </c>
      <c r="BR3" s="1" t="s">
        <v>68</v>
      </c>
    </row>
    <row r="4" spans="1:70" s="7" customFormat="1" x14ac:dyDescent="0.2">
      <c r="B4" s="2" t="s">
        <v>38</v>
      </c>
      <c r="C4" s="7">
        <v>61576</v>
      </c>
      <c r="D4" s="7">
        <v>38032</v>
      </c>
      <c r="E4" s="7">
        <v>29906</v>
      </c>
      <c r="F4" s="7">
        <f>166699-E4-D4-C4</f>
        <v>37185</v>
      </c>
      <c r="K4" s="7">
        <v>55957</v>
      </c>
      <c r="L4" s="7">
        <v>28962</v>
      </c>
      <c r="M4" s="7">
        <v>26418</v>
      </c>
      <c r="N4" s="7">
        <v>26444</v>
      </c>
      <c r="O4" s="7">
        <v>65597</v>
      </c>
      <c r="P4" s="7">
        <v>47938</v>
      </c>
      <c r="Q4" s="7">
        <v>39570</v>
      </c>
      <c r="R4" s="7">
        <v>38868</v>
      </c>
      <c r="S4" s="7">
        <v>71628</v>
      </c>
      <c r="T4" s="7">
        <v>50570</v>
      </c>
      <c r="U4" s="7">
        <v>40665</v>
      </c>
      <c r="V4" s="7">
        <v>42626</v>
      </c>
      <c r="W4" s="7">
        <v>65775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123</v>
      </c>
      <c r="AL4" s="7">
        <v>6742</v>
      </c>
      <c r="AM4" s="7">
        <v>13033</v>
      </c>
      <c r="AN4" s="7">
        <v>25179</v>
      </c>
      <c r="AO4" s="7">
        <v>45998</v>
      </c>
      <c r="AP4" s="7">
        <v>78692</v>
      </c>
      <c r="AQ4" s="7">
        <v>91279</v>
      </c>
      <c r="AR4" s="7">
        <v>101991</v>
      </c>
      <c r="AS4" s="7">
        <v>155041</v>
      </c>
      <c r="AT4" s="7">
        <v>136700</v>
      </c>
      <c r="AU4" s="7">
        <v>141319</v>
      </c>
      <c r="AV4" s="7">
        <v>164888</v>
      </c>
      <c r="AW4" s="7">
        <v>142381</v>
      </c>
      <c r="AX4" s="7">
        <f>SUM(K4:N4)</f>
        <v>137781</v>
      </c>
      <c r="AY4" s="7">
        <f>SUM(O4:R4)</f>
        <v>191973</v>
      </c>
      <c r="AZ4" s="7">
        <f>SUM(S4:V4)</f>
        <v>205489</v>
      </c>
      <c r="BA4" s="7">
        <f>+BA5*BA6/1000</f>
        <v>219215.66520000002</v>
      </c>
      <c r="BB4" s="7">
        <f t="shared" ref="BB4:BR4" si="0">+BB5*BB6/1000</f>
        <v>233859.27163536</v>
      </c>
      <c r="BC4" s="7">
        <f t="shared" si="0"/>
        <v>249481.07098060206</v>
      </c>
      <c r="BD4" s="7">
        <f t="shared" si="0"/>
        <v>263611.67884094338</v>
      </c>
      <c r="BE4" s="7">
        <f t="shared" si="0"/>
        <v>278542.64433049446</v>
      </c>
      <c r="BF4" s="7">
        <f t="shared" si="0"/>
        <v>294319.29970537365</v>
      </c>
      <c r="BG4" s="7">
        <f t="shared" si="0"/>
        <v>310989.54484068602</v>
      </c>
      <c r="BH4" s="7">
        <f t="shared" si="0"/>
        <v>325444.33888488112</v>
      </c>
      <c r="BI4" s="7">
        <f t="shared" si="0"/>
        <v>340570.99175625044</v>
      </c>
      <c r="BJ4" s="7">
        <f t="shared" si="0"/>
        <v>356400.73145308101</v>
      </c>
      <c r="BK4" s="7">
        <f t="shared" si="0"/>
        <v>372966.23745102022</v>
      </c>
      <c r="BL4" s="7">
        <f t="shared" si="0"/>
        <v>386512.37119524134</v>
      </c>
      <c r="BM4" s="7">
        <f t="shared" si="0"/>
        <v>400550.50051705254</v>
      </c>
      <c r="BN4" s="7">
        <f t="shared" si="0"/>
        <v>415098.49469583185</v>
      </c>
      <c r="BO4" s="7">
        <f t="shared" si="0"/>
        <v>430174.87202318443</v>
      </c>
      <c r="BP4" s="7">
        <f t="shared" si="0"/>
        <v>445798.82337506651</v>
      </c>
      <c r="BQ4" s="7">
        <f t="shared" si="0"/>
        <v>461990.23664004891</v>
      </c>
      <c r="BR4" s="7">
        <f t="shared" si="0"/>
        <v>478769.72203481552</v>
      </c>
    </row>
    <row r="5" spans="1:70" s="7" customFormat="1" x14ac:dyDescent="0.2">
      <c r="B5" s="2" t="s">
        <v>85</v>
      </c>
      <c r="C5" s="7">
        <v>77316</v>
      </c>
      <c r="D5" s="7">
        <v>52217</v>
      </c>
      <c r="E5" s="7">
        <v>41300</v>
      </c>
      <c r="F5" s="7">
        <f>217722-E5-D5-C5</f>
        <v>46889</v>
      </c>
      <c r="G5" s="7">
        <v>68400</v>
      </c>
      <c r="H5" s="7">
        <v>36400</v>
      </c>
      <c r="I5" s="7">
        <v>33800</v>
      </c>
      <c r="J5" s="7">
        <v>46600</v>
      </c>
      <c r="K5" s="7">
        <v>73800</v>
      </c>
      <c r="L5" s="7">
        <v>36700</v>
      </c>
      <c r="M5" s="7">
        <v>37600</v>
      </c>
      <c r="N5" s="7">
        <v>41700</v>
      </c>
      <c r="O5" s="7">
        <v>90100</v>
      </c>
      <c r="P5" s="7">
        <v>55200</v>
      </c>
      <c r="Q5" s="7">
        <v>44200</v>
      </c>
      <c r="R5" s="7">
        <v>50400</v>
      </c>
      <c r="S5" s="7">
        <v>84100</v>
      </c>
      <c r="T5" s="7">
        <v>56500</v>
      </c>
      <c r="U5" s="7">
        <f>+U4/U6*1000</f>
        <v>43260.117693779554</v>
      </c>
      <c r="AM5" s="7">
        <v>20731</v>
      </c>
      <c r="AN5" s="7">
        <v>39989</v>
      </c>
      <c r="AO5" s="7">
        <v>72293</v>
      </c>
      <c r="AP5" s="7">
        <v>125046</v>
      </c>
      <c r="AQ5" s="7">
        <v>150257</v>
      </c>
      <c r="AR5" s="7">
        <v>169219</v>
      </c>
      <c r="AS5" s="7">
        <v>231218</v>
      </c>
      <c r="AT5" s="7">
        <v>211884</v>
      </c>
      <c r="AU5" s="7">
        <v>216756</v>
      </c>
      <c r="AV5" s="7">
        <f>SUM(C5:F5)</f>
        <v>217722</v>
      </c>
      <c r="AW5" s="7">
        <f>SUM(G5:J5)</f>
        <v>185200</v>
      </c>
      <c r="AX5" s="7">
        <f>SUM(K5:N5)</f>
        <v>189800</v>
      </c>
      <c r="AY5" s="7">
        <f>SUM(O5:R5)</f>
        <v>239900</v>
      </c>
      <c r="AZ5" s="7">
        <f>SUM(S5:V5)</f>
        <v>183860.11769377955</v>
      </c>
      <c r="BA5" s="7">
        <f>+AZ5*1.016</f>
        <v>186801.87957688002</v>
      </c>
      <c r="BB5" s="7">
        <f t="shared" ref="BB5:BR5" si="1">+BA5*1.016</f>
        <v>189790.7096501101</v>
      </c>
      <c r="BC5" s="7">
        <f t="shared" si="1"/>
        <v>192827.36100451185</v>
      </c>
      <c r="BD5" s="7">
        <f t="shared" si="1"/>
        <v>195912.59878058406</v>
      </c>
      <c r="BE5" s="7">
        <f t="shared" si="1"/>
        <v>199047.2003610734</v>
      </c>
      <c r="BF5" s="7">
        <f t="shared" si="1"/>
        <v>202231.95556685058</v>
      </c>
      <c r="BG5" s="7">
        <f t="shared" si="1"/>
        <v>205467.66685592019</v>
      </c>
      <c r="BH5" s="7">
        <f t="shared" si="1"/>
        <v>208755.14952561492</v>
      </c>
      <c r="BI5" s="7">
        <f t="shared" si="1"/>
        <v>212095.23191802477</v>
      </c>
      <c r="BJ5" s="7">
        <f t="shared" si="1"/>
        <v>215488.75562871317</v>
      </c>
      <c r="BK5" s="7">
        <f t="shared" si="1"/>
        <v>218936.5757187726</v>
      </c>
      <c r="BL5" s="7">
        <f t="shared" si="1"/>
        <v>222439.56093027297</v>
      </c>
      <c r="BM5" s="7">
        <f t="shared" si="1"/>
        <v>225998.59390515735</v>
      </c>
      <c r="BN5" s="7">
        <f t="shared" si="1"/>
        <v>229614.57140763986</v>
      </c>
      <c r="BO5" s="7">
        <f t="shared" si="1"/>
        <v>233288.40455016209</v>
      </c>
      <c r="BP5" s="7">
        <f t="shared" si="1"/>
        <v>237021.01902296467</v>
      </c>
      <c r="BQ5" s="7">
        <f t="shared" si="1"/>
        <v>240813.3553273321</v>
      </c>
      <c r="BR5" s="7">
        <f t="shared" si="1"/>
        <v>244666.36901256943</v>
      </c>
    </row>
    <row r="6" spans="1:70" s="7" customFormat="1" x14ac:dyDescent="0.2">
      <c r="B6" s="2" t="s">
        <v>86</v>
      </c>
      <c r="C6" s="7">
        <f>+C4*1000/C5</f>
        <v>796.41988721610016</v>
      </c>
      <c r="D6" s="7">
        <f>+D4*1000/D5</f>
        <v>728.34517494302622</v>
      </c>
      <c r="E6" s="7">
        <f>+E4*1000/E5</f>
        <v>724.11622276029061</v>
      </c>
      <c r="F6" s="7">
        <f>+F4*1000/F5</f>
        <v>793.04314444752504</v>
      </c>
      <c r="K6" s="7">
        <f t="shared" ref="K6:T6" si="2">+K4*1000/K5</f>
        <v>758.22493224932248</v>
      </c>
      <c r="L6" s="7">
        <f t="shared" si="2"/>
        <v>789.15531335149865</v>
      </c>
      <c r="M6" s="7">
        <f t="shared" si="2"/>
        <v>702.60638297872345</v>
      </c>
      <c r="N6" s="7">
        <f t="shared" si="2"/>
        <v>634.14868105515586</v>
      </c>
      <c r="O6" s="7">
        <f t="shared" si="2"/>
        <v>728.04661487236399</v>
      </c>
      <c r="P6" s="7">
        <f t="shared" si="2"/>
        <v>868.44202898550725</v>
      </c>
      <c r="Q6" s="7">
        <f t="shared" si="2"/>
        <v>895.24886877828055</v>
      </c>
      <c r="R6" s="7">
        <f t="shared" si="2"/>
        <v>771.19047619047615</v>
      </c>
      <c r="S6" s="7">
        <f t="shared" si="2"/>
        <v>851.70035671819267</v>
      </c>
      <c r="T6" s="7">
        <f t="shared" si="2"/>
        <v>895.04424778761063</v>
      </c>
      <c r="U6" s="14">
        <f>+Q6*1.05</f>
        <v>940.01131221719459</v>
      </c>
      <c r="V6" s="14"/>
      <c r="AM6" s="7">
        <f>+AM4*1000/AM5</f>
        <v>628.67203704596977</v>
      </c>
      <c r="AN6" s="7">
        <f>+AN4*1000/AN5</f>
        <v>629.64815324214157</v>
      </c>
      <c r="AO6" s="7">
        <f>+AO4*1000/AO5</f>
        <v>636.27183821393498</v>
      </c>
      <c r="AP6" s="7">
        <f>+AP4*1000/AP5</f>
        <v>629.3044159749212</v>
      </c>
      <c r="AQ6" s="7">
        <f t="shared" ref="AQ6:AU6" si="3">+AQ4*1000/AQ5</f>
        <v>607.48584092588032</v>
      </c>
      <c r="AR6" s="7">
        <f t="shared" si="3"/>
        <v>602.71600706776428</v>
      </c>
      <c r="AS6" s="7">
        <f t="shared" si="3"/>
        <v>670.54035585464794</v>
      </c>
      <c r="AT6" s="7">
        <f t="shared" si="3"/>
        <v>645.16433520228054</v>
      </c>
      <c r="AU6" s="7">
        <f t="shared" si="3"/>
        <v>651.97272509180834</v>
      </c>
      <c r="AV6" s="7">
        <f>+AV4*1000/AV5</f>
        <v>757.33274542765548</v>
      </c>
      <c r="AW6" s="7">
        <f>+AW4*1000/AW5</f>
        <v>768.79589632829379</v>
      </c>
      <c r="AX6" s="7">
        <f>+AX4*1000/AX5</f>
        <v>725.92729188619603</v>
      </c>
      <c r="AY6" s="7">
        <f>+AY4*1000/AY5</f>
        <v>800.22092538557729</v>
      </c>
      <c r="AZ6" s="7">
        <f>+AZ4*1000/AZ5</f>
        <v>1117.6377051071158</v>
      </c>
      <c r="BA6" s="7">
        <f>+AZ6*1.05</f>
        <v>1173.5195903624717</v>
      </c>
      <c r="BB6" s="7">
        <f t="shared" ref="BB6:BC6" si="4">+BA6*1.05</f>
        <v>1232.1955698805953</v>
      </c>
      <c r="BC6" s="7">
        <f t="shared" si="4"/>
        <v>1293.8053483746251</v>
      </c>
      <c r="BD6" s="7">
        <f>+BC6*1.04</f>
        <v>1345.5575623096101</v>
      </c>
      <c r="BE6" s="7">
        <f>+BD6*1.04</f>
        <v>1399.3798648019947</v>
      </c>
      <c r="BF6" s="7">
        <f>+BE6*1.04</f>
        <v>1455.3550593940745</v>
      </c>
      <c r="BG6" s="7">
        <f>+BF6*1.04</f>
        <v>1513.5692617698376</v>
      </c>
      <c r="BH6" s="7">
        <f>+BG6*1.03</f>
        <v>1558.9763396229328</v>
      </c>
      <c r="BI6" s="7">
        <f>+BH6*1.03</f>
        <v>1605.7456298116208</v>
      </c>
      <c r="BJ6" s="7">
        <f t="shared" ref="BJ6:BK6" si="5">+BI6*1.03</f>
        <v>1653.9179987059695</v>
      </c>
      <c r="BK6" s="7">
        <f t="shared" si="5"/>
        <v>1703.5355386671486</v>
      </c>
      <c r="BL6" s="7">
        <f>+BK6*1.02</f>
        <v>1737.6062494404916</v>
      </c>
      <c r="BM6" s="7">
        <f t="shared" ref="BM6:BR6" si="6">+BL6*1.02</f>
        <v>1772.3583744293014</v>
      </c>
      <c r="BN6" s="7">
        <f t="shared" si="6"/>
        <v>1807.8055419178875</v>
      </c>
      <c r="BO6" s="7">
        <f t="shared" si="6"/>
        <v>1843.9616527562453</v>
      </c>
      <c r="BP6" s="7">
        <f t="shared" si="6"/>
        <v>1880.8408858113703</v>
      </c>
      <c r="BQ6" s="7">
        <f t="shared" si="6"/>
        <v>1918.4577035275977</v>
      </c>
      <c r="BR6" s="7">
        <f t="shared" si="6"/>
        <v>1956.8268575981497</v>
      </c>
    </row>
    <row r="7" spans="1:70" s="7" customFormat="1" x14ac:dyDescent="0.2">
      <c r="B7" s="2"/>
    </row>
    <row r="8" spans="1:70" s="7" customFormat="1" x14ac:dyDescent="0.2">
      <c r="B8" s="2" t="s">
        <v>39</v>
      </c>
      <c r="C8" s="7">
        <v>6895</v>
      </c>
      <c r="D8" s="7">
        <v>5848</v>
      </c>
      <c r="E8" s="7">
        <v>5330</v>
      </c>
      <c r="F8" s="7">
        <f>25484-E8-D8-C8</f>
        <v>7411</v>
      </c>
      <c r="K8" s="7">
        <v>7160</v>
      </c>
      <c r="L8" s="7">
        <v>5351</v>
      </c>
      <c r="M8" s="7">
        <v>7079</v>
      </c>
      <c r="N8" s="7">
        <v>9032</v>
      </c>
      <c r="O8" s="7">
        <v>8675</v>
      </c>
      <c r="P8" s="7">
        <v>9102</v>
      </c>
      <c r="Q8" s="7">
        <v>8235</v>
      </c>
      <c r="R8" s="7">
        <v>9178</v>
      </c>
      <c r="S8" s="7">
        <v>10852</v>
      </c>
      <c r="T8" s="7">
        <v>10435</v>
      </c>
      <c r="U8" s="7">
        <v>7382</v>
      </c>
      <c r="V8" s="7">
        <v>11508</v>
      </c>
      <c r="W8" s="7">
        <v>7735</v>
      </c>
      <c r="AD8" s="7">
        <f>2747+948+2381</f>
        <v>6076</v>
      </c>
      <c r="AE8" s="7">
        <v>4403</v>
      </c>
      <c r="AF8" s="7">
        <v>4534</v>
      </c>
      <c r="AG8" s="7">
        <v>4491</v>
      </c>
      <c r="AH8" s="7">
        <v>4923</v>
      </c>
      <c r="AI8" s="7">
        <v>6275</v>
      </c>
      <c r="AJ8" s="7">
        <v>7375</v>
      </c>
      <c r="AK8" s="7">
        <v>10314</v>
      </c>
      <c r="AL8" s="7">
        <v>14354</v>
      </c>
      <c r="AM8" s="7">
        <v>13859</v>
      </c>
      <c r="AN8" s="7">
        <v>17479</v>
      </c>
      <c r="AO8" s="7">
        <v>21783</v>
      </c>
      <c r="AP8" s="7">
        <v>23221</v>
      </c>
      <c r="AQ8" s="7">
        <v>21483</v>
      </c>
      <c r="AR8" s="7">
        <v>24079</v>
      </c>
      <c r="AS8" s="7">
        <v>25471</v>
      </c>
      <c r="AT8" s="7">
        <v>22831</v>
      </c>
      <c r="AU8" s="7">
        <v>25850</v>
      </c>
      <c r="AV8" s="7">
        <v>25198</v>
      </c>
      <c r="AW8" s="7">
        <v>25740</v>
      </c>
      <c r="AX8" s="7">
        <f t="shared" ref="AX8:AX9" si="7">SUM(K8:N8)</f>
        <v>28622</v>
      </c>
      <c r="AY8" s="7">
        <f t="shared" ref="AY8:AY9" si="8">SUM(O8:R8)</f>
        <v>35190</v>
      </c>
      <c r="AZ8" s="7">
        <f>SUM(S8:V8)</f>
        <v>40177</v>
      </c>
      <c r="BA8" s="7">
        <f>+AZ8*1.07</f>
        <v>42989.39</v>
      </c>
      <c r="BB8" s="7">
        <f t="shared" ref="BB8:BG8" si="9">+BA8*1.07</f>
        <v>45998.647300000004</v>
      </c>
      <c r="BC8" s="7">
        <f t="shared" si="9"/>
        <v>49218.552611000006</v>
      </c>
      <c r="BD8" s="7">
        <f t="shared" si="9"/>
        <v>52663.851293770007</v>
      </c>
      <c r="BE8" s="7">
        <f t="shared" si="9"/>
        <v>56350.320884333909</v>
      </c>
      <c r="BF8" s="7">
        <f t="shared" si="9"/>
        <v>60294.843346237285</v>
      </c>
      <c r="BG8" s="7">
        <f t="shared" si="9"/>
        <v>64515.482380473899</v>
      </c>
      <c r="BH8" s="7">
        <f>+BG8*1.06</f>
        <v>68386.411323302338</v>
      </c>
      <c r="BI8" s="7">
        <f t="shared" ref="BI8:BL8" si="10">+BH8*1.06</f>
        <v>72489.596002700477</v>
      </c>
      <c r="BJ8" s="7">
        <f t="shared" si="10"/>
        <v>76838.971762862508</v>
      </c>
      <c r="BK8" s="7">
        <f t="shared" si="10"/>
        <v>81449.310068634266</v>
      </c>
      <c r="BL8" s="7">
        <f t="shared" si="10"/>
        <v>86336.268672752325</v>
      </c>
      <c r="BM8" s="7">
        <f>+BL8*1.05</f>
        <v>90653.082106389949</v>
      </c>
      <c r="BN8" s="7">
        <f t="shared" ref="BN8:BR8" si="11">+BM8*1.05</f>
        <v>95185.736211709445</v>
      </c>
      <c r="BO8" s="7">
        <f t="shared" si="11"/>
        <v>99945.023022294918</v>
      </c>
      <c r="BP8" s="7">
        <f t="shared" si="11"/>
        <v>104942.27417340966</v>
      </c>
      <c r="BQ8" s="7">
        <f t="shared" si="11"/>
        <v>110189.38788208015</v>
      </c>
      <c r="BR8" s="7">
        <f t="shared" si="11"/>
        <v>115698.85727618416</v>
      </c>
    </row>
    <row r="9" spans="1:70" s="7" customFormat="1" x14ac:dyDescent="0.2">
      <c r="B9" s="2" t="s">
        <v>40</v>
      </c>
      <c r="C9" s="7">
        <v>5862</v>
      </c>
      <c r="D9" s="7">
        <v>4113</v>
      </c>
      <c r="E9" s="7">
        <v>4741</v>
      </c>
      <c r="F9" s="7">
        <f>18805-E9-D9-C9</f>
        <v>4089</v>
      </c>
      <c r="K9" s="7">
        <v>5977</v>
      </c>
      <c r="L9" s="7">
        <v>4368</v>
      </c>
      <c r="M9" s="7">
        <v>6582</v>
      </c>
      <c r="N9" s="7">
        <v>6797</v>
      </c>
      <c r="O9" s="7">
        <v>8435</v>
      </c>
      <c r="P9" s="7">
        <v>7807</v>
      </c>
      <c r="Q9" s="7">
        <v>7368</v>
      </c>
      <c r="R9" s="7">
        <v>8252</v>
      </c>
      <c r="S9" s="7">
        <v>7248</v>
      </c>
      <c r="T9" s="7">
        <v>7646</v>
      </c>
      <c r="U9" s="7">
        <v>7224</v>
      </c>
      <c r="V9" s="7">
        <v>7174</v>
      </c>
      <c r="W9" s="7">
        <v>9396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4958</v>
      </c>
      <c r="AO9" s="7">
        <v>19168</v>
      </c>
      <c r="AP9" s="7">
        <v>30945</v>
      </c>
      <c r="AQ9" s="7">
        <v>31980</v>
      </c>
      <c r="AR9" s="7">
        <v>30283</v>
      </c>
      <c r="AS9" s="7">
        <v>23227</v>
      </c>
      <c r="AT9" s="7">
        <v>20628</v>
      </c>
      <c r="AU9" s="7">
        <v>19222</v>
      </c>
      <c r="AV9" s="7">
        <v>18380</v>
      </c>
      <c r="AW9" s="7">
        <v>21280</v>
      </c>
      <c r="AX9" s="7">
        <f t="shared" si="7"/>
        <v>23724</v>
      </c>
      <c r="AY9" s="7">
        <f t="shared" si="8"/>
        <v>31862</v>
      </c>
      <c r="AZ9" s="7">
        <f>SUM(S9:V9)</f>
        <v>29292</v>
      </c>
      <c r="BA9" s="7">
        <f>+AZ9*1.04</f>
        <v>30463.68</v>
      </c>
      <c r="BB9" s="7">
        <f t="shared" ref="BB9:BR9" si="12">+BA9*1.04</f>
        <v>31682.227200000001</v>
      </c>
      <c r="BC9" s="7">
        <f t="shared" si="12"/>
        <v>32949.516287999999</v>
      </c>
      <c r="BD9" s="7">
        <f t="shared" si="12"/>
        <v>34267.496939520002</v>
      </c>
      <c r="BE9" s="7">
        <f t="shared" si="12"/>
        <v>35638.196817100805</v>
      </c>
      <c r="BF9" s="7">
        <f t="shared" si="12"/>
        <v>37063.724689784838</v>
      </c>
      <c r="BG9" s="7">
        <f t="shared" si="12"/>
        <v>38546.27367737623</v>
      </c>
      <c r="BH9" s="7">
        <f t="shared" si="12"/>
        <v>40088.124624471282</v>
      </c>
      <c r="BI9" s="7">
        <f t="shared" si="12"/>
        <v>41691.649609450134</v>
      </c>
      <c r="BJ9" s="7">
        <f t="shared" si="12"/>
        <v>43359.315593828142</v>
      </c>
      <c r="BK9" s="7">
        <f t="shared" si="12"/>
        <v>45093.688217581272</v>
      </c>
      <c r="BL9" s="7">
        <f t="shared" si="12"/>
        <v>46897.435746284522</v>
      </c>
      <c r="BM9" s="7">
        <f t="shared" si="12"/>
        <v>48773.333176135908</v>
      </c>
      <c r="BN9" s="7">
        <f t="shared" si="12"/>
        <v>50724.266503181345</v>
      </c>
      <c r="BO9" s="7">
        <f t="shared" si="12"/>
        <v>52753.2371633086</v>
      </c>
      <c r="BP9" s="7">
        <f t="shared" si="12"/>
        <v>54863.366649840944</v>
      </c>
      <c r="BQ9" s="7">
        <f t="shared" si="12"/>
        <v>57057.901315834584</v>
      </c>
      <c r="BR9" s="7">
        <f t="shared" si="12"/>
        <v>59340.217368467973</v>
      </c>
    </row>
    <row r="10" spans="1:70" s="7" customFormat="1" x14ac:dyDescent="0.2">
      <c r="B10" s="2" t="s">
        <v>41</v>
      </c>
      <c r="C10" s="7">
        <v>5489</v>
      </c>
      <c r="D10" s="7">
        <v>3954</v>
      </c>
      <c r="E10" s="7">
        <v>3740</v>
      </c>
      <c r="F10" s="7">
        <f>17417-E10-D10-C10</f>
        <v>4234</v>
      </c>
      <c r="K10" s="7">
        <v>10010</v>
      </c>
      <c r="L10" s="7">
        <v>6284</v>
      </c>
      <c r="M10" s="7">
        <v>6450</v>
      </c>
      <c r="N10" s="7">
        <v>7876</v>
      </c>
      <c r="O10" s="7">
        <v>12971</v>
      </c>
      <c r="P10" s="7">
        <v>7836</v>
      </c>
      <c r="Q10" s="7">
        <v>8775</v>
      </c>
      <c r="R10" s="7">
        <v>8785</v>
      </c>
      <c r="S10" s="7">
        <v>14701</v>
      </c>
      <c r="T10" s="7">
        <v>8806</v>
      </c>
      <c r="U10" s="7">
        <v>8084</v>
      </c>
      <c r="V10" s="7">
        <v>9650</v>
      </c>
      <c r="W10" s="7">
        <v>13482</v>
      </c>
      <c r="AD10" s="7">
        <v>809</v>
      </c>
      <c r="AE10" s="7">
        <v>387</v>
      </c>
      <c r="AF10" s="7">
        <f>143+4+527</f>
        <v>674</v>
      </c>
      <c r="AG10" s="7">
        <f>345+691</f>
        <v>1036</v>
      </c>
      <c r="AH10" s="7">
        <f>1306+951</f>
        <v>2257</v>
      </c>
      <c r="AI10" s="7">
        <f>4540+1126</f>
        <v>5666</v>
      </c>
      <c r="AJ10" s="7">
        <f>7676+1100</f>
        <v>8776</v>
      </c>
      <c r="AK10" s="7">
        <f>8305+1260</f>
        <v>9565</v>
      </c>
      <c r="AL10" s="7">
        <f>9153+1694</f>
        <v>10847</v>
      </c>
      <c r="AM10" s="7">
        <f>1475+8091</f>
        <v>9566</v>
      </c>
      <c r="AN10" s="7">
        <f>1814+8274</f>
        <v>10088</v>
      </c>
      <c r="AO10" s="7">
        <f>7453+4474</f>
        <v>11927</v>
      </c>
      <c r="AP10" s="7">
        <f>5145+5615</f>
        <v>10760</v>
      </c>
      <c r="AQ10" s="7">
        <f>4411+5706</f>
        <v>10117</v>
      </c>
      <c r="AR10" s="7">
        <f>6093+2286</f>
        <v>8379</v>
      </c>
      <c r="AS10" s="7">
        <v>10067</v>
      </c>
      <c r="AT10" s="7">
        <v>11132</v>
      </c>
      <c r="AU10" s="7">
        <v>12863</v>
      </c>
      <c r="AV10" s="7">
        <v>17381</v>
      </c>
      <c r="AW10" s="7">
        <v>24482</v>
      </c>
      <c r="AX10" s="7">
        <f t="shared" ref="AX10" si="13">SUM(K10:N10)</f>
        <v>30620</v>
      </c>
      <c r="AY10" s="7">
        <f t="shared" ref="AY10" si="14">SUM(O10:R10)</f>
        <v>38367</v>
      </c>
      <c r="AZ10" s="7">
        <f>SUM(S10:V10)</f>
        <v>41241</v>
      </c>
      <c r="BA10" s="7">
        <f>+AZ10*1.04</f>
        <v>42890.64</v>
      </c>
      <c r="BB10" s="7">
        <f t="shared" ref="BB10:BR10" si="15">+BA10*1.04</f>
        <v>44606.265599999999</v>
      </c>
      <c r="BC10" s="7">
        <f t="shared" si="15"/>
        <v>46390.516223999999</v>
      </c>
      <c r="BD10" s="7">
        <f t="shared" si="15"/>
        <v>48246.13687296</v>
      </c>
      <c r="BE10" s="7">
        <f t="shared" si="15"/>
        <v>50175.982347878402</v>
      </c>
      <c r="BF10" s="7">
        <f t="shared" si="15"/>
        <v>52183.021641793537</v>
      </c>
      <c r="BG10" s="7">
        <f t="shared" si="15"/>
        <v>54270.342507465277</v>
      </c>
      <c r="BH10" s="7">
        <f t="shared" si="15"/>
        <v>56441.156207763888</v>
      </c>
      <c r="BI10" s="7">
        <f t="shared" si="15"/>
        <v>58698.802456074445</v>
      </c>
      <c r="BJ10" s="7">
        <f t="shared" si="15"/>
        <v>61046.754554317427</v>
      </c>
      <c r="BK10" s="7">
        <f t="shared" si="15"/>
        <v>63488.624736490128</v>
      </c>
      <c r="BL10" s="7">
        <f t="shared" si="15"/>
        <v>66028.16972594973</v>
      </c>
      <c r="BM10" s="7">
        <f t="shared" si="15"/>
        <v>68669.296514987727</v>
      </c>
      <c r="BN10" s="7">
        <f t="shared" si="15"/>
        <v>71416.068375587245</v>
      </c>
      <c r="BO10" s="7">
        <f t="shared" si="15"/>
        <v>74272.711110610733</v>
      </c>
      <c r="BP10" s="7">
        <f t="shared" si="15"/>
        <v>77243.619555035169</v>
      </c>
      <c r="BQ10" s="7">
        <f t="shared" si="15"/>
        <v>80333.364337236577</v>
      </c>
      <c r="BR10" s="7">
        <f t="shared" si="15"/>
        <v>83546.698910726045</v>
      </c>
    </row>
    <row r="11" spans="1:70" s="7" customFormat="1" x14ac:dyDescent="0.2">
      <c r="B11" s="2"/>
    </row>
    <row r="12" spans="1:70" s="2" customFormat="1" x14ac:dyDescent="0.2">
      <c r="B12" s="2" t="s">
        <v>21</v>
      </c>
      <c r="C12" s="2">
        <f>SUM(C8:C10)+C4</f>
        <v>79822</v>
      </c>
      <c r="D12" s="2">
        <f>SUM(D8:D10)+D4</f>
        <v>51947</v>
      </c>
      <c r="E12" s="2">
        <f>SUM(E8:E10)+E4</f>
        <v>43717</v>
      </c>
      <c r="F12" s="2">
        <f>SUM(F8:F10)+F4</f>
        <v>52919</v>
      </c>
      <c r="K12" s="2">
        <f t="shared" ref="K12:R12" si="16">SUM(K8:K10)+K4</f>
        <v>79104</v>
      </c>
      <c r="L12" s="2">
        <f t="shared" si="16"/>
        <v>44965</v>
      </c>
      <c r="M12" s="2">
        <f t="shared" si="16"/>
        <v>46529</v>
      </c>
      <c r="N12" s="2">
        <f t="shared" si="16"/>
        <v>50149</v>
      </c>
      <c r="O12" s="2">
        <f t="shared" si="16"/>
        <v>95678</v>
      </c>
      <c r="P12" s="2">
        <f t="shared" si="16"/>
        <v>72683</v>
      </c>
      <c r="Q12" s="2">
        <f t="shared" si="16"/>
        <v>63948</v>
      </c>
      <c r="R12" s="2">
        <f t="shared" si="16"/>
        <v>65083</v>
      </c>
      <c r="S12" s="2">
        <f>SUM(S8:S10)+S4</f>
        <v>104429</v>
      </c>
      <c r="T12" s="2">
        <f>SUM(T8:T10)+T4</f>
        <v>77457</v>
      </c>
      <c r="U12" s="2">
        <f>SUM(U8:U10)+U4</f>
        <v>63355</v>
      </c>
      <c r="V12" s="2">
        <f>SUM(V8:V10)+V4</f>
        <v>70958</v>
      </c>
      <c r="W12" s="2">
        <v>96388</v>
      </c>
      <c r="AD12" s="2">
        <f>SUM(AD8:AD10)+AD4</f>
        <v>6885</v>
      </c>
      <c r="AE12" s="2">
        <f>SUM(AE8:AE10)+AE4</f>
        <v>4790</v>
      </c>
      <c r="AF12" s="2">
        <f>SUM(AF8:AF10)+AF4</f>
        <v>5208</v>
      </c>
      <c r="AG12" s="2">
        <f>SUM(AG8:AG10)+AG4</f>
        <v>5527</v>
      </c>
      <c r="AH12" s="2">
        <f>SUM(AH8:AH10)+AH4</f>
        <v>7180</v>
      </c>
      <c r="AI12" s="2">
        <f>SUM(AI8:AI10)+AI4</f>
        <v>11941</v>
      </c>
      <c r="AJ12" s="2">
        <f>SUM(AJ8:AJ10)+AJ4</f>
        <v>16151</v>
      </c>
      <c r="AK12" s="2">
        <f>SUM(AK8:AK10)+AK4</f>
        <v>20002</v>
      </c>
      <c r="AL12" s="2">
        <f>SUM(AL8:AL10)+AL4</f>
        <v>31943</v>
      </c>
      <c r="AM12" s="2">
        <f>SUM(AM8:AM10)+AM4</f>
        <v>36458</v>
      </c>
      <c r="AN12" s="2">
        <f t="shared" ref="AN12:AY12" si="17">SUM(AN8:AN10)+AN4</f>
        <v>57704</v>
      </c>
      <c r="AO12" s="2">
        <f t="shared" si="17"/>
        <v>98876</v>
      </c>
      <c r="AP12" s="2">
        <f t="shared" si="17"/>
        <v>143618</v>
      </c>
      <c r="AQ12" s="2">
        <f t="shared" si="17"/>
        <v>154859</v>
      </c>
      <c r="AR12" s="2">
        <f t="shared" si="17"/>
        <v>164732</v>
      </c>
      <c r="AS12" s="2">
        <f t="shared" si="17"/>
        <v>213806</v>
      </c>
      <c r="AT12" s="2">
        <f t="shared" si="17"/>
        <v>191291</v>
      </c>
      <c r="AU12" s="2">
        <f t="shared" si="17"/>
        <v>199254</v>
      </c>
      <c r="AV12" s="2">
        <f t="shared" si="17"/>
        <v>225847</v>
      </c>
      <c r="AW12" s="2">
        <f t="shared" si="17"/>
        <v>213883</v>
      </c>
      <c r="AX12" s="2">
        <f t="shared" si="17"/>
        <v>220747</v>
      </c>
      <c r="AY12" s="2">
        <f t="shared" si="17"/>
        <v>297392</v>
      </c>
      <c r="AZ12" s="2">
        <f>SUM(AZ8:AZ10)+AZ4</f>
        <v>316199</v>
      </c>
      <c r="BA12" s="2">
        <f t="shared" ref="BA12:BR12" si="18">SUM(BA8:BA10)+BA4</f>
        <v>335559.37520000001</v>
      </c>
      <c r="BB12" s="2">
        <f t="shared" si="18"/>
        <v>356146.41173535999</v>
      </c>
      <c r="BC12" s="2">
        <f t="shared" si="18"/>
        <v>378039.65610360203</v>
      </c>
      <c r="BD12" s="2">
        <f t="shared" si="18"/>
        <v>398789.16394719342</v>
      </c>
      <c r="BE12" s="2">
        <f t="shared" si="18"/>
        <v>420707.14437980758</v>
      </c>
      <c r="BF12" s="2">
        <f t="shared" si="18"/>
        <v>443860.88938318932</v>
      </c>
      <c r="BG12" s="2">
        <f t="shared" si="18"/>
        <v>468321.64340600144</v>
      </c>
      <c r="BH12" s="2">
        <f t="shared" si="18"/>
        <v>490360.03104041866</v>
      </c>
      <c r="BI12" s="2">
        <f t="shared" si="18"/>
        <v>513451.03982447553</v>
      </c>
      <c r="BJ12" s="2">
        <f t="shared" si="18"/>
        <v>537645.77336408908</v>
      </c>
      <c r="BK12" s="2">
        <f t="shared" si="18"/>
        <v>562997.86047372594</v>
      </c>
      <c r="BL12" s="2">
        <f t="shared" si="18"/>
        <v>585774.24534022796</v>
      </c>
      <c r="BM12" s="2">
        <f t="shared" si="18"/>
        <v>608646.21231456613</v>
      </c>
      <c r="BN12" s="2">
        <f t="shared" si="18"/>
        <v>632424.56578630989</v>
      </c>
      <c r="BO12" s="2">
        <f t="shared" si="18"/>
        <v>657145.8433193987</v>
      </c>
      <c r="BP12" s="2">
        <f t="shared" si="18"/>
        <v>682848.08375335229</v>
      </c>
      <c r="BQ12" s="2">
        <f t="shared" si="18"/>
        <v>709570.8901752003</v>
      </c>
      <c r="BR12" s="2">
        <f t="shared" si="18"/>
        <v>737355.49559019366</v>
      </c>
    </row>
    <row r="13" spans="1:70" s="2" customFormat="1" x14ac:dyDescent="0.2">
      <c r="B13" s="2" t="s">
        <v>22</v>
      </c>
      <c r="C13" s="2">
        <v>8471</v>
      </c>
      <c r="D13" s="2">
        <v>9190</v>
      </c>
      <c r="E13" s="2">
        <v>9548</v>
      </c>
      <c r="F13" s="2">
        <f>37190-E13-D13-C13</f>
        <v>9981</v>
      </c>
      <c r="K13" s="2">
        <v>12715</v>
      </c>
      <c r="L13" s="2">
        <v>13348</v>
      </c>
      <c r="M13" s="2">
        <v>13156</v>
      </c>
      <c r="N13" s="2">
        <v>14549</v>
      </c>
      <c r="O13" s="2">
        <v>15761</v>
      </c>
      <c r="P13" s="2">
        <v>16901</v>
      </c>
      <c r="Q13" s="2">
        <v>17486</v>
      </c>
      <c r="R13" s="2">
        <v>18277</v>
      </c>
      <c r="S13" s="2">
        <v>19516</v>
      </c>
      <c r="T13" s="2">
        <v>19821</v>
      </c>
      <c r="U13" s="2">
        <v>19604</v>
      </c>
      <c r="V13" s="2">
        <v>19188</v>
      </c>
      <c r="W13" s="2">
        <v>20766</v>
      </c>
      <c r="AD13" s="2">
        <v>1098</v>
      </c>
      <c r="AE13" s="2">
        <f>343+230</f>
        <v>573</v>
      </c>
      <c r="AF13" s="2">
        <f>307+227</f>
        <v>534</v>
      </c>
      <c r="AG13" s="2">
        <f>644+36</f>
        <v>680</v>
      </c>
      <c r="AH13" s="2">
        <f>821+278</f>
        <v>1099</v>
      </c>
      <c r="AI13" s="2">
        <f>899+1091</f>
        <v>1990</v>
      </c>
      <c r="AJ13" s="2">
        <f>1885+1279</f>
        <v>3164</v>
      </c>
      <c r="AK13" s="2">
        <f>2496+1508</f>
        <v>4004</v>
      </c>
      <c r="AL13" s="2">
        <f>2208+3340</f>
        <v>5548</v>
      </c>
      <c r="AM13" s="2">
        <f>2411+4036</f>
        <v>6447</v>
      </c>
      <c r="AN13" s="2">
        <f>2573+4948</f>
        <v>7521</v>
      </c>
      <c r="AO13" s="2">
        <v>9373</v>
      </c>
      <c r="AP13" s="2">
        <v>12890</v>
      </c>
      <c r="AQ13" s="2">
        <v>16051</v>
      </c>
      <c r="AR13" s="2">
        <v>18063</v>
      </c>
      <c r="AS13" s="2">
        <v>19909</v>
      </c>
      <c r="AT13" s="2">
        <v>24348</v>
      </c>
      <c r="AU13" s="2">
        <v>29980</v>
      </c>
      <c r="AV13" s="7">
        <v>39748</v>
      </c>
      <c r="AW13" s="7">
        <v>46291</v>
      </c>
      <c r="AX13" s="7">
        <f>SUM(K13:N13)</f>
        <v>53768</v>
      </c>
      <c r="AY13" s="7">
        <f t="shared" ref="AY13" si="19">SUM(O13:R13)</f>
        <v>68425</v>
      </c>
      <c r="AZ13" s="7">
        <f>SUM(S13:V13)</f>
        <v>78129</v>
      </c>
      <c r="BA13" s="7">
        <f>+AZ13*1.15</f>
        <v>89848.349999999991</v>
      </c>
      <c r="BB13" s="7">
        <f>+BA13*1.15</f>
        <v>103325.60249999998</v>
      </c>
      <c r="BC13" s="7">
        <f>+BB13*1.15</f>
        <v>118824.44287499996</v>
      </c>
      <c r="BD13" s="7">
        <f>+BC13*1.1</f>
        <v>130706.88716249997</v>
      </c>
      <c r="BE13" s="7">
        <f>+BD13*1.1</f>
        <v>143777.57587874998</v>
      </c>
      <c r="BF13" s="7">
        <f>+BE13*1.1</f>
        <v>158155.33346662499</v>
      </c>
      <c r="BG13" s="7">
        <f>+BF13*1.05</f>
        <v>166063.10013995625</v>
      </c>
      <c r="BH13" s="7">
        <f t="shared" ref="BH13:BR13" si="20">+BG13*1.05</f>
        <v>174366.25514695406</v>
      </c>
      <c r="BI13" s="7">
        <f t="shared" si="20"/>
        <v>183084.56790430177</v>
      </c>
      <c r="BJ13" s="7">
        <f t="shared" si="20"/>
        <v>192238.79629951686</v>
      </c>
      <c r="BK13" s="7">
        <f t="shared" si="20"/>
        <v>201850.73611449273</v>
      </c>
      <c r="BL13" s="7">
        <f t="shared" si="20"/>
        <v>211943.27292021737</v>
      </c>
      <c r="BM13" s="7">
        <f t="shared" si="20"/>
        <v>222540.43656622825</v>
      </c>
      <c r="BN13" s="7">
        <f t="shared" si="20"/>
        <v>233667.45839453966</v>
      </c>
      <c r="BO13" s="7">
        <f t="shared" si="20"/>
        <v>245350.83131426666</v>
      </c>
      <c r="BP13" s="7">
        <f t="shared" si="20"/>
        <v>257618.37287998002</v>
      </c>
      <c r="BQ13" s="7">
        <f t="shared" si="20"/>
        <v>270499.29152397905</v>
      </c>
      <c r="BR13" s="7">
        <f t="shared" si="20"/>
        <v>284024.256100178</v>
      </c>
    </row>
    <row r="14" spans="1:70" s="8" customFormat="1" x14ac:dyDescent="0.2">
      <c r="B14" s="8" t="s">
        <v>8</v>
      </c>
      <c r="C14" s="8">
        <f t="shared" ref="C14:F14" si="21">+C12+C13</f>
        <v>88293</v>
      </c>
      <c r="D14" s="8">
        <f t="shared" si="21"/>
        <v>61137</v>
      </c>
      <c r="E14" s="8">
        <f t="shared" si="21"/>
        <v>53265</v>
      </c>
      <c r="F14" s="8">
        <f t="shared" si="21"/>
        <v>62900</v>
      </c>
      <c r="K14" s="8">
        <f t="shared" ref="K14:N14" si="22">+K12+K13</f>
        <v>91819</v>
      </c>
      <c r="L14" s="8">
        <f t="shared" si="22"/>
        <v>58313</v>
      </c>
      <c r="M14" s="8">
        <f t="shared" si="22"/>
        <v>59685</v>
      </c>
      <c r="N14" s="8">
        <f t="shared" si="22"/>
        <v>64698</v>
      </c>
      <c r="O14" s="8">
        <f>+O12+O13</f>
        <v>111439</v>
      </c>
      <c r="P14" s="8">
        <f>+P12+P13</f>
        <v>89584</v>
      </c>
      <c r="Q14" s="8">
        <f>+Q12+Q13</f>
        <v>81434</v>
      </c>
      <c r="R14" s="8">
        <f t="shared" ref="R14" si="23">+R12+R13</f>
        <v>83360</v>
      </c>
      <c r="S14" s="8">
        <f t="shared" ref="S14" si="24">+S12+S13</f>
        <v>123945</v>
      </c>
      <c r="T14" s="8">
        <f>+T12+T13</f>
        <v>97278</v>
      </c>
      <c r="U14" s="8">
        <f t="shared" ref="U14" si="25">+U12+U13</f>
        <v>82959</v>
      </c>
      <c r="V14" s="8">
        <f>+V12+V13</f>
        <v>90146</v>
      </c>
      <c r="W14" s="8">
        <f>+W13+W12</f>
        <v>117154</v>
      </c>
      <c r="X14" s="8">
        <f t="shared" ref="X14:Z14" si="26">+X13+X12</f>
        <v>0</v>
      </c>
      <c r="Y14" s="8">
        <f t="shared" si="26"/>
        <v>0</v>
      </c>
      <c r="Z14" s="8">
        <f t="shared" si="26"/>
        <v>0</v>
      </c>
      <c r="AB14" s="8">
        <v>5941</v>
      </c>
      <c r="AC14" s="8">
        <v>6134</v>
      </c>
      <c r="AD14" s="8">
        <f>+AD12+AD13</f>
        <v>7983</v>
      </c>
      <c r="AE14" s="8">
        <f>+AE12+AE13</f>
        <v>5363</v>
      </c>
      <c r="AF14" s="8">
        <f>+AF12+AF13</f>
        <v>5742</v>
      </c>
      <c r="AG14" s="8">
        <f>+AG12+AG13</f>
        <v>6207</v>
      </c>
      <c r="AH14" s="8">
        <f>+AH12+AH13</f>
        <v>8279</v>
      </c>
      <c r="AI14" s="8">
        <f>+AI12+AI13</f>
        <v>13931</v>
      </c>
      <c r="AJ14" s="8">
        <f>+AJ12+AJ13</f>
        <v>19315</v>
      </c>
      <c r="AK14" s="16">
        <f>+AK12+AK13</f>
        <v>24006</v>
      </c>
      <c r="AL14" s="8">
        <f>+AL12+AL13</f>
        <v>37491</v>
      </c>
      <c r="AM14" s="8">
        <f>+AM12+AM13</f>
        <v>42905</v>
      </c>
      <c r="AN14" s="8">
        <f>+AN12+AN13</f>
        <v>65225</v>
      </c>
      <c r="AO14" s="8">
        <f>+AO12+AO13</f>
        <v>108249</v>
      </c>
      <c r="AP14" s="8">
        <f>+AP12+AP13</f>
        <v>156508</v>
      </c>
      <c r="AQ14" s="8">
        <f>+AQ12+AQ13</f>
        <v>170910</v>
      </c>
      <c r="AR14" s="8">
        <f>+AR12+AR13</f>
        <v>182795</v>
      </c>
      <c r="AS14" s="8">
        <f>+AS12+AS13</f>
        <v>233715</v>
      </c>
      <c r="AT14" s="8">
        <f>+AT12+AT13</f>
        <v>215639</v>
      </c>
      <c r="AU14" s="8">
        <f>+AU12+AU13</f>
        <v>229234</v>
      </c>
      <c r="AV14" s="8">
        <f>+AV12+AV13</f>
        <v>265595</v>
      </c>
      <c r="AW14" s="8">
        <f t="shared" ref="AW14" si="27">+AW12+AW13</f>
        <v>260174</v>
      </c>
      <c r="AX14" s="8">
        <f>+AX12+AX13</f>
        <v>274515</v>
      </c>
      <c r="AY14" s="8">
        <f>+AY12+AY13</f>
        <v>365817</v>
      </c>
      <c r="AZ14" s="8">
        <f>+AZ12+AZ13</f>
        <v>394328</v>
      </c>
      <c r="BA14" s="8">
        <f>+BA12+BA13</f>
        <v>425407.72519999999</v>
      </c>
      <c r="BB14" s="8">
        <f t="shared" ref="BB14:BR14" si="28">+BB12+BB13</f>
        <v>459472.01423535997</v>
      </c>
      <c r="BC14" s="8">
        <f t="shared" si="28"/>
        <v>496864.09897860198</v>
      </c>
      <c r="BD14" s="8">
        <f t="shared" si="28"/>
        <v>529496.05110969336</v>
      </c>
      <c r="BE14" s="8">
        <f t="shared" si="28"/>
        <v>564484.72025855759</v>
      </c>
      <c r="BF14" s="8">
        <f t="shared" si="28"/>
        <v>602016.22284981434</v>
      </c>
      <c r="BG14" s="8">
        <f t="shared" si="28"/>
        <v>634384.74354595772</v>
      </c>
      <c r="BH14" s="8">
        <f t="shared" si="28"/>
        <v>664726.28618737275</v>
      </c>
      <c r="BI14" s="8">
        <f t="shared" si="28"/>
        <v>696535.60772877734</v>
      </c>
      <c r="BJ14" s="8">
        <f t="shared" si="28"/>
        <v>729884.56966360589</v>
      </c>
      <c r="BK14" s="8">
        <f t="shared" si="28"/>
        <v>764848.5965882187</v>
      </c>
      <c r="BL14" s="8">
        <f t="shared" si="28"/>
        <v>797717.51826044533</v>
      </c>
      <c r="BM14" s="8">
        <f t="shared" si="28"/>
        <v>831186.64888079441</v>
      </c>
      <c r="BN14" s="8">
        <f t="shared" si="28"/>
        <v>866092.02418084955</v>
      </c>
      <c r="BO14" s="8">
        <f t="shared" si="28"/>
        <v>902496.67463366536</v>
      </c>
      <c r="BP14" s="8">
        <f t="shared" si="28"/>
        <v>940466.4566333323</v>
      </c>
      <c r="BQ14" s="8">
        <f t="shared" si="28"/>
        <v>980070.18169917935</v>
      </c>
      <c r="BR14" s="8">
        <f t="shared" si="28"/>
        <v>1021379.7516903717</v>
      </c>
    </row>
    <row r="15" spans="1:70" s="2" customFormat="1" x14ac:dyDescent="0.2">
      <c r="B15" s="2" t="s">
        <v>26</v>
      </c>
      <c r="K15" s="2">
        <v>52075</v>
      </c>
      <c r="L15" s="2">
        <v>31321</v>
      </c>
      <c r="M15" s="2">
        <v>32693</v>
      </c>
      <c r="N15" s="2">
        <v>35197</v>
      </c>
      <c r="O15" s="2">
        <v>62130</v>
      </c>
      <c r="P15" s="2">
        <v>46447</v>
      </c>
      <c r="Q15" s="2">
        <v>40899</v>
      </c>
      <c r="R15" s="2">
        <v>42790</v>
      </c>
      <c r="S15" s="2">
        <v>64309</v>
      </c>
      <c r="T15" s="2">
        <v>49290</v>
      </c>
      <c r="U15" s="2">
        <v>41485</v>
      </c>
      <c r="V15" s="2">
        <v>46387</v>
      </c>
      <c r="W15" s="2">
        <v>60765</v>
      </c>
      <c r="AV15" s="7">
        <v>148164</v>
      </c>
      <c r="AW15" s="7">
        <v>144996</v>
      </c>
      <c r="AX15" s="7">
        <f>SUM(K15:N15)</f>
        <v>151286</v>
      </c>
      <c r="AY15" s="7">
        <f t="shared" ref="AY15:AY16" si="29">SUM(O15:R15)</f>
        <v>192266</v>
      </c>
      <c r="AZ15" s="7">
        <f t="shared" ref="AZ15:AZ16" si="30">SUM(S15:V15)</f>
        <v>201471</v>
      </c>
      <c r="BA15" s="2">
        <f>+BA12*0.64</f>
        <v>214758.00012800001</v>
      </c>
      <c r="BB15" s="2">
        <f t="shared" ref="BB15:BR15" si="31">+BB12*0.64</f>
        <v>227933.70351063041</v>
      </c>
      <c r="BC15" s="2">
        <f t="shared" si="31"/>
        <v>241945.37990630532</v>
      </c>
      <c r="BD15" s="2">
        <f t="shared" si="31"/>
        <v>255225.06492620381</v>
      </c>
      <c r="BE15" s="2">
        <f t="shared" si="31"/>
        <v>269252.57240307686</v>
      </c>
      <c r="BF15" s="2">
        <f t="shared" si="31"/>
        <v>284070.96920524118</v>
      </c>
      <c r="BG15" s="2">
        <f t="shared" si="31"/>
        <v>299725.85177984094</v>
      </c>
      <c r="BH15" s="2">
        <f t="shared" si="31"/>
        <v>313830.41986586794</v>
      </c>
      <c r="BI15" s="2">
        <f t="shared" si="31"/>
        <v>328608.66548766434</v>
      </c>
      <c r="BJ15" s="2">
        <f t="shared" si="31"/>
        <v>344093.29495301703</v>
      </c>
      <c r="BK15" s="2">
        <f t="shared" si="31"/>
        <v>360318.63070318464</v>
      </c>
      <c r="BL15" s="2">
        <f t="shared" si="31"/>
        <v>374895.51701774588</v>
      </c>
      <c r="BM15" s="2">
        <f t="shared" si="31"/>
        <v>389533.57588132232</v>
      </c>
      <c r="BN15" s="2">
        <f t="shared" si="31"/>
        <v>404751.72210323834</v>
      </c>
      <c r="BO15" s="2">
        <f t="shared" si="31"/>
        <v>420573.33972441516</v>
      </c>
      <c r="BP15" s="2">
        <f t="shared" si="31"/>
        <v>437022.77360214549</v>
      </c>
      <c r="BQ15" s="2">
        <f t="shared" si="31"/>
        <v>454125.36971212819</v>
      </c>
      <c r="BR15" s="2">
        <f t="shared" si="31"/>
        <v>471907.51717772393</v>
      </c>
    </row>
    <row r="16" spans="1:70" s="2" customFormat="1" x14ac:dyDescent="0.2">
      <c r="B16" s="2" t="s">
        <v>25</v>
      </c>
      <c r="K16" s="2">
        <v>4527</v>
      </c>
      <c r="L16" s="2">
        <v>4622</v>
      </c>
      <c r="M16" s="2">
        <v>4312</v>
      </c>
      <c r="N16" s="2">
        <v>4812</v>
      </c>
      <c r="O16" s="2">
        <v>4981</v>
      </c>
      <c r="P16" s="2">
        <v>5058</v>
      </c>
      <c r="Q16" s="2">
        <v>5280</v>
      </c>
      <c r="R16" s="2">
        <v>5396</v>
      </c>
      <c r="S16" s="2">
        <v>5393</v>
      </c>
      <c r="T16" s="2">
        <v>5429</v>
      </c>
      <c r="U16" s="2">
        <v>5589</v>
      </c>
      <c r="V16" s="2">
        <v>5664</v>
      </c>
      <c r="W16" s="2">
        <v>6057</v>
      </c>
      <c r="AV16" s="7">
        <v>15592</v>
      </c>
      <c r="AW16" s="7">
        <v>16786</v>
      </c>
      <c r="AX16" s="7">
        <f>SUM(K16:N16)</f>
        <v>18273</v>
      </c>
      <c r="AY16" s="7">
        <f t="shared" si="29"/>
        <v>20715</v>
      </c>
      <c r="AZ16" s="7">
        <f t="shared" si="30"/>
        <v>22075</v>
      </c>
      <c r="BA16" s="2">
        <f>+BA13*0.27</f>
        <v>24259.054499999998</v>
      </c>
      <c r="BB16" s="2">
        <f t="shared" ref="BB16:BR16" si="32">+BB13*0.27</f>
        <v>27897.912674999996</v>
      </c>
      <c r="BC16" s="2">
        <f t="shared" si="32"/>
        <v>32082.599576249992</v>
      </c>
      <c r="BD16" s="2">
        <f t="shared" si="32"/>
        <v>35290.859533874995</v>
      </c>
      <c r="BE16" s="2">
        <f t="shared" si="32"/>
        <v>38819.945487262499</v>
      </c>
      <c r="BF16" s="2">
        <f t="shared" si="32"/>
        <v>42701.940035988751</v>
      </c>
      <c r="BG16" s="2">
        <f t="shared" si="32"/>
        <v>44837.037037788192</v>
      </c>
      <c r="BH16" s="2">
        <f t="shared" si="32"/>
        <v>47078.888889677597</v>
      </c>
      <c r="BI16" s="2">
        <f t="shared" si="32"/>
        <v>49432.833334161485</v>
      </c>
      <c r="BJ16" s="2">
        <f t="shared" si="32"/>
        <v>51904.475000869556</v>
      </c>
      <c r="BK16" s="2">
        <f t="shared" si="32"/>
        <v>54499.698750913041</v>
      </c>
      <c r="BL16" s="2">
        <f t="shared" si="32"/>
        <v>57224.683688458696</v>
      </c>
      <c r="BM16" s="2">
        <f t="shared" si="32"/>
        <v>60085.917872881633</v>
      </c>
      <c r="BN16" s="2">
        <f t="shared" si="32"/>
        <v>63090.213766525711</v>
      </c>
      <c r="BO16" s="2">
        <f t="shared" si="32"/>
        <v>66244.724454851996</v>
      </c>
      <c r="BP16" s="2">
        <f t="shared" si="32"/>
        <v>69556.960677594616</v>
      </c>
      <c r="BQ16" s="2">
        <f t="shared" si="32"/>
        <v>73034.808711474354</v>
      </c>
      <c r="BR16" s="2">
        <f t="shared" si="32"/>
        <v>76686.549147048063</v>
      </c>
    </row>
    <row r="17" spans="2:182" s="2" customFormat="1" x14ac:dyDescent="0.2">
      <c r="B17" s="2" t="s">
        <v>24</v>
      </c>
      <c r="C17" s="2">
        <v>54381</v>
      </c>
      <c r="D17" s="2">
        <v>37715</v>
      </c>
      <c r="E17" s="2">
        <v>32844</v>
      </c>
      <c r="F17" s="2">
        <f>163756-E17-D17-C17</f>
        <v>38816</v>
      </c>
      <c r="K17" s="2">
        <f t="shared" ref="K17:N17" si="33">+K15+K16</f>
        <v>56602</v>
      </c>
      <c r="L17" s="2">
        <f t="shared" si="33"/>
        <v>35943</v>
      </c>
      <c r="M17" s="2">
        <f t="shared" si="33"/>
        <v>37005</v>
      </c>
      <c r="N17" s="2">
        <f t="shared" si="33"/>
        <v>40009</v>
      </c>
      <c r="O17" s="2">
        <f>+O15+O16</f>
        <v>67111</v>
      </c>
      <c r="P17" s="2">
        <f>+P15+P16</f>
        <v>51505</v>
      </c>
      <c r="Q17" s="2">
        <f>+Q15+Q16</f>
        <v>46179</v>
      </c>
      <c r="R17" s="2">
        <f t="shared" ref="R17" si="34">+R15+R16</f>
        <v>48186</v>
      </c>
      <c r="S17" s="2">
        <f t="shared" ref="S17" si="35">+S15+S16</f>
        <v>69702</v>
      </c>
      <c r="T17" s="2">
        <f>+T15+T16</f>
        <v>54719</v>
      </c>
      <c r="U17" s="2">
        <f t="shared" ref="U17" si="36">+U15+U16</f>
        <v>47074</v>
      </c>
      <c r="V17" s="2">
        <f t="shared" ref="V17" si="37">+V15+V16</f>
        <v>52051</v>
      </c>
      <c r="W17" s="2">
        <f>+W15+W16</f>
        <v>66822</v>
      </c>
      <c r="AD17" s="2">
        <v>5817</v>
      </c>
      <c r="AE17" s="2">
        <v>4128</v>
      </c>
      <c r="AF17" s="2">
        <v>4139</v>
      </c>
      <c r="AG17" s="2">
        <v>4499</v>
      </c>
      <c r="AH17" s="2">
        <v>6020</v>
      </c>
      <c r="AI17" s="2">
        <v>9888</v>
      </c>
      <c r="AJ17" s="2">
        <v>13717</v>
      </c>
      <c r="AK17" s="2">
        <v>15852</v>
      </c>
      <c r="AL17" s="2">
        <v>24294</v>
      </c>
      <c r="AM17" s="2">
        <v>25683</v>
      </c>
      <c r="AN17" s="2">
        <v>39541</v>
      </c>
      <c r="AO17" s="2">
        <v>64431</v>
      </c>
      <c r="AP17" s="2">
        <v>87846</v>
      </c>
      <c r="AQ17" s="2">
        <v>106606</v>
      </c>
      <c r="AR17" s="2">
        <v>112258</v>
      </c>
      <c r="AS17" s="2">
        <v>140089</v>
      </c>
      <c r="AT17" s="2">
        <v>131376</v>
      </c>
      <c r="AU17" s="2">
        <v>141048</v>
      </c>
      <c r="AV17" s="2">
        <f t="shared" ref="AV17:AW17" si="38">+AV15+AV16</f>
        <v>163756</v>
      </c>
      <c r="AW17" s="2">
        <f t="shared" si="38"/>
        <v>161782</v>
      </c>
      <c r="AX17" s="2">
        <f>+AX15+AX16</f>
        <v>169559</v>
      </c>
      <c r="AY17" s="2">
        <f>+AY15+AY16</f>
        <v>212981</v>
      </c>
      <c r="AZ17" s="2">
        <f>+AZ15+AZ16</f>
        <v>223546</v>
      </c>
      <c r="BA17" s="2">
        <f t="shared" ref="BA17:BR17" si="39">+BA15+BA16</f>
        <v>239017.05462800001</v>
      </c>
      <c r="BB17" s="2">
        <f t="shared" si="39"/>
        <v>255831.61618563041</v>
      </c>
      <c r="BC17" s="2">
        <f t="shared" si="39"/>
        <v>274027.9794825553</v>
      </c>
      <c r="BD17" s="2">
        <f t="shared" si="39"/>
        <v>290515.92446007882</v>
      </c>
      <c r="BE17" s="2">
        <f t="shared" si="39"/>
        <v>308072.51789033937</v>
      </c>
      <c r="BF17" s="2">
        <f t="shared" si="39"/>
        <v>326772.90924122994</v>
      </c>
      <c r="BG17" s="2">
        <f t="shared" si="39"/>
        <v>344562.88881762914</v>
      </c>
      <c r="BH17" s="2">
        <f t="shared" si="39"/>
        <v>360909.30875554553</v>
      </c>
      <c r="BI17" s="2">
        <f t="shared" si="39"/>
        <v>378041.49882182584</v>
      </c>
      <c r="BJ17" s="2">
        <f t="shared" si="39"/>
        <v>395997.76995388657</v>
      </c>
      <c r="BK17" s="2">
        <f t="shared" si="39"/>
        <v>414818.32945409766</v>
      </c>
      <c r="BL17" s="2">
        <f t="shared" si="39"/>
        <v>432120.20070620457</v>
      </c>
      <c r="BM17" s="2">
        <f t="shared" si="39"/>
        <v>449619.49375420396</v>
      </c>
      <c r="BN17" s="2">
        <f t="shared" si="39"/>
        <v>467841.93586976407</v>
      </c>
      <c r="BO17" s="2">
        <f t="shared" si="39"/>
        <v>486818.06417926715</v>
      </c>
      <c r="BP17" s="2">
        <f t="shared" si="39"/>
        <v>506579.73427974014</v>
      </c>
      <c r="BQ17" s="2">
        <f t="shared" si="39"/>
        <v>527160.1784236026</v>
      </c>
      <c r="BR17" s="2">
        <f t="shared" si="39"/>
        <v>548594.06632477196</v>
      </c>
    </row>
    <row r="18" spans="2:182" s="2" customFormat="1" x14ac:dyDescent="0.2">
      <c r="B18" s="2" t="s">
        <v>23</v>
      </c>
      <c r="C18" s="2">
        <f t="shared" ref="C18" si="40">+C14-C17</f>
        <v>33912</v>
      </c>
      <c r="D18" s="2">
        <f t="shared" ref="D18:F18" si="41">+D14-D17</f>
        <v>23422</v>
      </c>
      <c r="E18" s="2">
        <f t="shared" si="41"/>
        <v>20421</v>
      </c>
      <c r="F18" s="2">
        <f t="shared" si="41"/>
        <v>24084</v>
      </c>
      <c r="K18" s="2">
        <f t="shared" ref="K18:N18" si="42">+K14-K17</f>
        <v>35217</v>
      </c>
      <c r="L18" s="2">
        <f t="shared" si="42"/>
        <v>22370</v>
      </c>
      <c r="M18" s="2">
        <f t="shared" si="42"/>
        <v>22680</v>
      </c>
      <c r="N18" s="2">
        <f t="shared" si="42"/>
        <v>24689</v>
      </c>
      <c r="O18" s="2">
        <f>+O14-O17</f>
        <v>44328</v>
      </c>
      <c r="P18" s="2">
        <f>+P14-P17</f>
        <v>38079</v>
      </c>
      <c r="Q18" s="2">
        <f>+Q14-Q17</f>
        <v>35255</v>
      </c>
      <c r="R18" s="2">
        <f t="shared" ref="R18" si="43">+R14-R17</f>
        <v>35174</v>
      </c>
      <c r="S18" s="2">
        <f t="shared" ref="S18" si="44">+S14-S17</f>
        <v>54243</v>
      </c>
      <c r="T18" s="2">
        <f>+T14-T17</f>
        <v>42559</v>
      </c>
      <c r="U18" s="2">
        <f t="shared" ref="U18" si="45">+U14-U17</f>
        <v>35885</v>
      </c>
      <c r="V18" s="2">
        <f t="shared" ref="V18" si="46">+V14-V17</f>
        <v>38095</v>
      </c>
      <c r="W18" s="2">
        <f>+W14-W17</f>
        <v>50332</v>
      </c>
      <c r="AD18" s="2">
        <f t="shared" ref="AD18:AE18" si="47">+AD14-AD17</f>
        <v>2166</v>
      </c>
      <c r="AE18" s="2">
        <f t="shared" si="47"/>
        <v>1235</v>
      </c>
      <c r="AF18" s="2">
        <f>+AF14-AF17</f>
        <v>1603</v>
      </c>
      <c r="AG18" s="2">
        <f t="shared" ref="AG18:AH18" si="48">+AG14-AG17</f>
        <v>1708</v>
      </c>
      <c r="AH18" s="2">
        <f t="shared" si="48"/>
        <v>2259</v>
      </c>
      <c r="AI18" s="2">
        <f t="shared" ref="AI18:AJ18" si="49">+AI14-AI17</f>
        <v>4043</v>
      </c>
      <c r="AJ18" s="2">
        <f t="shared" si="49"/>
        <v>5598</v>
      </c>
      <c r="AK18" s="2">
        <f t="shared" ref="AK18:AL18" si="50">+AK14-AK17</f>
        <v>8154</v>
      </c>
      <c r="AL18" s="2">
        <f t="shared" si="50"/>
        <v>13197</v>
      </c>
      <c r="AM18" s="2">
        <f t="shared" ref="AM18:AO18" si="51">+AM14-AM17</f>
        <v>17222</v>
      </c>
      <c r="AN18" s="2">
        <f t="shared" si="51"/>
        <v>25684</v>
      </c>
      <c r="AO18" s="2">
        <f t="shared" si="51"/>
        <v>43818</v>
      </c>
      <c r="AP18" s="2">
        <f>+AP14-AP17</f>
        <v>68662</v>
      </c>
      <c r="AQ18" s="2">
        <f>+AQ14-AQ17</f>
        <v>64304</v>
      </c>
      <c r="AR18" s="2">
        <f>+AR14-AR17</f>
        <v>70537</v>
      </c>
      <c r="AS18" s="2">
        <f>+AS14-AS17</f>
        <v>93626</v>
      </c>
      <c r="AT18" s="2">
        <f>+AT14-AT17</f>
        <v>84263</v>
      </c>
      <c r="AU18" s="2">
        <f>+AU14-AU17</f>
        <v>88186</v>
      </c>
      <c r="AV18" s="2">
        <f t="shared" ref="AV18:AW18" si="52">+AV14-AV17</f>
        <v>101839</v>
      </c>
      <c r="AW18" s="2">
        <f t="shared" si="52"/>
        <v>98392</v>
      </c>
      <c r="AX18" s="2">
        <f>+AX14-AX17</f>
        <v>104956</v>
      </c>
      <c r="AY18" s="2">
        <f>+AY14-AY17</f>
        <v>152836</v>
      </c>
      <c r="AZ18" s="2">
        <f>+AZ14-AZ17</f>
        <v>170782</v>
      </c>
      <c r="BA18" s="2">
        <f t="shared" ref="BA18:BR18" si="53">+BA14-BA17</f>
        <v>186390.67057199997</v>
      </c>
      <c r="BB18" s="2">
        <f t="shared" si="53"/>
        <v>203640.39804972956</v>
      </c>
      <c r="BC18" s="2">
        <f t="shared" si="53"/>
        <v>222836.11949604668</v>
      </c>
      <c r="BD18" s="2">
        <f t="shared" si="53"/>
        <v>238980.12664961454</v>
      </c>
      <c r="BE18" s="2">
        <f t="shared" si="53"/>
        <v>256412.20236821822</v>
      </c>
      <c r="BF18" s="2">
        <f t="shared" si="53"/>
        <v>275243.3136085844</v>
      </c>
      <c r="BG18" s="2">
        <f t="shared" si="53"/>
        <v>289821.85472832859</v>
      </c>
      <c r="BH18" s="2">
        <f t="shared" si="53"/>
        <v>303816.97743182722</v>
      </c>
      <c r="BI18" s="2">
        <f t="shared" si="53"/>
        <v>318494.1089069515</v>
      </c>
      <c r="BJ18" s="2">
        <f t="shared" si="53"/>
        <v>333886.79970971931</v>
      </c>
      <c r="BK18" s="2">
        <f t="shared" si="53"/>
        <v>350030.26713412104</v>
      </c>
      <c r="BL18" s="2">
        <f t="shared" si="53"/>
        <v>365597.31755424076</v>
      </c>
      <c r="BM18" s="2">
        <f t="shared" si="53"/>
        <v>381567.15512659046</v>
      </c>
      <c r="BN18" s="2">
        <f t="shared" si="53"/>
        <v>398250.08831108548</v>
      </c>
      <c r="BO18" s="2">
        <f t="shared" si="53"/>
        <v>415678.61045439821</v>
      </c>
      <c r="BP18" s="2">
        <f t="shared" si="53"/>
        <v>433886.72235359217</v>
      </c>
      <c r="BQ18" s="2">
        <f t="shared" si="53"/>
        <v>452910.00327557675</v>
      </c>
      <c r="BR18" s="2">
        <f t="shared" si="53"/>
        <v>472785.6853655997</v>
      </c>
    </row>
    <row r="19" spans="2:182" s="2" customFormat="1" x14ac:dyDescent="0.2">
      <c r="B19" s="2" t="s">
        <v>27</v>
      </c>
      <c r="C19" s="2">
        <v>3407</v>
      </c>
      <c r="D19" s="2">
        <v>3378</v>
      </c>
      <c r="E19" s="2">
        <v>3701</v>
      </c>
      <c r="F19" s="2">
        <f>14236-E19-D19-C19</f>
        <v>3750</v>
      </c>
      <c r="K19" s="2">
        <v>4451</v>
      </c>
      <c r="L19" s="2">
        <v>4565</v>
      </c>
      <c r="M19" s="2">
        <v>4758</v>
      </c>
      <c r="N19" s="2">
        <v>4978</v>
      </c>
      <c r="O19" s="2">
        <v>5163</v>
      </c>
      <c r="P19" s="2">
        <v>5262</v>
      </c>
      <c r="Q19" s="2">
        <v>5717</v>
      </c>
      <c r="R19" s="2">
        <v>5772</v>
      </c>
      <c r="S19" s="2">
        <v>6306</v>
      </c>
      <c r="T19" s="2">
        <v>6387</v>
      </c>
      <c r="U19" s="2">
        <v>6797</v>
      </c>
      <c r="V19" s="2">
        <v>6761</v>
      </c>
      <c r="W19" s="2">
        <v>7709</v>
      </c>
      <c r="AD19" s="2">
        <v>380</v>
      </c>
      <c r="AE19" s="2">
        <v>430</v>
      </c>
      <c r="AF19" s="2">
        <v>446</v>
      </c>
      <c r="AG19" s="2">
        <v>471</v>
      </c>
      <c r="AH19" s="2">
        <v>489</v>
      </c>
      <c r="AI19" s="2">
        <v>534</v>
      </c>
      <c r="AJ19" s="2">
        <v>712</v>
      </c>
      <c r="AK19" s="2">
        <v>782</v>
      </c>
      <c r="AL19" s="2">
        <v>1109</v>
      </c>
      <c r="AM19" s="2">
        <v>1333</v>
      </c>
      <c r="AN19" s="2">
        <v>1782</v>
      </c>
      <c r="AO19" s="2">
        <v>2429</v>
      </c>
      <c r="AP19" s="2">
        <v>3381</v>
      </c>
      <c r="AQ19" s="2">
        <v>4475</v>
      </c>
      <c r="AR19" s="2">
        <v>6041</v>
      </c>
      <c r="AS19" s="2">
        <v>8067</v>
      </c>
      <c r="AT19" s="2">
        <v>10045</v>
      </c>
      <c r="AU19" s="2">
        <v>11581</v>
      </c>
      <c r="AV19" s="7">
        <v>14236</v>
      </c>
      <c r="AW19" s="7">
        <v>16217</v>
      </c>
      <c r="AX19" s="7">
        <f>SUM(K19:N19)</f>
        <v>18752</v>
      </c>
      <c r="AY19" s="7">
        <f t="shared" ref="AY19:AY20" si="54">SUM(O19:R19)</f>
        <v>21914</v>
      </c>
      <c r="AZ19" s="7">
        <f t="shared" ref="AZ19:AZ20" si="55">SUM(S19:V19)</f>
        <v>26251</v>
      </c>
      <c r="BA19" s="2">
        <f>+AZ19*1.03</f>
        <v>27038.530000000002</v>
      </c>
      <c r="BB19" s="2">
        <f t="shared" ref="BB19:BR19" si="56">+BA19*1.03</f>
        <v>27849.685900000004</v>
      </c>
      <c r="BC19" s="2">
        <f t="shared" si="56"/>
        <v>28685.176477000005</v>
      </c>
      <c r="BD19" s="2">
        <f t="shared" si="56"/>
        <v>29545.731771310006</v>
      </c>
      <c r="BE19" s="2">
        <f t="shared" si="56"/>
        <v>30432.103724449305</v>
      </c>
      <c r="BF19" s="2">
        <f t="shared" si="56"/>
        <v>31345.066836182785</v>
      </c>
      <c r="BG19" s="2">
        <f t="shared" si="56"/>
        <v>32285.418841268271</v>
      </c>
      <c r="BH19" s="2">
        <f t="shared" si="56"/>
        <v>33253.981406506318</v>
      </c>
      <c r="BI19" s="2">
        <f t="shared" si="56"/>
        <v>34251.600848701506</v>
      </c>
      <c r="BJ19" s="2">
        <f t="shared" si="56"/>
        <v>35279.148874162551</v>
      </c>
      <c r="BK19" s="2">
        <f t="shared" si="56"/>
        <v>36337.52334038743</v>
      </c>
      <c r="BL19" s="2">
        <f t="shared" si="56"/>
        <v>37427.649040599055</v>
      </c>
      <c r="BM19" s="2">
        <f t="shared" si="56"/>
        <v>38550.478511817026</v>
      </c>
      <c r="BN19" s="2">
        <f t="shared" si="56"/>
        <v>39706.992867171539</v>
      </c>
      <c r="BO19" s="2">
        <f t="shared" si="56"/>
        <v>40898.202653186687</v>
      </c>
      <c r="BP19" s="2">
        <f t="shared" si="56"/>
        <v>42125.148732782291</v>
      </c>
      <c r="BQ19" s="2">
        <f t="shared" si="56"/>
        <v>43388.903194765764</v>
      </c>
      <c r="BR19" s="2">
        <f t="shared" si="56"/>
        <v>44690.570290608739</v>
      </c>
    </row>
    <row r="20" spans="2:182" s="2" customFormat="1" x14ac:dyDescent="0.2">
      <c r="B20" s="2" t="s">
        <v>28</v>
      </c>
      <c r="C20" s="2">
        <v>4231</v>
      </c>
      <c r="D20" s="2">
        <v>4150</v>
      </c>
      <c r="E20" s="2">
        <v>4108</v>
      </c>
      <c r="F20" s="2">
        <f>16705-E20-D20-C20</f>
        <v>4216</v>
      </c>
      <c r="K20" s="2">
        <v>5197</v>
      </c>
      <c r="L20" s="2">
        <v>4952</v>
      </c>
      <c r="M20" s="2">
        <v>4831</v>
      </c>
      <c r="N20" s="2">
        <v>4936</v>
      </c>
      <c r="O20" s="2">
        <v>5631</v>
      </c>
      <c r="P20" s="2">
        <v>5314</v>
      </c>
      <c r="Q20" s="2">
        <v>5412</v>
      </c>
      <c r="R20" s="2">
        <v>5616</v>
      </c>
      <c r="S20" s="2">
        <v>6449</v>
      </c>
      <c r="T20" s="2">
        <v>6193</v>
      </c>
      <c r="U20" s="2">
        <v>6012</v>
      </c>
      <c r="V20" s="2">
        <v>6440</v>
      </c>
      <c r="W20" s="2">
        <v>6607</v>
      </c>
      <c r="AD20" s="2">
        <v>1166</v>
      </c>
      <c r="AE20" s="2">
        <v>1138</v>
      </c>
      <c r="AF20" s="2">
        <v>1109</v>
      </c>
      <c r="AG20" s="2">
        <v>1212</v>
      </c>
      <c r="AH20" s="2">
        <v>1421</v>
      </c>
      <c r="AI20" s="2">
        <v>1859</v>
      </c>
      <c r="AJ20" s="2">
        <v>2433</v>
      </c>
      <c r="AK20" s="2">
        <v>2963</v>
      </c>
      <c r="AL20" s="2">
        <v>3761</v>
      </c>
      <c r="AM20" s="2">
        <v>4149</v>
      </c>
      <c r="AN20" s="2">
        <v>5517</v>
      </c>
      <c r="AO20" s="2">
        <v>7599</v>
      </c>
      <c r="AP20" s="2">
        <v>10040</v>
      </c>
      <c r="AQ20" s="2">
        <v>10830</v>
      </c>
      <c r="AR20" s="2">
        <v>11993</v>
      </c>
      <c r="AS20" s="2">
        <v>14329</v>
      </c>
      <c r="AT20" s="2">
        <v>14194</v>
      </c>
      <c r="AU20" s="2">
        <v>15261</v>
      </c>
      <c r="AV20" s="7">
        <v>16705</v>
      </c>
      <c r="AW20" s="7">
        <v>18245</v>
      </c>
      <c r="AX20" s="7">
        <f>SUM(K20:N20)</f>
        <v>19916</v>
      </c>
      <c r="AY20" s="7">
        <f t="shared" si="54"/>
        <v>21973</v>
      </c>
      <c r="AZ20" s="7">
        <f t="shared" si="55"/>
        <v>25094</v>
      </c>
      <c r="BA20" s="2">
        <f t="shared" ref="BA20:BR20" si="57">+AZ20*1.03</f>
        <v>25846.82</v>
      </c>
      <c r="BB20" s="2">
        <f t="shared" si="57"/>
        <v>26622.224600000001</v>
      </c>
      <c r="BC20" s="2">
        <f t="shared" si="57"/>
        <v>27420.891338000001</v>
      </c>
      <c r="BD20" s="2">
        <f t="shared" si="57"/>
        <v>28243.518078140001</v>
      </c>
      <c r="BE20" s="2">
        <f t="shared" si="57"/>
        <v>29090.823620484203</v>
      </c>
      <c r="BF20" s="2">
        <f t="shared" si="57"/>
        <v>29963.548329098729</v>
      </c>
      <c r="BG20" s="2">
        <f t="shared" si="57"/>
        <v>30862.454778971693</v>
      </c>
      <c r="BH20" s="2">
        <f t="shared" si="57"/>
        <v>31788.328422340845</v>
      </c>
      <c r="BI20" s="2">
        <f t="shared" si="57"/>
        <v>32741.978275011072</v>
      </c>
      <c r="BJ20" s="2">
        <f t="shared" si="57"/>
        <v>33724.237623261404</v>
      </c>
      <c r="BK20" s="2">
        <f t="shared" si="57"/>
        <v>34735.964751959247</v>
      </c>
      <c r="BL20" s="2">
        <f t="shared" si="57"/>
        <v>35778.043694518026</v>
      </c>
      <c r="BM20" s="2">
        <f t="shared" si="57"/>
        <v>36851.385005353572</v>
      </c>
      <c r="BN20" s="2">
        <f t="shared" si="57"/>
        <v>37956.926555514183</v>
      </c>
      <c r="BO20" s="2">
        <f t="shared" si="57"/>
        <v>39095.634352179608</v>
      </c>
      <c r="BP20" s="2">
        <f t="shared" si="57"/>
        <v>40268.503382744995</v>
      </c>
      <c r="BQ20" s="2">
        <f t="shared" si="57"/>
        <v>41476.558484227346</v>
      </c>
      <c r="BR20" s="2">
        <f t="shared" si="57"/>
        <v>42720.855238754164</v>
      </c>
    </row>
    <row r="21" spans="2:182" s="2" customFormat="1" x14ac:dyDescent="0.2">
      <c r="B21" s="2" t="s">
        <v>29</v>
      </c>
      <c r="C21" s="2">
        <f t="shared" ref="C21" si="58">+C19+C20</f>
        <v>7638</v>
      </c>
      <c r="D21" s="2">
        <f t="shared" ref="D21:F21" si="59">+D19+D20</f>
        <v>7528</v>
      </c>
      <c r="E21" s="2">
        <f t="shared" si="59"/>
        <v>7809</v>
      </c>
      <c r="F21" s="2">
        <f t="shared" si="59"/>
        <v>7966</v>
      </c>
      <c r="K21" s="2">
        <f t="shared" ref="K21:N21" si="60">+K19+K20</f>
        <v>9648</v>
      </c>
      <c r="L21" s="2">
        <f t="shared" si="60"/>
        <v>9517</v>
      </c>
      <c r="M21" s="2">
        <f t="shared" si="60"/>
        <v>9589</v>
      </c>
      <c r="N21" s="2">
        <f t="shared" si="60"/>
        <v>9914</v>
      </c>
      <c r="O21" s="2">
        <f>+O19+O20</f>
        <v>10794</v>
      </c>
      <c r="P21" s="2">
        <f>+P19+P20</f>
        <v>10576</v>
      </c>
      <c r="Q21" s="2">
        <f>+Q19+Q20</f>
        <v>11129</v>
      </c>
      <c r="R21" s="2">
        <f t="shared" ref="R21" si="61">+R19+R20</f>
        <v>11388</v>
      </c>
      <c r="S21" s="2">
        <f t="shared" ref="S21" si="62">+S19+S20</f>
        <v>12755</v>
      </c>
      <c r="T21" s="2">
        <f>+T19+T20</f>
        <v>12580</v>
      </c>
      <c r="U21" s="2">
        <f t="shared" ref="U21" si="63">+U19+U20</f>
        <v>12809</v>
      </c>
      <c r="V21" s="2">
        <f t="shared" ref="V21:W21" si="64">+V19+V20</f>
        <v>13201</v>
      </c>
      <c r="W21" s="2">
        <f t="shared" si="64"/>
        <v>14316</v>
      </c>
      <c r="AD21" s="2">
        <f t="shared" ref="AD21:AE21" si="65">+AD19+AD20</f>
        <v>1546</v>
      </c>
      <c r="AE21" s="2">
        <f t="shared" si="65"/>
        <v>1568</v>
      </c>
      <c r="AF21" s="2">
        <f t="shared" ref="AF21:AH21" si="66">+AF19+AF20</f>
        <v>1555</v>
      </c>
      <c r="AG21" s="2">
        <f t="shared" si="66"/>
        <v>1683</v>
      </c>
      <c r="AH21" s="2">
        <f t="shared" si="66"/>
        <v>1910</v>
      </c>
      <c r="AI21" s="2">
        <f t="shared" ref="AI21:AJ21" si="67">+AI19+AI20</f>
        <v>2393</v>
      </c>
      <c r="AJ21" s="2">
        <f t="shared" si="67"/>
        <v>3145</v>
      </c>
      <c r="AK21" s="2">
        <f t="shared" ref="AK21:AL21" si="68">+AK19+AK20</f>
        <v>3745</v>
      </c>
      <c r="AL21" s="2">
        <f t="shared" si="68"/>
        <v>4870</v>
      </c>
      <c r="AM21" s="2">
        <f t="shared" ref="AM21:AO21" si="69">+AM19+AM20</f>
        <v>5482</v>
      </c>
      <c r="AN21" s="2">
        <f t="shared" si="69"/>
        <v>7299</v>
      </c>
      <c r="AO21" s="2">
        <f t="shared" si="69"/>
        <v>10028</v>
      </c>
      <c r="AP21" s="2">
        <f>+AP19+AP20</f>
        <v>13421</v>
      </c>
      <c r="AQ21" s="2">
        <f>+AQ19+AQ20</f>
        <v>15305</v>
      </c>
      <c r="AR21" s="2">
        <f>+AR19+AR20</f>
        <v>18034</v>
      </c>
      <c r="AS21" s="2">
        <f>+AS19+AS20</f>
        <v>22396</v>
      </c>
      <c r="AT21" s="2">
        <f>+AT19+AT20</f>
        <v>24239</v>
      </c>
      <c r="AU21" s="2">
        <f>+AU19+AU20</f>
        <v>26842</v>
      </c>
      <c r="AV21" s="2">
        <f t="shared" ref="AV21:AW21" si="70">+AV19+AV20</f>
        <v>30941</v>
      </c>
      <c r="AW21" s="2">
        <f t="shared" si="70"/>
        <v>34462</v>
      </c>
      <c r="AX21" s="2">
        <f>+AX19+AX20</f>
        <v>38668</v>
      </c>
      <c r="AY21" s="2">
        <f>+AY19+AY20</f>
        <v>43887</v>
      </c>
      <c r="AZ21" s="2">
        <f>+AZ19+AZ20</f>
        <v>51345</v>
      </c>
      <c r="BA21" s="2">
        <f t="shared" ref="BA21:BR21" si="71">+BA19+BA20</f>
        <v>52885.350000000006</v>
      </c>
      <c r="BB21" s="2">
        <f t="shared" si="71"/>
        <v>54471.910500000005</v>
      </c>
      <c r="BC21" s="2">
        <f t="shared" si="71"/>
        <v>56106.067815000002</v>
      </c>
      <c r="BD21" s="2">
        <f t="shared" si="71"/>
        <v>57789.249849450003</v>
      </c>
      <c r="BE21" s="2">
        <f t="shared" si="71"/>
        <v>59522.927344933509</v>
      </c>
      <c r="BF21" s="2">
        <f t="shared" si="71"/>
        <v>61308.615165281517</v>
      </c>
      <c r="BG21" s="2">
        <f t="shared" si="71"/>
        <v>63147.87362023996</v>
      </c>
      <c r="BH21" s="2">
        <f t="shared" si="71"/>
        <v>65042.309828847167</v>
      </c>
      <c r="BI21" s="2">
        <f t="shared" si="71"/>
        <v>66993.579123712581</v>
      </c>
      <c r="BJ21" s="2">
        <f t="shared" si="71"/>
        <v>69003.386497423955</v>
      </c>
      <c r="BK21" s="2">
        <f t="shared" si="71"/>
        <v>71073.48809234667</v>
      </c>
      <c r="BL21" s="2">
        <f t="shared" si="71"/>
        <v>73205.692735117074</v>
      </c>
      <c r="BM21" s="2">
        <f t="shared" si="71"/>
        <v>75401.863517170597</v>
      </c>
      <c r="BN21" s="2">
        <f t="shared" si="71"/>
        <v>77663.919422685722</v>
      </c>
      <c r="BO21" s="2">
        <f t="shared" si="71"/>
        <v>79993.837005366295</v>
      </c>
      <c r="BP21" s="2">
        <f t="shared" si="71"/>
        <v>82393.652115527279</v>
      </c>
      <c r="BQ21" s="2">
        <f t="shared" si="71"/>
        <v>84865.461678993102</v>
      </c>
      <c r="BR21" s="2">
        <f t="shared" si="71"/>
        <v>87411.425529362896</v>
      </c>
    </row>
    <row r="22" spans="2:182" s="2" customFormat="1" x14ac:dyDescent="0.2">
      <c r="B22" s="2" t="s">
        <v>30</v>
      </c>
      <c r="C22" s="2">
        <f t="shared" ref="C22" si="72">+C18-C21</f>
        <v>26274</v>
      </c>
      <c r="D22" s="2">
        <f t="shared" ref="D22:F22" si="73">+D18-D21</f>
        <v>15894</v>
      </c>
      <c r="E22" s="2">
        <f t="shared" si="73"/>
        <v>12612</v>
      </c>
      <c r="F22" s="2">
        <f t="shared" si="73"/>
        <v>16118</v>
      </c>
      <c r="K22" s="2">
        <f t="shared" ref="K22:N22" si="74">+K18-K21</f>
        <v>25569</v>
      </c>
      <c r="L22" s="2">
        <f t="shared" si="74"/>
        <v>12853</v>
      </c>
      <c r="M22" s="2">
        <f t="shared" si="74"/>
        <v>13091</v>
      </c>
      <c r="N22" s="2">
        <f t="shared" si="74"/>
        <v>14775</v>
      </c>
      <c r="O22" s="2">
        <f>+O18-O21</f>
        <v>33534</v>
      </c>
      <c r="P22" s="2">
        <f>+P18-P21</f>
        <v>27503</v>
      </c>
      <c r="Q22" s="2">
        <f>+Q18-Q21</f>
        <v>24126</v>
      </c>
      <c r="R22" s="2">
        <f t="shared" ref="R22" si="75">+R18-R21</f>
        <v>23786</v>
      </c>
      <c r="S22" s="2">
        <f t="shared" ref="S22" si="76">+S18-S21</f>
        <v>41488</v>
      </c>
      <c r="T22" s="2">
        <f>+T18-T21</f>
        <v>29979</v>
      </c>
      <c r="U22" s="2">
        <f t="shared" ref="U22" si="77">+U18-U21</f>
        <v>23076</v>
      </c>
      <c r="V22" s="2">
        <f t="shared" ref="V22:W22" si="78">+V18-V21</f>
        <v>24894</v>
      </c>
      <c r="W22" s="2">
        <f t="shared" si="78"/>
        <v>36016</v>
      </c>
      <c r="AD22" s="2">
        <f t="shared" ref="AD22:AE22" si="79">+AD18-AD21</f>
        <v>620</v>
      </c>
      <c r="AE22" s="2">
        <f t="shared" si="79"/>
        <v>-333</v>
      </c>
      <c r="AF22" s="2">
        <f t="shared" ref="AF22:AH22" si="80">+AF18-AF21</f>
        <v>48</v>
      </c>
      <c r="AG22" s="2">
        <f t="shared" si="80"/>
        <v>25</v>
      </c>
      <c r="AH22" s="2">
        <f t="shared" si="80"/>
        <v>349</v>
      </c>
      <c r="AI22" s="2">
        <f t="shared" ref="AI22:AJ22" si="81">+AI18-AI21</f>
        <v>1650</v>
      </c>
      <c r="AJ22" s="2">
        <f t="shared" si="81"/>
        <v>2453</v>
      </c>
      <c r="AK22" s="2">
        <f t="shared" ref="AK22:AL22" si="82">+AK18-AK21</f>
        <v>4409</v>
      </c>
      <c r="AL22" s="2">
        <f t="shared" si="82"/>
        <v>8327</v>
      </c>
      <c r="AM22" s="2">
        <f t="shared" ref="AM22:AO22" si="83">+AM18-AM21</f>
        <v>11740</v>
      </c>
      <c r="AN22" s="2">
        <f t="shared" si="83"/>
        <v>18385</v>
      </c>
      <c r="AO22" s="2">
        <f t="shared" si="83"/>
        <v>33790</v>
      </c>
      <c r="AP22" s="2">
        <f>+AP18-AP21</f>
        <v>55241</v>
      </c>
      <c r="AQ22" s="2">
        <f>+AQ18-AQ21</f>
        <v>48999</v>
      </c>
      <c r="AR22" s="2">
        <f>+AR18-AR21</f>
        <v>52503</v>
      </c>
      <c r="AS22" s="2">
        <f>+AS18-AS21</f>
        <v>71230</v>
      </c>
      <c r="AT22" s="2">
        <f>+AT18-AT21</f>
        <v>60024</v>
      </c>
      <c r="AU22" s="2">
        <f>+AU18-AU21</f>
        <v>61344</v>
      </c>
      <c r="AV22" s="2">
        <f t="shared" ref="AV22:AW22" si="84">+AV18-AV21</f>
        <v>70898</v>
      </c>
      <c r="AW22" s="2">
        <f t="shared" si="84"/>
        <v>63930</v>
      </c>
      <c r="AX22" s="2">
        <f>+AX18-AX21</f>
        <v>66288</v>
      </c>
      <c r="AY22" s="2">
        <f>+AY18-AY21</f>
        <v>108949</v>
      </c>
      <c r="AZ22" s="2">
        <f>+AZ18-AZ21</f>
        <v>119437</v>
      </c>
      <c r="BA22" s="2">
        <f t="shared" ref="BA22:BR22" si="85">+BA18-BA21</f>
        <v>133505.32057199997</v>
      </c>
      <c r="BB22" s="2">
        <f t="shared" si="85"/>
        <v>149168.48754972956</v>
      </c>
      <c r="BC22" s="2">
        <f t="shared" si="85"/>
        <v>166730.05168104667</v>
      </c>
      <c r="BD22" s="2">
        <f t="shared" si="85"/>
        <v>181190.87680016452</v>
      </c>
      <c r="BE22" s="2">
        <f t="shared" si="85"/>
        <v>196889.27502328472</v>
      </c>
      <c r="BF22" s="2">
        <f t="shared" si="85"/>
        <v>213934.69844330288</v>
      </c>
      <c r="BG22" s="2">
        <f t="shared" si="85"/>
        <v>226673.98110808863</v>
      </c>
      <c r="BH22" s="2">
        <f t="shared" si="85"/>
        <v>238774.66760298004</v>
      </c>
      <c r="BI22" s="2">
        <f t="shared" si="85"/>
        <v>251500.52978323892</v>
      </c>
      <c r="BJ22" s="2">
        <f t="shared" si="85"/>
        <v>264883.41321229539</v>
      </c>
      <c r="BK22" s="2">
        <f t="shared" si="85"/>
        <v>278956.77904177434</v>
      </c>
      <c r="BL22" s="2">
        <f t="shared" si="85"/>
        <v>292391.62481912365</v>
      </c>
      <c r="BM22" s="2">
        <f t="shared" si="85"/>
        <v>306165.29160941986</v>
      </c>
      <c r="BN22" s="2">
        <f t="shared" si="85"/>
        <v>320586.16888839973</v>
      </c>
      <c r="BO22" s="2">
        <f t="shared" si="85"/>
        <v>335684.77344903193</v>
      </c>
      <c r="BP22" s="2">
        <f t="shared" si="85"/>
        <v>351493.07023806486</v>
      </c>
      <c r="BQ22" s="2">
        <f t="shared" si="85"/>
        <v>368044.54159658367</v>
      </c>
      <c r="BR22" s="2">
        <f t="shared" si="85"/>
        <v>385374.25983623683</v>
      </c>
    </row>
    <row r="23" spans="2:182" s="2" customFormat="1" x14ac:dyDescent="0.2">
      <c r="B23" s="2" t="s">
        <v>36</v>
      </c>
      <c r="C23" s="2">
        <v>756</v>
      </c>
      <c r="D23" s="2">
        <v>274</v>
      </c>
      <c r="E23" s="2">
        <v>672</v>
      </c>
      <c r="F23" s="2">
        <f>2005-E23-D23-C23</f>
        <v>303</v>
      </c>
      <c r="K23" s="2">
        <v>349</v>
      </c>
      <c r="L23" s="2">
        <v>282</v>
      </c>
      <c r="M23" s="2">
        <v>46</v>
      </c>
      <c r="N23" s="2">
        <v>126</v>
      </c>
      <c r="O23" s="2">
        <v>45</v>
      </c>
      <c r="P23" s="2">
        <v>508</v>
      </c>
      <c r="Q23" s="2">
        <v>243</v>
      </c>
      <c r="R23" s="2">
        <v>-538</v>
      </c>
      <c r="S23" s="2">
        <v>-247</v>
      </c>
      <c r="T23" s="2">
        <v>160</v>
      </c>
      <c r="U23" s="2">
        <v>-10</v>
      </c>
      <c r="V23" s="2">
        <v>-237</v>
      </c>
      <c r="W23" s="2">
        <v>-393</v>
      </c>
      <c r="AD23" s="2">
        <v>203</v>
      </c>
      <c r="AE23" s="2">
        <v>217</v>
      </c>
      <c r="AF23" s="2">
        <v>70</v>
      </c>
      <c r="AG23" s="2">
        <v>93</v>
      </c>
      <c r="AH23" s="2">
        <v>57</v>
      </c>
      <c r="AI23" s="2">
        <v>165</v>
      </c>
      <c r="AJ23" s="2">
        <v>365</v>
      </c>
      <c r="AK23" s="2">
        <v>599</v>
      </c>
      <c r="AL23" s="2">
        <v>620</v>
      </c>
      <c r="AM23" s="2">
        <v>326</v>
      </c>
      <c r="AN23" s="2">
        <v>155</v>
      </c>
      <c r="AO23" s="2">
        <v>415</v>
      </c>
      <c r="AP23" s="2">
        <v>522</v>
      </c>
      <c r="AQ23" s="2">
        <v>1156</v>
      </c>
      <c r="AR23" s="2">
        <v>980</v>
      </c>
      <c r="AS23" s="2">
        <v>1285</v>
      </c>
      <c r="AT23" s="2">
        <v>1348</v>
      </c>
      <c r="AU23" s="2">
        <v>2745</v>
      </c>
      <c r="AV23" s="7">
        <v>2005</v>
      </c>
      <c r="AW23" s="7">
        <v>1807</v>
      </c>
      <c r="AX23" s="7">
        <f>SUM(K23:N23)</f>
        <v>803</v>
      </c>
      <c r="AY23" s="7">
        <f t="shared" ref="AY23" si="86">SUM(O23:R23)</f>
        <v>258</v>
      </c>
      <c r="AZ23" s="7">
        <f t="shared" ref="AZ23" si="87">SUM(S23:V23)</f>
        <v>-334</v>
      </c>
    </row>
    <row r="24" spans="2:182" s="2" customFormat="1" x14ac:dyDescent="0.2">
      <c r="B24" s="2" t="s">
        <v>35</v>
      </c>
      <c r="C24" s="2">
        <f t="shared" ref="C24" si="88">+C22+C23</f>
        <v>27030</v>
      </c>
      <c r="D24" s="2">
        <f t="shared" ref="D24:F24" si="89">+D22+D23</f>
        <v>16168</v>
      </c>
      <c r="E24" s="2">
        <f t="shared" si="89"/>
        <v>13284</v>
      </c>
      <c r="F24" s="2">
        <f t="shared" si="89"/>
        <v>16421</v>
      </c>
      <c r="K24" s="2">
        <f t="shared" ref="K24:N24" si="90">+K22+K23</f>
        <v>25918</v>
      </c>
      <c r="L24" s="2">
        <f t="shared" si="90"/>
        <v>13135</v>
      </c>
      <c r="M24" s="2">
        <f t="shared" si="90"/>
        <v>13137</v>
      </c>
      <c r="N24" s="2">
        <f t="shared" si="90"/>
        <v>14901</v>
      </c>
      <c r="O24" s="2">
        <f>+O22+O23</f>
        <v>33579</v>
      </c>
      <c r="P24" s="2">
        <f>+P22+P23</f>
        <v>28011</v>
      </c>
      <c r="Q24" s="2">
        <f>+Q22+Q23</f>
        <v>24369</v>
      </c>
      <c r="R24" s="2">
        <f t="shared" ref="R24" si="91">+R22+R23</f>
        <v>23248</v>
      </c>
      <c r="S24" s="2">
        <f t="shared" ref="S24" si="92">+S22+S23</f>
        <v>41241</v>
      </c>
      <c r="T24" s="2">
        <f>+T22+T23</f>
        <v>30139</v>
      </c>
      <c r="U24" s="2">
        <f t="shared" ref="U24:W24" si="93">+U22+U23</f>
        <v>23066</v>
      </c>
      <c r="V24" s="2">
        <f t="shared" si="93"/>
        <v>24657</v>
      </c>
      <c r="W24" s="2">
        <f t="shared" si="93"/>
        <v>35623</v>
      </c>
      <c r="AD24" s="2">
        <f t="shared" ref="AD24:AE24" si="94">+AD22+AD23</f>
        <v>823</v>
      </c>
      <c r="AE24" s="2">
        <f t="shared" si="94"/>
        <v>-116</v>
      </c>
      <c r="AF24" s="2">
        <f t="shared" ref="AF24:AH24" si="95">+AF22+AF23</f>
        <v>118</v>
      </c>
      <c r="AG24" s="2">
        <f t="shared" si="95"/>
        <v>118</v>
      </c>
      <c r="AH24" s="2">
        <f t="shared" si="95"/>
        <v>406</v>
      </c>
      <c r="AI24" s="2">
        <f t="shared" ref="AI24:AJ24" si="96">+AI22+AI23</f>
        <v>1815</v>
      </c>
      <c r="AJ24" s="2">
        <f t="shared" si="96"/>
        <v>2818</v>
      </c>
      <c r="AK24" s="2">
        <f t="shared" ref="AK24:AL24" si="97">+AK22+AK23</f>
        <v>5008</v>
      </c>
      <c r="AL24" s="2">
        <f t="shared" si="97"/>
        <v>8947</v>
      </c>
      <c r="AM24" s="2">
        <f t="shared" ref="AM24:AO24" si="98">+AM22+AM23</f>
        <v>12066</v>
      </c>
      <c r="AN24" s="2">
        <f t="shared" si="98"/>
        <v>18540</v>
      </c>
      <c r="AO24" s="2">
        <f t="shared" si="98"/>
        <v>34205</v>
      </c>
      <c r="AP24" s="2">
        <f>+AP22+AP23</f>
        <v>55763</v>
      </c>
      <c r="AQ24" s="2">
        <f>+AQ22+AQ23</f>
        <v>50155</v>
      </c>
      <c r="AR24" s="2">
        <f>+AR22+AR23</f>
        <v>53483</v>
      </c>
      <c r="AS24" s="2">
        <f>+AS22+AS23</f>
        <v>72515</v>
      </c>
      <c r="AT24" s="2">
        <f>+AT22+AT23</f>
        <v>61372</v>
      </c>
      <c r="AU24" s="2">
        <f>+AU22+AU23</f>
        <v>64089</v>
      </c>
      <c r="AV24" s="2">
        <f t="shared" ref="AV24:AW24" si="99">+AV22+AV23</f>
        <v>72903</v>
      </c>
      <c r="AW24" s="2">
        <f t="shared" si="99"/>
        <v>65737</v>
      </c>
      <c r="AX24" s="2">
        <f>+AX22+AX23</f>
        <v>67091</v>
      </c>
      <c r="AY24" s="2">
        <f>+AY22+AY23</f>
        <v>109207</v>
      </c>
      <c r="AZ24" s="2">
        <f>+AZ22+AZ23</f>
        <v>119103</v>
      </c>
      <c r="BA24" s="2">
        <f t="shared" ref="BA24:BR24" si="100">+BA22+BA23</f>
        <v>133505.32057199997</v>
      </c>
      <c r="BB24" s="2">
        <f t="shared" si="100"/>
        <v>149168.48754972956</v>
      </c>
      <c r="BC24" s="2">
        <f t="shared" si="100"/>
        <v>166730.05168104667</v>
      </c>
      <c r="BD24" s="2">
        <f t="shared" si="100"/>
        <v>181190.87680016452</v>
      </c>
      <c r="BE24" s="2">
        <f t="shared" si="100"/>
        <v>196889.27502328472</v>
      </c>
      <c r="BF24" s="2">
        <f t="shared" si="100"/>
        <v>213934.69844330288</v>
      </c>
      <c r="BG24" s="2">
        <f t="shared" si="100"/>
        <v>226673.98110808863</v>
      </c>
      <c r="BH24" s="2">
        <f t="shared" si="100"/>
        <v>238774.66760298004</v>
      </c>
      <c r="BI24" s="2">
        <f t="shared" si="100"/>
        <v>251500.52978323892</v>
      </c>
      <c r="BJ24" s="2">
        <f t="shared" si="100"/>
        <v>264883.41321229539</v>
      </c>
      <c r="BK24" s="2">
        <f t="shared" si="100"/>
        <v>278956.77904177434</v>
      </c>
      <c r="BL24" s="2">
        <f t="shared" si="100"/>
        <v>292391.62481912365</v>
      </c>
      <c r="BM24" s="2">
        <f t="shared" si="100"/>
        <v>306165.29160941986</v>
      </c>
      <c r="BN24" s="2">
        <f t="shared" si="100"/>
        <v>320586.16888839973</v>
      </c>
      <c r="BO24" s="2">
        <f t="shared" si="100"/>
        <v>335684.77344903193</v>
      </c>
      <c r="BP24" s="2">
        <f t="shared" si="100"/>
        <v>351493.07023806486</v>
      </c>
      <c r="BQ24" s="2">
        <f t="shared" si="100"/>
        <v>368044.54159658367</v>
      </c>
      <c r="BR24" s="2">
        <f t="shared" si="100"/>
        <v>385374.25983623683</v>
      </c>
    </row>
    <row r="25" spans="2:182" s="2" customFormat="1" x14ac:dyDescent="0.2">
      <c r="B25" s="2" t="s">
        <v>34</v>
      </c>
      <c r="C25" s="2">
        <v>6965</v>
      </c>
      <c r="D25" s="2">
        <v>2346</v>
      </c>
      <c r="E25" s="2">
        <v>1765</v>
      </c>
      <c r="F25" s="2">
        <f>13372-E25-D25-C25</f>
        <v>2296</v>
      </c>
      <c r="K25" s="2">
        <v>3682</v>
      </c>
      <c r="L25" s="2">
        <v>1886</v>
      </c>
      <c r="M25" s="2">
        <v>1884</v>
      </c>
      <c r="N25" s="2">
        <v>2228</v>
      </c>
      <c r="O25" s="2">
        <v>4824</v>
      </c>
      <c r="P25" s="2">
        <v>4381</v>
      </c>
      <c r="Q25" s="2">
        <v>2625</v>
      </c>
      <c r="R25" s="2">
        <v>2697</v>
      </c>
      <c r="S25" s="2">
        <v>6611</v>
      </c>
      <c r="T25" s="2">
        <v>5129</v>
      </c>
      <c r="U25" s="2">
        <v>3624</v>
      </c>
      <c r="V25" s="2">
        <v>3936</v>
      </c>
      <c r="W25" s="2">
        <v>5625</v>
      </c>
      <c r="AD25" s="2">
        <v>306</v>
      </c>
      <c r="AE25" s="2">
        <v>0</v>
      </c>
      <c r="AF25" s="2">
        <v>22</v>
      </c>
      <c r="AG25" s="2">
        <v>24</v>
      </c>
      <c r="AH25" s="2">
        <v>107</v>
      </c>
      <c r="AI25" s="2">
        <v>480</v>
      </c>
      <c r="AJ25" s="2">
        <v>829</v>
      </c>
      <c r="AK25" s="2">
        <v>1512</v>
      </c>
      <c r="AL25" s="2">
        <v>2828</v>
      </c>
      <c r="AM25" s="2">
        <v>3831</v>
      </c>
      <c r="AN25" s="2">
        <v>4527</v>
      </c>
      <c r="AO25" s="2">
        <v>8283</v>
      </c>
      <c r="AP25" s="2">
        <v>14030</v>
      </c>
      <c r="AQ25" s="2">
        <v>13118</v>
      </c>
      <c r="AR25" s="2">
        <v>13973</v>
      </c>
      <c r="AS25" s="2">
        <v>19121</v>
      </c>
      <c r="AT25" s="2">
        <v>15685</v>
      </c>
      <c r="AU25" s="2">
        <v>15738</v>
      </c>
      <c r="AV25" s="7">
        <v>13372</v>
      </c>
      <c r="AW25" s="7">
        <v>10481</v>
      </c>
      <c r="AX25" s="7">
        <f>SUM(K25:N25)</f>
        <v>9680</v>
      </c>
      <c r="AY25" s="7">
        <f t="shared" ref="AY25" si="101">SUM(O25:R25)</f>
        <v>14527</v>
      </c>
      <c r="AZ25" s="7">
        <f t="shared" ref="AZ25" si="102">SUM(S25:V25)</f>
        <v>19300</v>
      </c>
      <c r="BA25" s="2">
        <f>+BA24*0.2</f>
        <v>26701.064114399996</v>
      </c>
      <c r="BB25" s="2">
        <f t="shared" ref="BB25:BR25" si="103">+BB24*0.2</f>
        <v>29833.697509945912</v>
      </c>
      <c r="BC25" s="2">
        <f t="shared" si="103"/>
        <v>33346.010336209336</v>
      </c>
      <c r="BD25" s="2">
        <f t="shared" si="103"/>
        <v>36238.175360032903</v>
      </c>
      <c r="BE25" s="2">
        <f t="shared" si="103"/>
        <v>39377.855004656943</v>
      </c>
      <c r="BF25" s="2">
        <f t="shared" si="103"/>
        <v>42786.939688660583</v>
      </c>
      <c r="BG25" s="2">
        <f t="shared" si="103"/>
        <v>45334.796221617726</v>
      </c>
      <c r="BH25" s="2">
        <f t="shared" si="103"/>
        <v>47754.933520596009</v>
      </c>
      <c r="BI25" s="2">
        <f t="shared" si="103"/>
        <v>50300.105956647785</v>
      </c>
      <c r="BJ25" s="2">
        <f t="shared" si="103"/>
        <v>52976.682642459084</v>
      </c>
      <c r="BK25" s="2">
        <f t="shared" si="103"/>
        <v>55791.355808354871</v>
      </c>
      <c r="BL25" s="2">
        <f t="shared" si="103"/>
        <v>58478.324963824736</v>
      </c>
      <c r="BM25" s="2">
        <f t="shared" si="103"/>
        <v>61233.058321883975</v>
      </c>
      <c r="BN25" s="2">
        <f t="shared" si="103"/>
        <v>64117.233777679947</v>
      </c>
      <c r="BO25" s="2">
        <f t="shared" si="103"/>
        <v>67136.954689806385</v>
      </c>
      <c r="BP25" s="2">
        <f t="shared" si="103"/>
        <v>70298.61404761298</v>
      </c>
      <c r="BQ25" s="2">
        <f t="shared" si="103"/>
        <v>73608.908319316732</v>
      </c>
      <c r="BR25" s="2">
        <f t="shared" si="103"/>
        <v>77074.851967247363</v>
      </c>
    </row>
    <row r="26" spans="2:182" s="2" customFormat="1" x14ac:dyDescent="0.2">
      <c r="B26" s="2" t="s">
        <v>33</v>
      </c>
      <c r="C26" s="2">
        <f t="shared" ref="C26" si="104">+C24-C25</f>
        <v>20065</v>
      </c>
      <c r="D26" s="2">
        <f t="shared" ref="D26:F26" si="105">+D24-D25</f>
        <v>13822</v>
      </c>
      <c r="E26" s="2">
        <f t="shared" si="105"/>
        <v>11519</v>
      </c>
      <c r="F26" s="2">
        <f t="shared" si="105"/>
        <v>14125</v>
      </c>
      <c r="K26" s="2">
        <f t="shared" ref="K26:N26" si="106">+K24-K25</f>
        <v>22236</v>
      </c>
      <c r="L26" s="2">
        <f t="shared" si="106"/>
        <v>11249</v>
      </c>
      <c r="M26" s="2">
        <f t="shared" si="106"/>
        <v>11253</v>
      </c>
      <c r="N26" s="2">
        <f t="shared" si="106"/>
        <v>12673</v>
      </c>
      <c r="O26" s="2">
        <f>+O24-O25</f>
        <v>28755</v>
      </c>
      <c r="P26" s="2">
        <f>+P24-P25</f>
        <v>23630</v>
      </c>
      <c r="Q26" s="2">
        <f>+Q24-Q25</f>
        <v>21744</v>
      </c>
      <c r="R26" s="2">
        <f t="shared" ref="R26" si="107">+R24-R25</f>
        <v>20551</v>
      </c>
      <c r="S26" s="2">
        <f t="shared" ref="S26" si="108">+S24-S25</f>
        <v>34630</v>
      </c>
      <c r="T26" s="2">
        <f>+T24-T25</f>
        <v>25010</v>
      </c>
      <c r="U26" s="2">
        <f t="shared" ref="U26:W26" si="109">+U24-U25</f>
        <v>19442</v>
      </c>
      <c r="V26" s="2">
        <f t="shared" si="109"/>
        <v>20721</v>
      </c>
      <c r="W26" s="2">
        <f t="shared" si="109"/>
        <v>29998</v>
      </c>
      <c r="AD26" s="2">
        <f t="shared" ref="AD26:AE26" si="110">+AD24-AD25</f>
        <v>517</v>
      </c>
      <c r="AE26" s="2">
        <f t="shared" si="110"/>
        <v>-116</v>
      </c>
      <c r="AF26" s="2">
        <f t="shared" ref="AF26:AH26" si="111">+AF24-AF25</f>
        <v>96</v>
      </c>
      <c r="AG26" s="2">
        <f t="shared" si="111"/>
        <v>94</v>
      </c>
      <c r="AH26" s="2">
        <f t="shared" si="111"/>
        <v>299</v>
      </c>
      <c r="AI26" s="2">
        <f t="shared" ref="AI26:AJ26" si="112">+AI24-AI25</f>
        <v>1335</v>
      </c>
      <c r="AJ26" s="2">
        <f t="shared" si="112"/>
        <v>1989</v>
      </c>
      <c r="AK26" s="2">
        <f t="shared" ref="AK26:AL26" si="113">+AK24-AK25</f>
        <v>3496</v>
      </c>
      <c r="AL26" s="2">
        <f t="shared" si="113"/>
        <v>6119</v>
      </c>
      <c r="AM26" s="2">
        <f t="shared" ref="AM26:AO26" si="114">+AM24-AM25</f>
        <v>8235</v>
      </c>
      <c r="AN26" s="2">
        <f t="shared" si="114"/>
        <v>14013</v>
      </c>
      <c r="AO26" s="2">
        <f t="shared" si="114"/>
        <v>25922</v>
      </c>
      <c r="AP26" s="2">
        <f>+AP24-AP25</f>
        <v>41733</v>
      </c>
      <c r="AQ26" s="2">
        <f>+AQ24-AQ25</f>
        <v>37037</v>
      </c>
      <c r="AR26" s="2">
        <f>+AR24-AR25</f>
        <v>39510</v>
      </c>
      <c r="AS26" s="2">
        <f>+AS24-AS25</f>
        <v>53394</v>
      </c>
      <c r="AT26" s="2">
        <f>+AT24-AT25</f>
        <v>45687</v>
      </c>
      <c r="AU26" s="2">
        <f>+AU24-AU25</f>
        <v>48351</v>
      </c>
      <c r="AV26" s="2">
        <f t="shared" ref="AV26:AW26" si="115">+AV24-AV25</f>
        <v>59531</v>
      </c>
      <c r="AW26" s="2">
        <f t="shared" si="115"/>
        <v>55256</v>
      </c>
      <c r="AX26" s="2">
        <f>+AX24-AX25</f>
        <v>57411</v>
      </c>
      <c r="AY26" s="2">
        <f>+AY24-AY25</f>
        <v>94680</v>
      </c>
      <c r="AZ26" s="2">
        <f>+AZ24-AZ25</f>
        <v>99803</v>
      </c>
      <c r="BA26" s="2">
        <f>+BA24-BA25</f>
        <v>106804.25645759997</v>
      </c>
      <c r="BB26" s="2">
        <f t="shared" ref="BB26:BR26" si="116">+BB24-BB25</f>
        <v>119334.79003978365</v>
      </c>
      <c r="BC26" s="2">
        <f t="shared" si="116"/>
        <v>133384.04134483734</v>
      </c>
      <c r="BD26" s="2">
        <f t="shared" si="116"/>
        <v>144952.70144013161</v>
      </c>
      <c r="BE26" s="2">
        <f t="shared" si="116"/>
        <v>157511.42001862777</v>
      </c>
      <c r="BF26" s="2">
        <f t="shared" si="116"/>
        <v>171147.7587546423</v>
      </c>
      <c r="BG26" s="2">
        <f t="shared" si="116"/>
        <v>181339.1848864709</v>
      </c>
      <c r="BH26" s="2">
        <f t="shared" si="116"/>
        <v>191019.73408238403</v>
      </c>
      <c r="BI26" s="2">
        <f t="shared" si="116"/>
        <v>201200.42382659114</v>
      </c>
      <c r="BJ26" s="2">
        <f t="shared" si="116"/>
        <v>211906.73056983631</v>
      </c>
      <c r="BK26" s="2">
        <f t="shared" si="116"/>
        <v>223165.42323341948</v>
      </c>
      <c r="BL26" s="2">
        <f t="shared" si="116"/>
        <v>233913.29985529892</v>
      </c>
      <c r="BM26" s="2">
        <f t="shared" si="116"/>
        <v>244932.2332875359</v>
      </c>
      <c r="BN26" s="2">
        <f t="shared" si="116"/>
        <v>256468.93511071979</v>
      </c>
      <c r="BO26" s="2">
        <f t="shared" si="116"/>
        <v>268547.81875922554</v>
      </c>
      <c r="BP26" s="2">
        <f t="shared" si="116"/>
        <v>281194.45619045186</v>
      </c>
      <c r="BQ26" s="2">
        <f t="shared" si="116"/>
        <v>294435.63327726693</v>
      </c>
      <c r="BR26" s="2">
        <f t="shared" si="116"/>
        <v>308299.40786898945</v>
      </c>
      <c r="BS26" s="2">
        <f>+BR26*(1+$BU$31)</f>
        <v>305216.41379029956</v>
      </c>
      <c r="BT26" s="2">
        <f t="shared" ref="BT26:EE26" si="117">+BS26*(1+$BU$31)</f>
        <v>302164.24965239654</v>
      </c>
      <c r="BU26" s="2">
        <f t="shared" si="117"/>
        <v>299142.60715587257</v>
      </c>
      <c r="BV26" s="2">
        <f t="shared" si="117"/>
        <v>296151.18108431384</v>
      </c>
      <c r="BW26" s="2">
        <f t="shared" si="117"/>
        <v>293189.6692734707</v>
      </c>
      <c r="BX26" s="2">
        <f t="shared" si="117"/>
        <v>290257.77258073597</v>
      </c>
      <c r="BY26" s="2">
        <f t="shared" si="117"/>
        <v>287355.19485492859</v>
      </c>
      <c r="BZ26" s="2">
        <f t="shared" si="117"/>
        <v>284481.6429063793</v>
      </c>
      <c r="CA26" s="2">
        <f t="shared" si="117"/>
        <v>281636.82647731551</v>
      </c>
      <c r="CB26" s="2">
        <f t="shared" si="117"/>
        <v>278820.45821254235</v>
      </c>
      <c r="CC26" s="2">
        <f t="shared" si="117"/>
        <v>276032.25363041693</v>
      </c>
      <c r="CD26" s="2">
        <f t="shared" si="117"/>
        <v>273271.93109411275</v>
      </c>
      <c r="CE26" s="2">
        <f t="shared" si="117"/>
        <v>270539.21178317163</v>
      </c>
      <c r="CF26" s="2">
        <f t="shared" si="117"/>
        <v>267833.81966533989</v>
      </c>
      <c r="CG26" s="2">
        <f t="shared" si="117"/>
        <v>265155.48146868648</v>
      </c>
      <c r="CH26" s="2">
        <f t="shared" si="117"/>
        <v>262503.9266539996</v>
      </c>
      <c r="CI26" s="2">
        <f t="shared" si="117"/>
        <v>259878.8873874596</v>
      </c>
      <c r="CJ26" s="2">
        <f t="shared" si="117"/>
        <v>257280.09851358499</v>
      </c>
      <c r="CK26" s="2">
        <f t="shared" si="117"/>
        <v>254707.29752844913</v>
      </c>
      <c r="CL26" s="2">
        <f t="shared" si="117"/>
        <v>252160.22455316462</v>
      </c>
      <c r="CM26" s="2">
        <f t="shared" si="117"/>
        <v>249638.62230763296</v>
      </c>
      <c r="CN26" s="2">
        <f t="shared" si="117"/>
        <v>247142.23608455664</v>
      </c>
      <c r="CO26" s="2">
        <f t="shared" si="117"/>
        <v>244670.81372371106</v>
      </c>
      <c r="CP26" s="2">
        <f t="shared" si="117"/>
        <v>242224.10558647395</v>
      </c>
      <c r="CQ26" s="2">
        <f t="shared" si="117"/>
        <v>239801.86453060919</v>
      </c>
      <c r="CR26" s="2">
        <f t="shared" si="117"/>
        <v>237403.8458853031</v>
      </c>
      <c r="CS26" s="2">
        <f t="shared" si="117"/>
        <v>235029.80742645008</v>
      </c>
      <c r="CT26" s="2">
        <f t="shared" si="117"/>
        <v>232679.50935218556</v>
      </c>
      <c r="CU26" s="2">
        <f t="shared" si="117"/>
        <v>230352.71425866371</v>
      </c>
      <c r="CV26" s="2">
        <f t="shared" si="117"/>
        <v>228049.18711607705</v>
      </c>
      <c r="CW26" s="2">
        <f t="shared" si="117"/>
        <v>225768.69524491628</v>
      </c>
      <c r="CX26" s="2">
        <f t="shared" si="117"/>
        <v>223511.0082924671</v>
      </c>
      <c r="CY26" s="2">
        <f t="shared" si="117"/>
        <v>221275.89820954241</v>
      </c>
      <c r="CZ26" s="2">
        <f t="shared" si="117"/>
        <v>219063.13922744698</v>
      </c>
      <c r="DA26" s="2">
        <f t="shared" si="117"/>
        <v>216872.50783517252</v>
      </c>
      <c r="DB26" s="2">
        <f t="shared" si="117"/>
        <v>214703.78275682079</v>
      </c>
      <c r="DC26" s="2">
        <f t="shared" si="117"/>
        <v>212556.74492925257</v>
      </c>
      <c r="DD26" s="2">
        <f t="shared" si="117"/>
        <v>210431.17747996005</v>
      </c>
      <c r="DE26" s="2">
        <f t="shared" si="117"/>
        <v>208326.86570516045</v>
      </c>
      <c r="DF26" s="2">
        <f t="shared" si="117"/>
        <v>206243.59704810884</v>
      </c>
      <c r="DG26" s="2">
        <f t="shared" si="117"/>
        <v>204181.16107762777</v>
      </c>
      <c r="DH26" s="2">
        <f t="shared" si="117"/>
        <v>202139.34946685148</v>
      </c>
      <c r="DI26" s="2">
        <f t="shared" si="117"/>
        <v>200117.95597218297</v>
      </c>
      <c r="DJ26" s="2">
        <f t="shared" si="117"/>
        <v>198116.77641246113</v>
      </c>
      <c r="DK26" s="2">
        <f t="shared" si="117"/>
        <v>196135.60864833652</v>
      </c>
      <c r="DL26" s="2">
        <f t="shared" si="117"/>
        <v>194174.25256185315</v>
      </c>
      <c r="DM26" s="2">
        <f t="shared" si="117"/>
        <v>192232.51003623463</v>
      </c>
      <c r="DN26" s="2">
        <f t="shared" si="117"/>
        <v>190310.18493587227</v>
      </c>
      <c r="DO26" s="2">
        <f t="shared" si="117"/>
        <v>188407.08308651354</v>
      </c>
      <c r="DP26" s="2">
        <f t="shared" si="117"/>
        <v>186523.01225564841</v>
      </c>
      <c r="DQ26" s="2">
        <f t="shared" si="117"/>
        <v>184657.78213309194</v>
      </c>
      <c r="DR26" s="2">
        <f t="shared" si="117"/>
        <v>182811.20431176102</v>
      </c>
      <c r="DS26" s="2">
        <f t="shared" si="117"/>
        <v>180983.09226864341</v>
      </c>
      <c r="DT26" s="2">
        <f t="shared" si="117"/>
        <v>179173.26134595697</v>
      </c>
      <c r="DU26" s="2">
        <f t="shared" si="117"/>
        <v>177381.52873249739</v>
      </c>
      <c r="DV26" s="2">
        <f t="shared" si="117"/>
        <v>175607.71344517241</v>
      </c>
      <c r="DW26" s="2">
        <f t="shared" si="117"/>
        <v>173851.6363107207</v>
      </c>
      <c r="DX26" s="2">
        <f t="shared" si="117"/>
        <v>172113.11994761348</v>
      </c>
      <c r="DY26" s="2">
        <f t="shared" si="117"/>
        <v>170391.98874813734</v>
      </c>
      <c r="DZ26" s="2">
        <f t="shared" si="117"/>
        <v>168688.06886065597</v>
      </c>
      <c r="EA26" s="2">
        <f t="shared" si="117"/>
        <v>167001.18817204941</v>
      </c>
      <c r="EB26" s="2">
        <f t="shared" si="117"/>
        <v>165331.17629032891</v>
      </c>
      <c r="EC26" s="2">
        <f t="shared" si="117"/>
        <v>163677.86452742561</v>
      </c>
      <c r="ED26" s="2">
        <f t="shared" si="117"/>
        <v>162041.08588215135</v>
      </c>
      <c r="EE26" s="2">
        <f t="shared" si="117"/>
        <v>160420.67502332985</v>
      </c>
      <c r="EF26" s="2">
        <f t="shared" ref="EF26:FZ26" si="118">+EE26*(1+$BU$31)</f>
        <v>158816.46827309654</v>
      </c>
      <c r="EG26" s="2">
        <f t="shared" si="118"/>
        <v>157228.30359036557</v>
      </c>
      <c r="EH26" s="2">
        <f t="shared" si="118"/>
        <v>155656.02055446192</v>
      </c>
      <c r="EI26" s="2">
        <f t="shared" si="118"/>
        <v>154099.46034891732</v>
      </c>
      <c r="EJ26" s="2">
        <f t="shared" si="118"/>
        <v>152558.46574542814</v>
      </c>
      <c r="EK26" s="2">
        <f t="shared" si="118"/>
        <v>151032.88108797386</v>
      </c>
      <c r="EL26" s="2">
        <f t="shared" si="118"/>
        <v>149522.55227709413</v>
      </c>
      <c r="EM26" s="2">
        <f t="shared" si="118"/>
        <v>148027.32675432318</v>
      </c>
      <c r="EN26" s="2">
        <f t="shared" si="118"/>
        <v>146547.05348677994</v>
      </c>
      <c r="EO26" s="2">
        <f t="shared" si="118"/>
        <v>145081.58295191213</v>
      </c>
      <c r="EP26" s="2">
        <f t="shared" si="118"/>
        <v>143630.76712239301</v>
      </c>
      <c r="EQ26" s="2">
        <f t="shared" si="118"/>
        <v>142194.45945116907</v>
      </c>
      <c r="ER26" s="2">
        <f t="shared" si="118"/>
        <v>140772.51485665736</v>
      </c>
      <c r="ES26" s="2">
        <f t="shared" si="118"/>
        <v>139364.7897080908</v>
      </c>
      <c r="ET26" s="2">
        <f t="shared" si="118"/>
        <v>137971.1418110099</v>
      </c>
      <c r="EU26" s="2">
        <f t="shared" si="118"/>
        <v>136591.43039289981</v>
      </c>
      <c r="EV26" s="2">
        <f t="shared" si="118"/>
        <v>135225.51608897082</v>
      </c>
      <c r="EW26" s="2">
        <f t="shared" si="118"/>
        <v>133873.26092808112</v>
      </c>
      <c r="EX26" s="2">
        <f t="shared" si="118"/>
        <v>132534.52831880029</v>
      </c>
      <c r="EY26" s="2">
        <f t="shared" si="118"/>
        <v>131209.18303561228</v>
      </c>
      <c r="EZ26" s="2">
        <f t="shared" si="118"/>
        <v>129897.09120525616</v>
      </c>
      <c r="FA26" s="2">
        <f t="shared" si="118"/>
        <v>128598.1202932036</v>
      </c>
      <c r="FB26" s="2">
        <f t="shared" si="118"/>
        <v>127312.13909027156</v>
      </c>
      <c r="FC26" s="2">
        <f t="shared" si="118"/>
        <v>126039.01769936885</v>
      </c>
      <c r="FD26" s="2">
        <f t="shared" si="118"/>
        <v>124778.62752237516</v>
      </c>
      <c r="FE26" s="2">
        <f t="shared" si="118"/>
        <v>123530.8412471514</v>
      </c>
      <c r="FF26" s="2">
        <f t="shared" si="118"/>
        <v>122295.53283467989</v>
      </c>
      <c r="FG26" s="2">
        <f t="shared" si="118"/>
        <v>121072.57750633309</v>
      </c>
      <c r="FH26" s="2">
        <f t="shared" si="118"/>
        <v>119861.85173126977</v>
      </c>
      <c r="FI26" s="2">
        <f t="shared" si="118"/>
        <v>118663.23321395706</v>
      </c>
      <c r="FJ26" s="2">
        <f t="shared" si="118"/>
        <v>117476.60088181749</v>
      </c>
      <c r="FK26" s="2">
        <f t="shared" si="118"/>
        <v>116301.83487299932</v>
      </c>
      <c r="FL26" s="2">
        <f t="shared" si="118"/>
        <v>115138.81652426932</v>
      </c>
      <c r="FM26" s="2">
        <f t="shared" si="118"/>
        <v>113987.42835902663</v>
      </c>
      <c r="FN26" s="2">
        <f t="shared" si="118"/>
        <v>112847.55407543636</v>
      </c>
      <c r="FO26" s="2">
        <f t="shared" si="118"/>
        <v>111719.07853468199</v>
      </c>
      <c r="FP26" s="2">
        <f t="shared" si="118"/>
        <v>110601.88774933518</v>
      </c>
      <c r="FQ26" s="2">
        <f t="shared" si="118"/>
        <v>109495.86887184183</v>
      </c>
      <c r="FR26" s="2">
        <f t="shared" si="118"/>
        <v>108400.91018312341</v>
      </c>
      <c r="FS26" s="2">
        <f t="shared" si="118"/>
        <v>107316.90108129218</v>
      </c>
      <c r="FT26" s="2">
        <f t="shared" si="118"/>
        <v>106243.73207047925</v>
      </c>
      <c r="FU26" s="2">
        <f t="shared" si="118"/>
        <v>105181.29474977446</v>
      </c>
      <c r="FV26" s="2">
        <f t="shared" si="118"/>
        <v>104129.48180227671</v>
      </c>
      <c r="FW26" s="2">
        <f t="shared" si="118"/>
        <v>103088.18698425395</v>
      </c>
      <c r="FX26" s="2">
        <f t="shared" si="118"/>
        <v>102057.3051144114</v>
      </c>
      <c r="FY26" s="2">
        <f t="shared" si="118"/>
        <v>101036.73206326728</v>
      </c>
      <c r="FZ26" s="2">
        <f t="shared" si="118"/>
        <v>100026.3647426346</v>
      </c>
    </row>
    <row r="27" spans="2:182" s="4" customFormat="1" x14ac:dyDescent="0.2">
      <c r="B27" s="4" t="s">
        <v>37</v>
      </c>
      <c r="C27" s="12">
        <f t="shared" ref="C27" si="119">+C26/C28</f>
        <v>0.97255857987156114</v>
      </c>
      <c r="D27" s="12">
        <f t="shared" ref="D27:F27" si="120">+D26/D28</f>
        <v>0.68176083107937602</v>
      </c>
      <c r="E27" s="12">
        <f t="shared" si="120"/>
        <v>0.58452984598534197</v>
      </c>
      <c r="F27" s="12">
        <f t="shared" si="120"/>
        <v>0.70623460408563088</v>
      </c>
      <c r="G27" s="12"/>
      <c r="H27" s="12"/>
      <c r="I27" s="12"/>
      <c r="J27" s="12"/>
      <c r="K27" s="12">
        <f t="shared" ref="K27:N27" si="121">+K26/K28</f>
        <v>1.2479223042091785</v>
      </c>
      <c r="L27" s="12">
        <f t="shared" si="121"/>
        <v>0.63846699811252383</v>
      </c>
      <c r="M27" s="12">
        <f t="shared" si="121"/>
        <v>0.64601300384622584</v>
      </c>
      <c r="N27" s="12">
        <f t="shared" si="121"/>
        <v>0.73438904632051849</v>
      </c>
      <c r="O27" s="12">
        <f>+O26/O28</f>
        <v>1.6802339741147556</v>
      </c>
      <c r="P27" s="12">
        <f>+P26/P28</f>
        <v>1.3958166966021994</v>
      </c>
      <c r="Q27" s="12">
        <f>+Q26/Q28</f>
        <v>1.2956943963183782</v>
      </c>
      <c r="R27" s="12">
        <f t="shared" ref="R27" si="122">+R26/R28</f>
        <v>1.2354000701047909</v>
      </c>
      <c r="S27" s="12">
        <f t="shared" ref="S27" si="123">+S26/S28</f>
        <v>2.0963369432743812</v>
      </c>
      <c r="T27" s="12">
        <f>+T26/T28</f>
        <v>1.5246917147727936</v>
      </c>
      <c r="U27" s="12">
        <f t="shared" ref="U27:W27" si="124">+U26/U28</f>
        <v>1.1955329791418789</v>
      </c>
      <c r="V27" s="12">
        <f t="shared" si="124"/>
        <v>1.2855442500262897</v>
      </c>
      <c r="W27" s="12">
        <f t="shared" si="124"/>
        <v>1.8800783518485347</v>
      </c>
      <c r="AD27" s="12">
        <f t="shared" ref="AD27:AE27" si="125">+AD26/AD28</f>
        <v>1.4348197733151276</v>
      </c>
      <c r="AE27" s="12">
        <f t="shared" si="125"/>
        <v>-0.33563552296933274</v>
      </c>
      <c r="AF27" s="12">
        <f t="shared" ref="AF27:AH27" si="126">+AF26/AF28</f>
        <v>0.26535096811642273</v>
      </c>
      <c r="AG27" s="12">
        <f t="shared" si="126"/>
        <v>0.12931058200767059</v>
      </c>
      <c r="AH27" s="12">
        <f t="shared" si="126"/>
        <v>0.38599471742346592</v>
      </c>
      <c r="AI27" s="12">
        <f t="shared" ref="AI27:AJ27" si="127">+AI26/AI28</f>
        <v>1.5581596209061837</v>
      </c>
      <c r="AJ27" s="12">
        <f t="shared" si="127"/>
        <v>2.266599508162721</v>
      </c>
      <c r="AK27" s="12">
        <f t="shared" ref="AK27:AL27" si="128">+AK26/AK28</f>
        <v>3.9312171930029729</v>
      </c>
      <c r="AL27" s="12">
        <f t="shared" si="128"/>
        <v>6.7827685090656757</v>
      </c>
      <c r="AM27" s="12">
        <f t="shared" ref="AM27:AO27" si="129">+AM26/AM28</f>
        <v>9.0793325284866118</v>
      </c>
      <c r="AN27" s="12">
        <f t="shared" si="129"/>
        <v>15.15390737872981</v>
      </c>
      <c r="AO27" s="12">
        <f t="shared" si="129"/>
        <v>27.675373273759003</v>
      </c>
      <c r="AP27" s="12">
        <f>+AP26/AP28</f>
        <v>6.3064763445557777</v>
      </c>
      <c r="AQ27" s="12">
        <f>+AQ26/AQ28</f>
        <v>5.6790982137298718</v>
      </c>
      <c r="AR27" s="12">
        <f>+AR26/AR28</f>
        <v>6.4530744220284548</v>
      </c>
      <c r="AS27" s="12">
        <f>+AS26/AS28</f>
        <v>9.216876236067618</v>
      </c>
      <c r="AT27" s="12">
        <f>+AT26/AT28</f>
        <v>8.3063028961611227</v>
      </c>
      <c r="AU27" s="12">
        <f>+AU26/AU28</f>
        <v>9.2067470826545037</v>
      </c>
      <c r="AV27" s="12">
        <f t="shared" ref="AV27:AW27" si="130">+AV26/AV28</f>
        <v>2.9764851126245446</v>
      </c>
      <c r="AW27" s="12">
        <f t="shared" si="130"/>
        <v>2.9714474637107351</v>
      </c>
      <c r="AX27" s="12">
        <f>+AX26/AX28</f>
        <v>3.2753479151477172</v>
      </c>
      <c r="AY27" s="12">
        <f>+AY26/AY28</f>
        <v>5.6140203576723327</v>
      </c>
      <c r="AZ27" s="12">
        <f>+AZ26/AZ28</f>
        <v>6.1132002950847406</v>
      </c>
      <c r="BA27" s="12">
        <f>+BA26/BA28</f>
        <v>6.5420459514534279</v>
      </c>
      <c r="BB27" s="12">
        <f t="shared" ref="BB27:BR27" si="131">+BB26/BB28</f>
        <v>7.3095745988104657</v>
      </c>
      <c r="BC27" s="12">
        <f t="shared" si="131"/>
        <v>8.1701287627511689</v>
      </c>
      <c r="BD27" s="12">
        <f t="shared" si="131"/>
        <v>8.8787400901490212</v>
      </c>
      <c r="BE27" s="12">
        <f t="shared" si="131"/>
        <v>9.6479951438042129</v>
      </c>
      <c r="BF27" s="12">
        <f t="shared" si="131"/>
        <v>10.483257310120651</v>
      </c>
      <c r="BG27" s="12">
        <f t="shared" si="131"/>
        <v>11.107509379060751</v>
      </c>
      <c r="BH27" s="12">
        <f t="shared" si="131"/>
        <v>11.700468871270791</v>
      </c>
      <c r="BI27" s="12">
        <f t="shared" si="131"/>
        <v>12.324063307795274</v>
      </c>
      <c r="BJ27" s="12">
        <f t="shared" si="131"/>
        <v>12.979853189282546</v>
      </c>
      <c r="BK27" s="12">
        <f t="shared" si="131"/>
        <v>13.669478183654308</v>
      </c>
      <c r="BL27" s="12">
        <f t="shared" si="131"/>
        <v>14.327814331229108</v>
      </c>
      <c r="BM27" s="12">
        <f t="shared" si="131"/>
        <v>15.002753432353025</v>
      </c>
      <c r="BN27" s="12">
        <f t="shared" si="131"/>
        <v>15.709407230232772</v>
      </c>
      <c r="BO27" s="12">
        <f t="shared" si="131"/>
        <v>16.449271112925071</v>
      </c>
      <c r="BP27" s="12">
        <f t="shared" si="131"/>
        <v>17.223911431115933</v>
      </c>
      <c r="BQ27" s="12">
        <f t="shared" si="131"/>
        <v>18.034968891055886</v>
      </c>
      <c r="BR27" s="12">
        <f t="shared" si="131"/>
        <v>18.884162110950143</v>
      </c>
    </row>
    <row r="28" spans="2:182" s="2" customFormat="1" x14ac:dyDescent="0.2">
      <c r="B28" s="2" t="s">
        <v>1</v>
      </c>
      <c r="C28" s="2">
        <f>5157.787*4</f>
        <v>20631.148000000001</v>
      </c>
      <c r="D28" s="2">
        <f>5068.493*4</f>
        <v>20273.972000000002</v>
      </c>
      <c r="E28" s="2">
        <f>4926.609*4</f>
        <v>19706.436000000002</v>
      </c>
      <c r="F28" s="2">
        <f>5000.109*4</f>
        <v>20000.436000000002</v>
      </c>
      <c r="K28" s="2">
        <v>17818.417000000001</v>
      </c>
      <c r="L28" s="2">
        <v>17618.764999999999</v>
      </c>
      <c r="M28" s="2">
        <v>17419.153999999999</v>
      </c>
      <c r="N28" s="2">
        <v>17256.521000000001</v>
      </c>
      <c r="O28" s="2">
        <v>17113.687999999998</v>
      </c>
      <c r="P28" s="2">
        <v>16929.156999999999</v>
      </c>
      <c r="Q28" s="2">
        <v>16781.735000000001</v>
      </c>
      <c r="R28" s="2">
        <v>16635.097000000002</v>
      </c>
      <c r="S28" s="2">
        <v>16519.291000000001</v>
      </c>
      <c r="T28" s="2">
        <v>16403.315999999999</v>
      </c>
      <c r="U28" s="2">
        <v>16262.203</v>
      </c>
      <c r="V28" s="2">
        <v>16118.465</v>
      </c>
      <c r="W28" s="2">
        <v>15955.718000000001</v>
      </c>
      <c r="AD28" s="2">
        <v>360.32400000000001</v>
      </c>
      <c r="AE28" s="2">
        <v>345.613</v>
      </c>
      <c r="AF28" s="2">
        <v>361.78500000000003</v>
      </c>
      <c r="AG28" s="2">
        <v>726.93200000000002</v>
      </c>
      <c r="AH28" s="2">
        <v>774.62199999999996</v>
      </c>
      <c r="AI28" s="2">
        <v>856.78</v>
      </c>
      <c r="AJ28" s="2">
        <v>877.52599999999995</v>
      </c>
      <c r="AK28" s="2">
        <v>889.29200000000003</v>
      </c>
      <c r="AL28" s="2">
        <v>902.13900000000001</v>
      </c>
      <c r="AM28" s="2">
        <v>907.005</v>
      </c>
      <c r="AN28" s="2">
        <v>924.71199999999999</v>
      </c>
      <c r="AO28" s="2">
        <v>936.64499999999998</v>
      </c>
      <c r="AP28" s="2">
        <v>6617.4830000000002</v>
      </c>
      <c r="AQ28" s="2">
        <v>6521.634</v>
      </c>
      <c r="AR28" s="2">
        <v>6122.6629999999996</v>
      </c>
      <c r="AS28" s="2">
        <v>5793.0690000000004</v>
      </c>
      <c r="AT28" s="2">
        <v>5500.2809999999999</v>
      </c>
      <c r="AU28" s="2">
        <v>5251.692</v>
      </c>
      <c r="AV28" s="2">
        <f>5000.109*4</f>
        <v>20000.436000000002</v>
      </c>
      <c r="AW28" s="2">
        <v>18595.651000000002</v>
      </c>
      <c r="AX28" s="2">
        <f>AVERAGE(K28:N28)</f>
        <v>17528.214249999997</v>
      </c>
      <c r="AY28" s="2">
        <f>AVERAGE(O28:R28)</f>
        <v>16864.919249999999</v>
      </c>
      <c r="AZ28" s="2">
        <f>AVERAGE(S28:V28)</f>
        <v>16325.818750000002</v>
      </c>
      <c r="BA28" s="2">
        <f>+AZ28</f>
        <v>16325.818750000002</v>
      </c>
      <c r="BB28" s="2">
        <f t="shared" ref="BB28:BR28" si="132">+BA28</f>
        <v>16325.818750000002</v>
      </c>
      <c r="BC28" s="2">
        <f t="shared" si="132"/>
        <v>16325.818750000002</v>
      </c>
      <c r="BD28" s="2">
        <f t="shared" si="132"/>
        <v>16325.818750000002</v>
      </c>
      <c r="BE28" s="2">
        <f t="shared" si="132"/>
        <v>16325.818750000002</v>
      </c>
      <c r="BF28" s="2">
        <f t="shared" si="132"/>
        <v>16325.818750000002</v>
      </c>
      <c r="BG28" s="2">
        <f t="shared" si="132"/>
        <v>16325.818750000002</v>
      </c>
      <c r="BH28" s="2">
        <f t="shared" si="132"/>
        <v>16325.818750000002</v>
      </c>
      <c r="BI28" s="2">
        <f t="shared" si="132"/>
        <v>16325.818750000002</v>
      </c>
      <c r="BJ28" s="2">
        <f t="shared" si="132"/>
        <v>16325.818750000002</v>
      </c>
      <c r="BK28" s="2">
        <f t="shared" si="132"/>
        <v>16325.818750000002</v>
      </c>
      <c r="BL28" s="2">
        <f t="shared" si="132"/>
        <v>16325.818750000002</v>
      </c>
      <c r="BM28" s="2">
        <f t="shared" si="132"/>
        <v>16325.818750000002</v>
      </c>
      <c r="BN28" s="2">
        <f t="shared" si="132"/>
        <v>16325.818750000002</v>
      </c>
      <c r="BO28" s="2">
        <f t="shared" si="132"/>
        <v>16325.818750000002</v>
      </c>
      <c r="BP28" s="2">
        <f t="shared" si="132"/>
        <v>16325.818750000002</v>
      </c>
      <c r="BQ28" s="2">
        <f t="shared" si="132"/>
        <v>16325.818750000002</v>
      </c>
      <c r="BR28" s="2">
        <f t="shared" si="132"/>
        <v>16325.818750000002</v>
      </c>
    </row>
    <row r="30" spans="2:182" s="4" customFormat="1" x14ac:dyDescent="0.2">
      <c r="B30" s="8" t="s">
        <v>42</v>
      </c>
      <c r="L30" s="9"/>
      <c r="M30" s="9"/>
      <c r="N30" s="9"/>
      <c r="O30" s="9">
        <f>O14/K14-1</f>
        <v>0.21368126422635836</v>
      </c>
      <c r="P30" s="9">
        <f t="shared" ref="P30" si="133">P14/L14-1</f>
        <v>0.53626121105070901</v>
      </c>
      <c r="Q30" s="9">
        <f t="shared" ref="Q30" si="134">Q14/M14-1</f>
        <v>0.36439641450950822</v>
      </c>
      <c r="R30" s="9">
        <f t="shared" ref="R30" si="135">R14/N14-1</f>
        <v>0.28844786546724777</v>
      </c>
      <c r="S30" s="9">
        <f>S14/O14-1</f>
        <v>0.11222283042740866</v>
      </c>
      <c r="T30" s="9">
        <f>T14/P14-1</f>
        <v>8.5885872477228009E-2</v>
      </c>
      <c r="U30" s="9">
        <f>U14/Q14-1</f>
        <v>1.8726821720657316E-2</v>
      </c>
      <c r="V30" s="9">
        <f>V14/R14-1</f>
        <v>8.1405950095969182E-2</v>
      </c>
      <c r="W30" s="9">
        <f t="shared" ref="W30:Z30" si="136">W14/S14-1</f>
        <v>-5.4790431239662762E-2</v>
      </c>
      <c r="X30" s="9">
        <f t="shared" si="136"/>
        <v>-1</v>
      </c>
      <c r="Y30" s="9">
        <f t="shared" si="136"/>
        <v>-1</v>
      </c>
      <c r="Z30" s="9">
        <f t="shared" si="136"/>
        <v>-1</v>
      </c>
      <c r="AD30" s="9">
        <f t="shared" ref="AD30:AK30" si="137">+AD14/AC14-1</f>
        <v>0.30143462667101395</v>
      </c>
      <c r="AE30" s="9">
        <f t="shared" si="137"/>
        <v>-0.32819741951647252</v>
      </c>
      <c r="AF30" s="9">
        <f t="shared" si="137"/>
        <v>7.0669401454409808E-2</v>
      </c>
      <c r="AG30" s="9">
        <f t="shared" si="137"/>
        <v>8.0982236154649945E-2</v>
      </c>
      <c r="AH30" s="9">
        <f t="shared" si="137"/>
        <v>0.33381665861124543</v>
      </c>
      <c r="AI30" s="9">
        <f t="shared" si="137"/>
        <v>0.68269114627370464</v>
      </c>
      <c r="AJ30" s="9">
        <f t="shared" si="137"/>
        <v>0.38647620414902017</v>
      </c>
      <c r="AK30" s="9">
        <f t="shared" ref="AK30:AM30" si="138">+AK14/AJ14-1</f>
        <v>0.24286823712140815</v>
      </c>
      <c r="AL30" s="9">
        <f t="shared" si="138"/>
        <v>0.56173456635841035</v>
      </c>
      <c r="AM30" s="9">
        <f>+AM14/AL14-1</f>
        <v>0.14440799125123371</v>
      </c>
      <c r="AN30" s="9">
        <f>+AN14/AM14-1</f>
        <v>0.52021908868430256</v>
      </c>
      <c r="AO30" s="9">
        <f>+AO14/AN14-1</f>
        <v>0.65962437715599842</v>
      </c>
      <c r="AP30" s="9">
        <f>+AP14/AO14-1</f>
        <v>0.44581474193756976</v>
      </c>
      <c r="AQ30" s="9">
        <f>+AQ14/AP14-1</f>
        <v>9.2020855163953197E-2</v>
      </c>
      <c r="AR30" s="9">
        <f>+AR14/AQ14-1</f>
        <v>6.9539523725937524E-2</v>
      </c>
      <c r="AS30" s="9">
        <f t="shared" ref="AS30:AV30" si="139">+AS14/AR14-1</f>
        <v>0.27856341803659834</v>
      </c>
      <c r="AT30" s="9">
        <f t="shared" si="139"/>
        <v>-7.7342061913013738E-2</v>
      </c>
      <c r="AU30" s="9">
        <f t="shared" si="139"/>
        <v>6.304518199398057E-2</v>
      </c>
      <c r="AV30" s="9">
        <f t="shared" si="139"/>
        <v>0.15861957650261305</v>
      </c>
      <c r="AW30" s="9">
        <f>+AW14/AV14-1</f>
        <v>-2.04107758052674E-2</v>
      </c>
      <c r="AX30" s="9">
        <f>+AX14/AW14-1</f>
        <v>5.5120803769784787E-2</v>
      </c>
      <c r="AY30" s="9">
        <f t="shared" ref="AY30:BR30" si="140">+AY14/AX14-1</f>
        <v>0.33259384733074704</v>
      </c>
      <c r="AZ30" s="9">
        <f t="shared" si="140"/>
        <v>7.7937876041846099E-2</v>
      </c>
      <c r="BA30" s="9">
        <f t="shared" si="140"/>
        <v>7.8816937169057244E-2</v>
      </c>
      <c r="BB30" s="9">
        <f t="shared" si="140"/>
        <v>8.0074448623012495E-2</v>
      </c>
      <c r="BC30" s="9">
        <f t="shared" si="140"/>
        <v>8.1380548944790077E-2</v>
      </c>
      <c r="BD30" s="9">
        <f t="shared" si="140"/>
        <v>6.5675809941133867E-2</v>
      </c>
      <c r="BE30" s="9">
        <f t="shared" si="140"/>
        <v>6.6079188079942508E-2</v>
      </c>
      <c r="BF30" s="9">
        <f t="shared" si="140"/>
        <v>6.6488075308868799E-2</v>
      </c>
      <c r="BG30" s="9">
        <f t="shared" si="140"/>
        <v>5.3766857881200947E-2</v>
      </c>
      <c r="BH30" s="9">
        <f t="shared" si="140"/>
        <v>4.7828298126808555E-2</v>
      </c>
      <c r="BI30" s="9">
        <f t="shared" si="140"/>
        <v>4.7853262617086001E-2</v>
      </c>
      <c r="BJ30" s="9">
        <f t="shared" si="140"/>
        <v>4.7878330360698884E-2</v>
      </c>
      <c r="BK30" s="9">
        <f t="shared" si="140"/>
        <v>4.7903501975288032E-2</v>
      </c>
      <c r="BL30" s="9">
        <f t="shared" si="140"/>
        <v>4.2974415876352534E-2</v>
      </c>
      <c r="BM30" s="9">
        <f t="shared" si="140"/>
        <v>4.1956118367983297E-2</v>
      </c>
      <c r="BN30" s="9">
        <f t="shared" si="140"/>
        <v>4.1994629421749918E-2</v>
      </c>
      <c r="BO30" s="9">
        <f t="shared" si="140"/>
        <v>4.2033236003122587E-2</v>
      </c>
      <c r="BP30" s="9">
        <f t="shared" si="140"/>
        <v>4.2071935627994828E-2</v>
      </c>
      <c r="BQ30" s="9">
        <f t="shared" si="140"/>
        <v>4.2110725785606373E-2</v>
      </c>
      <c r="BR30" s="9">
        <f t="shared" si="140"/>
        <v>4.2149603939151126E-2</v>
      </c>
      <c r="BT30" s="4" t="s">
        <v>94</v>
      </c>
      <c r="BU30" s="15">
        <v>7.4999999999999997E-2</v>
      </c>
    </row>
    <row r="31" spans="2:182" s="4" customFormat="1" x14ac:dyDescent="0.2">
      <c r="B31" s="8" t="s">
        <v>43</v>
      </c>
      <c r="L31" s="9"/>
      <c r="M31" s="9"/>
      <c r="N31" s="9"/>
      <c r="O31" s="9">
        <f t="shared" ref="O31:W31" si="141">+O4/K4-1</f>
        <v>0.1722751398395197</v>
      </c>
      <c r="P31" s="9">
        <f t="shared" si="141"/>
        <v>0.65520336993301576</v>
      </c>
      <c r="Q31" s="9">
        <f t="shared" si="141"/>
        <v>0.49784238019532134</v>
      </c>
      <c r="R31" s="9">
        <f t="shared" si="141"/>
        <v>0.46982302223566785</v>
      </c>
      <c r="S31" s="9">
        <f t="shared" si="141"/>
        <v>9.1940180191167231E-2</v>
      </c>
      <c r="T31" s="9">
        <f t="shared" si="141"/>
        <v>5.4904251324627618E-2</v>
      </c>
      <c r="U31" s="9">
        <f t="shared" si="141"/>
        <v>2.7672479150871787E-2</v>
      </c>
      <c r="V31" s="9">
        <f t="shared" si="141"/>
        <v>9.6686220026757308E-2</v>
      </c>
      <c r="W31" s="9">
        <f t="shared" si="141"/>
        <v>-8.1713854917071505E-2</v>
      </c>
      <c r="AK31" s="9"/>
      <c r="AL31" s="9">
        <f t="shared" ref="AL31" si="142">+AL4/AK4-1</f>
        <v>53.8130081300813</v>
      </c>
      <c r="AM31" s="9">
        <f t="shared" ref="AM31:AT31" si="143">+AM4/AL4-1</f>
        <v>0.93310590329279153</v>
      </c>
      <c r="AN31" s="9">
        <f t="shared" si="143"/>
        <v>0.93194199340136574</v>
      </c>
      <c r="AO31" s="9">
        <f t="shared" si="143"/>
        <v>0.82683982683982693</v>
      </c>
      <c r="AP31" s="9">
        <f t="shared" si="143"/>
        <v>0.71077003347971646</v>
      </c>
      <c r="AQ31" s="9">
        <f t="shared" si="143"/>
        <v>0.15995272708788688</v>
      </c>
      <c r="AR31" s="9">
        <f t="shared" si="143"/>
        <v>0.11735448460215392</v>
      </c>
      <c r="AS31" s="9">
        <f t="shared" si="143"/>
        <v>0.52014393426870997</v>
      </c>
      <c r="AT31" s="9">
        <f t="shared" si="143"/>
        <v>-0.11829774059764842</v>
      </c>
      <c r="AU31" s="9">
        <f t="shared" ref="AU31:AY31" si="144">+AU4/AT4-1</f>
        <v>3.3789319678127372E-2</v>
      </c>
      <c r="AV31" s="9">
        <f t="shared" si="144"/>
        <v>0.16677870633106662</v>
      </c>
      <c r="AW31" s="9">
        <f>+AW4/AV4-1</f>
        <v>-0.13649871427878313</v>
      </c>
      <c r="AX31" s="9">
        <f>+AX4/AW4-1</f>
        <v>-3.2307681502447672E-2</v>
      </c>
      <c r="AY31" s="9">
        <f t="shared" si="144"/>
        <v>0.39331983364905176</v>
      </c>
      <c r="AZ31" s="9">
        <f>+AZ4/AY4-1</f>
        <v>7.0405734139696641E-2</v>
      </c>
      <c r="BA31" s="9">
        <f>+BA4/AZ4-1</f>
        <v>6.6800000000000193E-2</v>
      </c>
      <c r="BB31" s="9">
        <f t="shared" ref="BB31:BR31" si="145">+BB4/BA4-1</f>
        <v>6.6799999999999971E-2</v>
      </c>
      <c r="BC31" s="9">
        <f t="shared" si="145"/>
        <v>6.6799999999999971E-2</v>
      </c>
      <c r="BD31" s="9">
        <f t="shared" si="145"/>
        <v>5.6640000000000024E-2</v>
      </c>
      <c r="BE31" s="9">
        <f t="shared" si="145"/>
        <v>5.6640000000000246E-2</v>
      </c>
      <c r="BF31" s="9">
        <f t="shared" si="145"/>
        <v>5.6640000000000024E-2</v>
      </c>
      <c r="BG31" s="9">
        <f t="shared" si="145"/>
        <v>5.6640000000000024E-2</v>
      </c>
      <c r="BH31" s="9">
        <f t="shared" si="145"/>
        <v>4.6480000000000077E-2</v>
      </c>
      <c r="BI31" s="9">
        <f t="shared" si="145"/>
        <v>4.6480000000000077E-2</v>
      </c>
      <c r="BJ31" s="9">
        <f t="shared" si="145"/>
        <v>4.6480000000000077E-2</v>
      </c>
      <c r="BK31" s="9">
        <f t="shared" si="145"/>
        <v>4.6480000000000077E-2</v>
      </c>
      <c r="BL31" s="9">
        <f t="shared" si="145"/>
        <v>3.632000000000013E-2</v>
      </c>
      <c r="BM31" s="9">
        <f t="shared" si="145"/>
        <v>3.632000000000013E-2</v>
      </c>
      <c r="BN31" s="9">
        <f t="shared" si="145"/>
        <v>3.6319999999999908E-2</v>
      </c>
      <c r="BO31" s="9">
        <f t="shared" si="145"/>
        <v>3.6319999999999908E-2</v>
      </c>
      <c r="BP31" s="9">
        <f t="shared" si="145"/>
        <v>3.632000000000013E-2</v>
      </c>
      <c r="BQ31" s="9">
        <f t="shared" si="145"/>
        <v>3.6319999999999908E-2</v>
      </c>
      <c r="BR31" s="9">
        <f t="shared" si="145"/>
        <v>3.632000000000013E-2</v>
      </c>
      <c r="BT31" s="4" t="s">
        <v>96</v>
      </c>
      <c r="BU31" s="15">
        <v>-0.01</v>
      </c>
    </row>
    <row r="32" spans="2:182" s="4" customFormat="1" x14ac:dyDescent="0.2">
      <c r="B32" s="8" t="s">
        <v>73</v>
      </c>
      <c r="L32" s="9"/>
      <c r="M32" s="9"/>
      <c r="N32" s="9"/>
      <c r="O32" s="9">
        <f>+O13/K13-1</f>
        <v>0.23955957530475813</v>
      </c>
      <c r="P32" s="9">
        <f t="shared" ref="P32:W32" si="146">+P13/L13-1</f>
        <v>0.26618219958046141</v>
      </c>
      <c r="Q32" s="9">
        <f t="shared" si="146"/>
        <v>0.32912739434478566</v>
      </c>
      <c r="R32" s="9">
        <f t="shared" si="146"/>
        <v>0.25623754209911342</v>
      </c>
      <c r="S32" s="9">
        <f t="shared" si="146"/>
        <v>0.23824630416851722</v>
      </c>
      <c r="T32" s="9">
        <f t="shared" si="146"/>
        <v>0.17277084196201398</v>
      </c>
      <c r="U32" s="9">
        <f t="shared" si="146"/>
        <v>0.12112547180601618</v>
      </c>
      <c r="V32" s="9">
        <f t="shared" si="146"/>
        <v>4.984406631285232E-2</v>
      </c>
      <c r="W32" s="9">
        <f t="shared" si="146"/>
        <v>6.4050010248001721E-2</v>
      </c>
      <c r="AW32" s="9">
        <f>+AW13/AV13-1</f>
        <v>0.16461205595250084</v>
      </c>
      <c r="AX32" s="9">
        <f t="shared" ref="AX32:AZ32" si="147">+AX13/AW13-1</f>
        <v>0.16152167807997242</v>
      </c>
      <c r="AY32" s="9">
        <f t="shared" si="147"/>
        <v>0.27259708376729663</v>
      </c>
      <c r="AZ32" s="9">
        <f t="shared" si="147"/>
        <v>0.14181951041286078</v>
      </c>
      <c r="BA32" s="9">
        <f>+BA13/AZ13-1</f>
        <v>0.14999999999999991</v>
      </c>
      <c r="BB32" s="9">
        <f t="shared" ref="BB32:BR32" si="148">+BB13/BA13-1</f>
        <v>0.14999999999999991</v>
      </c>
      <c r="BC32" s="9">
        <f t="shared" si="148"/>
        <v>0.14999999999999991</v>
      </c>
      <c r="BD32" s="9">
        <f t="shared" si="148"/>
        <v>0.10000000000000009</v>
      </c>
      <c r="BE32" s="9">
        <f t="shared" si="148"/>
        <v>0.10000000000000009</v>
      </c>
      <c r="BF32" s="9">
        <f t="shared" si="148"/>
        <v>0.10000000000000009</v>
      </c>
      <c r="BG32" s="9">
        <f t="shared" si="148"/>
        <v>5.0000000000000044E-2</v>
      </c>
      <c r="BH32" s="9">
        <f t="shared" si="148"/>
        <v>5.0000000000000044E-2</v>
      </c>
      <c r="BI32" s="9">
        <f t="shared" si="148"/>
        <v>5.0000000000000044E-2</v>
      </c>
      <c r="BJ32" s="9">
        <f t="shared" si="148"/>
        <v>5.0000000000000044E-2</v>
      </c>
      <c r="BK32" s="9">
        <f t="shared" si="148"/>
        <v>5.0000000000000044E-2</v>
      </c>
      <c r="BL32" s="9">
        <f t="shared" si="148"/>
        <v>5.0000000000000044E-2</v>
      </c>
      <c r="BM32" s="9">
        <f t="shared" si="148"/>
        <v>5.0000000000000044E-2</v>
      </c>
      <c r="BN32" s="9">
        <f t="shared" si="148"/>
        <v>5.0000000000000044E-2</v>
      </c>
      <c r="BO32" s="9">
        <f t="shared" si="148"/>
        <v>5.0000000000000044E-2</v>
      </c>
      <c r="BP32" s="9">
        <f t="shared" si="148"/>
        <v>5.0000000000000044E-2</v>
      </c>
      <c r="BQ32" s="9">
        <f t="shared" si="148"/>
        <v>5.0000000000000044E-2</v>
      </c>
      <c r="BR32" s="9">
        <f t="shared" si="148"/>
        <v>5.0000000000000044E-2</v>
      </c>
      <c r="BT32" s="4" t="s">
        <v>95</v>
      </c>
      <c r="BU32" s="8">
        <f>NPV(BU30,BA26:FZ26)+Main!O5-Main!O6</f>
        <v>2836615.7386412835</v>
      </c>
    </row>
    <row r="33" spans="2:73" x14ac:dyDescent="0.2">
      <c r="B33" t="s">
        <v>32</v>
      </c>
      <c r="C33" s="5"/>
      <c r="D33" s="5"/>
      <c r="E33" s="5">
        <f t="shared" ref="E33" si="149">+E18/E14</f>
        <v>0.38338496198254013</v>
      </c>
      <c r="K33" s="5">
        <f t="shared" ref="K33" si="150">+K18/K14</f>
        <v>0.38354806739345887</v>
      </c>
      <c r="L33" s="5">
        <f t="shared" ref="L33:N33" si="151">+L18/L14</f>
        <v>0.38361943305952362</v>
      </c>
      <c r="M33" s="5">
        <f t="shared" si="151"/>
        <v>0.37999497361146017</v>
      </c>
      <c r="N33" s="5">
        <f t="shared" si="151"/>
        <v>0.38160375900336951</v>
      </c>
      <c r="O33" s="5">
        <f t="shared" ref="O33:Q33" si="152">+O18/O14</f>
        <v>0.39777815665969724</v>
      </c>
      <c r="P33" s="5">
        <f t="shared" si="152"/>
        <v>0.42506474370423292</v>
      </c>
      <c r="Q33" s="5">
        <f t="shared" si="152"/>
        <v>0.43292727853230839</v>
      </c>
      <c r="R33" s="5">
        <f t="shared" ref="R33" si="153">+R18/R14</f>
        <v>0.42195297504798462</v>
      </c>
      <c r="S33" s="5">
        <f>+S18/S14</f>
        <v>0.43763766186615033</v>
      </c>
      <c r="T33" s="5">
        <f>+T18/T14</f>
        <v>0.43749871502292398</v>
      </c>
      <c r="U33" s="5">
        <f>+U18/U14</f>
        <v>0.43256307332537758</v>
      </c>
      <c r="V33" s="5">
        <f t="shared" ref="V33:W33" si="154">+V18/V14</f>
        <v>0.4225922392563175</v>
      </c>
      <c r="W33" s="5">
        <f t="shared" si="154"/>
        <v>0.42962254809908323</v>
      </c>
      <c r="AD33" s="5">
        <f t="shared" ref="AD33:AF33" si="155">+AD18/AD14</f>
        <v>0.27132656895903795</v>
      </c>
      <c r="AE33" s="5">
        <f t="shared" si="155"/>
        <v>0.23028155882901361</v>
      </c>
      <c r="AF33" s="5">
        <f t="shared" ref="AF33:AJ33" si="156">+AF18/AF14</f>
        <v>0.27917102055033088</v>
      </c>
      <c r="AG33" s="5">
        <f t="shared" si="156"/>
        <v>0.27517319155791847</v>
      </c>
      <c r="AH33" s="5">
        <f t="shared" si="156"/>
        <v>0.27285904094697427</v>
      </c>
      <c r="AI33" s="5">
        <f t="shared" si="156"/>
        <v>0.29021606489124974</v>
      </c>
      <c r="AJ33" s="5">
        <f t="shared" ref="AJ33:AL33" si="157">+AJ18/AJ14</f>
        <v>0.28982655966865128</v>
      </c>
      <c r="AK33" s="5">
        <f t="shared" si="157"/>
        <v>0.33966508372906773</v>
      </c>
      <c r="AL33" s="5">
        <f t="shared" si="157"/>
        <v>0.35200448107545812</v>
      </c>
      <c r="AM33" s="5">
        <f t="shared" ref="AM33:AN33" si="158">+AM18/AM14</f>
        <v>0.40139843841044165</v>
      </c>
      <c r="AN33" s="5">
        <f t="shared" si="158"/>
        <v>0.39377539287083174</v>
      </c>
      <c r="AO33" s="5">
        <f t="shared" ref="AO33:AR33" si="159">+AO18/AO14</f>
        <v>0.40478895878945764</v>
      </c>
      <c r="AP33" s="5">
        <f t="shared" si="159"/>
        <v>0.43871239808827661</v>
      </c>
      <c r="AQ33" s="5">
        <f t="shared" si="159"/>
        <v>0.37624480720847231</v>
      </c>
      <c r="AR33" s="5">
        <f t="shared" si="159"/>
        <v>0.38588035777783858</v>
      </c>
      <c r="AS33" s="5">
        <f>+AS18/AS14</f>
        <v>0.40059902017414373</v>
      </c>
      <c r="AT33" s="5">
        <f>+AT18/AT14</f>
        <v>0.39075955648097049</v>
      </c>
      <c r="AU33" s="5">
        <f>+AU18/AU14</f>
        <v>0.38469860491899105</v>
      </c>
      <c r="AV33" s="5">
        <f t="shared" ref="AV33:AZ33" si="160">+AV18/AV14</f>
        <v>0.38343718820007905</v>
      </c>
      <c r="AW33" s="5">
        <f t="shared" si="160"/>
        <v>0.37817768109034722</v>
      </c>
      <c r="AX33" s="5">
        <f t="shared" si="160"/>
        <v>0.38233247727810865</v>
      </c>
      <c r="AY33" s="5">
        <f t="shared" si="160"/>
        <v>0.41779359625167778</v>
      </c>
      <c r="AZ33" s="5">
        <f t="shared" si="160"/>
        <v>0.43309630561360085</v>
      </c>
      <c r="BA33" s="5">
        <f>+BA18/BA14</f>
        <v>0.43814594688982383</v>
      </c>
      <c r="BB33" s="5">
        <f t="shared" ref="BB33:BK33" si="161">+BB18/BB14</f>
        <v>0.44320522630441817</v>
      </c>
      <c r="BC33" s="5">
        <f t="shared" si="161"/>
        <v>0.44848504843503167</v>
      </c>
      <c r="BD33" s="5">
        <f t="shared" si="161"/>
        <v>0.45133504990031753</v>
      </c>
      <c r="BE33" s="5">
        <f t="shared" si="161"/>
        <v>0.4542411745897581</v>
      </c>
      <c r="BF33" s="5">
        <f t="shared" si="161"/>
        <v>0.45720248584937162</v>
      </c>
      <c r="BG33" s="5">
        <f t="shared" si="161"/>
        <v>0.45685502004405087</v>
      </c>
      <c r="BH33" s="5">
        <f t="shared" si="161"/>
        <v>0.4570557592575592</v>
      </c>
      <c r="BI33" s="5">
        <f t="shared" si="161"/>
        <v>0.45725459742895053</v>
      </c>
      <c r="BJ33" s="5">
        <f t="shared" si="161"/>
        <v>0.45745151163231645</v>
      </c>
      <c r="BK33" s="5">
        <f t="shared" si="161"/>
        <v>0.45764647891819471</v>
      </c>
      <c r="BL33" s="5">
        <f t="shared" ref="BL33:BR33" si="162">+BL18/BL14</f>
        <v>0.45830423575438839</v>
      </c>
      <c r="BM33" s="5">
        <f t="shared" si="162"/>
        <v>0.45906314260506531</v>
      </c>
      <c r="BN33" s="5">
        <f t="shared" si="162"/>
        <v>0.45982421866515938</v>
      </c>
      <c r="BO33" s="5">
        <f t="shared" si="162"/>
        <v>0.46058741504297213</v>
      </c>
      <c r="BP33" s="5">
        <f t="shared" si="162"/>
        <v>0.46135268227089493</v>
      </c>
      <c r="BQ33" s="5">
        <f t="shared" si="162"/>
        <v>0.46211997031717877</v>
      </c>
      <c r="BR33" s="5">
        <f t="shared" si="162"/>
        <v>0.46288922859802623</v>
      </c>
      <c r="BT33" s="4" t="s">
        <v>97</v>
      </c>
      <c r="BU33" s="6">
        <f>BU32/Main!O3</f>
        <v>176.50796544189615</v>
      </c>
    </row>
    <row r="34" spans="2:73" x14ac:dyDescent="0.2">
      <c r="B34" s="2" t="s">
        <v>74</v>
      </c>
      <c r="C34" s="13"/>
      <c r="D34" s="13"/>
      <c r="E34" s="13" t="s">
        <v>87</v>
      </c>
      <c r="K34" s="5">
        <f>(K13-K16)/K13</f>
        <v>0.64396382225717652</v>
      </c>
      <c r="L34" s="5">
        <f t="shared" ref="L34:U34" si="163">(L13-L16)/L13</f>
        <v>0.65373089601438417</v>
      </c>
      <c r="M34" s="5">
        <f t="shared" si="163"/>
        <v>0.67224080267558528</v>
      </c>
      <c r="N34" s="5">
        <f t="shared" si="163"/>
        <v>0.66925561894288266</v>
      </c>
      <c r="O34" s="5">
        <f t="shared" si="163"/>
        <v>0.6839667533785927</v>
      </c>
      <c r="P34" s="5">
        <f t="shared" si="163"/>
        <v>0.70072776758771671</v>
      </c>
      <c r="Q34" s="5">
        <f t="shared" si="163"/>
        <v>0.69804414960539862</v>
      </c>
      <c r="R34" s="5">
        <f t="shared" si="163"/>
        <v>0.704765552333534</v>
      </c>
      <c r="S34" s="5">
        <f t="shared" si="163"/>
        <v>0.72366263578602175</v>
      </c>
      <c r="T34" s="5">
        <f t="shared" si="163"/>
        <v>0.72609858231168967</v>
      </c>
      <c r="U34" s="5">
        <f t="shared" si="163"/>
        <v>0.71490512140379514</v>
      </c>
      <c r="V34" s="5">
        <f t="shared" ref="V34:W34" si="164">(V13-V16)/V13</f>
        <v>0.70481550969355844</v>
      </c>
      <c r="W34" s="5">
        <f t="shared" si="164"/>
        <v>0.70832129442357705</v>
      </c>
      <c r="AD34" s="5">
        <f t="shared" ref="AD34:AF34" si="165">(AD13-AD16)/AD13</f>
        <v>1</v>
      </c>
      <c r="AE34" s="5">
        <f t="shared" si="165"/>
        <v>1</v>
      </c>
      <c r="AF34" s="5">
        <f t="shared" ref="AF34:AJ34" si="166">(AF13-AF16)/AF13</f>
        <v>1</v>
      </c>
      <c r="AG34" s="5">
        <f t="shared" si="166"/>
        <v>1</v>
      </c>
      <c r="AH34" s="5">
        <f t="shared" si="166"/>
        <v>1</v>
      </c>
      <c r="AI34" s="5">
        <f t="shared" si="166"/>
        <v>1</v>
      </c>
      <c r="AJ34" s="5">
        <f t="shared" ref="AJ34:AL34" si="167">(AJ13-AJ16)/AJ13</f>
        <v>1</v>
      </c>
      <c r="AK34" s="5">
        <f t="shared" si="167"/>
        <v>1</v>
      </c>
      <c r="AL34" s="5">
        <f t="shared" si="167"/>
        <v>1</v>
      </c>
      <c r="AM34" s="5">
        <f t="shared" ref="AM34:AN34" si="168">(AM13-AM16)/AM13</f>
        <v>1</v>
      </c>
      <c r="AN34" s="5">
        <f t="shared" si="168"/>
        <v>1</v>
      </c>
      <c r="AO34" s="5">
        <f t="shared" ref="AO34:AR34" si="169">(AO13-AO16)/AO13</f>
        <v>1</v>
      </c>
      <c r="AP34" s="5">
        <f t="shared" si="169"/>
        <v>1</v>
      </c>
      <c r="AQ34" s="5">
        <f t="shared" si="169"/>
        <v>1</v>
      </c>
      <c r="AR34" s="5">
        <f t="shared" si="169"/>
        <v>1</v>
      </c>
      <c r="AS34" s="5">
        <f>(AS13-AS16)/AS13</f>
        <v>1</v>
      </c>
      <c r="AT34" s="5">
        <f>(AT13-AT16)/AT13</f>
        <v>1</v>
      </c>
      <c r="AU34" s="5">
        <f>(AU13-AU16)/AU13</f>
        <v>1</v>
      </c>
      <c r="AV34" s="5">
        <f t="shared" ref="AV34:AZ34" si="170">(AV13-AV16)/AV13</f>
        <v>0.60772869075173597</v>
      </c>
      <c r="AW34" s="5">
        <f t="shared" si="170"/>
        <v>0.63738091637683347</v>
      </c>
      <c r="AX34" s="5">
        <f t="shared" si="170"/>
        <v>0.66015101919357233</v>
      </c>
      <c r="AY34" s="5">
        <f t="shared" si="170"/>
        <v>0.69725977347460721</v>
      </c>
      <c r="AZ34" s="5">
        <f t="shared" si="170"/>
        <v>0.71745446633132381</v>
      </c>
      <c r="BA34" s="5">
        <f>(BA13-BA16)/BA13</f>
        <v>0.73</v>
      </c>
      <c r="BB34" s="5">
        <f t="shared" ref="BB34:BK34" si="171">(BB13-BB16)/BB13</f>
        <v>0.73</v>
      </c>
      <c r="BC34" s="5">
        <f t="shared" si="171"/>
        <v>0.73</v>
      </c>
      <c r="BD34" s="5">
        <f t="shared" si="171"/>
        <v>0.73000000000000009</v>
      </c>
      <c r="BE34" s="5">
        <f t="shared" si="171"/>
        <v>0.72999999999999987</v>
      </c>
      <c r="BF34" s="5">
        <f t="shared" si="171"/>
        <v>0.73</v>
      </c>
      <c r="BG34" s="5">
        <f t="shared" si="171"/>
        <v>0.73</v>
      </c>
      <c r="BH34" s="5">
        <f t="shared" si="171"/>
        <v>0.73000000000000009</v>
      </c>
      <c r="BI34" s="5">
        <f t="shared" si="171"/>
        <v>0.72999999999999987</v>
      </c>
      <c r="BJ34" s="5">
        <f t="shared" si="171"/>
        <v>0.73000000000000009</v>
      </c>
      <c r="BK34" s="5">
        <f t="shared" si="171"/>
        <v>0.72999999999999987</v>
      </c>
      <c r="BL34" s="5">
        <f t="shared" ref="BL34:BR34" si="172">(BL13-BL16)/BL13</f>
        <v>0.73</v>
      </c>
      <c r="BM34" s="5">
        <f t="shared" si="172"/>
        <v>0.73</v>
      </c>
      <c r="BN34" s="5">
        <f t="shared" si="172"/>
        <v>0.73</v>
      </c>
      <c r="BO34" s="5">
        <f t="shared" si="172"/>
        <v>0.73</v>
      </c>
      <c r="BP34" s="5">
        <f t="shared" si="172"/>
        <v>0.73</v>
      </c>
      <c r="BQ34" s="5">
        <f t="shared" si="172"/>
        <v>0.73</v>
      </c>
      <c r="BR34" s="5">
        <f t="shared" si="172"/>
        <v>0.73</v>
      </c>
      <c r="BT34" s="4" t="s">
        <v>98</v>
      </c>
      <c r="BU34" s="5">
        <f>BU33/Main!O2-1</f>
        <v>0.14615561975257241</v>
      </c>
    </row>
    <row r="35" spans="2:73" x14ac:dyDescent="0.2">
      <c r="B35" s="2" t="s">
        <v>75</v>
      </c>
      <c r="C35" s="13"/>
      <c r="D35" s="13"/>
      <c r="E35" s="13" t="s">
        <v>87</v>
      </c>
      <c r="K35" s="5">
        <f>(K12-K15)/K12</f>
        <v>0.3416894215210356</v>
      </c>
      <c r="L35" s="5">
        <f t="shared" ref="L35:V35" si="173">(L12-L15)/L12</f>
        <v>0.30343600578227509</v>
      </c>
      <c r="M35" s="5">
        <f t="shared" si="173"/>
        <v>0.29736293494379851</v>
      </c>
      <c r="N35" s="5">
        <f t="shared" si="173"/>
        <v>0.2981515085046561</v>
      </c>
      <c r="O35" s="5">
        <f t="shared" si="173"/>
        <v>0.35063441961579467</v>
      </c>
      <c r="P35" s="5">
        <f t="shared" si="173"/>
        <v>0.3609647372838215</v>
      </c>
      <c r="Q35" s="5">
        <f t="shared" si="173"/>
        <v>0.36043347720022517</v>
      </c>
      <c r="R35" s="5">
        <f t="shared" si="173"/>
        <v>0.34253184395310604</v>
      </c>
      <c r="S35" s="5">
        <f t="shared" si="173"/>
        <v>0.38418446983117716</v>
      </c>
      <c r="T35" s="5">
        <f t="shared" si="173"/>
        <v>0.36364692668190091</v>
      </c>
      <c r="U35" s="5">
        <f t="shared" si="173"/>
        <v>0.34519769552521506</v>
      </c>
      <c r="V35" s="5">
        <f t="shared" si="173"/>
        <v>0.34627526142224979</v>
      </c>
      <c r="W35" s="5">
        <f t="shared" ref="W35" si="174">(W12-W15)/W12</f>
        <v>0.36957920073038136</v>
      </c>
      <c r="AD35" s="5">
        <f t="shared" ref="AD35:AF35" si="175">(AD12-AD15)/AD12</f>
        <v>1</v>
      </c>
      <c r="AE35" s="5">
        <f t="shared" si="175"/>
        <v>1</v>
      </c>
      <c r="AF35" s="5">
        <f t="shared" ref="AF35:AJ35" si="176">(AF12-AF15)/AF12</f>
        <v>1</v>
      </c>
      <c r="AG35" s="5">
        <f t="shared" si="176"/>
        <v>1</v>
      </c>
      <c r="AH35" s="5">
        <f t="shared" si="176"/>
        <v>1</v>
      </c>
      <c r="AI35" s="5">
        <f t="shared" si="176"/>
        <v>1</v>
      </c>
      <c r="AJ35" s="5">
        <f t="shared" ref="AJ35:AL35" si="177">(AJ12-AJ15)/AJ12</f>
        <v>1</v>
      </c>
      <c r="AK35" s="5">
        <f t="shared" si="177"/>
        <v>1</v>
      </c>
      <c r="AL35" s="5">
        <f t="shared" si="177"/>
        <v>1</v>
      </c>
      <c r="AM35" s="5">
        <f t="shared" ref="AM35:AN35" si="178">(AM12-AM15)/AM12</f>
        <v>1</v>
      </c>
      <c r="AN35" s="5">
        <f t="shared" si="178"/>
        <v>1</v>
      </c>
      <c r="AO35" s="5">
        <f t="shared" ref="AO35:AR35" si="179">(AO12-AO15)/AO12</f>
        <v>1</v>
      </c>
      <c r="AP35" s="5">
        <f t="shared" si="179"/>
        <v>1</v>
      </c>
      <c r="AQ35" s="5">
        <f t="shared" si="179"/>
        <v>1</v>
      </c>
      <c r="AR35" s="5">
        <f t="shared" si="179"/>
        <v>1</v>
      </c>
      <c r="AS35" s="5">
        <f>(AS12-AS15)/AS12</f>
        <v>1</v>
      </c>
      <c r="AT35" s="5">
        <f>(AT12-AT15)/AT12</f>
        <v>1</v>
      </c>
      <c r="AU35" s="5">
        <f>(AU12-AU15)/AU12</f>
        <v>1</v>
      </c>
      <c r="AV35" s="5">
        <f t="shared" ref="AV35:AZ35" si="180">(AV12-AV15)/AV12</f>
        <v>0.34396294836770025</v>
      </c>
      <c r="AW35" s="5">
        <f t="shared" si="180"/>
        <v>0.32207795851002652</v>
      </c>
      <c r="AX35" s="5">
        <f t="shared" si="180"/>
        <v>0.31466339293399231</v>
      </c>
      <c r="AY35" s="5">
        <f t="shared" si="180"/>
        <v>0.35349303276483562</v>
      </c>
      <c r="AZ35" s="5">
        <f t="shared" si="180"/>
        <v>0.36283479707399452</v>
      </c>
      <c r="BA35" s="5">
        <f>(BA12-BA15)/BA12</f>
        <v>0.36</v>
      </c>
      <c r="BB35" s="5">
        <f t="shared" ref="BB35:BK35" si="181">(BB12-BB15)/BB12</f>
        <v>0.35999999999999993</v>
      </c>
      <c r="BC35" s="5">
        <f t="shared" si="181"/>
        <v>0.35999999999999993</v>
      </c>
      <c r="BD35" s="5">
        <f t="shared" si="181"/>
        <v>0.35999999999999993</v>
      </c>
      <c r="BE35" s="5">
        <f t="shared" si="181"/>
        <v>0.36</v>
      </c>
      <c r="BF35" s="5">
        <f t="shared" si="181"/>
        <v>0.35999999999999993</v>
      </c>
      <c r="BG35" s="5">
        <f t="shared" si="181"/>
        <v>0.35999999999999993</v>
      </c>
      <c r="BH35" s="5">
        <f t="shared" si="181"/>
        <v>0.36</v>
      </c>
      <c r="BI35" s="5">
        <f t="shared" si="181"/>
        <v>0.36</v>
      </c>
      <c r="BJ35" s="5">
        <f t="shared" si="181"/>
        <v>0.36</v>
      </c>
      <c r="BK35" s="5">
        <f t="shared" si="181"/>
        <v>0.35999999999999993</v>
      </c>
      <c r="BL35" s="5">
        <f t="shared" ref="BL35:BR35" si="182">(BL12-BL15)/BL12</f>
        <v>0.36000000000000004</v>
      </c>
      <c r="BM35" s="5">
        <f t="shared" si="182"/>
        <v>0.36</v>
      </c>
      <c r="BN35" s="5">
        <f t="shared" si="182"/>
        <v>0.36</v>
      </c>
      <c r="BO35" s="5">
        <f t="shared" si="182"/>
        <v>0.36000000000000004</v>
      </c>
      <c r="BP35" s="5">
        <f t="shared" si="182"/>
        <v>0.36</v>
      </c>
      <c r="BQ35" s="5">
        <f t="shared" si="182"/>
        <v>0.36</v>
      </c>
      <c r="BR35" s="5">
        <f t="shared" si="182"/>
        <v>0.36000000000000004</v>
      </c>
    </row>
    <row r="36" spans="2:73" x14ac:dyDescent="0.2">
      <c r="B36" t="s">
        <v>31</v>
      </c>
      <c r="C36" s="5"/>
      <c r="D36" s="5"/>
      <c r="E36" s="5">
        <f t="shared" ref="E36" si="183">+E22/E14</f>
        <v>0.23677837228949591</v>
      </c>
      <c r="K36" s="5">
        <f t="shared" ref="K36" si="184">+K22/K14</f>
        <v>0.2784717759940753</v>
      </c>
      <c r="L36" s="5">
        <f t="shared" ref="L36:N36" si="185">+L22/L14</f>
        <v>0.22041397287054346</v>
      </c>
      <c r="M36" s="5">
        <f t="shared" si="185"/>
        <v>0.21933484124989527</v>
      </c>
      <c r="N36" s="5">
        <f t="shared" si="185"/>
        <v>0.2283687285542057</v>
      </c>
      <c r="O36" s="5">
        <f t="shared" ref="O36:Q36" si="186">+O22/O14</f>
        <v>0.30091799100853384</v>
      </c>
      <c r="P36" s="5">
        <f t="shared" si="186"/>
        <v>0.30700794784782998</v>
      </c>
      <c r="Q36" s="5">
        <f t="shared" si="186"/>
        <v>0.29626445956234498</v>
      </c>
      <c r="R36" s="5">
        <f t="shared" ref="R36" si="187">+R22/R14</f>
        <v>0.28534069097888676</v>
      </c>
      <c r="S36" s="5">
        <f>+S22/S14</f>
        <v>0.33472911371979508</v>
      </c>
      <c r="T36" s="5">
        <f>+T22/T14</f>
        <v>0.30817862209338187</v>
      </c>
      <c r="U36" s="5">
        <f>+U22/U14</f>
        <v>0.27816150146457891</v>
      </c>
      <c r="V36" s="5">
        <f t="shared" ref="V36:W36" si="188">+V22/V14</f>
        <v>0.27615202005635303</v>
      </c>
      <c r="W36" s="5">
        <f t="shared" si="188"/>
        <v>0.30742441572630896</v>
      </c>
      <c r="AD36" s="5">
        <f t="shared" ref="AD36:AF36" si="189">+AD22/AD14</f>
        <v>7.7665038206188156E-2</v>
      </c>
      <c r="AE36" s="5">
        <f t="shared" si="189"/>
        <v>-6.2092112623531606E-2</v>
      </c>
      <c r="AF36" s="5">
        <f t="shared" ref="AF36:AJ36" si="190">+AF22/AF14</f>
        <v>8.3594566353187051E-3</v>
      </c>
      <c r="AG36" s="5">
        <f t="shared" si="190"/>
        <v>4.0277106492669565E-3</v>
      </c>
      <c r="AH36" s="5">
        <f t="shared" si="190"/>
        <v>4.2154849619519263E-2</v>
      </c>
      <c r="AI36" s="5">
        <f t="shared" si="190"/>
        <v>0.11844088722991888</v>
      </c>
      <c r="AJ36" s="5">
        <f t="shared" ref="AJ36:AL36" si="191">+AJ22/AJ14</f>
        <v>0.1269997411338338</v>
      </c>
      <c r="AK36" s="5">
        <f t="shared" si="191"/>
        <v>0.1836624177289011</v>
      </c>
      <c r="AL36" s="5">
        <f t="shared" si="191"/>
        <v>0.22210663892667573</v>
      </c>
      <c r="AM36" s="5">
        <f t="shared" ref="AM36:AN36" si="192">+AM22/AM14</f>
        <v>0.2736277823097541</v>
      </c>
      <c r="AN36" s="5">
        <f t="shared" si="192"/>
        <v>0.28187044844768111</v>
      </c>
      <c r="AO36" s="5">
        <f t="shared" ref="AO36:AR36" si="193">+AO22/AO14</f>
        <v>0.31215068961376086</v>
      </c>
      <c r="AP36" s="5">
        <f t="shared" si="193"/>
        <v>0.35295959311984054</v>
      </c>
      <c r="AQ36" s="5">
        <f t="shared" si="193"/>
        <v>0.28669475162366159</v>
      </c>
      <c r="AR36" s="5">
        <f t="shared" si="193"/>
        <v>0.28722339232473537</v>
      </c>
      <c r="AS36" s="5">
        <f>+AS22/AS14</f>
        <v>0.30477290717326661</v>
      </c>
      <c r="AT36" s="5">
        <f>+AT22/AT14</f>
        <v>0.27835410106706115</v>
      </c>
      <c r="AU36" s="5">
        <f>+AU22/AU14</f>
        <v>0.26760428208729942</v>
      </c>
      <c r="AV36" s="5">
        <f t="shared" ref="AV36:AZ36" si="194">+AV22/AV14</f>
        <v>0.26694026619477024</v>
      </c>
      <c r="AW36" s="5">
        <f t="shared" si="194"/>
        <v>0.24572017188496928</v>
      </c>
      <c r="AX36" s="5">
        <f t="shared" si="194"/>
        <v>0.24147314354406862</v>
      </c>
      <c r="AY36" s="5">
        <f t="shared" si="194"/>
        <v>0.29782377527561593</v>
      </c>
      <c r="AZ36" s="5">
        <f t="shared" si="194"/>
        <v>0.30288744395528594</v>
      </c>
      <c r="BA36" s="5">
        <f>+BA22/BA14</f>
        <v>0.3138290930406451</v>
      </c>
      <c r="BB36" s="5">
        <f t="shared" ref="BB36:BK36" si="195">+BB22/BB14</f>
        <v>0.32465195469624292</v>
      </c>
      <c r="BC36" s="5">
        <f t="shared" si="195"/>
        <v>0.33556469872504729</v>
      </c>
      <c r="BD36" s="5">
        <f t="shared" si="195"/>
        <v>0.34219495390085169</v>
      </c>
      <c r="BE36" s="5">
        <f t="shared" si="195"/>
        <v>0.348794693562478</v>
      </c>
      <c r="BF36" s="5">
        <f t="shared" si="195"/>
        <v>0.35536367679691816</v>
      </c>
      <c r="BG36" s="5">
        <f t="shared" si="195"/>
        <v>0.35731310283578299</v>
      </c>
      <c r="BH36" s="5">
        <f t="shared" si="195"/>
        <v>0.35920750023668291</v>
      </c>
      <c r="BI36" s="5">
        <f t="shared" si="195"/>
        <v>0.36107347132376644</v>
      </c>
      <c r="BJ36" s="5">
        <f t="shared" si="195"/>
        <v>0.36291137560885367</v>
      </c>
      <c r="BK36" s="5">
        <f t="shared" si="195"/>
        <v>0.36472156749208218</v>
      </c>
      <c r="BL36" s="5">
        <f t="shared" ref="BL36:BR36" si="196">+BL22/BL14</f>
        <v>0.36653529366727688</v>
      </c>
      <c r="BM36" s="5">
        <f t="shared" si="196"/>
        <v>0.36834722023227412</v>
      </c>
      <c r="BN36" s="5">
        <f t="shared" si="196"/>
        <v>0.3701525472326227</v>
      </c>
      <c r="BO36" s="5">
        <f t="shared" si="196"/>
        <v>0.3719512579758707</v>
      </c>
      <c r="BP36" s="5">
        <f t="shared" si="196"/>
        <v>0.37374333529803333</v>
      </c>
      <c r="BQ36" s="5">
        <f t="shared" si="196"/>
        <v>0.37552876158163789</v>
      </c>
      <c r="BR36" s="5">
        <f t="shared" si="196"/>
        <v>0.37730751877393975</v>
      </c>
    </row>
    <row r="37" spans="2:73" x14ac:dyDescent="0.2">
      <c r="B37" t="s">
        <v>71</v>
      </c>
      <c r="C37" s="5"/>
      <c r="D37" s="5"/>
      <c r="E37" s="5">
        <f>E25/E24</f>
        <v>0.13286660644384221</v>
      </c>
      <c r="K37" s="5">
        <f>K25/K24</f>
        <v>0.14206343082027933</v>
      </c>
      <c r="L37" s="5">
        <f t="shared" ref="L37:U37" si="197">L25/L24</f>
        <v>0.14358583936048724</v>
      </c>
      <c r="M37" s="5">
        <f t="shared" si="197"/>
        <v>0.14341173783968944</v>
      </c>
      <c r="N37" s="5">
        <f t="shared" si="197"/>
        <v>0.14952016643178309</v>
      </c>
      <c r="O37" s="5">
        <f t="shared" si="197"/>
        <v>0.14366121683194855</v>
      </c>
      <c r="P37" s="5">
        <f t="shared" si="197"/>
        <v>0.1564028417407447</v>
      </c>
      <c r="Q37" s="5">
        <f t="shared" si="197"/>
        <v>0.10771882309491568</v>
      </c>
      <c r="R37" s="5">
        <f t="shared" si="197"/>
        <v>0.11600997935306263</v>
      </c>
      <c r="S37" s="5">
        <f t="shared" si="197"/>
        <v>0.16030164157028201</v>
      </c>
      <c r="T37" s="5">
        <f t="shared" si="197"/>
        <v>0.17017817445834302</v>
      </c>
      <c r="U37" s="5">
        <f t="shared" si="197"/>
        <v>0.15711436746726784</v>
      </c>
      <c r="V37" s="5">
        <f t="shared" ref="V37:W37" si="198">V25/V24</f>
        <v>0.15963012531938192</v>
      </c>
      <c r="W37" s="5">
        <f t="shared" si="198"/>
        <v>0.15790360160570419</v>
      </c>
      <c r="AD37" s="5">
        <f t="shared" ref="AD37:AF37" si="199">AD25/AD24</f>
        <v>0.37181044957472659</v>
      </c>
      <c r="AE37" s="5">
        <f t="shared" si="199"/>
        <v>0</v>
      </c>
      <c r="AF37" s="5">
        <f t="shared" ref="AF37:AJ37" si="200">AF25/AF24</f>
        <v>0.1864406779661017</v>
      </c>
      <c r="AG37" s="5">
        <f t="shared" si="200"/>
        <v>0.20338983050847459</v>
      </c>
      <c r="AH37" s="5">
        <f t="shared" si="200"/>
        <v>0.26354679802955666</v>
      </c>
      <c r="AI37" s="5">
        <f t="shared" si="200"/>
        <v>0.26446280991735538</v>
      </c>
      <c r="AJ37" s="5">
        <f t="shared" ref="AJ37:AL37" si="201">AJ25/AJ24</f>
        <v>0.29418026969481903</v>
      </c>
      <c r="AK37" s="5">
        <f t="shared" si="201"/>
        <v>0.30191693290734822</v>
      </c>
      <c r="AL37" s="5">
        <f t="shared" si="201"/>
        <v>0.3160836034424947</v>
      </c>
      <c r="AM37" s="5">
        <f t="shared" ref="AM37:AN37" si="202">AM25/AM24</f>
        <v>0.31750372948781702</v>
      </c>
      <c r="AN37" s="5">
        <f t="shared" si="202"/>
        <v>0.24417475728155341</v>
      </c>
      <c r="AO37" s="5">
        <f t="shared" ref="AO37:AR37" si="203">AO25/AO24</f>
        <v>0.24215757930127174</v>
      </c>
      <c r="AP37" s="5">
        <f t="shared" si="203"/>
        <v>0.25160052364471064</v>
      </c>
      <c r="AQ37" s="5">
        <f t="shared" si="203"/>
        <v>0.26154919748778788</v>
      </c>
      <c r="AR37" s="5">
        <f t="shared" si="203"/>
        <v>0.26126058747639436</v>
      </c>
      <c r="AS37" s="5">
        <f t="shared" ref="AS37:AT37" si="204">AS25/AS24</f>
        <v>0.26368337585327173</v>
      </c>
      <c r="AT37" s="5">
        <f t="shared" si="204"/>
        <v>0.25557257381216192</v>
      </c>
      <c r="AU37" s="5">
        <f t="shared" ref="AU37" si="205">AU25/AU24</f>
        <v>0.24556476150353415</v>
      </c>
      <c r="AV37" s="5">
        <f t="shared" ref="AV37:AZ37" si="206">AV25/AV24</f>
        <v>0.18342180705869443</v>
      </c>
      <c r="AW37" s="5">
        <f t="shared" si="206"/>
        <v>0.15943836804235059</v>
      </c>
      <c r="AX37" s="5">
        <f t="shared" si="206"/>
        <v>0.14428164731484103</v>
      </c>
      <c r="AY37" s="5">
        <f t="shared" si="206"/>
        <v>0.13302260844085087</v>
      </c>
      <c r="AZ37" s="5">
        <f t="shared" si="206"/>
        <v>0.16204461684424407</v>
      </c>
      <c r="BA37" s="5">
        <f>BA25/BA24</f>
        <v>0.2</v>
      </c>
      <c r="BB37" s="5">
        <f t="shared" ref="BB37:BK37" si="207">BB25/BB24</f>
        <v>0.2</v>
      </c>
      <c r="BC37" s="5">
        <f t="shared" si="207"/>
        <v>0.2</v>
      </c>
      <c r="BD37" s="5">
        <f t="shared" si="207"/>
        <v>0.19999999999999998</v>
      </c>
      <c r="BE37" s="5">
        <f t="shared" si="207"/>
        <v>0.2</v>
      </c>
      <c r="BF37" s="5">
        <f t="shared" si="207"/>
        <v>0.20000000000000004</v>
      </c>
      <c r="BG37" s="5">
        <f t="shared" si="207"/>
        <v>0.2</v>
      </c>
      <c r="BH37" s="5">
        <f t="shared" si="207"/>
        <v>0.2</v>
      </c>
      <c r="BI37" s="5">
        <f t="shared" si="207"/>
        <v>0.2</v>
      </c>
      <c r="BJ37" s="5">
        <f t="shared" si="207"/>
        <v>0.2</v>
      </c>
      <c r="BK37" s="5">
        <f t="shared" si="207"/>
        <v>0.2</v>
      </c>
      <c r="BL37" s="5">
        <f t="shared" ref="BL37:BR37" si="208">BL25/BL24</f>
        <v>0.2</v>
      </c>
      <c r="BM37" s="5">
        <f t="shared" si="208"/>
        <v>0.2</v>
      </c>
      <c r="BN37" s="5">
        <f t="shared" si="208"/>
        <v>0.2</v>
      </c>
      <c r="BO37" s="5">
        <f t="shared" si="208"/>
        <v>0.2</v>
      </c>
      <c r="BP37" s="5">
        <f t="shared" si="208"/>
        <v>0.2</v>
      </c>
      <c r="BQ37" s="5">
        <f t="shared" si="208"/>
        <v>0.19999999999999998</v>
      </c>
      <c r="BR37" s="5">
        <f t="shared" si="208"/>
        <v>0.19999999999999998</v>
      </c>
    </row>
    <row r="39" spans="2:73" s="2" customFormat="1" x14ac:dyDescent="0.2">
      <c r="B39" s="2" t="s">
        <v>110</v>
      </c>
      <c r="AF39" s="2">
        <v>10211</v>
      </c>
      <c r="AG39" s="2">
        <v>10912</v>
      </c>
      <c r="AH39" s="2">
        <v>11695</v>
      </c>
      <c r="AI39" s="2">
        <v>14800</v>
      </c>
      <c r="AJ39" s="2">
        <v>17787</v>
      </c>
    </row>
    <row r="41" spans="2:73" x14ac:dyDescent="0.2">
      <c r="B41" t="s">
        <v>3</v>
      </c>
    </row>
  </sheetData>
  <phoneticPr fontId="3" type="noConversion"/>
  <hyperlinks>
    <hyperlink ref="A1" location="Main!A1" display="Main" xr:uid="{8359FE81-84D5-48DA-AAE3-BF56C6A2A8A2}"/>
    <hyperlink ref="AK14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RowHeight="12.75" x14ac:dyDescent="0.2"/>
  <sheetData>
    <row r="1" spans="1:3" x14ac:dyDescent="0.2">
      <c r="A1" t="s">
        <v>7</v>
      </c>
    </row>
    <row r="2" spans="1:3" x14ac:dyDescent="0.2">
      <c r="B2" t="s">
        <v>77</v>
      </c>
      <c r="C2" t="s">
        <v>38</v>
      </c>
    </row>
    <row r="3" spans="1:3" x14ac:dyDescent="0.2">
      <c r="B3" t="s">
        <v>78</v>
      </c>
      <c r="C3" t="s">
        <v>79</v>
      </c>
    </row>
    <row r="4" spans="1:3" x14ac:dyDescent="0.2">
      <c r="C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2023-02-04T18:54:26Z</dcterms:modified>
</cp:coreProperties>
</file>