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26FBAA-FF24-4E28-A7B0-D1858A37BD52}" xr6:coauthVersionLast="47" xr6:coauthVersionMax="47" xr10:uidLastSave="{00000000-0000-0000-0000-000000000000}"/>
  <bookViews>
    <workbookView xWindow="26115" yWindow="1110" windowWidth="23460" windowHeight="19950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69" i="1" l="1"/>
  <c r="BH67" i="1"/>
  <c r="BH66" i="1"/>
  <c r="BI61" i="1"/>
  <c r="BI59" i="1"/>
  <c r="BI58" i="1"/>
  <c r="BI56" i="1"/>
  <c r="BH53" i="1"/>
  <c r="BH54" i="1"/>
  <c r="BH52" i="1"/>
  <c r="BH51" i="1"/>
  <c r="BH50" i="1"/>
  <c r="BH49" i="1"/>
  <c r="BH47" i="1"/>
  <c r="BH48" i="1" s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3" i="1" s="1"/>
  <c r="BH7" i="1"/>
  <c r="BH6" i="1"/>
  <c r="BH5" i="1"/>
  <c r="AE61" i="1"/>
  <c r="AE59" i="1"/>
  <c r="AE58" i="1"/>
  <c r="W49" i="1"/>
  <c r="W47" i="1"/>
  <c r="W44" i="1"/>
  <c r="AA41" i="1"/>
  <c r="AA3" i="1"/>
  <c r="AA56" i="1"/>
  <c r="AX3" i="1"/>
  <c r="AW3" i="1"/>
  <c r="AW61" i="1" s="1"/>
  <c r="AV3" i="1"/>
  <c r="AV61" i="1" s="1"/>
  <c r="AU3" i="1"/>
  <c r="AX61" i="1"/>
  <c r="AF3" i="1"/>
  <c r="AJ61" i="1" s="1"/>
  <c r="AE3" i="1"/>
  <c r="AD3" i="1"/>
  <c r="AC3" i="1"/>
  <c r="AB3" i="1"/>
  <c r="AL3" i="1"/>
  <c r="AK3" i="1"/>
  <c r="AJ3" i="1"/>
  <c r="AI3" i="1"/>
  <c r="AH3" i="1"/>
  <c r="AL61" i="1" s="1"/>
  <c r="AG3" i="1"/>
  <c r="AK61" i="1" s="1"/>
  <c r="AS3" i="1"/>
  <c r="AR3" i="1"/>
  <c r="AQ3" i="1"/>
  <c r="AP3" i="1"/>
  <c r="AO3" i="1"/>
  <c r="AN3" i="1"/>
  <c r="AM3" i="1"/>
  <c r="AT3" i="1"/>
  <c r="AU61" i="1"/>
  <c r="AT61" i="1"/>
  <c r="AS61" i="1"/>
  <c r="AR61" i="1"/>
  <c r="AQ61" i="1"/>
  <c r="AP61" i="1"/>
  <c r="AO61" i="1"/>
  <c r="AN61" i="1"/>
  <c r="AM61" i="1"/>
  <c r="AI61" i="1"/>
  <c r="AH61" i="1"/>
  <c r="AG61" i="1"/>
  <c r="AF59" i="1"/>
  <c r="AG59" i="1"/>
  <c r="AH59" i="1"/>
  <c r="AF58" i="1"/>
  <c r="AG58" i="1"/>
  <c r="AH58" i="1"/>
  <c r="X47" i="1"/>
  <c r="X44" i="1"/>
  <c r="X48" i="1" s="1"/>
  <c r="X50" i="1" s="1"/>
  <c r="X52" i="1" s="1"/>
  <c r="X53" i="1" s="1"/>
  <c r="AB42" i="1"/>
  <c r="AB56" i="1" s="1"/>
  <c r="Y49" i="1"/>
  <c r="Y47" i="1"/>
  <c r="Y44" i="1"/>
  <c r="Y48" i="1" s="1"/>
  <c r="Y50" i="1" s="1"/>
  <c r="Y52" i="1" s="1"/>
  <c r="Y53" i="1" s="1"/>
  <c r="AC42" i="1"/>
  <c r="AC56" i="1" s="1"/>
  <c r="Z49" i="1"/>
  <c r="AA49" i="1"/>
  <c r="AD49" i="1"/>
  <c r="Z47" i="1"/>
  <c r="Z44" i="1"/>
  <c r="Z48" i="1" s="1"/>
  <c r="Z50" i="1" s="1"/>
  <c r="AD42" i="1"/>
  <c r="AD56" i="1" s="1"/>
  <c r="AD41" i="1"/>
  <c r="BT61" i="1"/>
  <c r="BS61" i="1"/>
  <c r="BR61" i="1"/>
  <c r="BT60" i="1"/>
  <c r="BS60" i="1"/>
  <c r="BR60" i="1"/>
  <c r="BQ60" i="1"/>
  <c r="BP60" i="1"/>
  <c r="BO60" i="1"/>
  <c r="BN60" i="1"/>
  <c r="BM60" i="1"/>
  <c r="BL60" i="1"/>
  <c r="BK60" i="1"/>
  <c r="BJ60" i="1"/>
  <c r="BT59" i="1"/>
  <c r="BS59" i="1"/>
  <c r="BR59" i="1"/>
  <c r="BQ59" i="1"/>
  <c r="BP59" i="1"/>
  <c r="BO59" i="1"/>
  <c r="BN59" i="1"/>
  <c r="BM59" i="1"/>
  <c r="BL59" i="1"/>
  <c r="BK59" i="1"/>
  <c r="BJ59" i="1"/>
  <c r="BT58" i="1"/>
  <c r="BS58" i="1"/>
  <c r="BR58" i="1"/>
  <c r="BQ58" i="1"/>
  <c r="BP58" i="1"/>
  <c r="BO58" i="1"/>
  <c r="BN58" i="1"/>
  <c r="BM58" i="1"/>
  <c r="BL58" i="1"/>
  <c r="BK58" i="1"/>
  <c r="BJ58" i="1"/>
  <c r="BQ61" i="1"/>
  <c r="BP61" i="1"/>
  <c r="BO61" i="1"/>
  <c r="BN61" i="1"/>
  <c r="BM61" i="1"/>
  <c r="BL61" i="1"/>
  <c r="BK61" i="1"/>
  <c r="BJ61" i="1"/>
  <c r="BI54" i="1"/>
  <c r="BJ54" i="1"/>
  <c r="BJ51" i="1"/>
  <c r="BI51" i="1"/>
  <c r="BJ46" i="1"/>
  <c r="BI46" i="1"/>
  <c r="BJ45" i="1"/>
  <c r="BJ47" i="1" s="1"/>
  <c r="BI45" i="1"/>
  <c r="BI47" i="1" s="1"/>
  <c r="BJ43" i="1"/>
  <c r="BI43" i="1"/>
  <c r="BK36" i="1"/>
  <c r="BK31" i="1"/>
  <c r="BK28" i="1"/>
  <c r="BK27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3" i="1" s="1"/>
  <c r="AE49" i="1"/>
  <c r="AI59" i="1"/>
  <c r="AI58" i="1"/>
  <c r="AA47" i="1"/>
  <c r="AA44" i="1"/>
  <c r="AA66" i="1" s="1"/>
  <c r="AE41" i="1"/>
  <c r="AB49" i="1"/>
  <c r="AF56" i="1"/>
  <c r="AJ60" i="1"/>
  <c r="AJ59" i="1"/>
  <c r="AJ58" i="1"/>
  <c r="AB47" i="1"/>
  <c r="AF42" i="1"/>
  <c r="AT58" i="1"/>
  <c r="AQ102" i="1"/>
  <c r="AQ108" i="1" s="1"/>
  <c r="AQ98" i="1"/>
  <c r="AQ100" i="1" s="1"/>
  <c r="AQ95" i="1"/>
  <c r="AQ96" i="1" s="1"/>
  <c r="AS64" i="1"/>
  <c r="AS63" i="1"/>
  <c r="AS62" i="1"/>
  <c r="AS60" i="1"/>
  <c r="AS59" i="1"/>
  <c r="AS58" i="1"/>
  <c r="AS79" i="1"/>
  <c r="AS84" i="1" s="1"/>
  <c r="AS75" i="1"/>
  <c r="AS70" i="1"/>
  <c r="AS77" i="1" s="1"/>
  <c r="W48" i="1" l="1"/>
  <c r="W50" i="1"/>
  <c r="W52" i="1" s="1"/>
  <c r="W53" i="1" s="1"/>
  <c r="AF61" i="1"/>
  <c r="Y66" i="1"/>
  <c r="Y67" i="1"/>
  <c r="Z52" i="1"/>
  <c r="Z53" i="1" s="1"/>
  <c r="Z67" i="1"/>
  <c r="Z66" i="1"/>
  <c r="AQ110" i="1"/>
  <c r="AS69" i="1"/>
  <c r="AE42" i="1"/>
  <c r="AE56" i="1" s="1"/>
  <c r="AB44" i="1"/>
  <c r="AB66" i="1" s="1"/>
  <c r="AA48" i="1"/>
  <c r="AA50" i="1" s="1"/>
  <c r="AB48" i="1"/>
  <c r="AB50" i="1" s="1"/>
  <c r="AB67" i="1" s="1"/>
  <c r="AX45" i="1"/>
  <c r="AW45" i="1"/>
  <c r="AV45" i="1"/>
  <c r="AU45" i="1"/>
  <c r="AU47" i="1"/>
  <c r="AV47" i="1"/>
  <c r="AW47" i="1"/>
  <c r="AX47" i="1"/>
  <c r="AU54" i="1"/>
  <c r="AV54" i="1" s="1"/>
  <c r="AW54" i="1" s="1"/>
  <c r="AX54" i="1" s="1"/>
  <c r="AU26" i="1"/>
  <c r="AV26" i="1" s="1"/>
  <c r="AW26" i="1" s="1"/>
  <c r="AX26" i="1" s="1"/>
  <c r="AU25" i="1"/>
  <c r="AV25" i="1" s="1"/>
  <c r="AW25" i="1" s="1"/>
  <c r="AX25" i="1" s="1"/>
  <c r="AX24" i="1"/>
  <c r="AW24" i="1"/>
  <c r="AV24" i="1"/>
  <c r="AU24" i="1"/>
  <c r="AU23" i="1"/>
  <c r="AV23" i="1" s="1"/>
  <c r="AW23" i="1" s="1"/>
  <c r="AX23" i="1" s="1"/>
  <c r="AX22" i="1"/>
  <c r="AW22" i="1"/>
  <c r="AV22" i="1"/>
  <c r="AU22" i="1"/>
  <c r="AX21" i="1"/>
  <c r="AW21" i="1"/>
  <c r="AV21" i="1"/>
  <c r="AU21" i="1"/>
  <c r="AX20" i="1"/>
  <c r="AW20" i="1"/>
  <c r="AV20" i="1"/>
  <c r="AU20" i="1"/>
  <c r="AU19" i="1"/>
  <c r="AV19" i="1" s="1"/>
  <c r="AW19" i="1" s="1"/>
  <c r="AX19" i="1" s="1"/>
  <c r="AX18" i="1"/>
  <c r="AW18" i="1"/>
  <c r="AV18" i="1"/>
  <c r="AU18" i="1"/>
  <c r="AX17" i="1"/>
  <c r="AW17" i="1"/>
  <c r="AV17" i="1"/>
  <c r="AU17" i="1"/>
  <c r="AX16" i="1"/>
  <c r="AW16" i="1"/>
  <c r="AV16" i="1"/>
  <c r="AU16" i="1"/>
  <c r="AX15" i="1"/>
  <c r="AW15" i="1"/>
  <c r="AV15" i="1"/>
  <c r="AU15" i="1"/>
  <c r="AX14" i="1"/>
  <c r="AW14" i="1"/>
  <c r="AV14" i="1"/>
  <c r="AU14" i="1"/>
  <c r="AX13" i="1"/>
  <c r="AW13" i="1"/>
  <c r="AV13" i="1"/>
  <c r="AU13" i="1"/>
  <c r="AX12" i="1"/>
  <c r="AX64" i="1" s="1"/>
  <c r="AW12" i="1"/>
  <c r="AV12" i="1"/>
  <c r="AU12" i="1"/>
  <c r="AX11" i="1"/>
  <c r="AW11" i="1"/>
  <c r="AV11" i="1"/>
  <c r="AU11" i="1"/>
  <c r="AX10" i="1"/>
  <c r="AW10" i="1"/>
  <c r="AW63" i="1" s="1"/>
  <c r="AV10" i="1"/>
  <c r="AU10" i="1"/>
  <c r="AX9" i="1"/>
  <c r="AW9" i="1"/>
  <c r="AV9" i="1"/>
  <c r="AU9" i="1"/>
  <c r="AX8" i="1"/>
  <c r="AW8" i="1"/>
  <c r="AV8" i="1"/>
  <c r="AU8" i="1"/>
  <c r="AX7" i="1"/>
  <c r="AX59" i="1" s="1"/>
  <c r="AW7" i="1"/>
  <c r="AW59" i="1" s="1"/>
  <c r="AV7" i="1"/>
  <c r="AV59" i="1" s="1"/>
  <c r="AU7" i="1"/>
  <c r="AU59" i="1" s="1"/>
  <c r="AX5" i="1"/>
  <c r="AX58" i="1" s="1"/>
  <c r="AW5" i="1"/>
  <c r="AV5" i="1"/>
  <c r="AU5" i="1"/>
  <c r="AX41" i="1"/>
  <c r="AW41" i="1"/>
  <c r="AS49" i="1"/>
  <c r="AS44" i="1"/>
  <c r="AS66" i="1" s="1"/>
  <c r="AW64" i="1"/>
  <c r="AV64" i="1"/>
  <c r="AU64" i="1"/>
  <c r="AX63" i="1"/>
  <c r="AV63" i="1"/>
  <c r="AU63" i="1"/>
  <c r="AX62" i="1"/>
  <c r="AW62" i="1"/>
  <c r="AV62" i="1"/>
  <c r="AU62" i="1"/>
  <c r="AX60" i="1"/>
  <c r="AW60" i="1"/>
  <c r="AV60" i="1"/>
  <c r="AU60" i="1"/>
  <c r="AW58" i="1"/>
  <c r="AV58" i="1"/>
  <c r="K6" i="2"/>
  <c r="K5" i="2"/>
  <c r="AS42" i="1"/>
  <c r="AR49" i="1"/>
  <c r="AT49" i="1" s="1"/>
  <c r="AK64" i="1"/>
  <c r="AL64" i="1"/>
  <c r="AM64" i="1"/>
  <c r="AN64" i="1"/>
  <c r="AO64" i="1"/>
  <c r="AP64" i="1"/>
  <c r="AQ64" i="1"/>
  <c r="AR64" i="1"/>
  <c r="BJ9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8" i="1"/>
  <c r="BJ7" i="1"/>
  <c r="BJ5" i="1"/>
  <c r="AC49" i="1"/>
  <c r="AG49" i="1"/>
  <c r="AK60" i="1"/>
  <c r="AK59" i="1"/>
  <c r="AK58" i="1"/>
  <c r="AC47" i="1"/>
  <c r="AC44" i="1"/>
  <c r="AC66" i="1" s="1"/>
  <c r="AG41" i="1"/>
  <c r="AG42" i="1" s="1"/>
  <c r="AG47" i="1"/>
  <c r="AH49" i="1"/>
  <c r="AD47" i="1"/>
  <c r="AD44" i="1"/>
  <c r="AD66" i="1" s="1"/>
  <c r="AL60" i="1"/>
  <c r="AL59" i="1"/>
  <c r="AL58" i="1"/>
  <c r="AH47" i="1"/>
  <c r="AH41" i="1"/>
  <c r="AH42" i="1" s="1"/>
  <c r="AH44" i="1" s="1"/>
  <c r="AH66" i="1" s="1"/>
  <c r="AE47" i="1"/>
  <c r="AE44" i="1"/>
  <c r="AE66" i="1" s="1"/>
  <c r="AI49" i="1"/>
  <c r="AM60" i="1"/>
  <c r="AM59" i="1"/>
  <c r="AM58" i="1"/>
  <c r="AI47" i="1"/>
  <c r="AI41" i="1"/>
  <c r="AF49" i="1"/>
  <c r="BI49" i="1" s="1"/>
  <c r="AF47" i="1"/>
  <c r="AF44" i="1"/>
  <c r="AF66" i="1" s="1"/>
  <c r="AJ49" i="1"/>
  <c r="AN63" i="1"/>
  <c r="AN62" i="1"/>
  <c r="AN60" i="1"/>
  <c r="AN59" i="1"/>
  <c r="AN58" i="1"/>
  <c r="AJ47" i="1"/>
  <c r="AJ41" i="1"/>
  <c r="AJ42" i="1"/>
  <c r="AJ44" i="1" s="1"/>
  <c r="AJ66" i="1" s="1"/>
  <c r="AR79" i="1"/>
  <c r="AR84" i="1" s="1"/>
  <c r="AR75" i="1"/>
  <c r="AR70" i="1"/>
  <c r="BK54" i="1"/>
  <c r="BK49" i="1"/>
  <c r="BK46" i="1"/>
  <c r="BK45" i="1"/>
  <c r="BK43" i="1"/>
  <c r="BK40" i="1"/>
  <c r="BK39" i="1"/>
  <c r="BK38" i="1"/>
  <c r="BK30" i="1"/>
  <c r="BK37" i="1"/>
  <c r="BK29" i="1"/>
  <c r="BK35" i="1"/>
  <c r="BK34" i="1"/>
  <c r="BK33" i="1"/>
  <c r="BK32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5" i="1"/>
  <c r="BL40" i="1"/>
  <c r="BL39" i="1"/>
  <c r="BL38" i="1"/>
  <c r="BL30" i="1"/>
  <c r="BL37" i="1"/>
  <c r="BL29" i="1"/>
  <c r="BL35" i="1"/>
  <c r="BL34" i="1"/>
  <c r="BL33" i="1"/>
  <c r="BL32" i="1"/>
  <c r="BL26" i="1"/>
  <c r="BM26" i="1" s="1"/>
  <c r="BN26" i="1" s="1"/>
  <c r="BO26" i="1" s="1"/>
  <c r="BP26" i="1" s="1"/>
  <c r="BQ26" i="1" s="1"/>
  <c r="BR26" i="1" s="1"/>
  <c r="BS26" i="1" s="1"/>
  <c r="BT26" i="1" s="1"/>
  <c r="BL22" i="1"/>
  <c r="BM22" i="1" s="1"/>
  <c r="BN22" i="1" s="1"/>
  <c r="BO22" i="1" s="1"/>
  <c r="BP22" i="1" s="1"/>
  <c r="BQ22" i="1" s="1"/>
  <c r="BR22" i="1" s="1"/>
  <c r="BS22" i="1" s="1"/>
  <c r="BT22" i="1" s="1"/>
  <c r="BL20" i="1"/>
  <c r="BM20" i="1" s="1"/>
  <c r="BN20" i="1" s="1"/>
  <c r="BO20" i="1" s="1"/>
  <c r="BP20" i="1" s="1"/>
  <c r="BQ20" i="1" s="1"/>
  <c r="BR20" i="1" s="1"/>
  <c r="BS20" i="1" s="1"/>
  <c r="BT20" i="1" s="1"/>
  <c r="BL19" i="1"/>
  <c r="BM19" i="1" s="1"/>
  <c r="BN19" i="1" s="1"/>
  <c r="BO19" i="1" s="1"/>
  <c r="BP19" i="1" s="1"/>
  <c r="BQ19" i="1" s="1"/>
  <c r="BR19" i="1" s="1"/>
  <c r="BS19" i="1" s="1"/>
  <c r="BT19" i="1" s="1"/>
  <c r="BL18" i="1"/>
  <c r="BM18" i="1" s="1"/>
  <c r="BN18" i="1" s="1"/>
  <c r="BO18" i="1" s="1"/>
  <c r="BP18" i="1" s="1"/>
  <c r="BQ18" i="1" s="1"/>
  <c r="BR18" i="1" s="1"/>
  <c r="BS18" i="1" s="1"/>
  <c r="BT18" i="1" s="1"/>
  <c r="BL17" i="1"/>
  <c r="BM17" i="1" s="1"/>
  <c r="BN17" i="1" s="1"/>
  <c r="BO17" i="1" s="1"/>
  <c r="BP17" i="1" s="1"/>
  <c r="BQ17" i="1" s="1"/>
  <c r="BR17" i="1" s="1"/>
  <c r="BS17" i="1" s="1"/>
  <c r="BT17" i="1" s="1"/>
  <c r="BL13" i="1"/>
  <c r="BM13" i="1" s="1"/>
  <c r="BN13" i="1" s="1"/>
  <c r="BO13" i="1" s="1"/>
  <c r="BP13" i="1" s="1"/>
  <c r="BQ13" i="1" s="1"/>
  <c r="BR13" i="1" s="1"/>
  <c r="BS13" i="1" s="1"/>
  <c r="BT13" i="1" s="1"/>
  <c r="AT64" i="1"/>
  <c r="AT46" i="1"/>
  <c r="BL46" i="1"/>
  <c r="AT45" i="1"/>
  <c r="AT54" i="1"/>
  <c r="AQ63" i="1"/>
  <c r="AP63" i="1"/>
  <c r="AO63" i="1"/>
  <c r="AQ62" i="1"/>
  <c r="AP62" i="1"/>
  <c r="AO62" i="1"/>
  <c r="AR63" i="1"/>
  <c r="AR62" i="1"/>
  <c r="AT63" i="1"/>
  <c r="AT62" i="1"/>
  <c r="AT60" i="1"/>
  <c r="AT59" i="1"/>
  <c r="AR60" i="1"/>
  <c r="AR59" i="1"/>
  <c r="AR58" i="1"/>
  <c r="AR47" i="1"/>
  <c r="AR41" i="1"/>
  <c r="AR42" i="1" s="1"/>
  <c r="AR44" i="1" s="1"/>
  <c r="AR66" i="1" s="1"/>
  <c r="AO60" i="1"/>
  <c r="AO59" i="1"/>
  <c r="AO58" i="1"/>
  <c r="AK47" i="1"/>
  <c r="AK41" i="1"/>
  <c r="AK42" i="1" s="1"/>
  <c r="AP60" i="1"/>
  <c r="AP59" i="1"/>
  <c r="AQ59" i="1"/>
  <c r="AQ60" i="1"/>
  <c r="AP58" i="1"/>
  <c r="AL47" i="1"/>
  <c r="AL41" i="1"/>
  <c r="AL42" i="1" s="1"/>
  <c r="AL44" i="1" s="1"/>
  <c r="AM41" i="1"/>
  <c r="AQ58" i="1"/>
  <c r="AN51" i="1"/>
  <c r="AN47" i="1"/>
  <c r="AN41" i="1"/>
  <c r="AN42" i="1" s="1"/>
  <c r="AB52" i="1" l="1"/>
  <c r="AB53" i="1" s="1"/>
  <c r="AI42" i="1"/>
  <c r="AI44" i="1" s="1"/>
  <c r="AI66" i="1" s="1"/>
  <c r="BJ41" i="1"/>
  <c r="AV41" i="1"/>
  <c r="BK3" i="1"/>
  <c r="BJ3" i="1"/>
  <c r="BJ42" i="1"/>
  <c r="BI41" i="1"/>
  <c r="BI42" i="1" s="1"/>
  <c r="BI44" i="1" s="1"/>
  <c r="BJ49" i="1"/>
  <c r="AA52" i="1"/>
  <c r="AA53" i="1" s="1"/>
  <c r="AA67" i="1"/>
  <c r="AW42" i="1"/>
  <c r="AW56" i="1" s="1"/>
  <c r="AV42" i="1"/>
  <c r="AV56" i="1"/>
  <c r="AX42" i="1"/>
  <c r="AU58" i="1"/>
  <c r="AF48" i="1"/>
  <c r="AF50" i="1" s="1"/>
  <c r="AL56" i="1"/>
  <c r="AJ56" i="1"/>
  <c r="AH56" i="1"/>
  <c r="AG44" i="1"/>
  <c r="AG66" i="1" s="1"/>
  <c r="AG56" i="1"/>
  <c r="AK56" i="1"/>
  <c r="AI56" i="1"/>
  <c r="BL45" i="1"/>
  <c r="BL47" i="1" s="1"/>
  <c r="BL21" i="1"/>
  <c r="BM21" i="1" s="1"/>
  <c r="BN21" i="1" s="1"/>
  <c r="BO21" i="1" s="1"/>
  <c r="BP21" i="1" s="1"/>
  <c r="BQ21" i="1" s="1"/>
  <c r="BR21" i="1" s="1"/>
  <c r="BS21" i="1" s="1"/>
  <c r="BT21" i="1" s="1"/>
  <c r="AC48" i="1"/>
  <c r="AC50" i="1" s="1"/>
  <c r="AH48" i="1"/>
  <c r="AH50" i="1" s="1"/>
  <c r="AD48" i="1"/>
  <c r="AD50" i="1" s="1"/>
  <c r="AE48" i="1"/>
  <c r="AE50" i="1" s="1"/>
  <c r="AN44" i="1"/>
  <c r="AN66" i="1" s="1"/>
  <c r="AN56" i="1"/>
  <c r="AR69" i="1"/>
  <c r="BL11" i="1"/>
  <c r="BM11" i="1" s="1"/>
  <c r="BN11" i="1" s="1"/>
  <c r="BO11" i="1" s="1"/>
  <c r="BP11" i="1" s="1"/>
  <c r="BQ11" i="1" s="1"/>
  <c r="BR11" i="1" s="1"/>
  <c r="BS11" i="1" s="1"/>
  <c r="BT11" i="1" s="1"/>
  <c r="BL24" i="1"/>
  <c r="BM24" i="1" s="1"/>
  <c r="BN24" i="1" s="1"/>
  <c r="BO24" i="1" s="1"/>
  <c r="BP24" i="1" s="1"/>
  <c r="BQ24" i="1" s="1"/>
  <c r="BR24" i="1" s="1"/>
  <c r="BS24" i="1" s="1"/>
  <c r="BT24" i="1" s="1"/>
  <c r="AJ48" i="1"/>
  <c r="AJ50" i="1" s="1"/>
  <c r="BL12" i="1"/>
  <c r="BM12" i="1" s="1"/>
  <c r="BN12" i="1" s="1"/>
  <c r="BO12" i="1" s="1"/>
  <c r="BP12" i="1" s="1"/>
  <c r="BQ12" i="1" s="1"/>
  <c r="BR12" i="1" s="1"/>
  <c r="BS12" i="1" s="1"/>
  <c r="BT12" i="1" s="1"/>
  <c r="BL14" i="1"/>
  <c r="BM14" i="1" s="1"/>
  <c r="BN14" i="1" s="1"/>
  <c r="BO14" i="1" s="1"/>
  <c r="BP14" i="1" s="1"/>
  <c r="BQ14" i="1" s="1"/>
  <c r="BR14" i="1" s="1"/>
  <c r="BS14" i="1" s="1"/>
  <c r="BT14" i="1" s="1"/>
  <c r="BK47" i="1"/>
  <c r="AT47" i="1"/>
  <c r="BL15" i="1"/>
  <c r="BM15" i="1" s="1"/>
  <c r="BN15" i="1" s="1"/>
  <c r="BO15" i="1" s="1"/>
  <c r="BP15" i="1" s="1"/>
  <c r="BQ15" i="1" s="1"/>
  <c r="BR15" i="1" s="1"/>
  <c r="BS15" i="1" s="1"/>
  <c r="BT15" i="1" s="1"/>
  <c r="BL16" i="1"/>
  <c r="BM16" i="1" s="1"/>
  <c r="BN16" i="1" s="1"/>
  <c r="BO16" i="1" s="1"/>
  <c r="BP16" i="1" s="1"/>
  <c r="BQ16" i="1" s="1"/>
  <c r="BR16" i="1" s="1"/>
  <c r="BS16" i="1" s="1"/>
  <c r="BT16" i="1" s="1"/>
  <c r="BL54" i="1"/>
  <c r="BM54" i="1" s="1"/>
  <c r="BN54" i="1" s="1"/>
  <c r="BO54" i="1" s="1"/>
  <c r="BP54" i="1" s="1"/>
  <c r="BL7" i="1"/>
  <c r="BM7" i="1" s="1"/>
  <c r="BN7" i="1" s="1"/>
  <c r="BO7" i="1" s="1"/>
  <c r="BP7" i="1" s="1"/>
  <c r="BQ7" i="1" s="1"/>
  <c r="BR7" i="1" s="1"/>
  <c r="BS7" i="1" s="1"/>
  <c r="BT7" i="1" s="1"/>
  <c r="AS47" i="1"/>
  <c r="AL48" i="1"/>
  <c r="AL50" i="1" s="1"/>
  <c r="AL66" i="1"/>
  <c r="BL8" i="1"/>
  <c r="BM8" i="1" s="1"/>
  <c r="BN8" i="1" s="1"/>
  <c r="BO8" i="1" s="1"/>
  <c r="BP8" i="1" s="1"/>
  <c r="BQ8" i="1" s="1"/>
  <c r="BR8" i="1" s="1"/>
  <c r="BS8" i="1" s="1"/>
  <c r="BT8" i="1" s="1"/>
  <c r="BL10" i="1"/>
  <c r="BM10" i="1" s="1"/>
  <c r="BN10" i="1" s="1"/>
  <c r="BL9" i="1"/>
  <c r="BM9" i="1" s="1"/>
  <c r="BN9" i="1" s="1"/>
  <c r="BO9" i="1" s="1"/>
  <c r="BP9" i="1" s="1"/>
  <c r="BQ9" i="1" s="1"/>
  <c r="BR9" i="1" s="1"/>
  <c r="BS9" i="1" s="1"/>
  <c r="BT9" i="1" s="1"/>
  <c r="BL23" i="1"/>
  <c r="BM23" i="1" s="1"/>
  <c r="BN23" i="1" s="1"/>
  <c r="BO23" i="1" s="1"/>
  <c r="BP23" i="1" s="1"/>
  <c r="BQ23" i="1" s="1"/>
  <c r="BR23" i="1" s="1"/>
  <c r="BS23" i="1" s="1"/>
  <c r="BT23" i="1" s="1"/>
  <c r="BL25" i="1"/>
  <c r="BM25" i="1" s="1"/>
  <c r="BN25" i="1" s="1"/>
  <c r="BO25" i="1" s="1"/>
  <c r="BP25" i="1" s="1"/>
  <c r="BQ25" i="1" s="1"/>
  <c r="BR25" i="1" s="1"/>
  <c r="BS25" i="1" s="1"/>
  <c r="BT25" i="1" s="1"/>
  <c r="AR77" i="1"/>
  <c r="BL5" i="1"/>
  <c r="AR56" i="1"/>
  <c r="AR48" i="1"/>
  <c r="AR50" i="1" s="1"/>
  <c r="AK44" i="1"/>
  <c r="AN48" i="1"/>
  <c r="AN50" i="1" s="1"/>
  <c r="AO51" i="1"/>
  <c r="AO47" i="1"/>
  <c r="AO41" i="1"/>
  <c r="AP51" i="1"/>
  <c r="AP47" i="1"/>
  <c r="AM47" i="1"/>
  <c r="AP41" i="1"/>
  <c r="AP42" i="1"/>
  <c r="AQ79" i="1"/>
  <c r="AQ84" i="1" s="1"/>
  <c r="AQ75" i="1"/>
  <c r="AQ70" i="1"/>
  <c r="AM42" i="1"/>
  <c r="AQ49" i="1"/>
  <c r="BL49" i="1" s="1"/>
  <c r="BM49" i="1" s="1"/>
  <c r="BN49" i="1" s="1"/>
  <c r="BO49" i="1" s="1"/>
  <c r="BP49" i="1" s="1"/>
  <c r="BQ49" i="1" s="1"/>
  <c r="BR49" i="1" s="1"/>
  <c r="BS49" i="1" s="1"/>
  <c r="BT49" i="1" s="1"/>
  <c r="AQ47" i="1"/>
  <c r="AQ41" i="1"/>
  <c r="L45" i="1"/>
  <c r="L43" i="1"/>
  <c r="L46" i="1"/>
  <c r="L49" i="1"/>
  <c r="L40" i="1"/>
  <c r="L41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AF52" i="1" l="1"/>
  <c r="AF53" i="1" s="1"/>
  <c r="AF67" i="1"/>
  <c r="AD52" i="1"/>
  <c r="AD53" i="1" s="1"/>
  <c r="AD67" i="1"/>
  <c r="AG48" i="1"/>
  <c r="AG50" i="1" s="1"/>
  <c r="BJ44" i="1"/>
  <c r="BJ56" i="1"/>
  <c r="AQ42" i="1"/>
  <c r="AQ56" i="1" s="1"/>
  <c r="AU41" i="1"/>
  <c r="AU42" i="1" s="1"/>
  <c r="BI66" i="1"/>
  <c r="BI48" i="1"/>
  <c r="BI50" i="1" s="1"/>
  <c r="AC52" i="1"/>
  <c r="AC53" i="1" s="1"/>
  <c r="AC67" i="1"/>
  <c r="AE52" i="1"/>
  <c r="AE53" i="1" s="1"/>
  <c r="AE67" i="1"/>
  <c r="AU56" i="1"/>
  <c r="AU44" i="1"/>
  <c r="AU48" i="1" s="1"/>
  <c r="AU50" i="1" s="1"/>
  <c r="AV44" i="1"/>
  <c r="AV48" i="1" s="1"/>
  <c r="AV50" i="1" s="1"/>
  <c r="AV51" i="1" s="1"/>
  <c r="AV67" i="1" s="1"/>
  <c r="AW44" i="1"/>
  <c r="AW48" i="1" s="1"/>
  <c r="AW50" i="1" s="1"/>
  <c r="AW43" i="1"/>
  <c r="AX44" i="1"/>
  <c r="AX48" i="1" s="1"/>
  <c r="AX50" i="1" s="1"/>
  <c r="AV52" i="1"/>
  <c r="AV53" i="1" s="1"/>
  <c r="AU66" i="1"/>
  <c r="BM5" i="1"/>
  <c r="BL3" i="1"/>
  <c r="AI48" i="1"/>
  <c r="AI50" i="1" s="1"/>
  <c r="BQ54" i="1"/>
  <c r="BO10" i="1"/>
  <c r="AM44" i="1"/>
  <c r="AM66" i="1" s="1"/>
  <c r="AM56" i="1"/>
  <c r="AH52" i="1"/>
  <c r="AH53" i="1" s="1"/>
  <c r="AH67" i="1"/>
  <c r="AI52" i="1"/>
  <c r="AI53" i="1" s="1"/>
  <c r="AI67" i="1"/>
  <c r="AJ52" i="1"/>
  <c r="AJ53" i="1" s="1"/>
  <c r="AJ67" i="1"/>
  <c r="AO42" i="1"/>
  <c r="AR52" i="1"/>
  <c r="AR53" i="1" s="1"/>
  <c r="AR67" i="1"/>
  <c r="AN52" i="1"/>
  <c r="AN53" i="1" s="1"/>
  <c r="AN67" i="1"/>
  <c r="BK51" i="1"/>
  <c r="BK41" i="1"/>
  <c r="BK42" i="1" s="1"/>
  <c r="AL52" i="1"/>
  <c r="AL53" i="1" s="1"/>
  <c r="AL67" i="1"/>
  <c r="AQ44" i="1"/>
  <c r="BL41" i="1"/>
  <c r="AT42" i="1"/>
  <c r="AK48" i="1"/>
  <c r="AK50" i="1" s="1"/>
  <c r="AK66" i="1"/>
  <c r="AQ77" i="1"/>
  <c r="AP44" i="1"/>
  <c r="AP66" i="1" s="1"/>
  <c r="AP56" i="1"/>
  <c r="AQ69" i="1"/>
  <c r="AM48" i="1"/>
  <c r="AM50" i="1" s="1"/>
  <c r="L47" i="1"/>
  <c r="L42" i="1"/>
  <c r="L44" i="1" s="1"/>
  <c r="BK44" i="1" l="1"/>
  <c r="BK56" i="1"/>
  <c r="BI52" i="1"/>
  <c r="BI53" i="1" s="1"/>
  <c r="BI67" i="1"/>
  <c r="BK67" i="1"/>
  <c r="AO44" i="1"/>
  <c r="AO66" i="1" s="1"/>
  <c r="AS56" i="1"/>
  <c r="BJ66" i="1"/>
  <c r="BJ48" i="1"/>
  <c r="BJ50" i="1" s="1"/>
  <c r="AG52" i="1"/>
  <c r="AG53" i="1" s="1"/>
  <c r="AG67" i="1"/>
  <c r="AV43" i="1"/>
  <c r="AV66" i="1"/>
  <c r="AU43" i="1"/>
  <c r="AW66" i="1"/>
  <c r="AU51" i="1"/>
  <c r="AU67" i="1" s="1"/>
  <c r="AW51" i="1"/>
  <c r="AW67" i="1" s="1"/>
  <c r="AX43" i="1"/>
  <c r="AX51" i="1"/>
  <c r="AX67" i="1" s="1"/>
  <c r="AX66" i="1"/>
  <c r="AT44" i="1"/>
  <c r="AT43" i="1" s="1"/>
  <c r="BL43" i="1" s="1"/>
  <c r="AX56" i="1"/>
  <c r="BN5" i="1"/>
  <c r="BM3" i="1"/>
  <c r="BK48" i="1"/>
  <c r="BK50" i="1" s="1"/>
  <c r="BK52" i="1" s="1"/>
  <c r="BK53" i="1" s="1"/>
  <c r="BK66" i="1"/>
  <c r="BL42" i="1"/>
  <c r="BL56" i="1" s="1"/>
  <c r="BM41" i="1"/>
  <c r="BR54" i="1"/>
  <c r="BP10" i="1"/>
  <c r="AO56" i="1"/>
  <c r="AO48" i="1"/>
  <c r="AO50" i="1" s="1"/>
  <c r="AO52" i="1" s="1"/>
  <c r="AO53" i="1" s="1"/>
  <c r="AO67" i="1"/>
  <c r="AQ66" i="1"/>
  <c r="AQ48" i="1"/>
  <c r="AQ50" i="1" s="1"/>
  <c r="AP48" i="1"/>
  <c r="AP50" i="1" s="1"/>
  <c r="AT56" i="1"/>
  <c r="AM52" i="1"/>
  <c r="AM53" i="1" s="1"/>
  <c r="AM67" i="1"/>
  <c r="AK52" i="1"/>
  <c r="AK53" i="1" s="1"/>
  <c r="AK67" i="1"/>
  <c r="AS48" i="1"/>
  <c r="AS50" i="1" s="1"/>
  <c r="AS67" i="1" s="1"/>
  <c r="L48" i="1"/>
  <c r="L50" i="1" s="1"/>
  <c r="L52" i="1" s="1"/>
  <c r="L53" i="1" s="1"/>
  <c r="I49" i="1"/>
  <c r="I47" i="1"/>
  <c r="E40" i="1"/>
  <c r="E42" i="1" s="1"/>
  <c r="I40" i="1"/>
  <c r="I42" i="1" s="1"/>
  <c r="I44" i="1" s="1"/>
  <c r="BJ52" i="1" l="1"/>
  <c r="BJ53" i="1" s="1"/>
  <c r="BJ67" i="1"/>
  <c r="AW52" i="1"/>
  <c r="AW53" i="1" s="1"/>
  <c r="AU52" i="1"/>
  <c r="AU53" i="1" s="1"/>
  <c r="AX52" i="1"/>
  <c r="AX53" i="1" s="1"/>
  <c r="AT48" i="1"/>
  <c r="AT50" i="1" s="1"/>
  <c r="AT66" i="1"/>
  <c r="BO5" i="1"/>
  <c r="BN3" i="1"/>
  <c r="BL44" i="1"/>
  <c r="BL48" i="1" s="1"/>
  <c r="BL50" i="1" s="1"/>
  <c r="BN41" i="1"/>
  <c r="BM42" i="1"/>
  <c r="BS54" i="1"/>
  <c r="BQ10" i="1"/>
  <c r="AQ52" i="1"/>
  <c r="AQ67" i="1"/>
  <c r="AP52" i="1"/>
  <c r="AP53" i="1" s="1"/>
  <c r="AP67" i="1"/>
  <c r="AT51" i="1"/>
  <c r="AT67" i="1" s="1"/>
  <c r="I48" i="1"/>
  <c r="I50" i="1" s="1"/>
  <c r="I52" i="1" s="1"/>
  <c r="I53" i="1" s="1"/>
  <c r="K4" i="2"/>
  <c r="K7" i="2" s="1"/>
  <c r="AQ53" i="1" l="1"/>
  <c r="AQ86" i="1"/>
  <c r="BP5" i="1"/>
  <c r="BO3" i="1"/>
  <c r="BL66" i="1"/>
  <c r="BO41" i="1"/>
  <c r="BN42" i="1"/>
  <c r="BM45" i="1"/>
  <c r="BM47" i="1" s="1"/>
  <c r="BM44" i="1"/>
  <c r="BM66" i="1" s="1"/>
  <c r="BM56" i="1"/>
  <c r="BT54" i="1"/>
  <c r="BR10" i="1"/>
  <c r="BL51" i="1"/>
  <c r="AT52" i="1"/>
  <c r="AT53" i="1" s="1"/>
  <c r="AS52" i="1"/>
  <c r="AS53" i="1" s="1"/>
  <c r="G49" i="1"/>
  <c r="G47" i="1"/>
  <c r="G44" i="1"/>
  <c r="G40" i="1"/>
  <c r="G41" i="1" s="1"/>
  <c r="BL52" i="1" l="1"/>
  <c r="BL53" i="1" s="1"/>
  <c r="BL67" i="1"/>
  <c r="BQ5" i="1"/>
  <c r="BP3" i="1"/>
  <c r="BP41" i="1"/>
  <c r="BO42" i="1"/>
  <c r="BM43" i="1"/>
  <c r="BM48" i="1"/>
  <c r="BM50" i="1" s="1"/>
  <c r="BM51" i="1" s="1"/>
  <c r="BN45" i="1"/>
  <c r="BN47" i="1" s="1"/>
  <c r="BN56" i="1"/>
  <c r="BN44" i="1"/>
  <c r="BN66" i="1" s="1"/>
  <c r="BS10" i="1"/>
  <c r="G48" i="1"/>
  <c r="G50" i="1" s="1"/>
  <c r="G52" i="1" s="1"/>
  <c r="G53" i="1" s="1"/>
  <c r="BM52" i="1" l="1"/>
  <c r="BM53" i="1" s="1"/>
  <c r="BM67" i="1"/>
  <c r="BR5" i="1"/>
  <c r="BQ3" i="1"/>
  <c r="BN43" i="1"/>
  <c r="BN48" i="1"/>
  <c r="BN50" i="1" s="1"/>
  <c r="BN51" i="1" s="1"/>
  <c r="BO56" i="1"/>
  <c r="BO45" i="1"/>
  <c r="BO47" i="1" s="1"/>
  <c r="BO44" i="1"/>
  <c r="BO66" i="1" s="1"/>
  <c r="BQ41" i="1"/>
  <c r="BP42" i="1"/>
  <c r="BT10" i="1"/>
  <c r="BN52" i="1" l="1"/>
  <c r="BN53" i="1" s="1"/>
  <c r="BN67" i="1"/>
  <c r="BS5" i="1"/>
  <c r="BR3" i="1"/>
  <c r="BP56" i="1"/>
  <c r="BP44" i="1"/>
  <c r="BP66" i="1" s="1"/>
  <c r="BP45" i="1"/>
  <c r="BP47" i="1" s="1"/>
  <c r="BR41" i="1"/>
  <c r="BQ42" i="1"/>
  <c r="BO43" i="1"/>
  <c r="BO48" i="1"/>
  <c r="BO50" i="1" s="1"/>
  <c r="BO51" i="1" s="1"/>
  <c r="BO52" i="1" l="1"/>
  <c r="BO53" i="1" s="1"/>
  <c r="BO67" i="1"/>
  <c r="BT5" i="1"/>
  <c r="BT3" i="1" s="1"/>
  <c r="BS3" i="1"/>
  <c r="BQ45" i="1"/>
  <c r="BQ47" i="1" s="1"/>
  <c r="BQ44" i="1"/>
  <c r="BQ66" i="1" s="1"/>
  <c r="BQ56" i="1"/>
  <c r="BS41" i="1"/>
  <c r="BR42" i="1"/>
  <c r="BP43" i="1"/>
  <c r="BP48" i="1"/>
  <c r="BP50" i="1" s="1"/>
  <c r="BP51" i="1" s="1"/>
  <c r="BP52" i="1" l="1"/>
  <c r="BP53" i="1" s="1"/>
  <c r="BP67" i="1"/>
  <c r="BT41" i="1"/>
  <c r="BT42" i="1" s="1"/>
  <c r="BS42" i="1"/>
  <c r="BR56" i="1"/>
  <c r="BR45" i="1"/>
  <c r="BR47" i="1" s="1"/>
  <c r="BR44" i="1"/>
  <c r="BQ43" i="1"/>
  <c r="BQ48" i="1"/>
  <c r="BQ50" i="1" s="1"/>
  <c r="BQ51" i="1" s="1"/>
  <c r="BQ52" i="1" l="1"/>
  <c r="BQ53" i="1" s="1"/>
  <c r="BQ67" i="1"/>
  <c r="BR43" i="1"/>
  <c r="BR48" i="1"/>
  <c r="BR50" i="1" s="1"/>
  <c r="BR51" i="1" s="1"/>
  <c r="BR52" i="1" s="1"/>
  <c r="BR53" i="1" s="1"/>
  <c r="BS45" i="1"/>
  <c r="BS47" i="1" s="1"/>
  <c r="BS44" i="1"/>
  <c r="BS56" i="1"/>
  <c r="BT45" i="1"/>
  <c r="BT47" i="1" s="1"/>
  <c r="BT44" i="1"/>
  <c r="BT56" i="1"/>
  <c r="BT43" i="1" l="1"/>
  <c r="BT48" i="1"/>
  <c r="BT50" i="1" s="1"/>
  <c r="BT51" i="1" s="1"/>
  <c r="BT52" i="1" s="1"/>
  <c r="BS43" i="1"/>
  <c r="BS48" i="1"/>
  <c r="BS50" i="1" s="1"/>
  <c r="BS51" i="1" s="1"/>
  <c r="BS52" i="1" s="1"/>
  <c r="BS53" i="1" l="1"/>
  <c r="BT53" i="1"/>
  <c r="BU52" i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BW58" i="1" l="1"/>
  <c r="BW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</authors>
  <commentList>
    <comment ref="AM42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3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L53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M53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</commentList>
</comments>
</file>

<file path=xl/sharedStrings.xml><?xml version="1.0" encoding="utf-8"?>
<sst xmlns="http://schemas.openxmlformats.org/spreadsheetml/2006/main" count="482" uniqueCount="340">
  <si>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</si>
  <si>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</si>
  <si>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</si>
  <si>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</si>
  <si>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</si>
  <si>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</si>
  <si>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</si>
  <si>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</si>
  <si>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</si>
  <si>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</si>
  <si>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</si>
  <si>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</si>
  <si>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</si>
  <si>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</si>
  <si>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</si>
  <si>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</si>
  <si>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</si>
  <si>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</si>
  <si>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</si>
  <si>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</si>
  <si>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</si>
  <si>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</si>
  <si>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</si>
  <si>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</si>
  <si>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</si>
  <si>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</si>
  <si>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</si>
  <si>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</si>
  <si>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</si>
  <si>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</si>
  <si>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</si>
  <si>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</si>
  <si>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</si>
  <si>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</si>
  <si>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</si>
  <si>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</si>
  <si>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</si>
  <si>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</si>
  <si>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</si>
  <si>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</si>
  <si>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</si>
  <si>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</si>
  <si>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</si>
  <si>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</si>
  <si>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</si>
  <si>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</si>
  <si>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</si>
  <si>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</si>
  <si>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</si>
  <si>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</si>
  <si>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</si>
  <si>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</si>
  <si>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</si>
  <si>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</si>
  <si>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</si>
  <si>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</si>
  <si>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</si>
  <si>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</si>
  <si>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</si>
  <si>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</si>
  <si>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</si>
  <si>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</si>
  <si>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</si>
  <si>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</si>
  <si>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</si>
  <si>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</si>
  <si>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</si>
  <si>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</si>
  <si>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</si>
  <si>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</si>
  <si>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</si>
  <si>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</si>
  <si>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</si>
  <si>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</si>
  <si>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</si>
  <si>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</si>
  <si>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</si>
  <si>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</si>
  <si>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</si>
  <si>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</si>
  <si>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</si>
  <si>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</si>
  <si>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</si>
  <si>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</si>
  <si>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</si>
  <si>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</si>
  <si>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</si>
  <si>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</si>
  <si>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</si>
  <si>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</si>
  <si>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</si>
  <si>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</si>
  <si>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</si>
  <si>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</si>
  <si>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</si>
  <si>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</si>
  <si>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</si>
  <si>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</si>
  <si>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</si>
  <si>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</si>
  <si>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</si>
  <si>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</si>
  <si>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</si>
  <si>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</si>
  <si>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</si>
  <si>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</si>
  <si>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</si>
  <si>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</si>
  <si>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</si>
  <si>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</si>
  <si>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</si>
  <si>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</si>
  <si>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</si>
  <si>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</si>
  <si>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</si>
  <si>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</si>
  <si>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</si>
  <si>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</si>
  <si>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</si>
  <si>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</si>
  <si>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</si>
  <si>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</si>
  <si>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</si>
  <si>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</si>
  <si>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</si>
  <si>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</si>
  <si>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</si>
  <si>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</si>
  <si>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</si>
  <si>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</si>
  <si>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</si>
  <si>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</si>
  <si>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</si>
  <si>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</si>
  <si>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</si>
  <si>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</si>
  <si>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</si>
  <si>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</si>
  <si>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</si>
  <si>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</si>
  <si>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</si>
  <si>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</si>
  <si>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</si>
  <si>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</si>
  <si>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</si>
  <si>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</si>
  <si>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</si>
  <si>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</si>
  <si>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</si>
  <si>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</si>
  <si>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</si>
  <si>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</si>
  <si>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</si>
  <si>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</si>
  <si>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</si>
  <si>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</si>
  <si>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</si>
  <si>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</si>
  <si>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</si>
  <si>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</si>
  <si>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</si>
  <si>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</si>
  <si>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</si>
  <si>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</si>
  <si>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</si>
  <si>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</si>
  <si>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</si>
  <si>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</si>
  <si>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</si>
  <si>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</si>
  <si>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</si>
  <si>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</si>
  <si>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</si>
  <si>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</si>
  <si>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</si>
  <si>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</si>
  <si>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</si>
  <si>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</si>
  <si>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</si>
  <si>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</si>
  <si>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</si>
  <si>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</si>
  <si>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ABBV-599 (-105+Rinvoq)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</si>
  <si>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</si>
  <si>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</si>
  <si>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</si>
  <si>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</si>
  <si>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</si>
  <si>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</si>
  <si>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</si>
  <si>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</si>
  <si>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</si>
  <si>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</si>
  <si>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</si>
  <si>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</si>
  <si>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</si>
  <si>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</si>
  <si>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</si>
  <si>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</si>
  <si>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</si>
  <si>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</si>
  <si>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</si>
  <si>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</si>
  <si>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</si>
  <si>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</si>
  <si>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</si>
  <si>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</si>
  <si>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</si>
  <si>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</si>
  <si>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</si>
  <si>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</si>
  <si>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</si>
  <si>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</si>
  <si>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</si>
  <si>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</si>
  <si>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</si>
  <si>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</si>
  <si>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</si>
  <si>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</si>
  <si>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</si>
  <si>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</si>
  <si>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</si>
  <si>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</si>
  <si>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</si>
  <si>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</si>
  <si>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</si>
  <si>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</si>
  <si>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</si>
  <si>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</si>
  <si>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</si>
  <si>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</si>
  <si>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</si>
  <si>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</si>
  <si>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</si>
  <si>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</si>
  <si>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</si>
  <si>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</si>
  <si>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</si>
  <si>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</si>
  <si>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</si>
  <si>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</si>
  <si>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</si>
  <si>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</si>
  <si>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</si>
  <si>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</si>
  <si>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</si>
  <si>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</si>
  <si>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</si>
  <si>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</si>
  <si>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</si>
  <si>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</si>
  <si>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</si>
  <si>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</si>
  <si>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</si>
  <si>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</si>
  <si>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</si>
  <si>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</si>
  <si>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</si>
  <si>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</si>
  <si>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</si>
  <si>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</si>
  <si>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</si>
  <si>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</si>
  <si>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</si>
  <si>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</si>
  <si>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</si>
  <si>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</si>
  <si>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</si>
  <si>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</si>
  <si>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</si>
  <si>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</si>
  <si>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</si>
  <si>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</si>
  <si>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</si>
  <si>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</si>
  <si>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</si>
  <si>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</si>
  <si>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</si>
  <si>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</si>
  <si>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</si>
  <si>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</si>
  <si>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</si>
  <si>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</si>
  <si>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</si>
  <si>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</si>
  <si>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</si>
  <si>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</si>
  <si>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</si>
  <si>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</si>
  <si>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</si>
  <si>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</si>
  <si>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</si>
  <si>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</si>
  <si>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</si>
  <si>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</si>
  <si>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</si>
  <si>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</si>
  <si>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</si>
  <si>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</si>
  <si>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</si>
  <si>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</si>
  <si>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</si>
  <si>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</si>
  <si>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</si>
  <si>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</si>
  <si>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</si>
  <si>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</si>
  <si>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</si>
  <si>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</si>
  <si>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</si>
  <si>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</si>
  <si>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</si>
  <si>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</si>
  <si>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</si>
  <si>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</si>
  <si>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</si>
  <si>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</si>
  <si>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</si>
  <si>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</si>
  <si>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</si>
  <si>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</si>
  <si>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</si>
  <si>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</si>
  <si>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</si>
  <si>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</si>
  <si>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</si>
  <si>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</si>
  <si>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</si>
  <si>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</si>
  <si>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</si>
  <si>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epcoritamab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</si>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</sst>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right"/>
    </xf>
    <xf numFmtId="4" fontId="13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3" xfId="0" applyFont="1" applyBorder="1"/>
    <xf numFmtId="0" fontId="13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3" fontId="14" fillId="0" borderId="0" xfId="0" applyNumberFormat="1" applyFont="1"/>
    <xf numFmtId="3" fontId="14" fillId="0" borderId="0" xfId="0" applyNumberFormat="1" applyFont="1" applyAlignment="1">
      <alignment horizontal="right"/>
    </xf>
    <xf numFmtId="14" fontId="13" fillId="0" borderId="0" xfId="0" applyNumberFormat="1" applyFont="1" applyAlignment="1">
      <alignment horizontal="center"/>
    </xf>
    <xf numFmtId="0" fontId="16" fillId="0" borderId="0" xfId="1" applyFont="1"/>
    <xf numFmtId="0" fontId="16" fillId="0" borderId="1" xfId="1" applyFont="1" applyBorder="1"/>
    <xf numFmtId="0" fontId="12" fillId="0" borderId="0" xfId="0" applyFont="1" applyAlignment="1">
      <alignment horizontal="right"/>
    </xf>
    <xf numFmtId="3" fontId="12" fillId="0" borderId="0" xfId="0" applyNumberFormat="1" applyFont="1"/>
    <xf numFmtId="3" fontId="12" fillId="0" borderId="0" xfId="0" quotePrefix="1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0" fontId="10" fillId="0" borderId="0" xfId="0" applyFont="1"/>
    <xf numFmtId="3" fontId="10" fillId="0" borderId="0" xfId="0" quotePrefix="1" applyNumberFormat="1" applyFont="1" applyAlignment="1">
      <alignment horizontal="right"/>
    </xf>
    <xf numFmtId="9" fontId="13" fillId="0" borderId="0" xfId="0" applyNumberFormat="1" applyFont="1"/>
    <xf numFmtId="9" fontId="13" fillId="0" borderId="0" xfId="0" applyNumberFormat="1" applyFont="1" applyAlignment="1">
      <alignment horizontal="right"/>
    </xf>
    <xf numFmtId="9" fontId="10" fillId="0" borderId="0" xfId="0" applyNumberFormat="1" applyFont="1"/>
    <xf numFmtId="9" fontId="14" fillId="0" borderId="0" xfId="0" applyNumberFormat="1" applyFont="1"/>
    <xf numFmtId="9" fontId="14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/>
    <xf numFmtId="3" fontId="7" fillId="0" borderId="0" xfId="0" quotePrefix="1" applyNumberFormat="1" applyFont="1" applyAlignment="1">
      <alignment horizontal="right"/>
    </xf>
    <xf numFmtId="9" fontId="7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/>
    <xf numFmtId="3" fontId="13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5" fillId="0" borderId="0" xfId="0" quotePrefix="1" applyNumberFormat="1" applyFont="1" applyAlignment="1">
      <alignment horizontal="right"/>
    </xf>
    <xf numFmtId="9" fontId="5" fillId="0" borderId="0" xfId="0" applyNumberFormat="1" applyFont="1"/>
    <xf numFmtId="9" fontId="5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5" fillId="0" borderId="0" xfId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3" fontId="12" fillId="0" borderId="0" xfId="0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50008</xdr:colOff>
      <xdr:row>0</xdr:row>
      <xdr:rowOff>0</xdr:rowOff>
    </xdr:from>
    <xdr:to>
      <xdr:col>46</xdr:col>
      <xdr:colOff>50008</xdr:colOff>
      <xdr:row>114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8404742" y="0"/>
          <a:ext cx="0" cy="18211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86915</xdr:colOff>
      <xdr:row>0</xdr:row>
      <xdr:rowOff>35718</xdr:rowOff>
    </xdr:from>
    <xdr:to>
      <xdr:col>64</xdr:col>
      <xdr:colOff>86915</xdr:colOff>
      <xdr:row>114</xdr:row>
      <xdr:rowOff>54768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9371587" y="35718"/>
          <a:ext cx="0" cy="18211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2" dT="2023-02-08T20:32:20.25" personId="{FC08182D-8126-43D2-AFE1-095FC8F8A0A3}" id="{1495FD4C-6EA2-462D-A285-0CE1207F95E3}">
    <text>13010 10-Q</text>
  </threadedComment>
  <threadedComment ref="AS53" dT="2023-01-03T05:48:05.07" personId="{FC08182D-8126-43D2-AFE1-095FC8F8A0A3}" id="{4684B382-7B1E-4F51-8AE6-3C2F21BB4B83}">
    <text>ADJ EPS 3.66</text>
  </threadedComment>
  <threadedComment ref="BL53" dT="2022-07-29T13:57:20.53" personId="{FC08182D-8126-43D2-AFE1-095FC8F8A0A3}" id="{664741F6-5634-463A-B649-C44AD48AAA09}">
    <text>Q222 guidance: 13.78-13.98 reaffirmed
Q322 guidance: 13.84-13.88</text>
  </threadedComment>
  <threadedComment ref="BM53" dT="2023-02-14T04:07:40.83" personId="{FC08182D-8126-43D2-AFE1-095FC8F8A0A3}" id="{A4B38560-E0C3-4F72-B4F8-127C423939FF}">
    <text>Q422: 2023 guidance of 10.70-11.10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78</v>
      </c>
    </row>
    <row r="2" spans="1:6" x14ac:dyDescent="0.2">
      <c r="A2" s="20"/>
      <c r="B2" s="27" t="s">
        <v>151</v>
      </c>
      <c r="C2" s="41" t="s">
        <v>197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152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209</v>
      </c>
      <c r="C6" s="41" t="s">
        <v>210</v>
      </c>
      <c r="D6" s="31">
        <v>1</v>
      </c>
      <c r="E6" s="41" t="s">
        <v>71</v>
      </c>
      <c r="F6" s="41" t="s">
        <v>185</v>
      </c>
    </row>
    <row r="7" spans="1:6" x14ac:dyDescent="0.2">
      <c r="A7" s="20"/>
      <c r="B7" s="27" t="s">
        <v>57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153</v>
      </c>
    </row>
    <row r="10" spans="1:6" x14ac:dyDescent="0.2">
      <c r="B10" s="37" t="s">
        <v>171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196</v>
      </c>
    </row>
    <row r="13" spans="1:6" x14ac:dyDescent="0.2">
      <c r="B13" s="41" t="s">
        <v>198</v>
      </c>
      <c r="C13" s="41" t="s">
        <v>199</v>
      </c>
    </row>
    <row r="18" spans="2:6" x14ac:dyDescent="0.2">
      <c r="C18" s="27" t="s">
        <v>28</v>
      </c>
      <c r="D18" s="27" t="s">
        <v>154</v>
      </c>
      <c r="E18" s="37" t="s">
        <v>178</v>
      </c>
    </row>
    <row r="19" spans="2:6" x14ac:dyDescent="0.2">
      <c r="B19" s="37" t="s">
        <v>177</v>
      </c>
      <c r="C19" s="37" t="s">
        <v>179</v>
      </c>
      <c r="E19" s="37" t="s">
        <v>30</v>
      </c>
      <c r="F19" s="37" t="s">
        <v>180</v>
      </c>
    </row>
    <row r="20" spans="2:6" x14ac:dyDescent="0.2">
      <c r="B20" s="37" t="s">
        <v>29</v>
      </c>
      <c r="E20" s="37" t="s">
        <v>49</v>
      </c>
      <c r="F20" s="37" t="s">
        <v>69</v>
      </c>
    </row>
    <row r="21" spans="2:6" x14ac:dyDescent="0.2">
      <c r="B21" s="41" t="s">
        <v>72</v>
      </c>
      <c r="E21" s="41" t="s">
        <v>204</v>
      </c>
      <c r="F21" s="41" t="s">
        <v>205</v>
      </c>
    </row>
    <row r="22" spans="2:6" x14ac:dyDescent="0.2">
      <c r="B22" s="41" t="s">
        <v>70</v>
      </c>
      <c r="E22" s="41" t="s">
        <v>235</v>
      </c>
      <c r="F22" s="41" t="s">
        <v>234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zoomScale="160" zoomScaleNormal="160" workbookViewId="0">
      <selection activeCell="J15" sqref="J15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58</v>
      </c>
      <c r="E2" s="7" t="s">
        <v>33</v>
      </c>
      <c r="F2" s="7" t="s">
        <v>36</v>
      </c>
      <c r="G2" s="40" t="s">
        <v>193</v>
      </c>
      <c r="H2" s="8" t="s">
        <v>56</v>
      </c>
      <c r="J2" s="1" t="s">
        <v>51</v>
      </c>
      <c r="K2" s="14">
        <v>144.69</v>
      </c>
    </row>
    <row r="3" spans="2:12" x14ac:dyDescent="0.2">
      <c r="B3" s="21" t="s">
        <v>77</v>
      </c>
      <c r="C3" s="46" t="s">
        <v>244</v>
      </c>
      <c r="D3" s="19">
        <v>37621</v>
      </c>
      <c r="E3" s="9" t="s">
        <v>32</v>
      </c>
      <c r="F3" s="10">
        <v>1</v>
      </c>
      <c r="G3" s="38" t="s">
        <v>194</v>
      </c>
      <c r="H3" s="11">
        <v>2024</v>
      </c>
      <c r="J3" s="1" t="s">
        <v>14</v>
      </c>
      <c r="K3" s="15">
        <v>1768.4805080000001</v>
      </c>
      <c r="L3" s="56" t="s">
        <v>116</v>
      </c>
    </row>
    <row r="4" spans="2:12" x14ac:dyDescent="0.2">
      <c r="B4" s="21" t="s">
        <v>222</v>
      </c>
      <c r="C4" s="59" t="s">
        <v>284</v>
      </c>
      <c r="D4" s="66">
        <v>33581</v>
      </c>
      <c r="E4" s="59" t="s">
        <v>285</v>
      </c>
      <c r="F4" s="10">
        <v>1</v>
      </c>
      <c r="G4" s="59" t="s">
        <v>194</v>
      </c>
      <c r="H4" s="60" t="s">
        <v>286</v>
      </c>
      <c r="J4" s="1" t="s">
        <v>52</v>
      </c>
      <c r="K4" s="15">
        <f>+K3*K2</f>
        <v>255881.44470252001</v>
      </c>
      <c r="L4" s="2"/>
    </row>
    <row r="5" spans="2:12" x14ac:dyDescent="0.2">
      <c r="B5" s="21" t="s">
        <v>164</v>
      </c>
      <c r="C5" s="59" t="s">
        <v>281</v>
      </c>
      <c r="D5" s="19">
        <v>41591</v>
      </c>
      <c r="E5" s="59" t="s">
        <v>282</v>
      </c>
      <c r="F5" s="34" t="s">
        <v>166</v>
      </c>
      <c r="G5" s="38" t="s">
        <v>195</v>
      </c>
      <c r="H5" s="62">
        <v>46566</v>
      </c>
      <c r="J5" s="1" t="s">
        <v>53</v>
      </c>
      <c r="K5" s="15">
        <f>11832+47+235</f>
        <v>12114</v>
      </c>
      <c r="L5" s="56" t="s">
        <v>116</v>
      </c>
    </row>
    <row r="6" spans="2:12" x14ac:dyDescent="0.2">
      <c r="B6" s="21" t="s">
        <v>167</v>
      </c>
      <c r="C6" s="59" t="s">
        <v>274</v>
      </c>
      <c r="D6" s="19">
        <v>43578</v>
      </c>
      <c r="E6" s="38" t="s">
        <v>237</v>
      </c>
      <c r="F6" s="61" t="s">
        <v>275</v>
      </c>
      <c r="G6" s="59" t="s">
        <v>194</v>
      </c>
      <c r="H6" s="60" t="s">
        <v>76</v>
      </c>
      <c r="J6" s="1" t="s">
        <v>54</v>
      </c>
      <c r="K6" s="15">
        <f>10+9197+60399</f>
        <v>69606</v>
      </c>
      <c r="L6" s="56" t="s">
        <v>116</v>
      </c>
    </row>
    <row r="7" spans="2:12" x14ac:dyDescent="0.2">
      <c r="B7" s="39" t="s">
        <v>168</v>
      </c>
      <c r="C7" s="36" t="s">
        <v>169</v>
      </c>
      <c r="D7" s="19">
        <v>42471</v>
      </c>
      <c r="E7" s="36" t="s">
        <v>31</v>
      </c>
      <c r="F7" s="36" t="s">
        <v>170</v>
      </c>
      <c r="G7" s="38" t="s">
        <v>195</v>
      </c>
      <c r="H7" s="60" t="s">
        <v>287</v>
      </c>
      <c r="J7" s="1" t="s">
        <v>55</v>
      </c>
      <c r="K7" s="15">
        <f>+K4-K5+K6</f>
        <v>313373.44470252004</v>
      </c>
    </row>
    <row r="8" spans="2:12" x14ac:dyDescent="0.2">
      <c r="B8" s="63" t="s">
        <v>288</v>
      </c>
      <c r="C8" s="59" t="s">
        <v>289</v>
      </c>
      <c r="D8" s="19">
        <v>32534</v>
      </c>
      <c r="E8" s="9"/>
      <c r="F8" s="59" t="s">
        <v>290</v>
      </c>
      <c r="G8" s="59" t="s">
        <v>291</v>
      </c>
      <c r="H8" s="11"/>
    </row>
    <row r="9" spans="2:12" x14ac:dyDescent="0.2">
      <c r="B9" s="21" t="s">
        <v>186</v>
      </c>
      <c r="C9" s="59" t="s">
        <v>268</v>
      </c>
      <c r="D9" s="19">
        <v>44636</v>
      </c>
      <c r="E9" s="38" t="s">
        <v>185</v>
      </c>
      <c r="F9" s="10">
        <v>1</v>
      </c>
      <c r="G9" s="38" t="s">
        <v>195</v>
      </c>
      <c r="H9" s="60" t="s">
        <v>269</v>
      </c>
    </row>
    <row r="10" spans="2:12" x14ac:dyDescent="0.2">
      <c r="B10" s="63" t="s">
        <v>292</v>
      </c>
      <c r="C10" s="59" t="s">
        <v>294</v>
      </c>
      <c r="D10" s="19">
        <v>37461</v>
      </c>
      <c r="E10" s="9"/>
      <c r="F10" s="9"/>
      <c r="G10" s="38" t="s">
        <v>195</v>
      </c>
      <c r="H10" s="11"/>
    </row>
    <row r="11" spans="2:12" x14ac:dyDescent="0.2">
      <c r="B11" s="4" t="s">
        <v>6</v>
      </c>
      <c r="C11" s="59" t="s">
        <v>293</v>
      </c>
      <c r="D11" s="9"/>
      <c r="E11" s="9"/>
      <c r="F11" s="9"/>
      <c r="G11" s="38" t="s">
        <v>195</v>
      </c>
      <c r="H11" s="11"/>
    </row>
    <row r="12" spans="2:12" x14ac:dyDescent="0.2">
      <c r="B12" s="63" t="s">
        <v>296</v>
      </c>
      <c r="C12" s="59" t="s">
        <v>297</v>
      </c>
      <c r="D12" s="9"/>
      <c r="E12" s="9"/>
      <c r="F12" s="9"/>
      <c r="G12" s="59" t="s">
        <v>299</v>
      </c>
      <c r="H12" s="11"/>
    </row>
    <row r="13" spans="2:12" x14ac:dyDescent="0.2">
      <c r="B13" s="63" t="s">
        <v>295</v>
      </c>
      <c r="C13" s="59" t="s">
        <v>217</v>
      </c>
      <c r="D13" s="9"/>
      <c r="E13" s="9"/>
      <c r="F13" s="9"/>
      <c r="G13" s="9"/>
      <c r="H13" s="11"/>
      <c r="J13" s="41" t="s">
        <v>216</v>
      </c>
    </row>
    <row r="14" spans="2:12" x14ac:dyDescent="0.2">
      <c r="B14" s="63" t="s">
        <v>283</v>
      </c>
      <c r="C14" s="9" t="s">
        <v>34</v>
      </c>
      <c r="D14" s="9"/>
      <c r="E14" s="9"/>
      <c r="F14" s="9" t="s">
        <v>35</v>
      </c>
      <c r="G14" s="38" t="s">
        <v>195</v>
      </c>
      <c r="H14" s="11"/>
      <c r="J14" s="64" t="s">
        <v>337</v>
      </c>
    </row>
    <row r="15" spans="2:12" x14ac:dyDescent="0.2">
      <c r="B15" s="39" t="s">
        <v>220</v>
      </c>
      <c r="C15" s="38" t="s">
        <v>221</v>
      </c>
      <c r="D15" s="9"/>
      <c r="E15" s="59" t="s">
        <v>298</v>
      </c>
      <c r="F15" s="10">
        <v>1</v>
      </c>
      <c r="G15" s="59" t="s">
        <v>195</v>
      </c>
      <c r="H15" s="11"/>
    </row>
    <row r="16" spans="2:12" x14ac:dyDescent="0.2">
      <c r="B16" s="39" t="s">
        <v>192</v>
      </c>
      <c r="C16" s="36" t="s">
        <v>40</v>
      </c>
      <c r="D16" s="9"/>
      <c r="E16" s="9"/>
      <c r="F16" s="10">
        <v>1</v>
      </c>
      <c r="G16" s="38" t="s">
        <v>195</v>
      </c>
      <c r="H16" s="11"/>
    </row>
    <row r="17" spans="2:8" x14ac:dyDescent="0.2">
      <c r="B17" s="39" t="s">
        <v>224</v>
      </c>
      <c r="C17" s="38" t="s">
        <v>225</v>
      </c>
      <c r="D17" s="9"/>
      <c r="E17" s="9"/>
      <c r="F17" s="10"/>
      <c r="G17" s="59" t="s">
        <v>299</v>
      </c>
      <c r="H17" s="11"/>
    </row>
    <row r="18" spans="2:8" x14ac:dyDescent="0.2">
      <c r="B18" s="63" t="s">
        <v>303</v>
      </c>
      <c r="C18" s="59" t="s">
        <v>304</v>
      </c>
      <c r="D18" s="9"/>
      <c r="E18" s="59" t="s">
        <v>305</v>
      </c>
      <c r="F18" s="10"/>
      <c r="G18" s="59"/>
      <c r="H18" s="11"/>
    </row>
    <row r="19" spans="2:8" x14ac:dyDescent="0.2">
      <c r="B19" s="39" t="s">
        <v>226</v>
      </c>
      <c r="C19" s="38" t="s">
        <v>227</v>
      </c>
      <c r="D19" s="9"/>
      <c r="E19" s="9"/>
      <c r="F19" s="10"/>
      <c r="G19" s="59" t="s">
        <v>299</v>
      </c>
      <c r="H19" s="11"/>
    </row>
    <row r="20" spans="2:8" x14ac:dyDescent="0.2">
      <c r="B20" s="39" t="s">
        <v>223</v>
      </c>
      <c r="C20" s="38" t="s">
        <v>187</v>
      </c>
      <c r="D20" s="9"/>
      <c r="E20" s="9"/>
      <c r="F20" s="9"/>
      <c r="G20" s="38" t="s">
        <v>195</v>
      </c>
      <c r="H20" s="11"/>
    </row>
    <row r="21" spans="2:8" x14ac:dyDescent="0.2">
      <c r="B21" s="6"/>
      <c r="C21" s="7"/>
      <c r="D21" s="7" t="s">
        <v>59</v>
      </c>
      <c r="E21" s="7"/>
      <c r="F21" s="7"/>
      <c r="G21" s="7"/>
      <c r="H21" s="8"/>
    </row>
    <row r="22" spans="2:8" x14ac:dyDescent="0.2">
      <c r="B22" s="39" t="s">
        <v>219</v>
      </c>
      <c r="C22" s="38" t="s">
        <v>217</v>
      </c>
      <c r="D22" s="38" t="s">
        <v>218</v>
      </c>
      <c r="E22" s="9"/>
      <c r="F22" s="10">
        <v>1</v>
      </c>
      <c r="G22" s="9"/>
      <c r="H22" s="11"/>
    </row>
    <row r="23" spans="2:8" x14ac:dyDescent="0.2">
      <c r="B23" s="35" t="s">
        <v>172</v>
      </c>
      <c r="C23" s="36" t="s">
        <v>173</v>
      </c>
      <c r="D23" s="36" t="s">
        <v>67</v>
      </c>
      <c r="E23" s="38" t="s">
        <v>202</v>
      </c>
      <c r="F23" s="10">
        <v>1</v>
      </c>
      <c r="G23" s="9"/>
      <c r="H23" s="11"/>
    </row>
    <row r="24" spans="2:8" x14ac:dyDescent="0.2">
      <c r="B24" s="68" t="s">
        <v>330</v>
      </c>
      <c r="C24" s="36"/>
      <c r="D24" s="36"/>
      <c r="E24" s="70" t="s">
        <v>332</v>
      </c>
      <c r="F24" s="69" t="s">
        <v>331</v>
      </c>
      <c r="G24" s="9"/>
      <c r="H24" s="11"/>
    </row>
    <row r="25" spans="2:8" x14ac:dyDescent="0.2">
      <c r="B25" s="68" t="s">
        <v>333</v>
      </c>
      <c r="C25" s="70" t="s">
        <v>334</v>
      </c>
      <c r="D25" s="36"/>
      <c r="E25" s="70"/>
      <c r="F25" s="69"/>
      <c r="G25" s="9"/>
      <c r="H25" s="11"/>
    </row>
    <row r="26" spans="2:8" x14ac:dyDescent="0.2">
      <c r="B26" s="68" t="s">
        <v>335</v>
      </c>
      <c r="C26" s="70" t="s">
        <v>336</v>
      </c>
      <c r="D26" s="36"/>
      <c r="E26" s="70"/>
      <c r="F26" s="69"/>
      <c r="G26" s="9"/>
      <c r="H26" s="11"/>
    </row>
    <row r="27" spans="2:8" x14ac:dyDescent="0.2">
      <c r="B27" s="35" t="s">
        <v>174</v>
      </c>
      <c r="C27" s="36" t="s">
        <v>176</v>
      </c>
      <c r="D27" s="36" t="s">
        <v>67</v>
      </c>
      <c r="E27" s="36" t="s">
        <v>175</v>
      </c>
      <c r="F27" s="10">
        <v>1</v>
      </c>
      <c r="G27" s="9"/>
      <c r="H27" s="11"/>
    </row>
    <row r="28" spans="2:8" x14ac:dyDescent="0.2">
      <c r="B28" s="35" t="s">
        <v>181</v>
      </c>
      <c r="C28" s="36" t="s">
        <v>183</v>
      </c>
      <c r="D28" s="36" t="s">
        <v>67</v>
      </c>
      <c r="E28" s="36" t="s">
        <v>165</v>
      </c>
      <c r="F28" s="10">
        <v>1</v>
      </c>
      <c r="G28" s="9"/>
      <c r="H28" s="11"/>
    </row>
    <row r="29" spans="2:8" x14ac:dyDescent="0.2">
      <c r="B29" s="35" t="s">
        <v>182</v>
      </c>
      <c r="C29" s="38" t="s">
        <v>183</v>
      </c>
      <c r="D29" s="38" t="s">
        <v>67</v>
      </c>
      <c r="E29" s="38" t="s">
        <v>184</v>
      </c>
      <c r="F29" s="10">
        <v>1</v>
      </c>
      <c r="G29" s="9"/>
      <c r="H29" s="11"/>
    </row>
    <row r="30" spans="2:8" x14ac:dyDescent="0.2">
      <c r="B30" s="39" t="s">
        <v>188</v>
      </c>
      <c r="C30" s="38" t="s">
        <v>191</v>
      </c>
      <c r="D30" s="38" t="s">
        <v>190</v>
      </c>
      <c r="E30" s="38" t="s">
        <v>189</v>
      </c>
      <c r="F30" s="10">
        <v>1</v>
      </c>
      <c r="G30" s="9"/>
      <c r="H30" s="11"/>
    </row>
    <row r="31" spans="2:8" x14ac:dyDescent="0.2">
      <c r="B31" s="39" t="s">
        <v>200</v>
      </c>
      <c r="C31" s="38" t="s">
        <v>183</v>
      </c>
      <c r="D31" s="38" t="s">
        <v>67</v>
      </c>
      <c r="E31" s="38" t="s">
        <v>203</v>
      </c>
      <c r="F31" s="38" t="s">
        <v>201</v>
      </c>
      <c r="G31" s="9"/>
      <c r="H31" s="11"/>
    </row>
    <row r="32" spans="2:8" x14ac:dyDescent="0.2">
      <c r="B32" s="39" t="s">
        <v>206</v>
      </c>
      <c r="C32" s="38" t="s">
        <v>207</v>
      </c>
      <c r="D32" s="38" t="s">
        <v>67</v>
      </c>
      <c r="E32" s="38" t="s">
        <v>208</v>
      </c>
      <c r="F32" s="10">
        <v>1</v>
      </c>
      <c r="G32" s="9"/>
      <c r="H32" s="11"/>
    </row>
    <row r="33" spans="2:8" x14ac:dyDescent="0.2">
      <c r="B33" s="39" t="s">
        <v>239</v>
      </c>
      <c r="C33" s="38" t="s">
        <v>217</v>
      </c>
      <c r="D33" s="38" t="s">
        <v>190</v>
      </c>
      <c r="E33" s="38" t="s">
        <v>240</v>
      </c>
      <c r="F33" s="10">
        <v>1</v>
      </c>
      <c r="G33" s="9"/>
      <c r="H33" s="11"/>
    </row>
    <row r="34" spans="2:8" x14ac:dyDescent="0.2">
      <c r="B34" s="4" t="s">
        <v>39</v>
      </c>
      <c r="C34" s="9" t="s">
        <v>40</v>
      </c>
      <c r="D34" s="9"/>
      <c r="E34" s="9"/>
      <c r="F34" s="9"/>
      <c r="G34" s="9"/>
      <c r="H34" s="11"/>
    </row>
    <row r="35" spans="2:8" x14ac:dyDescent="0.2">
      <c r="B35" s="4" t="s">
        <v>41</v>
      </c>
      <c r="C35" s="9" t="s">
        <v>42</v>
      </c>
      <c r="D35" s="9"/>
      <c r="E35" s="9"/>
      <c r="F35" s="9"/>
      <c r="G35" s="9"/>
      <c r="H35" s="11"/>
    </row>
    <row r="36" spans="2:8" x14ac:dyDescent="0.2">
      <c r="B36" s="63" t="s">
        <v>300</v>
      </c>
      <c r="C36" s="59" t="s">
        <v>301</v>
      </c>
      <c r="D36" s="59" t="s">
        <v>190</v>
      </c>
      <c r="E36" s="59" t="s">
        <v>302</v>
      </c>
      <c r="F36" s="10">
        <v>1</v>
      </c>
      <c r="G36" s="9"/>
      <c r="H36" s="11"/>
    </row>
    <row r="37" spans="2:8" x14ac:dyDescent="0.2">
      <c r="B37" s="4" t="s">
        <v>43</v>
      </c>
      <c r="C37" s="9" t="s">
        <v>68</v>
      </c>
      <c r="D37" s="9" t="s">
        <v>67</v>
      </c>
      <c r="E37" s="9" t="s">
        <v>44</v>
      </c>
      <c r="F37" s="10">
        <v>1</v>
      </c>
      <c r="G37" s="9"/>
      <c r="H37" s="11"/>
    </row>
    <row r="38" spans="2:8" x14ac:dyDescent="0.2">
      <c r="B38" s="4" t="s">
        <v>45</v>
      </c>
      <c r="C38" s="9" t="s">
        <v>46</v>
      </c>
      <c r="D38" s="9"/>
      <c r="E38" s="9"/>
      <c r="F38" s="9"/>
      <c r="G38" s="9"/>
      <c r="H38" s="11"/>
    </row>
    <row r="39" spans="2:8" x14ac:dyDescent="0.2">
      <c r="B39" s="4" t="s">
        <v>47</v>
      </c>
      <c r="C39" s="9" t="s">
        <v>48</v>
      </c>
      <c r="D39" s="9"/>
      <c r="E39" s="9"/>
      <c r="F39" s="9"/>
      <c r="G39" s="9"/>
      <c r="H39" s="11"/>
    </row>
    <row r="40" spans="2:8" x14ac:dyDescent="0.2">
      <c r="B40" s="5" t="s">
        <v>50</v>
      </c>
      <c r="C40" s="12"/>
      <c r="D40" s="12"/>
      <c r="E40" s="12"/>
      <c r="F40" s="12"/>
      <c r="G40" s="12"/>
      <c r="H40" s="13"/>
    </row>
    <row r="42" spans="2:8" x14ac:dyDescent="0.2">
      <c r="E42" s="57" t="s">
        <v>267</v>
      </c>
      <c r="G42" s="1" t="s">
        <v>73</v>
      </c>
    </row>
    <row r="43" spans="2:8" x14ac:dyDescent="0.2">
      <c r="G43" s="1" t="s">
        <v>74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110"/>
  <sheetViews>
    <sheetView tabSelected="1" zoomScale="160" zoomScaleNormal="160" workbookViewId="0">
      <pane xSplit="2" ySplit="2" topLeftCell="AP49" activePane="bottomRight" state="frozen"/>
      <selection pane="topRight" activeCell="C1" sqref="C1"/>
      <selection pane="bottomLeft" activeCell="A3" sqref="A3"/>
      <selection pane="bottomRight" activeCell="AT83" sqref="AT83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1" width="9.140625" style="2"/>
    <col min="72" max="74" width="9.140625" style="1"/>
    <col min="75" max="75" width="12.28515625" style="1" bestFit="1" customWidth="1"/>
    <col min="76" max="16384" width="9.140625" style="1"/>
  </cols>
  <sheetData>
    <row r="1" spans="1:72" ht="15" x14ac:dyDescent="0.25">
      <c r="A1" s="58" t="s">
        <v>78</v>
      </c>
    </row>
    <row r="2" spans="1:72" x14ac:dyDescent="0.2">
      <c r="C2" s="2" t="s">
        <v>62</v>
      </c>
      <c r="D2" s="2" t="s">
        <v>63</v>
      </c>
      <c r="E2" s="2" t="s">
        <v>64</v>
      </c>
      <c r="F2" s="2" t="s">
        <v>65</v>
      </c>
      <c r="G2" s="2" t="s">
        <v>1</v>
      </c>
      <c r="H2" s="2" t="s">
        <v>61</v>
      </c>
      <c r="I2" s="2" t="s">
        <v>60</v>
      </c>
      <c r="J2" s="2" t="s">
        <v>82</v>
      </c>
      <c r="K2" s="2" t="s">
        <v>83</v>
      </c>
      <c r="L2" s="2" t="s">
        <v>75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2" t="s">
        <v>90</v>
      </c>
      <c r="T2" s="22" t="s">
        <v>91</v>
      </c>
      <c r="U2" s="22" t="s">
        <v>92</v>
      </c>
      <c r="V2" s="22" t="s">
        <v>93</v>
      </c>
      <c r="W2" s="22" t="s">
        <v>94</v>
      </c>
      <c r="X2" s="22" t="s">
        <v>95</v>
      </c>
      <c r="Y2" s="22" t="s">
        <v>96</v>
      </c>
      <c r="Z2" s="22" t="s">
        <v>97</v>
      </c>
      <c r="AA2" s="22" t="s">
        <v>98</v>
      </c>
      <c r="AB2" s="22" t="s">
        <v>99</v>
      </c>
      <c r="AC2" s="22" t="s">
        <v>100</v>
      </c>
      <c r="AD2" s="22" t="s">
        <v>101</v>
      </c>
      <c r="AE2" s="22" t="s">
        <v>102</v>
      </c>
      <c r="AF2" s="22" t="s">
        <v>103</v>
      </c>
      <c r="AG2" s="22" t="s">
        <v>104</v>
      </c>
      <c r="AH2" s="22" t="s">
        <v>105</v>
      </c>
      <c r="AI2" s="22" t="s">
        <v>106</v>
      </c>
      <c r="AJ2" s="22" t="s">
        <v>107</v>
      </c>
      <c r="AK2" s="22" t="s">
        <v>108</v>
      </c>
      <c r="AL2" s="22" t="s">
        <v>109</v>
      </c>
      <c r="AM2" s="22" t="s">
        <v>110</v>
      </c>
      <c r="AN2" s="22" t="s">
        <v>111</v>
      </c>
      <c r="AO2" s="22" t="s">
        <v>112</v>
      </c>
      <c r="AP2" s="22" t="s">
        <v>113</v>
      </c>
      <c r="AQ2" s="22" t="s">
        <v>114</v>
      </c>
      <c r="AR2" s="22" t="s">
        <v>115</v>
      </c>
      <c r="AS2" s="22" t="s">
        <v>116</v>
      </c>
      <c r="AT2" s="22" t="s">
        <v>117</v>
      </c>
      <c r="AU2" s="44" t="s">
        <v>250</v>
      </c>
      <c r="AV2" s="44" t="s">
        <v>251</v>
      </c>
      <c r="AW2" s="44" t="s">
        <v>252</v>
      </c>
      <c r="AX2" s="44" t="s">
        <v>253</v>
      </c>
      <c r="AY2" s="44"/>
      <c r="AZ2" s="44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1:72" x14ac:dyDescent="0.2">
      <c r="B3" s="55" t="s">
        <v>265</v>
      </c>
      <c r="S3" s="22"/>
      <c r="T3" s="22"/>
      <c r="U3" s="22"/>
      <c r="V3" s="22"/>
      <c r="W3" s="22"/>
      <c r="X3" s="22"/>
      <c r="Y3" s="73"/>
      <c r="Z3" s="73"/>
      <c r="AA3" s="73">
        <f t="shared" ref="Y3:AG3" si="1">+AA5+AA8+AA12</f>
        <v>4709</v>
      </c>
      <c r="AB3" s="73">
        <f t="shared" si="1"/>
        <v>5185</v>
      </c>
      <c r="AC3" s="73">
        <f t="shared" si="1"/>
        <v>5124</v>
      </c>
      <c r="AD3" s="73">
        <f t="shared" si="1"/>
        <v>4918</v>
      </c>
      <c r="AE3" s="73">
        <f t="shared" si="1"/>
        <v>4446</v>
      </c>
      <c r="AF3" s="73">
        <f t="shared" si="1"/>
        <v>4918</v>
      </c>
      <c r="AG3" s="73">
        <f t="shared" ref="AG3:AM3" si="2">+AG5+AG8+AG12</f>
        <v>5041</v>
      </c>
      <c r="AH3" s="73">
        <f t="shared" si="2"/>
        <v>5166</v>
      </c>
      <c r="AI3" s="73">
        <f t="shared" si="2"/>
        <v>5089</v>
      </c>
      <c r="AJ3" s="73">
        <f t="shared" si="2"/>
        <v>5316</v>
      </c>
      <c r="AK3" s="73">
        <f t="shared" si="2"/>
        <v>5790</v>
      </c>
      <c r="AL3" s="73">
        <f t="shared" si="2"/>
        <v>5958</v>
      </c>
      <c r="AM3" s="73">
        <f t="shared" ref="AM3:AT3" si="3">+AM5+AM8+AM12</f>
        <v>5744</v>
      </c>
      <c r="AN3" s="73">
        <f t="shared" si="3"/>
        <v>6120</v>
      </c>
      <c r="AO3" s="73">
        <f t="shared" si="3"/>
        <v>6674</v>
      </c>
      <c r="AP3" s="73">
        <f t="shared" si="3"/>
        <v>6746</v>
      </c>
      <c r="AQ3" s="73">
        <f t="shared" si="3"/>
        <v>6141</v>
      </c>
      <c r="AR3" s="73">
        <f t="shared" si="3"/>
        <v>7207</v>
      </c>
      <c r="AS3" s="73">
        <f t="shared" si="3"/>
        <v>7651</v>
      </c>
      <c r="AT3" s="73">
        <f>+AT5+AT8+AT12</f>
        <v>7925</v>
      </c>
      <c r="AU3" s="73">
        <f>+AU5+AU8+AU12</f>
        <v>6608.2</v>
      </c>
      <c r="AV3" s="73">
        <f>+AV5+AV8+AV12</f>
        <v>7415.0999999999995</v>
      </c>
      <c r="AW3" s="73">
        <f>+AW5+AW8+AW12</f>
        <v>7514.95</v>
      </c>
      <c r="AX3" s="73">
        <f>+AX5+AX8+AX12</f>
        <v>7436</v>
      </c>
      <c r="AY3" s="44"/>
      <c r="AZ3" s="44"/>
      <c r="BH3" s="16">
        <f>+BH5+BH8+BH12</f>
        <v>19936</v>
      </c>
      <c r="BI3" s="16">
        <f>+BI5+BI8+BI12</f>
        <v>19571</v>
      </c>
      <c r="BJ3" s="16">
        <f>+BJ5+BJ8+BJ12</f>
        <v>22153</v>
      </c>
      <c r="BK3" s="16">
        <f t="shared" ref="BK3:BT3" si="4">+BK5+BK8+BK12</f>
        <v>25284</v>
      </c>
      <c r="BL3" s="16">
        <f t="shared" si="4"/>
        <v>28924</v>
      </c>
      <c r="BM3" s="16">
        <f t="shared" si="4"/>
        <v>19930.66</v>
      </c>
      <c r="BN3" s="16">
        <f t="shared" si="4"/>
        <v>20961.089800000002</v>
      </c>
      <c r="BO3" s="16">
        <f t="shared" si="4"/>
        <v>22704.347494000001</v>
      </c>
      <c r="BP3" s="16">
        <f t="shared" si="4"/>
        <v>21407.251368820002</v>
      </c>
      <c r="BQ3" s="16">
        <f t="shared" si="4"/>
        <v>20466.887669884607</v>
      </c>
      <c r="BR3" s="16">
        <f t="shared" si="4"/>
        <v>18163.440187981141</v>
      </c>
      <c r="BS3" s="16">
        <f t="shared" si="4"/>
        <v>17249.616337620577</v>
      </c>
      <c r="BT3" s="16">
        <f t="shared" si="4"/>
        <v>14153.121343349778</v>
      </c>
    </row>
    <row r="4" spans="1:72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</row>
    <row r="5" spans="1:72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f>+AQ5*0.95</f>
        <v>4499.2</v>
      </c>
      <c r="AV5" s="16">
        <f>+AR5*0.9</f>
        <v>4826.7</v>
      </c>
      <c r="AW5" s="16">
        <f>+AS5*0.85</f>
        <v>4725.1499999999996</v>
      </c>
      <c r="AX5" s="16">
        <f>+AT5*0.8</f>
        <v>4463.2</v>
      </c>
      <c r="AY5" s="16"/>
      <c r="AZ5" s="16"/>
      <c r="BA5" s="16"/>
      <c r="BB5" s="16"/>
      <c r="BC5" s="16"/>
      <c r="BD5" s="16"/>
      <c r="BE5" s="16"/>
      <c r="BF5" s="16"/>
      <c r="BG5" s="16"/>
      <c r="BH5" s="16">
        <f>SUM(AA5:AD5)</f>
        <v>19936</v>
      </c>
      <c r="BI5" s="16">
        <f>SUM(AE5:AH5)</f>
        <v>19169</v>
      </c>
      <c r="BJ5" s="16">
        <f>SUM(AI5:AL5)</f>
        <v>19832</v>
      </c>
      <c r="BK5" s="16">
        <f>SUM(AM5:AP5)</f>
        <v>20694</v>
      </c>
      <c r="BL5" s="16">
        <f>SUM(AQ5:AT5)</f>
        <v>21237</v>
      </c>
      <c r="BM5" s="16">
        <f>+BL5*0.5</f>
        <v>10618.5</v>
      </c>
      <c r="BN5" s="16">
        <f>+BM5*0.9</f>
        <v>9556.65</v>
      </c>
      <c r="BO5" s="16">
        <f>+BN5*0.9</f>
        <v>8600.9850000000006</v>
      </c>
      <c r="BP5" s="16">
        <f>+BO5*0.8</f>
        <v>6880.7880000000005</v>
      </c>
      <c r="BQ5" s="16">
        <f>+BP5*0.8</f>
        <v>5504.6304000000009</v>
      </c>
      <c r="BR5" s="16">
        <f t="shared" ref="BR5:BT5" si="5">+BQ5*0.5</f>
        <v>2752.3152000000005</v>
      </c>
      <c r="BS5" s="16">
        <f t="shared" si="5"/>
        <v>1376.1576000000002</v>
      </c>
      <c r="BT5" s="16">
        <f t="shared" si="5"/>
        <v>688.07880000000011</v>
      </c>
    </row>
    <row r="6" spans="1:72" s="15" customFormat="1" x14ac:dyDescent="0.2">
      <c r="B6" s="23" t="s">
        <v>127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245</v>
      </c>
      <c r="AK6" s="42" t="s">
        <v>211</v>
      </c>
      <c r="AL6" s="28" t="s">
        <v>163</v>
      </c>
      <c r="AM6" s="28" t="s">
        <v>158</v>
      </c>
      <c r="AN6" s="28" t="s">
        <v>157</v>
      </c>
      <c r="AO6" s="28" t="s">
        <v>156</v>
      </c>
      <c r="AP6" s="28" t="s">
        <v>155</v>
      </c>
      <c r="AQ6" s="24" t="s">
        <v>126</v>
      </c>
      <c r="AR6" s="42" t="s">
        <v>212</v>
      </c>
      <c r="AS6" s="52" t="s">
        <v>263</v>
      </c>
      <c r="AT6" s="74" t="s">
        <v>339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>
        <f t="shared" ref="BH6:BH46" si="6">SUM(AA6:AD6)</f>
        <v>0</v>
      </c>
      <c r="BI6" s="16">
        <f t="shared" ref="BI6:BI40" si="7">SUM(AE6:AH6)</f>
        <v>0</v>
      </c>
      <c r="BJ6" s="47" t="s">
        <v>254</v>
      </c>
      <c r="BK6" s="47" t="s">
        <v>255</v>
      </c>
      <c r="BL6" s="47" t="s">
        <v>256</v>
      </c>
      <c r="BM6" s="16"/>
      <c r="BN6" s="16"/>
      <c r="BO6" s="16"/>
      <c r="BP6" s="16"/>
      <c r="BQ6" s="16"/>
      <c r="BR6" s="16"/>
      <c r="BS6" s="16"/>
    </row>
    <row r="7" spans="1:72" s="15" customFormat="1" x14ac:dyDescent="0.2">
      <c r="B7" s="23" t="s">
        <v>120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f t="shared" ref="AU7:AX7" si="8">+AQ7*0.9</f>
        <v>1055.7</v>
      </c>
      <c r="AV7" s="16">
        <f t="shared" si="8"/>
        <v>1030.5</v>
      </c>
      <c r="AW7" s="16">
        <f t="shared" si="8"/>
        <v>1021.5</v>
      </c>
      <c r="AX7" s="16">
        <f t="shared" si="8"/>
        <v>1003.5</v>
      </c>
      <c r="AY7" s="16"/>
      <c r="AZ7" s="16"/>
      <c r="BA7" s="16"/>
      <c r="BB7" s="16"/>
      <c r="BC7" s="16"/>
      <c r="BD7" s="16"/>
      <c r="BE7" s="16"/>
      <c r="BF7" s="16"/>
      <c r="BG7" s="16"/>
      <c r="BH7" s="16">
        <f t="shared" si="6"/>
        <v>3590</v>
      </c>
      <c r="BI7" s="16">
        <f t="shared" si="7"/>
        <v>4674</v>
      </c>
      <c r="BJ7" s="16">
        <f t="shared" ref="BJ7:BJ40" si="9">SUM(AI7:AL7)</f>
        <v>5314</v>
      </c>
      <c r="BK7" s="16">
        <f t="shared" ref="BK7:BK41" si="10">SUM(AM7:AP7)</f>
        <v>5408</v>
      </c>
      <c r="BL7" s="16">
        <f t="shared" ref="BL7:BL41" si="11">SUM(AQ7:AT7)</f>
        <v>4568</v>
      </c>
      <c r="BM7" s="16">
        <f>+BL7*0.9</f>
        <v>4111.2</v>
      </c>
      <c r="BN7" s="16">
        <f t="shared" ref="BN7:BT7" si="12">+BM7*0.9</f>
        <v>3700.08</v>
      </c>
      <c r="BO7" s="16">
        <f t="shared" si="12"/>
        <v>3330.0720000000001</v>
      </c>
      <c r="BP7" s="16">
        <f t="shared" si="12"/>
        <v>2997.0648000000001</v>
      </c>
      <c r="BQ7" s="16">
        <f t="shared" si="12"/>
        <v>2697.3583200000003</v>
      </c>
      <c r="BR7" s="16">
        <f t="shared" si="12"/>
        <v>2427.6224880000004</v>
      </c>
      <c r="BS7" s="16">
        <f t="shared" si="12"/>
        <v>2184.8602392000003</v>
      </c>
      <c r="BT7" s="16">
        <f t="shared" si="12"/>
        <v>1966.3742152800003</v>
      </c>
    </row>
    <row r="8" spans="1:72" s="15" customFormat="1" x14ac:dyDescent="0.2">
      <c r="B8" s="23" t="s">
        <v>118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f>+AQ8*1.65</f>
        <v>1551</v>
      </c>
      <c r="AV8" s="16">
        <f>+AR8*1.5</f>
        <v>1878</v>
      </c>
      <c r="AW8" s="16">
        <f>+AS8*1.4</f>
        <v>1955.8</v>
      </c>
      <c r="AX8" s="16">
        <f>+AT8*1.3</f>
        <v>2048.8000000000002</v>
      </c>
      <c r="AY8" s="16"/>
      <c r="AZ8" s="16"/>
      <c r="BA8" s="16"/>
      <c r="BB8" s="16"/>
      <c r="BC8" s="16"/>
      <c r="BD8" s="16"/>
      <c r="BE8" s="16"/>
      <c r="BF8" s="16"/>
      <c r="BG8" s="16"/>
      <c r="BH8" s="16">
        <f t="shared" si="6"/>
        <v>0</v>
      </c>
      <c r="BI8" s="16">
        <f t="shared" si="7"/>
        <v>355</v>
      </c>
      <c r="BJ8" s="16">
        <f t="shared" si="9"/>
        <v>1590</v>
      </c>
      <c r="BK8" s="16">
        <f t="shared" si="10"/>
        <v>2939</v>
      </c>
      <c r="BL8" s="16">
        <f t="shared" si="11"/>
        <v>5165</v>
      </c>
      <c r="BM8" s="16">
        <f>+BL8*1.3</f>
        <v>6714.5</v>
      </c>
      <c r="BN8" s="16">
        <f>+BM8*1.3</f>
        <v>8728.85</v>
      </c>
      <c r="BO8" s="16">
        <f>+BN8*1.3</f>
        <v>11347.505000000001</v>
      </c>
      <c r="BP8" s="16">
        <f>+BO8*1.03</f>
        <v>11687.930150000002</v>
      </c>
      <c r="BQ8" s="16">
        <f t="shared" ref="BQ8:BT8" si="13">+BP8*1.03</f>
        <v>12038.568054500003</v>
      </c>
      <c r="BR8" s="16">
        <f t="shared" si="13"/>
        <v>12399.725096135004</v>
      </c>
      <c r="BS8" s="16">
        <f t="shared" si="13"/>
        <v>12771.716849019054</v>
      </c>
      <c r="BT8" s="16">
        <f t="shared" si="13"/>
        <v>13154.868354489627</v>
      </c>
    </row>
    <row r="9" spans="1:72" s="15" customFormat="1" x14ac:dyDescent="0.2">
      <c r="B9" s="23" t="s">
        <v>122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f>+AQ9*1.03</f>
        <v>660.23</v>
      </c>
      <c r="AV9" s="16">
        <f t="shared" ref="AV9:AV10" si="14">+AR9*1.03</f>
        <v>715.85</v>
      </c>
      <c r="AW9" s="16">
        <f t="shared" ref="AW9:AW10" si="15">+AS9*1.03</f>
        <v>656.11</v>
      </c>
      <c r="AX9" s="16">
        <f t="shared" ref="AX9:AX10" si="16">+AT9*1.03</f>
        <v>661.26</v>
      </c>
      <c r="AY9" s="16"/>
      <c r="AZ9" s="16"/>
      <c r="BA9" s="16"/>
      <c r="BB9" s="16"/>
      <c r="BC9" s="16"/>
      <c r="BD9" s="16"/>
      <c r="BE9" s="16"/>
      <c r="BF9" s="16"/>
      <c r="BG9" s="16"/>
      <c r="BH9" s="16">
        <f t="shared" si="6"/>
        <v>0</v>
      </c>
      <c r="BI9" s="16">
        <f t="shared" si="7"/>
        <v>0</v>
      </c>
      <c r="BJ9" s="16">
        <f t="shared" si="9"/>
        <v>1112</v>
      </c>
      <c r="BK9" s="16">
        <f t="shared" si="10"/>
        <v>2232</v>
      </c>
      <c r="BL9" s="16">
        <f t="shared" si="11"/>
        <v>2615</v>
      </c>
      <c r="BM9" s="16">
        <f>+BL9*1.05</f>
        <v>2745.75</v>
      </c>
      <c r="BN9" s="16">
        <f t="shared" ref="BN9:BT9" si="17">+BM9*1.05</f>
        <v>2883.0374999999999</v>
      </c>
      <c r="BO9" s="16">
        <f t="shared" si="17"/>
        <v>3027.1893749999999</v>
      </c>
      <c r="BP9" s="16">
        <f t="shared" si="17"/>
        <v>3178.5488437499998</v>
      </c>
      <c r="BQ9" s="16">
        <f t="shared" si="17"/>
        <v>3337.4762859375001</v>
      </c>
      <c r="BR9" s="16">
        <f t="shared" si="17"/>
        <v>3504.3501002343751</v>
      </c>
      <c r="BS9" s="16">
        <f t="shared" si="17"/>
        <v>3679.567605246094</v>
      </c>
      <c r="BT9" s="16">
        <f t="shared" si="17"/>
        <v>3863.5459855083986</v>
      </c>
    </row>
    <row r="10" spans="1:72" s="15" customFormat="1" x14ac:dyDescent="0.2">
      <c r="B10" s="23" t="s">
        <v>125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f t="shared" ref="AU10" si="18">+AQ10*1.03</f>
        <v>632.42000000000007</v>
      </c>
      <c r="AV10" s="16">
        <f t="shared" si="14"/>
        <v>698.34</v>
      </c>
      <c r="AW10" s="16">
        <f t="shared" si="15"/>
        <v>719.97</v>
      </c>
      <c r="AX10" s="16">
        <f t="shared" si="16"/>
        <v>749.84</v>
      </c>
      <c r="AY10" s="16"/>
      <c r="AZ10" s="16"/>
      <c r="BA10" s="16"/>
      <c r="BB10" s="16"/>
      <c r="BC10" s="16"/>
      <c r="BD10" s="16"/>
      <c r="BE10" s="16"/>
      <c r="BF10" s="16"/>
      <c r="BG10" s="16"/>
      <c r="BH10" s="16">
        <f t="shared" si="6"/>
        <v>0</v>
      </c>
      <c r="BI10" s="16">
        <f t="shared" si="7"/>
        <v>0</v>
      </c>
      <c r="BJ10" s="16">
        <f t="shared" si="9"/>
        <v>1387</v>
      </c>
      <c r="BK10" s="16">
        <f t="shared" si="10"/>
        <v>2451</v>
      </c>
      <c r="BL10" s="16">
        <f t="shared" si="11"/>
        <v>2719</v>
      </c>
      <c r="BM10" s="16">
        <f t="shared" ref="BM10:BT10" si="19">+BL10*1.05</f>
        <v>2854.9500000000003</v>
      </c>
      <c r="BN10" s="16">
        <f t="shared" si="19"/>
        <v>2997.6975000000002</v>
      </c>
      <c r="BO10" s="16">
        <f t="shared" si="19"/>
        <v>3147.5823750000004</v>
      </c>
      <c r="BP10" s="16">
        <f t="shared" si="19"/>
        <v>3304.9614937500005</v>
      </c>
      <c r="BQ10" s="16">
        <f t="shared" si="19"/>
        <v>3470.2095684375008</v>
      </c>
      <c r="BR10" s="16">
        <f t="shared" si="19"/>
        <v>3643.720046859376</v>
      </c>
      <c r="BS10" s="16">
        <f t="shared" si="19"/>
        <v>3825.906049202345</v>
      </c>
      <c r="BT10" s="16">
        <f t="shared" si="19"/>
        <v>4017.2013516624625</v>
      </c>
    </row>
    <row r="11" spans="1:72" s="15" customFormat="1" x14ac:dyDescent="0.2">
      <c r="B11" s="23" t="s">
        <v>121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f t="shared" ref="AU11:AX11" si="20">+AQ11*1.05</f>
        <v>496.65000000000003</v>
      </c>
      <c r="AV11" s="16">
        <f t="shared" si="20"/>
        <v>530.25</v>
      </c>
      <c r="AW11" s="16">
        <f t="shared" si="20"/>
        <v>540.75</v>
      </c>
      <c r="AX11" s="16">
        <f t="shared" si="20"/>
        <v>541.80000000000007</v>
      </c>
      <c r="AY11" s="16"/>
      <c r="AZ11" s="16"/>
      <c r="BA11" s="16"/>
      <c r="BB11" s="16"/>
      <c r="BC11" s="16"/>
      <c r="BD11" s="16"/>
      <c r="BE11" s="16"/>
      <c r="BF11" s="16"/>
      <c r="BG11" s="16"/>
      <c r="BH11" s="16">
        <f t="shared" si="6"/>
        <v>220</v>
      </c>
      <c r="BI11" s="16">
        <f t="shared" si="7"/>
        <v>792</v>
      </c>
      <c r="BJ11" s="16">
        <f t="shared" si="9"/>
        <v>1337</v>
      </c>
      <c r="BK11" s="16">
        <f t="shared" si="10"/>
        <v>1820</v>
      </c>
      <c r="BL11" s="16">
        <f t="shared" si="11"/>
        <v>2009</v>
      </c>
      <c r="BM11" s="16">
        <f>+BL11*1.03</f>
        <v>2069.27</v>
      </c>
      <c r="BN11" s="16">
        <f t="shared" ref="BN11:BS11" si="21">+BM11*1.03</f>
        <v>2131.3481000000002</v>
      </c>
      <c r="BO11" s="16">
        <f t="shared" si="21"/>
        <v>2195.2885430000001</v>
      </c>
      <c r="BP11" s="16">
        <f t="shared" si="21"/>
        <v>2261.1471992900001</v>
      </c>
      <c r="BQ11" s="16">
        <f t="shared" si="21"/>
        <v>2328.9816152687004</v>
      </c>
      <c r="BR11" s="16">
        <f t="shared" si="21"/>
        <v>2398.8510637267614</v>
      </c>
      <c r="BS11" s="16">
        <f t="shared" si="21"/>
        <v>2470.8165956385642</v>
      </c>
      <c r="BT11" s="15">
        <f>+BS11*0.1</f>
        <v>247.08165956385642</v>
      </c>
    </row>
    <row r="12" spans="1:72" s="15" customFormat="1" x14ac:dyDescent="0.2">
      <c r="B12" s="23" t="s">
        <v>119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f t="shared" ref="AU12:AX12" si="22">+AQ12*1.2</f>
        <v>558</v>
      </c>
      <c r="AV12" s="16">
        <f t="shared" si="22"/>
        <v>710.4</v>
      </c>
      <c r="AW12" s="16">
        <f t="shared" si="22"/>
        <v>834</v>
      </c>
      <c r="AX12" s="16">
        <f t="shared" si="22"/>
        <v>924</v>
      </c>
      <c r="AY12" s="16"/>
      <c r="AZ12" s="16"/>
      <c r="BA12" s="16"/>
      <c r="BB12" s="16"/>
      <c r="BC12" s="16"/>
      <c r="BD12" s="16"/>
      <c r="BE12" s="16"/>
      <c r="BF12" s="16"/>
      <c r="BG12" s="16"/>
      <c r="BH12" s="16">
        <f t="shared" si="6"/>
        <v>0</v>
      </c>
      <c r="BI12" s="16">
        <f t="shared" si="7"/>
        <v>47</v>
      </c>
      <c r="BJ12" s="16">
        <f t="shared" si="9"/>
        <v>731</v>
      </c>
      <c r="BK12" s="16">
        <f t="shared" si="10"/>
        <v>1651</v>
      </c>
      <c r="BL12" s="16">
        <f t="shared" si="11"/>
        <v>2522</v>
      </c>
      <c r="BM12" s="16">
        <f t="shared" ref="BM12:BS12" si="23">+BL12*1.03</f>
        <v>2597.66</v>
      </c>
      <c r="BN12" s="16">
        <f t="shared" si="23"/>
        <v>2675.5897999999997</v>
      </c>
      <c r="BO12" s="16">
        <f t="shared" si="23"/>
        <v>2755.8574939999999</v>
      </c>
      <c r="BP12" s="16">
        <f t="shared" si="23"/>
        <v>2838.53321882</v>
      </c>
      <c r="BQ12" s="16">
        <f t="shared" si="23"/>
        <v>2923.6892153846002</v>
      </c>
      <c r="BR12" s="16">
        <f t="shared" si="23"/>
        <v>3011.3998918461384</v>
      </c>
      <c r="BS12" s="16">
        <f t="shared" si="23"/>
        <v>3101.7418886015225</v>
      </c>
      <c r="BT12" s="15">
        <f t="shared" ref="BT12:BT13" si="24">+BS12*0.1</f>
        <v>310.1741888601523</v>
      </c>
    </row>
    <row r="13" spans="1:72" s="15" customFormat="1" x14ac:dyDescent="0.2">
      <c r="B13" s="23" t="s">
        <v>128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f t="shared" ref="AU13:AX14" si="25">+AQ13*1.01</f>
        <v>431.27</v>
      </c>
      <c r="AV13" s="16">
        <f t="shared" si="25"/>
        <v>496.92</v>
      </c>
      <c r="AW13" s="16">
        <f t="shared" si="25"/>
        <v>559.54</v>
      </c>
      <c r="AX13" s="16">
        <f t="shared" si="25"/>
        <v>570.65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>
        <f t="shared" si="6"/>
        <v>0</v>
      </c>
      <c r="BI13" s="16">
        <f t="shared" si="7"/>
        <v>0</v>
      </c>
      <c r="BJ13" s="16">
        <f t="shared" si="9"/>
        <v>951</v>
      </c>
      <c r="BK13" s="16">
        <f t="shared" si="10"/>
        <v>1728</v>
      </c>
      <c r="BL13" s="16">
        <f t="shared" si="11"/>
        <v>2038</v>
      </c>
      <c r="BM13" s="16">
        <f t="shared" ref="BM13:BS13" si="26">+BL13*1.03</f>
        <v>2099.14</v>
      </c>
      <c r="BN13" s="16">
        <f t="shared" si="26"/>
        <v>2162.1142</v>
      </c>
      <c r="BO13" s="16">
        <f t="shared" si="26"/>
        <v>2226.9776259999999</v>
      </c>
      <c r="BP13" s="16">
        <f t="shared" si="26"/>
        <v>2293.7869547800001</v>
      </c>
      <c r="BQ13" s="16">
        <f t="shared" si="26"/>
        <v>2362.6005634234002</v>
      </c>
      <c r="BR13" s="16">
        <f t="shared" si="26"/>
        <v>2433.4785803261025</v>
      </c>
      <c r="BS13" s="16">
        <f t="shared" si="26"/>
        <v>2506.4829377358856</v>
      </c>
      <c r="BT13" s="15">
        <f t="shared" si="24"/>
        <v>250.64829377358856</v>
      </c>
    </row>
    <row r="14" spans="1:72" s="15" customFormat="1" x14ac:dyDescent="0.2">
      <c r="B14" s="23" t="s">
        <v>123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f t="shared" si="25"/>
        <v>414.1</v>
      </c>
      <c r="AV14" s="16">
        <f t="shared" si="25"/>
        <v>347.44</v>
      </c>
      <c r="AW14" s="16">
        <f t="shared" si="25"/>
        <v>355.52</v>
      </c>
      <c r="AX14" s="16">
        <f t="shared" si="25"/>
        <v>325.22000000000003</v>
      </c>
      <c r="AY14" s="16"/>
      <c r="AZ14" s="16"/>
      <c r="BA14" s="16"/>
      <c r="BB14" s="16"/>
      <c r="BC14" s="16"/>
      <c r="BD14" s="16"/>
      <c r="BE14" s="16"/>
      <c r="BF14" s="16"/>
      <c r="BG14" s="16"/>
      <c r="BH14" s="16">
        <f t="shared" si="6"/>
        <v>0</v>
      </c>
      <c r="BI14" s="16">
        <f t="shared" si="7"/>
        <v>0</v>
      </c>
      <c r="BJ14" s="16">
        <f t="shared" si="9"/>
        <v>718</v>
      </c>
      <c r="BK14" s="16">
        <f t="shared" si="10"/>
        <v>1355</v>
      </c>
      <c r="BL14" s="16">
        <f t="shared" si="11"/>
        <v>1428</v>
      </c>
      <c r="BM14" s="16">
        <f>+BL14*1.05</f>
        <v>1499.4</v>
      </c>
      <c r="BN14" s="16">
        <f t="shared" ref="BN14:BT14" si="27">+BM14*1.05</f>
        <v>1574.3700000000001</v>
      </c>
      <c r="BO14" s="16">
        <f t="shared" si="27"/>
        <v>1653.0885000000003</v>
      </c>
      <c r="BP14" s="16">
        <f t="shared" si="27"/>
        <v>1735.7429250000005</v>
      </c>
      <c r="BQ14" s="16">
        <f t="shared" si="27"/>
        <v>1822.5300712500007</v>
      </c>
      <c r="BR14" s="16">
        <f t="shared" si="27"/>
        <v>1913.6565748125008</v>
      </c>
      <c r="BS14" s="16">
        <f t="shared" si="27"/>
        <v>2009.339403553126</v>
      </c>
      <c r="BT14" s="16">
        <f t="shared" si="27"/>
        <v>2109.8063737307825</v>
      </c>
    </row>
    <row r="15" spans="1:72" s="15" customFormat="1" x14ac:dyDescent="0.2">
      <c r="B15" s="23" t="s">
        <v>136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f t="shared" ref="AU15:AX15" si="28">+AQ15*0.9</f>
        <v>342</v>
      </c>
      <c r="AV15" s="16">
        <f t="shared" si="28"/>
        <v>358.2</v>
      </c>
      <c r="AW15" s="16">
        <f t="shared" si="28"/>
        <v>344.7</v>
      </c>
      <c r="AX15" s="16">
        <f t="shared" si="28"/>
        <v>342</v>
      </c>
      <c r="AY15" s="16"/>
      <c r="AZ15" s="16"/>
      <c r="BA15" s="16"/>
      <c r="BB15" s="16"/>
      <c r="BC15" s="16"/>
      <c r="BD15" s="16"/>
      <c r="BE15" s="16"/>
      <c r="BF15" s="16"/>
      <c r="BG15" s="16"/>
      <c r="BH15" s="16">
        <f t="shared" si="6"/>
        <v>3550</v>
      </c>
      <c r="BI15" s="16">
        <f t="shared" si="7"/>
        <v>2893</v>
      </c>
      <c r="BJ15" s="16">
        <f t="shared" si="9"/>
        <v>1830</v>
      </c>
      <c r="BK15" s="16">
        <f t="shared" si="10"/>
        <v>1710</v>
      </c>
      <c r="BL15" s="16">
        <f t="shared" si="11"/>
        <v>1541</v>
      </c>
      <c r="BM15" s="16">
        <f>+BL15*0.7</f>
        <v>1078.6999999999998</v>
      </c>
      <c r="BN15" s="16">
        <f t="shared" ref="BN15:BT15" si="29">+BM15*0.7</f>
        <v>755.0899999999998</v>
      </c>
      <c r="BO15" s="16">
        <f t="shared" si="29"/>
        <v>528.56299999999987</v>
      </c>
      <c r="BP15" s="16">
        <f t="shared" si="29"/>
        <v>369.99409999999989</v>
      </c>
      <c r="BQ15" s="16">
        <f t="shared" si="29"/>
        <v>258.99586999999991</v>
      </c>
      <c r="BR15" s="16">
        <f t="shared" si="29"/>
        <v>181.29710899999992</v>
      </c>
      <c r="BS15" s="16">
        <f t="shared" si="29"/>
        <v>126.90797629999993</v>
      </c>
      <c r="BT15" s="16">
        <f t="shared" si="29"/>
        <v>88.835583409999941</v>
      </c>
    </row>
    <row r="16" spans="1:72" s="15" customFormat="1" x14ac:dyDescent="0.2">
      <c r="B16" s="23" t="s">
        <v>124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f t="shared" ref="AU16:AX16" si="30">+AQ16*0.95</f>
        <v>306.84999999999997</v>
      </c>
      <c r="AV16" s="16">
        <f t="shared" si="30"/>
        <v>315.39999999999998</v>
      </c>
      <c r="AW16" s="16">
        <f t="shared" si="30"/>
        <v>296.39999999999998</v>
      </c>
      <c r="AX16" s="16">
        <f t="shared" si="30"/>
        <v>306.84999999999997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6">
        <f t="shared" si="6"/>
        <v>0</v>
      </c>
      <c r="BI16" s="16">
        <f t="shared" si="7"/>
        <v>0</v>
      </c>
      <c r="BJ16" s="16">
        <f t="shared" si="9"/>
        <v>760</v>
      </c>
      <c r="BK16" s="16">
        <f t="shared" si="10"/>
        <v>1466</v>
      </c>
      <c r="BL16" s="16">
        <f t="shared" si="11"/>
        <v>1290</v>
      </c>
      <c r="BM16" s="16">
        <f>+BL16*0.9</f>
        <v>1161</v>
      </c>
      <c r="BN16" s="16">
        <f t="shared" ref="BN16:BT16" si="31">+BM16*0.9</f>
        <v>1044.9000000000001</v>
      </c>
      <c r="BO16" s="16">
        <f t="shared" si="31"/>
        <v>940.41000000000008</v>
      </c>
      <c r="BP16" s="16">
        <f t="shared" si="31"/>
        <v>846.36900000000014</v>
      </c>
      <c r="BQ16" s="16">
        <f t="shared" si="31"/>
        <v>761.73210000000017</v>
      </c>
      <c r="BR16" s="16">
        <f t="shared" si="31"/>
        <v>685.55889000000013</v>
      </c>
      <c r="BS16" s="16">
        <f t="shared" si="31"/>
        <v>617.00300100000015</v>
      </c>
      <c r="BT16" s="16">
        <f t="shared" si="31"/>
        <v>555.3027009000001</v>
      </c>
    </row>
    <row r="17" spans="2:72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f t="shared" ref="AU17:AX17" si="32">+AQ17</f>
        <v>287</v>
      </c>
      <c r="AV17" s="16">
        <f t="shared" si="32"/>
        <v>318</v>
      </c>
      <c r="AW17" s="16">
        <f t="shared" si="32"/>
        <v>336</v>
      </c>
      <c r="AX17" s="16">
        <f t="shared" si="32"/>
        <v>337</v>
      </c>
      <c r="AY17" s="16"/>
      <c r="AZ17" s="16"/>
      <c r="BA17" s="16"/>
      <c r="BB17" s="16"/>
      <c r="BC17" s="16"/>
      <c r="BD17" s="16"/>
      <c r="BE17" s="16"/>
      <c r="BF17" s="16"/>
      <c r="BG17" s="16"/>
      <c r="BH17" s="16">
        <f t="shared" si="6"/>
        <v>928</v>
      </c>
      <c r="BI17" s="16">
        <f t="shared" si="7"/>
        <v>1041</v>
      </c>
      <c r="BJ17" s="16">
        <f t="shared" si="9"/>
        <v>1114</v>
      </c>
      <c r="BK17" s="16">
        <f t="shared" si="10"/>
        <v>1191</v>
      </c>
      <c r="BL17" s="16">
        <f t="shared" si="11"/>
        <v>1278</v>
      </c>
      <c r="BM17" s="16">
        <f>+BL17*1.03</f>
        <v>1316.3400000000001</v>
      </c>
      <c r="BN17" s="16">
        <f t="shared" ref="BN17:BT17" si="33">+BM17*1.03</f>
        <v>1355.8302000000001</v>
      </c>
      <c r="BO17" s="16">
        <f t="shared" si="33"/>
        <v>1396.5051060000001</v>
      </c>
      <c r="BP17" s="16">
        <f t="shared" si="33"/>
        <v>1438.4002591800001</v>
      </c>
      <c r="BQ17" s="16">
        <f t="shared" si="33"/>
        <v>1481.5522669554002</v>
      </c>
      <c r="BR17" s="16">
        <f t="shared" si="33"/>
        <v>1525.9988349640623</v>
      </c>
      <c r="BS17" s="16">
        <f t="shared" si="33"/>
        <v>1571.7788000129842</v>
      </c>
      <c r="BT17" s="16">
        <f t="shared" si="33"/>
        <v>1618.9321640133737</v>
      </c>
    </row>
    <row r="18" spans="2:72" s="15" customFormat="1" x14ac:dyDescent="0.2">
      <c r="B18" s="23" t="s">
        <v>135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327</v>
      </c>
      <c r="AS18" s="16">
        <v>287</v>
      </c>
      <c r="AT18" s="16">
        <v>283</v>
      </c>
      <c r="AU18" s="16">
        <f t="shared" ref="AU18:AX18" si="34">+AQ18*0.95</f>
        <v>264.09999999999997</v>
      </c>
      <c r="AV18" s="16">
        <f t="shared" si="34"/>
        <v>310.64999999999998</v>
      </c>
      <c r="AW18" s="16">
        <f t="shared" si="34"/>
        <v>272.64999999999998</v>
      </c>
      <c r="AX18" s="16">
        <f t="shared" si="34"/>
        <v>268.84999999999997</v>
      </c>
      <c r="AY18" s="16"/>
      <c r="AZ18" s="16"/>
      <c r="BA18" s="16"/>
      <c r="BB18" s="16"/>
      <c r="BC18" s="16"/>
      <c r="BD18" s="16"/>
      <c r="BE18" s="16"/>
      <c r="BF18" s="16"/>
      <c r="BG18" s="16"/>
      <c r="BH18" s="16">
        <f t="shared" si="6"/>
        <v>0</v>
      </c>
      <c r="BI18" s="16">
        <f t="shared" si="7"/>
        <v>0</v>
      </c>
      <c r="BJ18" s="16">
        <f t="shared" si="9"/>
        <v>693</v>
      </c>
      <c r="BK18" s="16">
        <f t="shared" si="10"/>
        <v>1169</v>
      </c>
      <c r="BL18" s="16">
        <f t="shared" si="11"/>
        <v>1175</v>
      </c>
      <c r="BM18" s="16">
        <f>+BL18*0.9</f>
        <v>1057.5</v>
      </c>
      <c r="BN18" s="16">
        <f t="shared" ref="BN18:BT18" si="35">+BM18*0.9</f>
        <v>951.75</v>
      </c>
      <c r="BO18" s="16">
        <f t="shared" si="35"/>
        <v>856.57500000000005</v>
      </c>
      <c r="BP18" s="16">
        <f t="shared" si="35"/>
        <v>770.91750000000002</v>
      </c>
      <c r="BQ18" s="16">
        <f t="shared" si="35"/>
        <v>693.82575000000008</v>
      </c>
      <c r="BR18" s="16">
        <f t="shared" si="35"/>
        <v>624.44317500000011</v>
      </c>
      <c r="BS18" s="16">
        <f t="shared" si="35"/>
        <v>561.9988575000001</v>
      </c>
      <c r="BT18" s="16">
        <f t="shared" si="35"/>
        <v>505.79897175000008</v>
      </c>
    </row>
    <row r="19" spans="2:72" s="15" customFormat="1" x14ac:dyDescent="0.2">
      <c r="B19" s="23" t="s">
        <v>134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f t="shared" ref="AU19:AX19" si="36">+AT19-10</f>
        <v>100</v>
      </c>
      <c r="AV19" s="16">
        <f t="shared" si="36"/>
        <v>90</v>
      </c>
      <c r="AW19" s="16">
        <f t="shared" si="36"/>
        <v>80</v>
      </c>
      <c r="AX19" s="16">
        <f t="shared" si="36"/>
        <v>70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6">
        <f t="shared" si="6"/>
        <v>0</v>
      </c>
      <c r="BI19" s="16">
        <f t="shared" si="7"/>
        <v>0</v>
      </c>
      <c r="BJ19" s="16">
        <f t="shared" si="9"/>
        <v>787</v>
      </c>
      <c r="BK19" s="16">
        <f t="shared" si="10"/>
        <v>1290</v>
      </c>
      <c r="BL19" s="16">
        <f t="shared" si="11"/>
        <v>666</v>
      </c>
      <c r="BM19" s="16">
        <f t="shared" ref="BM19:BT19" si="37">+BL19*0.9</f>
        <v>599.4</v>
      </c>
      <c r="BN19" s="16">
        <f t="shared" si="37"/>
        <v>539.46</v>
      </c>
      <c r="BO19" s="16">
        <f t="shared" si="37"/>
        <v>485.51400000000007</v>
      </c>
      <c r="BP19" s="16">
        <f t="shared" si="37"/>
        <v>436.96260000000007</v>
      </c>
      <c r="BQ19" s="16">
        <f t="shared" si="37"/>
        <v>393.26634000000007</v>
      </c>
      <c r="BR19" s="16">
        <f t="shared" si="37"/>
        <v>353.93970600000006</v>
      </c>
      <c r="BS19" s="16">
        <f t="shared" si="37"/>
        <v>318.54573540000007</v>
      </c>
      <c r="BT19" s="16">
        <f t="shared" si="37"/>
        <v>286.69116186000008</v>
      </c>
    </row>
    <row r="20" spans="2:72" s="15" customFormat="1" x14ac:dyDescent="0.2">
      <c r="B20" s="23" t="s">
        <v>137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f t="shared" ref="AU20:AX21" si="38">+AQ20*0.95</f>
        <v>228</v>
      </c>
      <c r="AV20" s="16">
        <f t="shared" si="38"/>
        <v>242.25</v>
      </c>
      <c r="AW20" s="16">
        <f t="shared" si="38"/>
        <v>257.45</v>
      </c>
      <c r="AX20" s="16">
        <f t="shared" si="38"/>
        <v>255.54999999999998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>
        <f t="shared" si="6"/>
        <v>0</v>
      </c>
      <c r="BI20" s="16">
        <f t="shared" si="7"/>
        <v>0</v>
      </c>
      <c r="BJ20" s="16">
        <f t="shared" si="9"/>
        <v>667</v>
      </c>
      <c r="BK20" s="16">
        <f t="shared" si="10"/>
        <v>1038</v>
      </c>
      <c r="BL20" s="16">
        <f t="shared" si="11"/>
        <v>1035</v>
      </c>
      <c r="BM20" s="16">
        <f>+BL20*0.5</f>
        <v>517.5</v>
      </c>
      <c r="BN20" s="16">
        <f t="shared" ref="BN20:BT20" si="39">+BM20*0.5</f>
        <v>258.75</v>
      </c>
      <c r="BO20" s="16">
        <f t="shared" si="39"/>
        <v>129.375</v>
      </c>
      <c r="BP20" s="16">
        <f t="shared" si="39"/>
        <v>64.6875</v>
      </c>
      <c r="BQ20" s="16">
        <f t="shared" si="39"/>
        <v>32.34375</v>
      </c>
      <c r="BR20" s="16">
        <f t="shared" si="39"/>
        <v>16.171875</v>
      </c>
      <c r="BS20" s="16">
        <f t="shared" si="39"/>
        <v>8.0859375</v>
      </c>
      <c r="BT20" s="16">
        <f t="shared" si="39"/>
        <v>4.04296875</v>
      </c>
    </row>
    <row r="21" spans="2:72" s="15" customFormat="1" x14ac:dyDescent="0.2">
      <c r="B21" s="23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f t="shared" si="38"/>
        <v>168.15</v>
      </c>
      <c r="AV21" s="16">
        <f t="shared" si="38"/>
        <v>142.5</v>
      </c>
      <c r="AW21" s="16">
        <f t="shared" si="38"/>
        <v>82.649999999999991</v>
      </c>
      <c r="AX21" s="16">
        <f t="shared" si="38"/>
        <v>57.949999999999996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>
        <f t="shared" si="6"/>
        <v>0</v>
      </c>
      <c r="BI21" s="16">
        <f t="shared" si="7"/>
        <v>0</v>
      </c>
      <c r="BJ21" s="16">
        <f t="shared" si="9"/>
        <v>539</v>
      </c>
      <c r="BK21" s="16">
        <f t="shared" si="10"/>
        <v>685</v>
      </c>
      <c r="BL21" s="16">
        <f t="shared" si="11"/>
        <v>475</v>
      </c>
      <c r="BM21" s="16">
        <f t="shared" ref="BM21:BT21" si="40">+BL21*0.9</f>
        <v>427.5</v>
      </c>
      <c r="BN21" s="16">
        <f t="shared" si="40"/>
        <v>384.75</v>
      </c>
      <c r="BO21" s="16">
        <f t="shared" si="40"/>
        <v>346.27500000000003</v>
      </c>
      <c r="BP21" s="16">
        <f t="shared" si="40"/>
        <v>311.64750000000004</v>
      </c>
      <c r="BQ21" s="16">
        <f t="shared" si="40"/>
        <v>280.48275000000007</v>
      </c>
      <c r="BR21" s="16">
        <f t="shared" si="40"/>
        <v>252.43447500000008</v>
      </c>
      <c r="BS21" s="16">
        <f t="shared" si="40"/>
        <v>227.19102750000008</v>
      </c>
      <c r="BT21" s="16">
        <f t="shared" si="40"/>
        <v>204.47192475000008</v>
      </c>
    </row>
    <row r="22" spans="2:72" s="15" customFormat="1" x14ac:dyDescent="0.2">
      <c r="B22" s="23" t="s">
        <v>132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f t="shared" ref="AU22:AX22" si="41">+AQ22</f>
        <v>140</v>
      </c>
      <c r="AV22" s="16">
        <f t="shared" si="41"/>
        <v>130</v>
      </c>
      <c r="AW22" s="16">
        <f t="shared" si="41"/>
        <v>121</v>
      </c>
      <c r="AX22" s="16">
        <f t="shared" si="41"/>
        <v>123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6">
        <f t="shared" si="6"/>
        <v>0</v>
      </c>
      <c r="BI22" s="16">
        <f t="shared" si="7"/>
        <v>0</v>
      </c>
      <c r="BJ22" s="16">
        <f t="shared" si="9"/>
        <v>378</v>
      </c>
      <c r="BK22" s="16">
        <f t="shared" si="10"/>
        <v>579</v>
      </c>
      <c r="BL22" s="16">
        <f t="shared" si="11"/>
        <v>514</v>
      </c>
      <c r="BM22" s="16">
        <f>+BL22*0.9</f>
        <v>462.6</v>
      </c>
      <c r="BN22" s="16">
        <f t="shared" ref="BN22:BT22" si="42">+BM22*0.9</f>
        <v>416.34000000000003</v>
      </c>
      <c r="BO22" s="16">
        <f t="shared" si="42"/>
        <v>374.70600000000002</v>
      </c>
      <c r="BP22" s="16">
        <f t="shared" si="42"/>
        <v>337.23540000000003</v>
      </c>
      <c r="BQ22" s="16">
        <f t="shared" si="42"/>
        <v>303.51186000000001</v>
      </c>
      <c r="BR22" s="16">
        <f t="shared" si="42"/>
        <v>273.16067400000003</v>
      </c>
      <c r="BS22" s="16">
        <f t="shared" si="42"/>
        <v>245.84460660000002</v>
      </c>
      <c r="BT22" s="16">
        <f t="shared" si="42"/>
        <v>221.26014594000003</v>
      </c>
    </row>
    <row r="23" spans="2:72" s="15" customFormat="1" x14ac:dyDescent="0.2">
      <c r="B23" s="23" t="s">
        <v>129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f t="shared" ref="AU23:AX23" si="43">+AT23+10</f>
        <v>207</v>
      </c>
      <c r="AV23" s="16">
        <f t="shared" si="43"/>
        <v>217</v>
      </c>
      <c r="AW23" s="16">
        <f t="shared" si="43"/>
        <v>227</v>
      </c>
      <c r="AX23" s="16">
        <f t="shared" si="43"/>
        <v>237</v>
      </c>
      <c r="AY23" s="16"/>
      <c r="AZ23" s="16"/>
      <c r="BA23" s="16"/>
      <c r="BB23" s="16"/>
      <c r="BC23" s="16"/>
      <c r="BD23" s="16"/>
      <c r="BE23" s="16"/>
      <c r="BF23" s="16"/>
      <c r="BG23" s="16"/>
      <c r="BH23" s="16">
        <f t="shared" si="6"/>
        <v>0</v>
      </c>
      <c r="BI23" s="16">
        <f t="shared" si="7"/>
        <v>0</v>
      </c>
      <c r="BJ23" s="16">
        <f t="shared" si="9"/>
        <v>125</v>
      </c>
      <c r="BK23" s="16">
        <f t="shared" si="10"/>
        <v>552</v>
      </c>
      <c r="BL23" s="16">
        <f t="shared" si="11"/>
        <v>680</v>
      </c>
      <c r="BM23" s="16">
        <f>+BL23*1.2</f>
        <v>816</v>
      </c>
      <c r="BN23" s="16">
        <f>+BM23*1.2</f>
        <v>979.19999999999993</v>
      </c>
      <c r="BO23" s="16">
        <f>+BN23*1.2</f>
        <v>1175.04</v>
      </c>
      <c r="BP23" s="16">
        <f>+BO23*1.2</f>
        <v>1410.048</v>
      </c>
      <c r="BQ23" s="16">
        <f>+BP23*1.1</f>
        <v>1551.0528000000002</v>
      </c>
      <c r="BR23" s="16">
        <f>+BQ23*1.1</f>
        <v>1706.1580800000004</v>
      </c>
      <c r="BS23" s="16">
        <f>+BR23*1.03</f>
        <v>1757.3428224000004</v>
      </c>
      <c r="BT23" s="15">
        <f>+BS23*0.1</f>
        <v>175.73428224000006</v>
      </c>
    </row>
    <row r="24" spans="2:72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f t="shared" ref="AU24:AX24" si="44">+AQ24</f>
        <v>121</v>
      </c>
      <c r="AV24" s="16">
        <f t="shared" si="44"/>
        <v>120</v>
      </c>
      <c r="AW24" s="16">
        <f t="shared" si="44"/>
        <v>110</v>
      </c>
      <c r="AX24" s="16">
        <f t="shared" si="44"/>
        <v>107</v>
      </c>
      <c r="AY24" s="16"/>
      <c r="AZ24" s="16"/>
      <c r="BA24" s="16"/>
      <c r="BB24" s="16"/>
      <c r="BC24" s="16"/>
      <c r="BD24" s="16"/>
      <c r="BE24" s="16"/>
      <c r="BF24" s="16"/>
      <c r="BG24" s="16"/>
      <c r="BH24" s="16">
        <f t="shared" si="6"/>
        <v>430</v>
      </c>
      <c r="BI24" s="16">
        <f t="shared" si="7"/>
        <v>461</v>
      </c>
      <c r="BJ24" s="16">
        <f t="shared" si="9"/>
        <v>494</v>
      </c>
      <c r="BK24" s="16">
        <f t="shared" si="10"/>
        <v>511</v>
      </c>
      <c r="BL24" s="16">
        <f t="shared" si="11"/>
        <v>458</v>
      </c>
      <c r="BM24" s="16">
        <f>+BL24*0.9</f>
        <v>412.2</v>
      </c>
      <c r="BN24" s="16">
        <f t="shared" ref="BN24:BT24" si="45">+BM24*0.9</f>
        <v>370.98</v>
      </c>
      <c r="BO24" s="16">
        <f t="shared" si="45"/>
        <v>333.88200000000001</v>
      </c>
      <c r="BP24" s="16">
        <f t="shared" si="45"/>
        <v>300.49380000000002</v>
      </c>
      <c r="BQ24" s="16">
        <f t="shared" si="45"/>
        <v>270.44442000000004</v>
      </c>
      <c r="BR24" s="16">
        <f t="shared" si="45"/>
        <v>243.39997800000003</v>
      </c>
      <c r="BS24" s="16">
        <f t="shared" si="45"/>
        <v>219.05998020000004</v>
      </c>
      <c r="BT24" s="16">
        <f t="shared" si="45"/>
        <v>197.15398218000004</v>
      </c>
    </row>
    <row r="25" spans="2:72" s="15" customFormat="1" x14ac:dyDescent="0.2">
      <c r="B25" s="23" t="s">
        <v>133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f t="shared" ref="AU25:AX25" si="46">+AT25-3</f>
        <v>71</v>
      </c>
      <c r="AV25" s="16">
        <f t="shared" si="46"/>
        <v>68</v>
      </c>
      <c r="AW25" s="16">
        <f t="shared" si="46"/>
        <v>65</v>
      </c>
      <c r="AX25" s="16">
        <f t="shared" si="46"/>
        <v>62</v>
      </c>
      <c r="AY25" s="16"/>
      <c r="AZ25" s="16"/>
      <c r="BA25" s="16"/>
      <c r="BB25" s="16"/>
      <c r="BC25" s="16"/>
      <c r="BD25" s="16"/>
      <c r="BE25" s="16"/>
      <c r="BF25" s="16"/>
      <c r="BG25" s="16"/>
      <c r="BH25" s="16">
        <f t="shared" si="6"/>
        <v>0</v>
      </c>
      <c r="BI25" s="16">
        <f t="shared" si="7"/>
        <v>0</v>
      </c>
      <c r="BJ25" s="16">
        <f t="shared" si="9"/>
        <v>326</v>
      </c>
      <c r="BK25" s="16">
        <f t="shared" si="10"/>
        <v>529</v>
      </c>
      <c r="BL25" s="16">
        <f t="shared" si="11"/>
        <v>346</v>
      </c>
      <c r="BM25" s="16">
        <f t="shared" ref="BM25:BT25" si="47">+BL25*0.9</f>
        <v>311.40000000000003</v>
      </c>
      <c r="BN25" s="16">
        <f t="shared" si="47"/>
        <v>280.26000000000005</v>
      </c>
      <c r="BO25" s="16">
        <f t="shared" si="47"/>
        <v>252.23400000000004</v>
      </c>
      <c r="BP25" s="16">
        <f t="shared" si="47"/>
        <v>227.01060000000004</v>
      </c>
      <c r="BQ25" s="16">
        <f t="shared" si="47"/>
        <v>204.30954000000003</v>
      </c>
      <c r="BR25" s="16">
        <f t="shared" si="47"/>
        <v>183.87858600000004</v>
      </c>
      <c r="BS25" s="16">
        <f t="shared" si="47"/>
        <v>165.49072740000005</v>
      </c>
      <c r="BT25" s="16">
        <f t="shared" si="47"/>
        <v>148.94165466000004</v>
      </c>
    </row>
    <row r="26" spans="2:72" s="15" customFormat="1" x14ac:dyDescent="0.2">
      <c r="B26" s="23" t="s">
        <v>130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f t="shared" ref="AU26:AX26" si="48">+AT26+10</f>
        <v>62</v>
      </c>
      <c r="AV26" s="16">
        <f t="shared" si="48"/>
        <v>72</v>
      </c>
      <c r="AW26" s="16">
        <f t="shared" si="48"/>
        <v>82</v>
      </c>
      <c r="AX26" s="16">
        <f t="shared" si="48"/>
        <v>92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6">
        <f t="shared" si="6"/>
        <v>0</v>
      </c>
      <c r="BI26" s="16">
        <f t="shared" si="7"/>
        <v>0</v>
      </c>
      <c r="BJ26" s="16">
        <f t="shared" si="9"/>
        <v>0</v>
      </c>
      <c r="BK26" s="16">
        <f t="shared" si="10"/>
        <v>0</v>
      </c>
      <c r="BL26" s="16">
        <f t="shared" si="11"/>
        <v>158</v>
      </c>
      <c r="BM26" s="16">
        <f>+BL26*1.2</f>
        <v>189.6</v>
      </c>
      <c r="BN26" s="16">
        <f>+BM26*1.2</f>
        <v>227.51999999999998</v>
      </c>
      <c r="BO26" s="16">
        <f>+BN26*1.2</f>
        <v>273.02399999999994</v>
      </c>
      <c r="BP26" s="16">
        <f>+BO26*1.2</f>
        <v>327.6287999999999</v>
      </c>
      <c r="BQ26" s="16">
        <f>+BP26*1.1</f>
        <v>360.39167999999989</v>
      </c>
      <c r="BR26" s="16">
        <f>+BQ26*1.1</f>
        <v>396.43084799999991</v>
      </c>
      <c r="BS26" s="16">
        <f>+BR26*1.03</f>
        <v>408.32377343999991</v>
      </c>
      <c r="BT26" s="15">
        <f>+BS26*0.1</f>
        <v>40.832377343999994</v>
      </c>
    </row>
    <row r="27" spans="2:72" s="15" customFormat="1" x14ac:dyDescent="0.2">
      <c r="B27" s="48" t="s">
        <v>246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80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>
        <f t="shared" si="6"/>
        <v>0</v>
      </c>
      <c r="BI27" s="16">
        <f t="shared" si="7"/>
        <v>0</v>
      </c>
      <c r="BJ27" s="16">
        <f t="shared" si="9"/>
        <v>80</v>
      </c>
      <c r="BK27" s="16">
        <f t="shared" si="10"/>
        <v>0</v>
      </c>
      <c r="BL27" s="16"/>
      <c r="BM27" s="16"/>
      <c r="BN27" s="16"/>
      <c r="BO27" s="16"/>
      <c r="BP27" s="16"/>
      <c r="BQ27" s="16"/>
      <c r="BR27" s="16"/>
      <c r="BS27" s="16"/>
    </row>
    <row r="28" spans="2:72" s="15" customFormat="1" x14ac:dyDescent="0.2">
      <c r="B28" s="48" t="s">
        <v>247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19</v>
      </c>
      <c r="AG28" s="16">
        <v>27</v>
      </c>
      <c r="AH28" s="16">
        <v>34</v>
      </c>
      <c r="AI28" s="16">
        <v>31</v>
      </c>
      <c r="AJ28" s="16">
        <v>31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>
        <f t="shared" si="6"/>
        <v>0</v>
      </c>
      <c r="BI28" s="16">
        <f t="shared" si="7"/>
        <v>80</v>
      </c>
      <c r="BJ28" s="16">
        <f t="shared" si="9"/>
        <v>62</v>
      </c>
      <c r="BK28" s="16">
        <f t="shared" si="10"/>
        <v>0</v>
      </c>
      <c r="BL28" s="16"/>
      <c r="BM28" s="16"/>
      <c r="BN28" s="16"/>
      <c r="BO28" s="16"/>
      <c r="BP28" s="16"/>
      <c r="BQ28" s="16"/>
      <c r="BR28" s="16"/>
      <c r="BS28" s="16"/>
    </row>
    <row r="29" spans="2:72" s="15" customFormat="1" x14ac:dyDescent="0.2">
      <c r="B29" s="15" t="s">
        <v>9</v>
      </c>
      <c r="C29" s="16"/>
      <c r="D29" s="16"/>
      <c r="E29" s="16">
        <v>189</v>
      </c>
      <c r="F29" s="16"/>
      <c r="G29" s="16">
        <v>181</v>
      </c>
      <c r="H29" s="16"/>
      <c r="I29" s="16">
        <v>196</v>
      </c>
      <c r="J29" s="16"/>
      <c r="K29" s="16"/>
      <c r="L29" s="16">
        <v>186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219</v>
      </c>
      <c r="AB29" s="16">
        <v>223</v>
      </c>
      <c r="AC29" s="16">
        <v>214</v>
      </c>
      <c r="AD29" s="16">
        <v>236</v>
      </c>
      <c r="AE29" s="16">
        <v>229</v>
      </c>
      <c r="AF29" s="16">
        <v>209</v>
      </c>
      <c r="AG29" s="16">
        <v>230</v>
      </c>
      <c r="AH29" s="16">
        <v>219</v>
      </c>
      <c r="AI29" s="16">
        <v>233</v>
      </c>
      <c r="AJ29" s="16">
        <v>205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>
        <f t="shared" si="6"/>
        <v>892</v>
      </c>
      <c r="BI29" s="16">
        <f t="shared" si="7"/>
        <v>887</v>
      </c>
      <c r="BJ29" s="16">
        <f t="shared" si="9"/>
        <v>438</v>
      </c>
      <c r="BK29" s="16">
        <f>SUM(AM29:AP29)</f>
        <v>0</v>
      </c>
      <c r="BL29" s="16">
        <f>SUM(AQ29:AT29)</f>
        <v>0</v>
      </c>
      <c r="BM29" s="16"/>
      <c r="BN29" s="16"/>
      <c r="BO29" s="16"/>
      <c r="BP29" s="16"/>
      <c r="BQ29" s="16"/>
      <c r="BR29" s="16"/>
      <c r="BS29" s="16"/>
    </row>
    <row r="30" spans="2:72" s="15" customFormat="1" x14ac:dyDescent="0.2">
      <c r="B30" s="15" t="s">
        <v>7</v>
      </c>
      <c r="C30" s="16"/>
      <c r="D30" s="16"/>
      <c r="E30" s="16">
        <v>131</v>
      </c>
      <c r="F30" s="16"/>
      <c r="G30" s="16">
        <v>119</v>
      </c>
      <c r="H30" s="16"/>
      <c r="I30" s="16">
        <v>161</v>
      </c>
      <c r="J30" s="16"/>
      <c r="K30" s="16"/>
      <c r="L30" s="16">
        <v>166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182</v>
      </c>
      <c r="AB30" s="16">
        <v>193</v>
      </c>
      <c r="AC30" s="16">
        <v>192</v>
      </c>
      <c r="AD30" s="16">
        <v>209</v>
      </c>
      <c r="AE30" s="16">
        <v>182</v>
      </c>
      <c r="AF30" s="16">
        <v>203</v>
      </c>
      <c r="AG30" s="16">
        <v>197</v>
      </c>
      <c r="AH30" s="16">
        <v>204</v>
      </c>
      <c r="AI30" s="16">
        <v>205</v>
      </c>
      <c r="AJ30" s="16">
        <v>183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>
        <f t="shared" si="6"/>
        <v>776</v>
      </c>
      <c r="BI30" s="16">
        <f t="shared" si="7"/>
        <v>786</v>
      </c>
      <c r="BJ30" s="16">
        <f t="shared" si="9"/>
        <v>388</v>
      </c>
      <c r="BK30" s="16">
        <f>SUM(AM30:AP30)</f>
        <v>0</v>
      </c>
      <c r="BL30" s="16">
        <f>SUM(AQ30:AT30)</f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2">
      <c r="B31" s="48" t="s">
        <v>248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36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>
        <f t="shared" si="6"/>
        <v>0</v>
      </c>
      <c r="BI31" s="16">
        <f t="shared" si="7"/>
        <v>0</v>
      </c>
      <c r="BJ31" s="16">
        <f t="shared" si="9"/>
        <v>36</v>
      </c>
      <c r="BK31" s="16">
        <f>SUM(AM31:AP31)</f>
        <v>0</v>
      </c>
      <c r="BL31" s="16"/>
      <c r="BM31" s="16"/>
      <c r="BN31" s="16"/>
      <c r="BO31" s="16"/>
      <c r="BP31" s="16"/>
      <c r="BQ31" s="16"/>
      <c r="BR31" s="16"/>
      <c r="BS31" s="16"/>
    </row>
    <row r="32" spans="2:72" s="15" customFormat="1" x14ac:dyDescent="0.2">
      <c r="B32" s="15" t="s">
        <v>2</v>
      </c>
      <c r="C32" s="16"/>
      <c r="D32" s="16"/>
      <c r="E32" s="16">
        <v>96</v>
      </c>
      <c r="F32" s="16"/>
      <c r="G32" s="16">
        <v>345</v>
      </c>
      <c r="H32" s="16"/>
      <c r="I32" s="16">
        <v>98</v>
      </c>
      <c r="J32" s="16"/>
      <c r="K32" s="16"/>
      <c r="L32" s="16">
        <v>74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321</v>
      </c>
      <c r="AB32" s="16">
        <v>44</v>
      </c>
      <c r="AC32" s="16">
        <v>97</v>
      </c>
      <c r="AD32" s="16">
        <v>264</v>
      </c>
      <c r="AE32" s="16">
        <v>287</v>
      </c>
      <c r="AF32" s="16">
        <v>38</v>
      </c>
      <c r="AG32" s="16">
        <v>132</v>
      </c>
      <c r="AH32" s="16">
        <v>261</v>
      </c>
      <c r="AI32" s="16">
        <v>270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>
        <f t="shared" si="6"/>
        <v>726</v>
      </c>
      <c r="BI32" s="16">
        <f t="shared" si="7"/>
        <v>718</v>
      </c>
      <c r="BJ32" s="16">
        <f t="shared" si="9"/>
        <v>270</v>
      </c>
      <c r="BK32" s="16">
        <f t="shared" si="10"/>
        <v>0</v>
      </c>
      <c r="BL32" s="16">
        <f t="shared" si="11"/>
        <v>0</v>
      </c>
      <c r="BM32" s="16"/>
      <c r="BN32" s="16"/>
      <c r="BO32" s="16"/>
      <c r="BP32" s="16"/>
      <c r="BQ32" s="16"/>
      <c r="BR32" s="16"/>
      <c r="BS32" s="16"/>
    </row>
    <row r="33" spans="2:72" s="15" customFormat="1" x14ac:dyDescent="0.2">
      <c r="B33" s="15" t="s">
        <v>3</v>
      </c>
      <c r="C33" s="16"/>
      <c r="D33" s="16"/>
      <c r="E33" s="16">
        <v>279</v>
      </c>
      <c r="F33" s="16"/>
      <c r="G33" s="16">
        <v>240</v>
      </c>
      <c r="H33" s="16"/>
      <c r="I33" s="16">
        <v>248</v>
      </c>
      <c r="J33" s="16"/>
      <c r="K33" s="16"/>
      <c r="L33" s="16">
        <v>218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130</v>
      </c>
      <c r="AB33" s="16">
        <v>128</v>
      </c>
      <c r="AC33" s="16">
        <v>135</v>
      </c>
      <c r="AD33" s="16">
        <v>76</v>
      </c>
      <c r="AE33" s="16">
        <v>74</v>
      </c>
      <c r="AF33" s="16">
        <v>22</v>
      </c>
      <c r="AG33" s="16">
        <v>53</v>
      </c>
      <c r="AH33" s="16">
        <v>23</v>
      </c>
      <c r="AI33" s="16">
        <v>8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>
        <f t="shared" si="6"/>
        <v>469</v>
      </c>
      <c r="BI33" s="16">
        <f t="shared" si="7"/>
        <v>172</v>
      </c>
      <c r="BJ33" s="16">
        <f t="shared" si="9"/>
        <v>8</v>
      </c>
      <c r="BK33" s="16">
        <f t="shared" si="10"/>
        <v>0</v>
      </c>
      <c r="BL33" s="16">
        <f t="shared" si="11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2">
      <c r="B34" s="15" t="s">
        <v>11</v>
      </c>
      <c r="C34" s="16"/>
      <c r="D34" s="16"/>
      <c r="E34" s="16">
        <v>267</v>
      </c>
      <c r="F34" s="16"/>
      <c r="G34" s="16">
        <v>219</v>
      </c>
      <c r="H34" s="16"/>
      <c r="I34" s="16">
        <v>237</v>
      </c>
      <c r="J34" s="16"/>
      <c r="K34" s="16"/>
      <c r="L34" s="16">
        <v>216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73</v>
      </c>
      <c r="AB34" s="16">
        <v>91</v>
      </c>
      <c r="AC34" s="16">
        <v>88</v>
      </c>
      <c r="AD34" s="16">
        <v>84</v>
      </c>
      <c r="AE34" s="16">
        <v>78</v>
      </c>
      <c r="AF34" s="16">
        <v>77</v>
      </c>
      <c r="AG34" s="16">
        <v>74</v>
      </c>
      <c r="AH34" s="16">
        <v>54</v>
      </c>
      <c r="AI34" s="16">
        <v>86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>
        <f t="shared" si="6"/>
        <v>336</v>
      </c>
      <c r="BI34" s="16">
        <f t="shared" si="7"/>
        <v>283</v>
      </c>
      <c r="BJ34" s="16">
        <f t="shared" si="9"/>
        <v>86</v>
      </c>
      <c r="BK34" s="16">
        <f t="shared" si="10"/>
        <v>0</v>
      </c>
      <c r="BL34" s="16">
        <f t="shared" si="11"/>
        <v>0</v>
      </c>
      <c r="BM34" s="16"/>
      <c r="BN34" s="16"/>
      <c r="BO34" s="16"/>
      <c r="BP34" s="16"/>
      <c r="BQ34" s="16"/>
      <c r="BR34" s="16"/>
      <c r="BS34" s="16"/>
    </row>
    <row r="35" spans="2:72" s="15" customFormat="1" x14ac:dyDescent="0.2">
      <c r="B35" s="15" t="s">
        <v>10</v>
      </c>
      <c r="C35" s="16"/>
      <c r="D35" s="16"/>
      <c r="E35" s="16">
        <v>232</v>
      </c>
      <c r="F35" s="16"/>
      <c r="G35" s="16">
        <v>186</v>
      </c>
      <c r="H35" s="16"/>
      <c r="I35" s="16">
        <v>201</v>
      </c>
      <c r="J35" s="16"/>
      <c r="K35" s="16"/>
      <c r="L35" s="16">
        <v>21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>
        <f t="shared" si="6"/>
        <v>0</v>
      </c>
      <c r="BI35" s="16">
        <f t="shared" si="7"/>
        <v>0</v>
      </c>
      <c r="BJ35" s="16">
        <f t="shared" si="9"/>
        <v>0</v>
      </c>
      <c r="BK35" s="16">
        <f t="shared" si="10"/>
        <v>0</v>
      </c>
      <c r="BL35" s="16">
        <f t="shared" si="11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2">
      <c r="B36" s="48" t="s">
        <v>249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0</v>
      </c>
      <c r="AB36" s="16">
        <v>0</v>
      </c>
      <c r="AC36" s="16">
        <v>23</v>
      </c>
      <c r="AD36" s="16">
        <v>43</v>
      </c>
      <c r="AE36" s="16">
        <v>25</v>
      </c>
      <c r="AF36" s="16">
        <v>4</v>
      </c>
      <c r="AG36" s="16">
        <v>3</v>
      </c>
      <c r="AH36" s="16">
        <v>4</v>
      </c>
      <c r="AI36" s="16">
        <v>5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>
        <f t="shared" si="6"/>
        <v>66</v>
      </c>
      <c r="BI36" s="16">
        <f t="shared" si="7"/>
        <v>36</v>
      </c>
      <c r="BJ36" s="16">
        <f t="shared" si="9"/>
        <v>5</v>
      </c>
      <c r="BK36" s="16">
        <f t="shared" si="10"/>
        <v>0</v>
      </c>
      <c r="BL36" s="16"/>
      <c r="BM36" s="16"/>
      <c r="BN36" s="16"/>
      <c r="BO36" s="16"/>
      <c r="BP36" s="16"/>
      <c r="BQ36" s="16"/>
      <c r="BR36" s="16"/>
      <c r="BS36" s="16"/>
    </row>
    <row r="37" spans="2:72" s="15" customFormat="1" x14ac:dyDescent="0.2">
      <c r="B37" s="15" t="s">
        <v>8</v>
      </c>
      <c r="C37" s="16"/>
      <c r="D37" s="16"/>
      <c r="E37" s="16">
        <v>332</v>
      </c>
      <c r="F37" s="16"/>
      <c r="G37" s="16">
        <v>128</v>
      </c>
      <c r="H37" s="16"/>
      <c r="I37" s="16">
        <v>39</v>
      </c>
      <c r="J37" s="16"/>
      <c r="K37" s="16"/>
      <c r="L37" s="16">
        <v>17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>
        <f t="shared" si="6"/>
        <v>0</v>
      </c>
      <c r="BI37" s="16">
        <f t="shared" si="7"/>
        <v>0</v>
      </c>
      <c r="BJ37" s="16">
        <f t="shared" si="9"/>
        <v>0</v>
      </c>
      <c r="BK37" s="16">
        <f t="shared" si="10"/>
        <v>0</v>
      </c>
      <c r="BL37" s="16">
        <f t="shared" si="11"/>
        <v>0</v>
      </c>
      <c r="BM37" s="16"/>
      <c r="BN37" s="16"/>
      <c r="BO37" s="16"/>
      <c r="BP37" s="16"/>
      <c r="BQ37" s="16"/>
      <c r="BR37" s="16"/>
      <c r="BS37" s="16"/>
    </row>
    <row r="38" spans="2:72" s="15" customFormat="1" x14ac:dyDescent="0.2">
      <c r="B38" s="15" t="s">
        <v>66</v>
      </c>
      <c r="C38" s="16"/>
      <c r="D38" s="16"/>
      <c r="E38" s="16">
        <v>135</v>
      </c>
      <c r="F38" s="16"/>
      <c r="G38" s="16"/>
      <c r="H38" s="16"/>
      <c r="I38" s="16">
        <v>138</v>
      </c>
      <c r="J38" s="16"/>
      <c r="K38" s="16"/>
      <c r="L38" s="16">
        <v>154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106</v>
      </c>
      <c r="AB38" s="16">
        <v>113</v>
      </c>
      <c r="AC38" s="16">
        <v>86</v>
      </c>
      <c r="AD38" s="16">
        <v>86</v>
      </c>
      <c r="AE38" s="16">
        <v>92</v>
      </c>
      <c r="AF38" s="16">
        <v>91</v>
      </c>
      <c r="AG38" s="16">
        <v>84</v>
      </c>
      <c r="AH38" s="16">
        <v>81</v>
      </c>
      <c r="AI38" s="16">
        <v>79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>
        <f t="shared" si="6"/>
        <v>391</v>
      </c>
      <c r="BI38" s="16">
        <f t="shared" si="7"/>
        <v>348</v>
      </c>
      <c r="BJ38" s="16">
        <f t="shared" si="9"/>
        <v>79</v>
      </c>
      <c r="BK38" s="16">
        <f t="shared" si="10"/>
        <v>0</v>
      </c>
      <c r="BL38" s="16">
        <f t="shared" si="11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2">
      <c r="B39" s="15" t="s">
        <v>5</v>
      </c>
      <c r="C39" s="16"/>
      <c r="D39" s="16"/>
      <c r="E39" s="16">
        <v>91</v>
      </c>
      <c r="F39" s="16"/>
      <c r="G39" s="16">
        <v>81</v>
      </c>
      <c r="H39" s="16"/>
      <c r="I39" s="16">
        <v>100</v>
      </c>
      <c r="J39" s="16"/>
      <c r="K39" s="16"/>
      <c r="L39" s="16">
        <v>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>
        <f t="shared" si="6"/>
        <v>0</v>
      </c>
      <c r="BI39" s="16">
        <f t="shared" si="7"/>
        <v>0</v>
      </c>
      <c r="BJ39" s="16">
        <f t="shared" si="9"/>
        <v>0</v>
      </c>
      <c r="BK39" s="16">
        <f t="shared" si="10"/>
        <v>0</v>
      </c>
      <c r="BL39" s="16">
        <f t="shared" si="11"/>
        <v>0</v>
      </c>
      <c r="BM39" s="16"/>
      <c r="BN39" s="16"/>
      <c r="BO39" s="16"/>
      <c r="BP39" s="16"/>
      <c r="BQ39" s="16"/>
      <c r="BR39" s="16"/>
      <c r="BS39" s="16"/>
    </row>
    <row r="40" spans="2:72" s="15" customFormat="1" x14ac:dyDescent="0.2">
      <c r="B40" s="15" t="s">
        <v>13</v>
      </c>
      <c r="C40" s="16"/>
      <c r="D40" s="16"/>
      <c r="E40" s="16">
        <f>SUM(E5:E39)</f>
        <v>4207</v>
      </c>
      <c r="F40" s="16"/>
      <c r="G40" s="16">
        <f>SUM(G5:G39)</f>
        <v>3872</v>
      </c>
      <c r="H40" s="16"/>
      <c r="I40" s="16">
        <f>SUM(I5:I39)</f>
        <v>4335</v>
      </c>
      <c r="J40" s="16"/>
      <c r="K40" s="16"/>
      <c r="L40" s="16">
        <f>SUM(L5:L39)</f>
        <v>4506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>
        <f t="shared" si="6"/>
        <v>0</v>
      </c>
      <c r="BI40" s="16">
        <f t="shared" si="7"/>
        <v>0</v>
      </c>
      <c r="BJ40" s="16">
        <f t="shared" si="9"/>
        <v>0</v>
      </c>
      <c r="BK40" s="16">
        <f t="shared" si="10"/>
        <v>0</v>
      </c>
      <c r="BL40" s="16">
        <f t="shared" si="11"/>
        <v>0</v>
      </c>
      <c r="BM40" s="16"/>
      <c r="BN40" s="16"/>
      <c r="BO40" s="16"/>
      <c r="BP40" s="16"/>
      <c r="BQ40" s="16"/>
      <c r="BR40" s="16"/>
      <c r="BS40" s="16"/>
    </row>
    <row r="41" spans="2:72" s="15" customFormat="1" x14ac:dyDescent="0.2">
      <c r="B41" s="15" t="s">
        <v>12</v>
      </c>
      <c r="C41" s="16"/>
      <c r="D41" s="16"/>
      <c r="E41" s="16">
        <v>301</v>
      </c>
      <c r="F41" s="16"/>
      <c r="G41" s="16">
        <f>+G42-G40</f>
        <v>457</v>
      </c>
      <c r="H41" s="16"/>
      <c r="I41" s="16">
        <v>323</v>
      </c>
      <c r="J41" s="16"/>
      <c r="K41" s="16"/>
      <c r="L41" s="16">
        <f>4926-L40</f>
        <v>420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f>7934-7733</f>
        <v>201</v>
      </c>
      <c r="AB41" s="16">
        <v>131</v>
      </c>
      <c r="AC41" s="16">
        <v>25</v>
      </c>
      <c r="AD41" s="16">
        <f>8305-8239</f>
        <v>66</v>
      </c>
      <c r="AE41" s="16">
        <f>7828-7714</f>
        <v>114</v>
      </c>
      <c r="AF41" s="16">
        <v>254</v>
      </c>
      <c r="AG41" s="16">
        <f>8479-8396</f>
        <v>83</v>
      </c>
      <c r="AH41" s="16">
        <f>8704-8631</f>
        <v>73</v>
      </c>
      <c r="AI41" s="16">
        <f>8619-8514</f>
        <v>105</v>
      </c>
      <c r="AJ41" s="16">
        <f>10425-9835</f>
        <v>590</v>
      </c>
      <c r="AK41" s="16">
        <f>12882-11512</f>
        <v>1370</v>
      </c>
      <c r="AL41" s="16">
        <f>13858-12276</f>
        <v>1582</v>
      </c>
      <c r="AM41" s="16">
        <f>12935-11534</f>
        <v>1401</v>
      </c>
      <c r="AN41" s="16">
        <f>13959-12738</f>
        <v>1221</v>
      </c>
      <c r="AO41" s="16">
        <f>14342-13225</f>
        <v>1117</v>
      </c>
      <c r="AP41" s="16">
        <f>14886-13501</f>
        <v>1385</v>
      </c>
      <c r="AQ41" s="16">
        <f>13538-12327</f>
        <v>1211</v>
      </c>
      <c r="AR41" s="16">
        <f>14583-13574</f>
        <v>1009</v>
      </c>
      <c r="AS41" s="16">
        <v>925</v>
      </c>
      <c r="AT41" s="16">
        <v>992</v>
      </c>
      <c r="AU41" s="16">
        <f t="shared" ref="AU41:AX41" si="49">+AQ41*0.9</f>
        <v>1089.9000000000001</v>
      </c>
      <c r="AV41" s="16">
        <f t="shared" si="49"/>
        <v>908.1</v>
      </c>
      <c r="AW41" s="16">
        <f t="shared" si="49"/>
        <v>832.5</v>
      </c>
      <c r="AX41" s="16">
        <f t="shared" si="49"/>
        <v>892.80000000000007</v>
      </c>
      <c r="AY41" s="16"/>
      <c r="AZ41" s="16"/>
      <c r="BA41" s="16"/>
      <c r="BB41" s="16"/>
      <c r="BC41" s="16"/>
      <c r="BD41" s="16"/>
      <c r="BE41" s="16"/>
      <c r="BF41" s="16"/>
      <c r="BG41" s="16"/>
      <c r="BH41" s="16">
        <f t="shared" si="6"/>
        <v>423</v>
      </c>
      <c r="BI41" s="16">
        <f t="shared" ref="BI41" si="50">SUM(AE41:AH41)</f>
        <v>524</v>
      </c>
      <c r="BJ41" s="16">
        <f t="shared" ref="BJ41" si="51">SUM(AI41:AL41)</f>
        <v>3647</v>
      </c>
      <c r="BK41" s="16">
        <f t="shared" si="10"/>
        <v>5124</v>
      </c>
      <c r="BL41" s="16">
        <f t="shared" si="11"/>
        <v>4137</v>
      </c>
      <c r="BM41" s="16">
        <f>+BL41*0.9</f>
        <v>3723.3</v>
      </c>
      <c r="BN41" s="16">
        <f t="shared" ref="BN41:BT41" si="52">+BM41*0.9</f>
        <v>3350.9700000000003</v>
      </c>
      <c r="BO41" s="16">
        <f t="shared" si="52"/>
        <v>3015.8730000000005</v>
      </c>
      <c r="BP41" s="16">
        <f t="shared" si="52"/>
        <v>2714.2857000000004</v>
      </c>
      <c r="BQ41" s="16">
        <f t="shared" si="52"/>
        <v>2442.8571300000003</v>
      </c>
      <c r="BR41" s="16">
        <f t="shared" si="52"/>
        <v>2198.5714170000006</v>
      </c>
      <c r="BS41" s="16">
        <f t="shared" si="52"/>
        <v>1978.7142753000005</v>
      </c>
      <c r="BT41" s="16">
        <f t="shared" si="52"/>
        <v>1780.8428477700004</v>
      </c>
    </row>
    <row r="42" spans="2:72" s="17" customFormat="1" x14ac:dyDescent="0.2">
      <c r="B42" s="17" t="s">
        <v>257</v>
      </c>
      <c r="C42" s="18"/>
      <c r="D42" s="18"/>
      <c r="E42" s="18">
        <f>+E41+E40</f>
        <v>4508</v>
      </c>
      <c r="F42" s="18"/>
      <c r="G42" s="18">
        <v>4329</v>
      </c>
      <c r="H42" s="18"/>
      <c r="I42" s="18">
        <f>+I41+I40</f>
        <v>4658</v>
      </c>
      <c r="J42" s="18"/>
      <c r="K42" s="18"/>
      <c r="L42" s="18">
        <f>+L41+L40</f>
        <v>4926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>
        <v>6538</v>
      </c>
      <c r="X42" s="18">
        <v>6944</v>
      </c>
      <c r="Y42" s="18">
        <v>6995</v>
      </c>
      <c r="Z42" s="18">
        <v>7739</v>
      </c>
      <c r="AA42" s="18">
        <v>7934</v>
      </c>
      <c r="AB42" s="18">
        <f>SUM(AB5:AB41)</f>
        <v>8258</v>
      </c>
      <c r="AC42" s="18">
        <f>SUM(AC5:AC41)</f>
        <v>8236</v>
      </c>
      <c r="AD42" s="18">
        <f>SUM(AD5:AD41)</f>
        <v>8305</v>
      </c>
      <c r="AE42" s="18">
        <f>SUM(AE5:AE41)</f>
        <v>7828</v>
      </c>
      <c r="AF42" s="18">
        <f>SUM(AF5:AF41)</f>
        <v>8255</v>
      </c>
      <c r="AG42" s="18">
        <f t="shared" ref="AG42:AT42" si="53">SUM(AG5:AG41)</f>
        <v>8479</v>
      </c>
      <c r="AH42" s="18">
        <f t="shared" si="53"/>
        <v>8704</v>
      </c>
      <c r="AI42" s="18">
        <f t="shared" si="53"/>
        <v>8619</v>
      </c>
      <c r="AJ42" s="18">
        <f t="shared" si="53"/>
        <v>10425</v>
      </c>
      <c r="AK42" s="18">
        <f t="shared" si="53"/>
        <v>12882</v>
      </c>
      <c r="AL42" s="18">
        <f t="shared" si="53"/>
        <v>13858</v>
      </c>
      <c r="AM42" s="18">
        <f t="shared" si="53"/>
        <v>12935</v>
      </c>
      <c r="AN42" s="18">
        <f>SUM(AN5:AN41)</f>
        <v>13959</v>
      </c>
      <c r="AO42" s="18">
        <f t="shared" si="53"/>
        <v>14342</v>
      </c>
      <c r="AP42" s="18">
        <f t="shared" si="53"/>
        <v>14886</v>
      </c>
      <c r="AQ42" s="18">
        <f>SUM(AQ5:AQ41)</f>
        <v>13538</v>
      </c>
      <c r="AR42" s="18">
        <f t="shared" si="53"/>
        <v>14583</v>
      </c>
      <c r="AS42" s="18">
        <f>SUM(AS5:AS41)</f>
        <v>14812</v>
      </c>
      <c r="AT42" s="18">
        <f t="shared" si="53"/>
        <v>15121</v>
      </c>
      <c r="AU42" s="18">
        <f t="shared" ref="AU42:AX42" si="54">SUM(AU5:AU41)</f>
        <v>13685.57</v>
      </c>
      <c r="AV42" s="18">
        <f t="shared" si="54"/>
        <v>14526.5</v>
      </c>
      <c r="AW42" s="18">
        <f t="shared" si="54"/>
        <v>14475.69</v>
      </c>
      <c r="AX42" s="18">
        <f t="shared" si="54"/>
        <v>14440.269999999999</v>
      </c>
      <c r="AY42" s="18"/>
      <c r="AZ42" s="18"/>
      <c r="BA42" s="18"/>
      <c r="BB42" s="18"/>
      <c r="BC42" s="18"/>
      <c r="BD42" s="18"/>
      <c r="BE42" s="18"/>
      <c r="BF42" s="18"/>
      <c r="BG42" s="18"/>
      <c r="BH42" s="18">
        <f>SUM(BH5:BH41)</f>
        <v>32733</v>
      </c>
      <c r="BI42" s="18">
        <f>SUM(BI5:BI41)</f>
        <v>33266</v>
      </c>
      <c r="BJ42" s="18">
        <f>SUM(BJ5:BJ41)</f>
        <v>45784</v>
      </c>
      <c r="BK42" s="18">
        <f>SUM(BK5:BK41)</f>
        <v>56122</v>
      </c>
      <c r="BL42" s="18">
        <f>SUM(BL5:BL41)</f>
        <v>58054</v>
      </c>
      <c r="BM42" s="18">
        <f t="shared" ref="BM42:BT42" si="55">SUM(BM5:BM41)</f>
        <v>47383.41</v>
      </c>
      <c r="BN42" s="18">
        <f t="shared" si="55"/>
        <v>47325.537299999996</v>
      </c>
      <c r="BO42" s="18">
        <f t="shared" si="55"/>
        <v>48392.522018999996</v>
      </c>
      <c r="BP42" s="18">
        <f t="shared" si="55"/>
        <v>46734.18434457</v>
      </c>
      <c r="BQ42" s="18">
        <f t="shared" si="55"/>
        <v>45520.810351157124</v>
      </c>
      <c r="BR42" s="18">
        <f t="shared" si="55"/>
        <v>43126.56268990432</v>
      </c>
      <c r="BS42" s="18">
        <f t="shared" si="55"/>
        <v>42132.87668874958</v>
      </c>
      <c r="BT42" s="18">
        <f t="shared" si="55"/>
        <v>32436.619988436236</v>
      </c>
    </row>
    <row r="43" spans="2:72" s="15" customFormat="1" x14ac:dyDescent="0.2">
      <c r="B43" s="15" t="s">
        <v>25</v>
      </c>
      <c r="C43" s="16"/>
      <c r="D43" s="16"/>
      <c r="E43" s="16"/>
      <c r="F43" s="16"/>
      <c r="G43" s="16">
        <v>1153</v>
      </c>
      <c r="H43" s="16"/>
      <c r="I43" s="16">
        <v>1092</v>
      </c>
      <c r="J43" s="16"/>
      <c r="K43" s="16"/>
      <c r="L43" s="16">
        <f>1113-69-3-6</f>
        <v>1035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>
        <v>1313</v>
      </c>
      <c r="X43" s="16">
        <v>1529</v>
      </c>
      <c r="Y43" s="16">
        <v>1342</v>
      </c>
      <c r="Z43" s="16">
        <v>1626</v>
      </c>
      <c r="AA43" s="16">
        <v>1572</v>
      </c>
      <c r="AB43" s="16">
        <v>1607</v>
      </c>
      <c r="AC43" s="16">
        <v>1509</v>
      </c>
      <c r="AD43" s="16">
        <v>1674</v>
      </c>
      <c r="AE43" s="16">
        <v>1303</v>
      </c>
      <c r="AF43" s="16">
        <v>1427</v>
      </c>
      <c r="AG43" s="16">
        <v>1525</v>
      </c>
      <c r="AH43" s="16">
        <v>1605</v>
      </c>
      <c r="AI43" s="16">
        <v>1494</v>
      </c>
      <c r="AJ43" s="16">
        <v>1796</v>
      </c>
      <c r="AK43" s="16">
        <v>2362</v>
      </c>
      <c r="AL43" s="16">
        <v>2523</v>
      </c>
      <c r="AM43" s="16">
        <v>2085</v>
      </c>
      <c r="AN43" s="16">
        <v>2479</v>
      </c>
      <c r="AO43" s="16">
        <v>2413</v>
      </c>
      <c r="AP43" s="16">
        <v>2448</v>
      </c>
      <c r="AQ43" s="16">
        <v>2103</v>
      </c>
      <c r="AR43" s="16">
        <v>2167</v>
      </c>
      <c r="AS43" s="16">
        <v>2167</v>
      </c>
      <c r="AT43" s="16">
        <f>+AT42-AT44</f>
        <v>2268.1499999999996</v>
      </c>
      <c r="AU43" s="16">
        <f>+AU42-AU44</f>
        <v>2052.835500000001</v>
      </c>
      <c r="AV43" s="16">
        <f>+AV42-AV44</f>
        <v>2178.9750000000004</v>
      </c>
      <c r="AW43" s="16">
        <f>+AW42-AW44</f>
        <v>2171.3535000000011</v>
      </c>
      <c r="AX43" s="16">
        <f>+AX42-AX44</f>
        <v>2166.040500000001</v>
      </c>
      <c r="AY43" s="16"/>
      <c r="AZ43" s="16"/>
      <c r="BA43" s="16"/>
      <c r="BB43" s="16"/>
      <c r="BC43" s="16"/>
      <c r="BD43" s="16"/>
      <c r="BE43" s="16"/>
      <c r="BF43" s="16"/>
      <c r="BG43" s="16"/>
      <c r="BH43" s="16">
        <f t="shared" si="6"/>
        <v>6362</v>
      </c>
      <c r="BI43" s="16">
        <f t="shared" ref="BI43" si="56">SUM(AE43:AH43)</f>
        <v>5860</v>
      </c>
      <c r="BJ43" s="16">
        <f t="shared" ref="BJ43" si="57">SUM(AI43:AL43)</f>
        <v>8175</v>
      </c>
      <c r="BK43" s="16">
        <f t="shared" ref="BK43" si="58">SUM(AM43:AP43)</f>
        <v>9425</v>
      </c>
      <c r="BL43" s="16">
        <f t="shared" ref="BL43" si="59">SUM(AQ43:AT43)</f>
        <v>8705.15</v>
      </c>
      <c r="BM43" s="16">
        <f>+BM42-BM44</f>
        <v>7107.5115000000005</v>
      </c>
      <c r="BN43" s="16">
        <f t="shared" ref="BN43:BT43" si="60">+BN42-BN44</f>
        <v>7098.8305949999994</v>
      </c>
      <c r="BO43" s="16">
        <f t="shared" si="60"/>
        <v>7258.8783028500038</v>
      </c>
      <c r="BP43" s="16">
        <f t="shared" si="60"/>
        <v>7010.1276516854996</v>
      </c>
      <c r="BQ43" s="16">
        <f t="shared" si="60"/>
        <v>6828.1215526735687</v>
      </c>
      <c r="BR43" s="16">
        <f t="shared" si="60"/>
        <v>6468.9844034856505</v>
      </c>
      <c r="BS43" s="16">
        <f t="shared" si="60"/>
        <v>6319.9315033124367</v>
      </c>
      <c r="BT43" s="16">
        <f t="shared" si="60"/>
        <v>4865.4929982654357</v>
      </c>
    </row>
    <row r="44" spans="2:72" s="15" customFormat="1" x14ac:dyDescent="0.2">
      <c r="B44" s="15" t="s">
        <v>24</v>
      </c>
      <c r="C44" s="16"/>
      <c r="D44" s="16"/>
      <c r="E44" s="16"/>
      <c r="F44" s="16"/>
      <c r="G44" s="16">
        <f>+G42-G43</f>
        <v>3176</v>
      </c>
      <c r="H44" s="16"/>
      <c r="I44" s="16">
        <f>+I42-I43</f>
        <v>3566</v>
      </c>
      <c r="J44" s="16"/>
      <c r="K44" s="16"/>
      <c r="L44" s="16">
        <f>+L42-L43</f>
        <v>3891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>
        <f t="shared" ref="W44" si="61">+W42-W43</f>
        <v>5225</v>
      </c>
      <c r="X44" s="16">
        <f t="shared" ref="X44:Y44" si="62">+X42-X43</f>
        <v>5415</v>
      </c>
      <c r="Y44" s="16">
        <f t="shared" si="62"/>
        <v>5653</v>
      </c>
      <c r="Z44" s="16">
        <f t="shared" ref="Z44" si="63">+Z42-Z43</f>
        <v>6113</v>
      </c>
      <c r="AA44" s="16">
        <f>+AA42-AA43</f>
        <v>6362</v>
      </c>
      <c r="AB44" s="16">
        <f>+AB42-AB43</f>
        <v>6651</v>
      </c>
      <c r="AC44" s="16">
        <f>+AC42-AC43</f>
        <v>6727</v>
      </c>
      <c r="AD44" s="16">
        <f>+AD42-AD43</f>
        <v>6631</v>
      </c>
      <c r="AE44" s="16">
        <f>+AE42-AE43</f>
        <v>6525</v>
      </c>
      <c r="AF44" s="16">
        <f>+AF42-AF43</f>
        <v>6828</v>
      </c>
      <c r="AG44" s="16">
        <f t="shared" ref="AG44:AH44" si="64">AG42-AG43</f>
        <v>6954</v>
      </c>
      <c r="AH44" s="16">
        <f t="shared" si="64"/>
        <v>7099</v>
      </c>
      <c r="AI44" s="16">
        <f t="shared" ref="AI44:AJ44" si="65">AI42-AI43</f>
        <v>7125</v>
      </c>
      <c r="AJ44" s="16">
        <f t="shared" si="65"/>
        <v>8629</v>
      </c>
      <c r="AK44" s="16">
        <f t="shared" ref="AK44:AQ44" si="66">AK42-AK43</f>
        <v>10520</v>
      </c>
      <c r="AL44" s="16">
        <f t="shared" si="66"/>
        <v>11335</v>
      </c>
      <c r="AM44" s="16">
        <f t="shared" si="66"/>
        <v>10850</v>
      </c>
      <c r="AN44" s="16">
        <f t="shared" si="66"/>
        <v>11480</v>
      </c>
      <c r="AO44" s="16">
        <f t="shared" si="66"/>
        <v>11929</v>
      </c>
      <c r="AP44" s="16">
        <f t="shared" si="66"/>
        <v>12438</v>
      </c>
      <c r="AQ44" s="16">
        <f t="shared" si="66"/>
        <v>11435</v>
      </c>
      <c r="AR44" s="16">
        <f t="shared" ref="AR44" si="67">AR42-AR43</f>
        <v>12416</v>
      </c>
      <c r="AS44" s="16">
        <f>+AS42-AS43</f>
        <v>12645</v>
      </c>
      <c r="AT44" s="16">
        <f>+AT42*0.85</f>
        <v>12852.85</v>
      </c>
      <c r="AU44" s="16">
        <f>+AU42*0.85</f>
        <v>11632.734499999999</v>
      </c>
      <c r="AV44" s="16">
        <f>+AV42*0.85</f>
        <v>12347.525</v>
      </c>
      <c r="AW44" s="16">
        <f>+AW42*0.85</f>
        <v>12304.336499999999</v>
      </c>
      <c r="AX44" s="16">
        <f>+AX42*0.85</f>
        <v>12274.229499999998</v>
      </c>
      <c r="AY44" s="16"/>
      <c r="AZ44" s="16"/>
      <c r="BA44" s="16"/>
      <c r="BB44" s="16"/>
      <c r="BC44" s="16"/>
      <c r="BD44" s="16"/>
      <c r="BE44" s="16"/>
      <c r="BF44" s="16"/>
      <c r="BG44" s="16"/>
      <c r="BH44" s="16">
        <f t="shared" ref="BH44:BJ44" si="68">+BH42-BH43</f>
        <v>26371</v>
      </c>
      <c r="BI44" s="16">
        <f t="shared" si="68"/>
        <v>27406</v>
      </c>
      <c r="BJ44" s="16">
        <f t="shared" si="68"/>
        <v>37609</v>
      </c>
      <c r="BK44" s="16">
        <f>+BK42-BK43</f>
        <v>46697</v>
      </c>
      <c r="BL44" s="16">
        <f>+BL42-BL43</f>
        <v>49348.85</v>
      </c>
      <c r="BM44" s="16">
        <f>+BM42*0.85</f>
        <v>40275.898500000003</v>
      </c>
      <c r="BN44" s="16">
        <f t="shared" ref="BN44:BT44" si="69">+BN42*0.85</f>
        <v>40226.706704999997</v>
      </c>
      <c r="BO44" s="16">
        <f t="shared" si="69"/>
        <v>41133.643716149993</v>
      </c>
      <c r="BP44" s="16">
        <f t="shared" si="69"/>
        <v>39724.0566928845</v>
      </c>
      <c r="BQ44" s="16">
        <f t="shared" si="69"/>
        <v>38692.688798483556</v>
      </c>
      <c r="BR44" s="16">
        <f t="shared" si="69"/>
        <v>36657.578286418669</v>
      </c>
      <c r="BS44" s="16">
        <f t="shared" si="69"/>
        <v>35812.945185437144</v>
      </c>
      <c r="BT44" s="16">
        <f t="shared" si="69"/>
        <v>27571.1269901708</v>
      </c>
    </row>
    <row r="45" spans="2:72" s="15" customFormat="1" x14ac:dyDescent="0.2">
      <c r="B45" s="15" t="s">
        <v>23</v>
      </c>
      <c r="C45" s="16"/>
      <c r="D45" s="16"/>
      <c r="E45" s="16"/>
      <c r="F45" s="16"/>
      <c r="G45" s="16">
        <v>1237</v>
      </c>
      <c r="H45" s="16"/>
      <c r="I45" s="16">
        <v>1261</v>
      </c>
      <c r="J45" s="16"/>
      <c r="K45" s="16"/>
      <c r="L45" s="16">
        <f>1448-96-6</f>
        <v>1346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>
        <v>1360</v>
      </c>
      <c r="X45" s="16">
        <v>1509</v>
      </c>
      <c r="Y45" s="16">
        <v>1453</v>
      </c>
      <c r="Z45" s="16">
        <v>1646</v>
      </c>
      <c r="AA45" s="16">
        <v>1670</v>
      </c>
      <c r="AB45" s="16">
        <v>1643</v>
      </c>
      <c r="AC45" s="16">
        <v>1575</v>
      </c>
      <c r="AD45" s="16">
        <v>1797</v>
      </c>
      <c r="AE45" s="16">
        <v>1563</v>
      </c>
      <c r="AF45" s="16">
        <v>1620</v>
      </c>
      <c r="AG45" s="16">
        <v>1621</v>
      </c>
      <c r="AH45" s="16">
        <v>1883</v>
      </c>
      <c r="AI45" s="16">
        <v>1599</v>
      </c>
      <c r="AJ45" s="16">
        <v>2392</v>
      </c>
      <c r="AK45" s="16">
        <v>2723</v>
      </c>
      <c r="AL45" s="16">
        <v>3089</v>
      </c>
      <c r="AM45" s="16">
        <v>2743</v>
      </c>
      <c r="AN45" s="16">
        <v>2953</v>
      </c>
      <c r="AO45" s="16">
        <v>2961</v>
      </c>
      <c r="AP45" s="16">
        <v>3307</v>
      </c>
      <c r="AQ45" s="16">
        <v>2852</v>
      </c>
      <c r="AR45" s="16">
        <v>3089</v>
      </c>
      <c r="AS45" s="16">
        <v>3089</v>
      </c>
      <c r="AT45" s="16">
        <f>+AP45*1.01</f>
        <v>3340.07</v>
      </c>
      <c r="AU45" s="16">
        <f>+AQ45*0.95</f>
        <v>2709.4</v>
      </c>
      <c r="AV45" s="16">
        <f>+AR45*0.95</f>
        <v>2934.5499999999997</v>
      </c>
      <c r="AW45" s="16">
        <f>+AS45*0.95</f>
        <v>2934.5499999999997</v>
      </c>
      <c r="AX45" s="16">
        <f>+AT45*0.95</f>
        <v>3173.0664999999999</v>
      </c>
      <c r="AY45" s="16"/>
      <c r="AZ45" s="16"/>
      <c r="BA45" s="16"/>
      <c r="BB45" s="16"/>
      <c r="BC45" s="16"/>
      <c r="BD45" s="16"/>
      <c r="BE45" s="16"/>
      <c r="BF45" s="16"/>
      <c r="BG45" s="16"/>
      <c r="BH45" s="16">
        <f t="shared" si="6"/>
        <v>6685</v>
      </c>
      <c r="BI45" s="16">
        <f t="shared" ref="BI45:BI46" si="70">SUM(AE45:AH45)</f>
        <v>6687</v>
      </c>
      <c r="BJ45" s="16">
        <f t="shared" ref="BJ45:BJ46" si="71">SUM(AI45:AL45)</f>
        <v>9803</v>
      </c>
      <c r="BK45" s="16">
        <f t="shared" ref="BK45:BK46" si="72">SUM(AM45:AP45)</f>
        <v>11964</v>
      </c>
      <c r="BL45" s="16">
        <f t="shared" ref="BL45:BL46" si="73">SUM(AQ45:AT45)</f>
        <v>12370.07</v>
      </c>
      <c r="BM45" s="16">
        <f>+BM42*0.2</f>
        <v>9476.6820000000007</v>
      </c>
      <c r="BN45" s="16">
        <f t="shared" ref="BN45:BT45" si="74">+BN42*0.2</f>
        <v>9465.1074599999993</v>
      </c>
      <c r="BO45" s="16">
        <f t="shared" si="74"/>
        <v>9678.5044037999996</v>
      </c>
      <c r="BP45" s="16">
        <f t="shared" si="74"/>
        <v>9346.8368689140007</v>
      </c>
      <c r="BQ45" s="16">
        <f t="shared" si="74"/>
        <v>9104.1620702314249</v>
      </c>
      <c r="BR45" s="16">
        <f t="shared" si="74"/>
        <v>8625.3125379808644</v>
      </c>
      <c r="BS45" s="16">
        <f t="shared" si="74"/>
        <v>8426.5753377499168</v>
      </c>
      <c r="BT45" s="16">
        <f t="shared" si="74"/>
        <v>6487.3239976872474</v>
      </c>
    </row>
    <row r="46" spans="2:72" s="15" customFormat="1" x14ac:dyDescent="0.2">
      <c r="B46" s="15" t="s">
        <v>22</v>
      </c>
      <c r="C46" s="16"/>
      <c r="D46" s="16"/>
      <c r="E46" s="16"/>
      <c r="F46" s="16"/>
      <c r="G46" s="16">
        <v>634</v>
      </c>
      <c r="H46" s="16"/>
      <c r="I46" s="16">
        <v>714</v>
      </c>
      <c r="J46" s="16"/>
      <c r="K46" s="16"/>
      <c r="L46" s="16">
        <f>834-41</f>
        <v>793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1112</v>
      </c>
      <c r="X46" s="16">
        <v>1229</v>
      </c>
      <c r="Y46" s="16">
        <v>1196</v>
      </c>
      <c r="Z46" s="16">
        <v>1328</v>
      </c>
      <c r="AA46" s="16">
        <v>1189</v>
      </c>
      <c r="AB46" s="16">
        <v>1267</v>
      </c>
      <c r="AC46" s="16">
        <v>1268</v>
      </c>
      <c r="AD46" s="16">
        <v>1369</v>
      </c>
      <c r="AE46" s="16">
        <v>1199</v>
      </c>
      <c r="AF46" s="16">
        <v>1232</v>
      </c>
      <c r="AG46" s="16">
        <v>1227</v>
      </c>
      <c r="AH46" s="16">
        <v>1331</v>
      </c>
      <c r="AI46" s="16">
        <v>1234</v>
      </c>
      <c r="AJ46" s="16">
        <v>1332</v>
      </c>
      <c r="AK46" s="16">
        <v>1513</v>
      </c>
      <c r="AL46" s="16">
        <v>1751</v>
      </c>
      <c r="AM46" s="16">
        <v>1505</v>
      </c>
      <c r="AN46" s="16">
        <v>1583</v>
      </c>
      <c r="AO46" s="16">
        <v>1632</v>
      </c>
      <c r="AP46" s="16">
        <v>1798</v>
      </c>
      <c r="AQ46" s="16">
        <v>1480</v>
      </c>
      <c r="AR46" s="16">
        <v>1607</v>
      </c>
      <c r="AS46" s="16">
        <v>1607</v>
      </c>
      <c r="AT46" s="16">
        <f>+AP46*1.01</f>
        <v>1815.98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>
        <f t="shared" si="6"/>
        <v>5093</v>
      </c>
      <c r="BI46" s="16">
        <f t="shared" si="70"/>
        <v>4989</v>
      </c>
      <c r="BJ46" s="16">
        <f t="shared" si="71"/>
        <v>5830</v>
      </c>
      <c r="BK46" s="16">
        <f t="shared" si="72"/>
        <v>6518</v>
      </c>
      <c r="BL46" s="16">
        <f t="shared" si="73"/>
        <v>6509.98</v>
      </c>
      <c r="BM46" s="16"/>
      <c r="BN46" s="16"/>
      <c r="BO46" s="16"/>
      <c r="BP46" s="16"/>
      <c r="BQ46" s="16"/>
      <c r="BR46" s="16"/>
      <c r="BS46" s="16"/>
    </row>
    <row r="47" spans="2:72" s="15" customFormat="1" x14ac:dyDescent="0.2">
      <c r="B47" s="15" t="s">
        <v>20</v>
      </c>
      <c r="C47" s="16"/>
      <c r="D47" s="16"/>
      <c r="E47" s="16"/>
      <c r="F47" s="16"/>
      <c r="G47" s="16">
        <f>+G46+G45</f>
        <v>1871</v>
      </c>
      <c r="H47" s="16"/>
      <c r="I47" s="16">
        <f>+I46+I45</f>
        <v>1975</v>
      </c>
      <c r="J47" s="16"/>
      <c r="K47" s="16"/>
      <c r="L47" s="16">
        <f>+L46+L45</f>
        <v>2139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75">+W45+W46</f>
        <v>2472</v>
      </c>
      <c r="X47" s="16">
        <f t="shared" ref="X47:Y47" si="76">+X45+X46</f>
        <v>2738</v>
      </c>
      <c r="Y47" s="16">
        <f t="shared" si="76"/>
        <v>2649</v>
      </c>
      <c r="Z47" s="16">
        <f t="shared" ref="Z47" si="77">+Z45+Z46</f>
        <v>2974</v>
      </c>
      <c r="AA47" s="16">
        <f>+AA45+AA46</f>
        <v>2859</v>
      </c>
      <c r="AB47" s="16">
        <f>+AB45+AB46</f>
        <v>2910</v>
      </c>
      <c r="AC47" s="16">
        <f>+AC45+AC46</f>
        <v>2843</v>
      </c>
      <c r="AD47" s="16">
        <f>+AD45+AD46</f>
        <v>3166</v>
      </c>
      <c r="AE47" s="16">
        <f>+AE45+AE46</f>
        <v>2762</v>
      </c>
      <c r="AF47" s="16">
        <f>+AF45+AF46</f>
        <v>2852</v>
      </c>
      <c r="AG47" s="16">
        <f t="shared" ref="AG47:AH47" si="78">AG46+AG45</f>
        <v>2848</v>
      </c>
      <c r="AH47" s="16">
        <f t="shared" si="78"/>
        <v>3214</v>
      </c>
      <c r="AI47" s="16">
        <f t="shared" ref="AI47:AJ47" si="79">AI46+AI45</f>
        <v>2833</v>
      </c>
      <c r="AJ47" s="16">
        <f t="shared" si="79"/>
        <v>3724</v>
      </c>
      <c r="AK47" s="16">
        <f t="shared" ref="AK47:AQ47" si="80">AK46+AK45</f>
        <v>4236</v>
      </c>
      <c r="AL47" s="16">
        <f t="shared" si="80"/>
        <v>4840</v>
      </c>
      <c r="AM47" s="16">
        <f t="shared" si="80"/>
        <v>4248</v>
      </c>
      <c r="AN47" s="16">
        <f t="shared" si="80"/>
        <v>4536</v>
      </c>
      <c r="AO47" s="16">
        <f t="shared" si="80"/>
        <v>4593</v>
      </c>
      <c r="AP47" s="16">
        <f t="shared" si="80"/>
        <v>5105</v>
      </c>
      <c r="AQ47" s="16">
        <f t="shared" si="80"/>
        <v>4332</v>
      </c>
      <c r="AR47" s="16">
        <f t="shared" ref="AR47:AT47" si="81">AR46+AR45</f>
        <v>4696</v>
      </c>
      <c r="AS47" s="16">
        <f t="shared" si="81"/>
        <v>4696</v>
      </c>
      <c r="AT47" s="16">
        <f t="shared" si="81"/>
        <v>5156.05</v>
      </c>
      <c r="AU47" s="16">
        <f t="shared" ref="AU47:AX47" si="82">AU46+AU45</f>
        <v>2709.4</v>
      </c>
      <c r="AV47" s="16">
        <f t="shared" si="82"/>
        <v>2934.5499999999997</v>
      </c>
      <c r="AW47" s="16">
        <f t="shared" si="82"/>
        <v>2934.5499999999997</v>
      </c>
      <c r="AX47" s="16">
        <f t="shared" si="82"/>
        <v>3173.0664999999999</v>
      </c>
      <c r="AY47" s="16"/>
      <c r="AZ47" s="16"/>
      <c r="BA47" s="16"/>
      <c r="BB47" s="16"/>
      <c r="BC47" s="16"/>
      <c r="BD47" s="16"/>
      <c r="BE47" s="16"/>
      <c r="BF47" s="16"/>
      <c r="BG47" s="16"/>
      <c r="BH47" s="16">
        <f t="shared" ref="BH47" si="83">+BH45+BH46</f>
        <v>11778</v>
      </c>
      <c r="BI47" s="16">
        <f t="shared" ref="BI47:BJ47" si="84">+BI45+BI46</f>
        <v>11676</v>
      </c>
      <c r="BJ47" s="16">
        <f t="shared" si="84"/>
        <v>15633</v>
      </c>
      <c r="BK47" s="16">
        <f>+BK45+BK46</f>
        <v>18482</v>
      </c>
      <c r="BL47" s="16">
        <f>+BL45+BL46</f>
        <v>18880.05</v>
      </c>
      <c r="BM47" s="16">
        <f t="shared" ref="BM47:BT47" si="85">+BM45+BM46</f>
        <v>9476.6820000000007</v>
      </c>
      <c r="BN47" s="16">
        <f t="shared" si="85"/>
        <v>9465.1074599999993</v>
      </c>
      <c r="BO47" s="16">
        <f t="shared" si="85"/>
        <v>9678.5044037999996</v>
      </c>
      <c r="BP47" s="16">
        <f t="shared" si="85"/>
        <v>9346.8368689140007</v>
      </c>
      <c r="BQ47" s="16">
        <f t="shared" si="85"/>
        <v>9104.1620702314249</v>
      </c>
      <c r="BR47" s="16">
        <f t="shared" si="85"/>
        <v>8625.3125379808644</v>
      </c>
      <c r="BS47" s="16">
        <f t="shared" si="85"/>
        <v>8426.5753377499168</v>
      </c>
      <c r="BT47" s="16">
        <f t="shared" si="85"/>
        <v>6487.3239976872474</v>
      </c>
    </row>
    <row r="48" spans="2:72" s="15" customFormat="1" x14ac:dyDescent="0.2">
      <c r="B48" s="15" t="s">
        <v>21</v>
      </c>
      <c r="C48" s="16"/>
      <c r="D48" s="16"/>
      <c r="E48" s="16"/>
      <c r="F48" s="16"/>
      <c r="G48" s="16">
        <f>G44-G47</f>
        <v>1305</v>
      </c>
      <c r="H48" s="16"/>
      <c r="I48" s="16">
        <f>I44-I47</f>
        <v>1591</v>
      </c>
      <c r="J48" s="16"/>
      <c r="K48" s="16"/>
      <c r="L48" s="16">
        <f>+L44-L47</f>
        <v>1752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f t="shared" ref="W48" si="86">+W44-W47</f>
        <v>2753</v>
      </c>
      <c r="X48" s="16">
        <f t="shared" ref="X48:Y48" si="87">+X44-X47</f>
        <v>2677</v>
      </c>
      <c r="Y48" s="16">
        <f t="shared" si="87"/>
        <v>3004</v>
      </c>
      <c r="Z48" s="16">
        <f t="shared" ref="Z48" si="88">+Z44-Z47</f>
        <v>3139</v>
      </c>
      <c r="AA48" s="16">
        <f>+AA44-AA47</f>
        <v>3503</v>
      </c>
      <c r="AB48" s="16">
        <f>+AB44-AB47</f>
        <v>3741</v>
      </c>
      <c r="AC48" s="16">
        <f>+AC44-AC47</f>
        <v>3884</v>
      </c>
      <c r="AD48" s="16">
        <f>+AD44-AD47</f>
        <v>3465</v>
      </c>
      <c r="AE48" s="16">
        <f>+AE44-AE47</f>
        <v>3763</v>
      </c>
      <c r="AF48" s="16">
        <f>+AF44-AF47</f>
        <v>3976</v>
      </c>
      <c r="AG48" s="16">
        <f t="shared" ref="AG48:AH48" si="89">AG44-AG47</f>
        <v>4106</v>
      </c>
      <c r="AH48" s="16">
        <f t="shared" si="89"/>
        <v>3885</v>
      </c>
      <c r="AI48" s="16">
        <f t="shared" ref="AI48:AJ48" si="90">AI44-AI47</f>
        <v>4292</v>
      </c>
      <c r="AJ48" s="16">
        <f t="shared" si="90"/>
        <v>4905</v>
      </c>
      <c r="AK48" s="16">
        <f t="shared" ref="AK48:AQ48" si="91">AK44-AK47</f>
        <v>6284</v>
      </c>
      <c r="AL48" s="16">
        <f t="shared" si="91"/>
        <v>6495</v>
      </c>
      <c r="AM48" s="16">
        <f t="shared" si="91"/>
        <v>6602</v>
      </c>
      <c r="AN48" s="16">
        <f t="shared" si="91"/>
        <v>6944</v>
      </c>
      <c r="AO48" s="16">
        <f t="shared" si="91"/>
        <v>7336</v>
      </c>
      <c r="AP48" s="16">
        <f t="shared" si="91"/>
        <v>7333</v>
      </c>
      <c r="AQ48" s="16">
        <f t="shared" si="91"/>
        <v>7103</v>
      </c>
      <c r="AR48" s="16">
        <f t="shared" ref="AR48:AT48" si="92">AR44-AR47</f>
        <v>7720</v>
      </c>
      <c r="AS48" s="16">
        <f t="shared" si="92"/>
        <v>7949</v>
      </c>
      <c r="AT48" s="16">
        <f t="shared" si="92"/>
        <v>7696.8</v>
      </c>
      <c r="AU48" s="16">
        <f t="shared" ref="AU48:AX48" si="93">AU44-AU47</f>
        <v>8923.334499999999</v>
      </c>
      <c r="AV48" s="16">
        <f t="shared" si="93"/>
        <v>9412.9750000000004</v>
      </c>
      <c r="AW48" s="16">
        <f t="shared" si="93"/>
        <v>9369.7865000000002</v>
      </c>
      <c r="AX48" s="16">
        <f t="shared" si="93"/>
        <v>9101.1629999999968</v>
      </c>
      <c r="AY48" s="16"/>
      <c r="AZ48" s="16"/>
      <c r="BA48" s="16"/>
      <c r="BB48" s="16"/>
      <c r="BC48" s="16"/>
      <c r="BD48" s="16"/>
      <c r="BE48" s="16"/>
      <c r="BF48" s="16"/>
      <c r="BG48" s="16"/>
      <c r="BH48" s="16">
        <f t="shared" ref="BH48" si="94">+BH44-BH47</f>
        <v>14593</v>
      </c>
      <c r="BI48" s="16">
        <f t="shared" ref="BI48:BJ48" si="95">+BI44-BI47</f>
        <v>15730</v>
      </c>
      <c r="BJ48" s="16">
        <f t="shared" si="95"/>
        <v>21976</v>
      </c>
      <c r="BK48" s="16">
        <f>+BK44-BK47</f>
        <v>28215</v>
      </c>
      <c r="BL48" s="16">
        <f>+BL44-BL47</f>
        <v>30468.799999999999</v>
      </c>
      <c r="BM48" s="16">
        <f t="shared" ref="BM48:BT48" si="96">+BM44-BM47</f>
        <v>30799.216500000002</v>
      </c>
      <c r="BN48" s="16">
        <f t="shared" si="96"/>
        <v>30761.599244999998</v>
      </c>
      <c r="BO48" s="16">
        <f t="shared" si="96"/>
        <v>31455.139312349995</v>
      </c>
      <c r="BP48" s="16">
        <f t="shared" si="96"/>
        <v>30377.219823970499</v>
      </c>
      <c r="BQ48" s="16">
        <f t="shared" si="96"/>
        <v>29588.526728252131</v>
      </c>
      <c r="BR48" s="16">
        <f t="shared" si="96"/>
        <v>28032.265748437807</v>
      </c>
      <c r="BS48" s="16">
        <f t="shared" si="96"/>
        <v>27386.369847687227</v>
      </c>
      <c r="BT48" s="16">
        <f t="shared" si="96"/>
        <v>21083.802992483554</v>
      </c>
    </row>
    <row r="49" spans="2:199" s="15" customFormat="1" x14ac:dyDescent="0.2">
      <c r="B49" s="15" t="s">
        <v>19</v>
      </c>
      <c r="C49" s="16"/>
      <c r="D49" s="16"/>
      <c r="E49" s="16"/>
      <c r="F49" s="16"/>
      <c r="G49" s="16">
        <f>-66-15+15</f>
        <v>-66</v>
      </c>
      <c r="H49" s="16"/>
      <c r="I49" s="16">
        <f>-69-11-5</f>
        <v>-85</v>
      </c>
      <c r="J49" s="16"/>
      <c r="K49" s="16"/>
      <c r="L49" s="16">
        <f>-69-5-8</f>
        <v>-82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f>-247+25</f>
        <v>-222</v>
      </c>
      <c r="X49" s="16">
        <v>-253</v>
      </c>
      <c r="Y49" s="16">
        <f>-252+63</f>
        <v>-189</v>
      </c>
      <c r="Z49" s="16">
        <f>-252+62</f>
        <v>-190</v>
      </c>
      <c r="AA49" s="16">
        <f>5-251</f>
        <v>-246</v>
      </c>
      <c r="AB49" s="16">
        <f>-15-272</f>
        <v>-287</v>
      </c>
      <c r="AC49" s="16">
        <f>-302-2+1</f>
        <v>-303</v>
      </c>
      <c r="AD49" s="16">
        <f>-319-6+11</f>
        <v>-314</v>
      </c>
      <c r="AE49" s="16">
        <f>34-325</f>
        <v>-291</v>
      </c>
      <c r="AF49" s="16">
        <f>-302+26</f>
        <v>-276</v>
      </c>
      <c r="AG49" s="16">
        <f>-288-19+3</f>
        <v>-304</v>
      </c>
      <c r="AH49" s="16">
        <f>-282-11+22</f>
        <v>-271</v>
      </c>
      <c r="AI49" s="16">
        <f>-284-5</f>
        <v>-289</v>
      </c>
      <c r="AJ49" s="16">
        <f>-484+7-33</f>
        <v>-510</v>
      </c>
      <c r="AK49" s="49">
        <v>620</v>
      </c>
      <c r="AL49" s="49">
        <v>618</v>
      </c>
      <c r="AM49" s="16">
        <v>-622</v>
      </c>
      <c r="AN49" s="16">
        <v>-606</v>
      </c>
      <c r="AO49" s="16">
        <v>-585</v>
      </c>
      <c r="AP49" s="16">
        <v>-571</v>
      </c>
      <c r="AQ49" s="16">
        <f>-539+28</f>
        <v>-511</v>
      </c>
      <c r="AR49" s="16">
        <f>-497+210</f>
        <v>-287</v>
      </c>
      <c r="AS49" s="16">
        <f>120-497</f>
        <v>-377</v>
      </c>
      <c r="AT49" s="16">
        <f>+AS49</f>
        <v>-377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>
        <f t="shared" ref="BH49:BH51" si="97">SUM(AA49:AD49)</f>
        <v>-1150</v>
      </c>
      <c r="BI49" s="16">
        <f t="shared" ref="BI49" si="98">SUM(AE49:AH49)</f>
        <v>-1142</v>
      </c>
      <c r="BJ49" s="16">
        <f t="shared" ref="BJ49" si="99">SUM(AI49:AL49)</f>
        <v>439</v>
      </c>
      <c r="BK49" s="16">
        <f t="shared" ref="BK49" si="100">SUM(AM49:AP49)</f>
        <v>-2384</v>
      </c>
      <c r="BL49" s="16">
        <f t="shared" ref="BL49" si="101">SUM(AQ49:AT49)</f>
        <v>-1552</v>
      </c>
      <c r="BM49" s="16">
        <f>+BL49+300</f>
        <v>-1252</v>
      </c>
      <c r="BN49" s="16">
        <f t="shared" ref="BN49:BT49" si="102">+BM49+300</f>
        <v>-952</v>
      </c>
      <c r="BO49" s="16">
        <f t="shared" si="102"/>
        <v>-652</v>
      </c>
      <c r="BP49" s="16">
        <f t="shared" si="102"/>
        <v>-352</v>
      </c>
      <c r="BQ49" s="16">
        <f t="shared" si="102"/>
        <v>-52</v>
      </c>
      <c r="BR49" s="16">
        <f t="shared" si="102"/>
        <v>248</v>
      </c>
      <c r="BS49" s="16">
        <f t="shared" si="102"/>
        <v>548</v>
      </c>
      <c r="BT49" s="16">
        <f t="shared" si="102"/>
        <v>848</v>
      </c>
    </row>
    <row r="50" spans="2:199" s="15" customFormat="1" x14ac:dyDescent="0.2">
      <c r="B50" s="15" t="s">
        <v>18</v>
      </c>
      <c r="C50" s="16"/>
      <c r="D50" s="16"/>
      <c r="E50" s="16"/>
      <c r="F50" s="16"/>
      <c r="G50" s="16">
        <f>+G48+G49</f>
        <v>1239</v>
      </c>
      <c r="H50" s="16"/>
      <c r="I50" s="16">
        <f>+I48+I49</f>
        <v>1506</v>
      </c>
      <c r="J50" s="16"/>
      <c r="K50" s="16"/>
      <c r="L50" s="16">
        <f>+L49+L48</f>
        <v>1670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103">+W48+W49</f>
        <v>2531</v>
      </c>
      <c r="X50" s="16">
        <f t="shared" ref="X50:Y50" si="104">+X48+X49</f>
        <v>2424</v>
      </c>
      <c r="Y50" s="16">
        <f t="shared" si="104"/>
        <v>2815</v>
      </c>
      <c r="Z50" s="16">
        <f>+Z48+Z49</f>
        <v>2949</v>
      </c>
      <c r="AA50" s="16">
        <f>+AA48+AA49</f>
        <v>3257</v>
      </c>
      <c r="AB50" s="16">
        <f>+AB48+AB49</f>
        <v>3454</v>
      </c>
      <c r="AC50" s="16">
        <f>+AC48+AC49</f>
        <v>3581</v>
      </c>
      <c r="AD50" s="16">
        <f>+AD48+AD49</f>
        <v>3151</v>
      </c>
      <c r="AE50" s="16">
        <f>+AE48+AE49</f>
        <v>3472</v>
      </c>
      <c r="AF50" s="16">
        <f>+AF48+AF49</f>
        <v>3700</v>
      </c>
      <c r="AG50" s="16">
        <f t="shared" ref="AG50:AH50" si="105">AG48+AG49</f>
        <v>3802</v>
      </c>
      <c r="AH50" s="16">
        <f t="shared" si="105"/>
        <v>3614</v>
      </c>
      <c r="AI50" s="16">
        <f t="shared" ref="AI50:AJ50" si="106">AI48+AI49</f>
        <v>4003</v>
      </c>
      <c r="AJ50" s="16">
        <f t="shared" si="106"/>
        <v>4395</v>
      </c>
      <c r="AK50" s="16">
        <f t="shared" ref="AK50:AQ50" si="107">AK48+AK49</f>
        <v>6904</v>
      </c>
      <c r="AL50" s="16">
        <f t="shared" si="107"/>
        <v>7113</v>
      </c>
      <c r="AM50" s="16">
        <f t="shared" si="107"/>
        <v>5980</v>
      </c>
      <c r="AN50" s="16">
        <f t="shared" si="107"/>
        <v>6338</v>
      </c>
      <c r="AO50" s="16">
        <f t="shared" si="107"/>
        <v>6751</v>
      </c>
      <c r="AP50" s="16">
        <f t="shared" si="107"/>
        <v>6762</v>
      </c>
      <c r="AQ50" s="16">
        <f t="shared" si="107"/>
        <v>6592</v>
      </c>
      <c r="AR50" s="16">
        <f t="shared" ref="AR50:AT50" si="108">AR48+AR49</f>
        <v>7433</v>
      </c>
      <c r="AS50" s="16">
        <f t="shared" si="108"/>
        <v>7572</v>
      </c>
      <c r="AT50" s="16">
        <f t="shared" si="108"/>
        <v>7319.8</v>
      </c>
      <c r="AU50" s="16">
        <f t="shared" ref="AU50:AX50" si="109">AU48+AU49</f>
        <v>8923.334499999999</v>
      </c>
      <c r="AV50" s="16">
        <f t="shared" si="109"/>
        <v>9412.9750000000004</v>
      </c>
      <c r="AW50" s="16">
        <f t="shared" si="109"/>
        <v>9369.7865000000002</v>
      </c>
      <c r="AX50" s="16">
        <f t="shared" si="109"/>
        <v>9101.1629999999968</v>
      </c>
      <c r="AY50" s="16"/>
      <c r="AZ50" s="16"/>
      <c r="BA50" s="16"/>
      <c r="BB50" s="16"/>
      <c r="BC50" s="16"/>
      <c r="BD50" s="16"/>
      <c r="BE50" s="16"/>
      <c r="BF50" s="16"/>
      <c r="BG50" s="16"/>
      <c r="BH50" s="16">
        <f t="shared" ref="BH50:BJ50" si="110">+BH48+BH49</f>
        <v>13443</v>
      </c>
      <c r="BI50" s="16">
        <f t="shared" si="110"/>
        <v>14588</v>
      </c>
      <c r="BJ50" s="16">
        <f t="shared" si="110"/>
        <v>22415</v>
      </c>
      <c r="BK50" s="16">
        <f>+BK48+BK49</f>
        <v>25831</v>
      </c>
      <c r="BL50" s="16">
        <f>+BL48+BL49</f>
        <v>28916.799999999999</v>
      </c>
      <c r="BM50" s="16">
        <f t="shared" ref="BM50:BT50" si="111">+BM48+BM49</f>
        <v>29547.216500000002</v>
      </c>
      <c r="BN50" s="16">
        <f t="shared" si="111"/>
        <v>29809.599244999998</v>
      </c>
      <c r="BO50" s="16">
        <f t="shared" si="111"/>
        <v>30803.139312349995</v>
      </c>
      <c r="BP50" s="16">
        <f t="shared" si="111"/>
        <v>30025.219823970499</v>
      </c>
      <c r="BQ50" s="16">
        <f t="shared" si="111"/>
        <v>29536.526728252131</v>
      </c>
      <c r="BR50" s="16">
        <f t="shared" si="111"/>
        <v>28280.265748437807</v>
      </c>
      <c r="BS50" s="16">
        <f t="shared" si="111"/>
        <v>27934.369847687227</v>
      </c>
      <c r="BT50" s="16">
        <f t="shared" si="111"/>
        <v>21931.802992483554</v>
      </c>
    </row>
    <row r="51" spans="2:199" s="15" customFormat="1" x14ac:dyDescent="0.2">
      <c r="B51" s="15" t="s">
        <v>17</v>
      </c>
      <c r="C51" s="16"/>
      <c r="D51" s="16"/>
      <c r="E51" s="16"/>
      <c r="F51" s="16"/>
      <c r="G51" s="16">
        <v>271</v>
      </c>
      <c r="H51" s="16"/>
      <c r="I51" s="16">
        <v>322</v>
      </c>
      <c r="J51" s="16"/>
      <c r="K51" s="16"/>
      <c r="L51" s="16">
        <v>335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v>458</v>
      </c>
      <c r="X51" s="16">
        <v>438</v>
      </c>
      <c r="Y51" s="16">
        <v>533</v>
      </c>
      <c r="Z51" s="16">
        <v>556</v>
      </c>
      <c r="AA51" s="16">
        <v>249</v>
      </c>
      <c r="AB51" s="16">
        <v>311</v>
      </c>
      <c r="AC51" s="16">
        <v>326</v>
      </c>
      <c r="AD51" s="16">
        <v>289</v>
      </c>
      <c r="AE51" s="16">
        <v>274</v>
      </c>
      <c r="AF51" s="16">
        <v>324</v>
      </c>
      <c r="AG51" s="16">
        <v>334</v>
      </c>
      <c r="AH51" s="16">
        <v>320</v>
      </c>
      <c r="AI51" s="16">
        <v>390</v>
      </c>
      <c r="AJ51" s="16">
        <v>501</v>
      </c>
      <c r="AK51" s="16">
        <v>668</v>
      </c>
      <c r="AL51" s="16">
        <v>686</v>
      </c>
      <c r="AM51" s="16">
        <v>738</v>
      </c>
      <c r="AN51" s="16">
        <f>799+3</f>
        <v>802</v>
      </c>
      <c r="AO51" s="16">
        <f>862+1</f>
        <v>863</v>
      </c>
      <c r="AP51" s="16">
        <f>6764-5919</f>
        <v>845</v>
      </c>
      <c r="AQ51" s="16">
        <v>778</v>
      </c>
      <c r="AR51" s="16">
        <v>965</v>
      </c>
      <c r="AS51" s="16">
        <v>965</v>
      </c>
      <c r="AT51" s="16">
        <f>+AT50*0.15</f>
        <v>1097.97</v>
      </c>
      <c r="AU51" s="16">
        <f t="shared" ref="AU51:AX51" si="112">+AU50*0.15</f>
        <v>1338.5001749999999</v>
      </c>
      <c r="AV51" s="16">
        <f t="shared" si="112"/>
        <v>1411.94625</v>
      </c>
      <c r="AW51" s="16">
        <f t="shared" si="112"/>
        <v>1405.467975</v>
      </c>
      <c r="AX51" s="16">
        <f t="shared" si="112"/>
        <v>1365.1744499999995</v>
      </c>
      <c r="AY51" s="16"/>
      <c r="AZ51" s="16"/>
      <c r="BA51" s="16"/>
      <c r="BB51" s="16"/>
      <c r="BC51" s="16"/>
      <c r="BD51" s="16"/>
      <c r="BE51" s="16"/>
      <c r="BF51" s="16"/>
      <c r="BG51" s="16"/>
      <c r="BH51" s="16">
        <f t="shared" si="97"/>
        <v>1175</v>
      </c>
      <c r="BI51" s="16">
        <f t="shared" ref="BI51" si="113">SUM(AE51:AH51)</f>
        <v>1252</v>
      </c>
      <c r="BJ51" s="16">
        <f t="shared" ref="BJ51" si="114">SUM(AI51:AL51)</f>
        <v>2245</v>
      </c>
      <c r="BK51" s="16">
        <f t="shared" ref="BK51" si="115">SUM(AM51:AP51)</f>
        <v>3248</v>
      </c>
      <c r="BL51" s="16">
        <f t="shared" ref="BL51" si="116">SUM(AQ51:AT51)</f>
        <v>3805.9700000000003</v>
      </c>
      <c r="BM51" s="16">
        <f>+BM50*0.15</f>
        <v>4432.0824750000002</v>
      </c>
      <c r="BN51" s="16">
        <f t="shared" ref="BN51:BT51" si="117">+BN50*0.15</f>
        <v>4471.4398867499995</v>
      </c>
      <c r="BO51" s="16">
        <f t="shared" si="117"/>
        <v>4620.4708968524992</v>
      </c>
      <c r="BP51" s="16">
        <f t="shared" si="117"/>
        <v>4503.7829735955747</v>
      </c>
      <c r="BQ51" s="16">
        <f t="shared" si="117"/>
        <v>4430.4790092378198</v>
      </c>
      <c r="BR51" s="16">
        <f t="shared" si="117"/>
        <v>4242.0398622656712</v>
      </c>
      <c r="BS51" s="16">
        <f t="shared" si="117"/>
        <v>4190.1554771530837</v>
      </c>
      <c r="BT51" s="16">
        <f t="shared" si="117"/>
        <v>3289.7704488725331</v>
      </c>
    </row>
    <row r="52" spans="2:199" s="15" customFormat="1" x14ac:dyDescent="0.2">
      <c r="B52" s="15" t="s">
        <v>16</v>
      </c>
      <c r="C52" s="16"/>
      <c r="D52" s="16"/>
      <c r="E52" s="16"/>
      <c r="F52" s="16"/>
      <c r="G52" s="16">
        <f>+G50-G51</f>
        <v>968</v>
      </c>
      <c r="H52" s="16"/>
      <c r="I52" s="16">
        <f>+I50-I51</f>
        <v>1184</v>
      </c>
      <c r="J52" s="16"/>
      <c r="K52" s="16"/>
      <c r="L52" s="16">
        <f>+L50-L51</f>
        <v>1335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 t="shared" ref="W52" si="118">+W50-W51</f>
        <v>2073</v>
      </c>
      <c r="X52" s="16">
        <f t="shared" ref="X52:Y52" si="119">+X50-X51</f>
        <v>1986</v>
      </c>
      <c r="Y52" s="16">
        <f t="shared" si="119"/>
        <v>2282</v>
      </c>
      <c r="Z52" s="16">
        <f t="shared" ref="Z52" si="120">+Z50-Z51</f>
        <v>2393</v>
      </c>
      <c r="AA52" s="16">
        <f>+AA50-AA51</f>
        <v>3008</v>
      </c>
      <c r="AB52" s="16">
        <f>+AB50-AB51</f>
        <v>3143</v>
      </c>
      <c r="AC52" s="16">
        <f>+AC50-AC51</f>
        <v>3255</v>
      </c>
      <c r="AD52" s="16">
        <f>+AD50-AD51</f>
        <v>2862</v>
      </c>
      <c r="AE52" s="16">
        <f>+AE50-AE51</f>
        <v>3198</v>
      </c>
      <c r="AF52" s="16">
        <f>+AF50-AF51</f>
        <v>3376</v>
      </c>
      <c r="AG52" s="16">
        <f t="shared" ref="AG52:AH52" si="121">AG50-AG51</f>
        <v>3468</v>
      </c>
      <c r="AH52" s="16">
        <f t="shared" si="121"/>
        <v>3294</v>
      </c>
      <c r="AI52" s="16">
        <f t="shared" ref="AI52:AJ52" si="122">AI50-AI51</f>
        <v>3613</v>
      </c>
      <c r="AJ52" s="16">
        <f t="shared" si="122"/>
        <v>3894</v>
      </c>
      <c r="AK52" s="16">
        <f t="shared" ref="AK52:AQ52" si="123">AK50-AK51</f>
        <v>6236</v>
      </c>
      <c r="AL52" s="16">
        <f t="shared" si="123"/>
        <v>6427</v>
      </c>
      <c r="AM52" s="16">
        <f t="shared" si="123"/>
        <v>5242</v>
      </c>
      <c r="AN52" s="16">
        <f t="shared" si="123"/>
        <v>5536</v>
      </c>
      <c r="AO52" s="16">
        <f t="shared" si="123"/>
        <v>5888</v>
      </c>
      <c r="AP52" s="16">
        <f t="shared" si="123"/>
        <v>5917</v>
      </c>
      <c r="AQ52" s="16">
        <f t="shared" si="123"/>
        <v>5814</v>
      </c>
      <c r="AR52" s="16">
        <f t="shared" ref="AR52:AT52" si="124">AR50-AR51</f>
        <v>6468</v>
      </c>
      <c r="AS52" s="16">
        <f t="shared" si="124"/>
        <v>6607</v>
      </c>
      <c r="AT52" s="16">
        <f t="shared" si="124"/>
        <v>6221.83</v>
      </c>
      <c r="AU52" s="16">
        <f t="shared" ref="AU52:AX52" si="125">AU50-AU51</f>
        <v>7584.8343249999989</v>
      </c>
      <c r="AV52" s="16">
        <f t="shared" si="125"/>
        <v>8001.0287500000004</v>
      </c>
      <c r="AW52" s="16">
        <f t="shared" si="125"/>
        <v>7964.3185250000006</v>
      </c>
      <c r="AX52" s="16">
        <f t="shared" si="125"/>
        <v>7735.9885499999973</v>
      </c>
      <c r="AY52" s="16"/>
      <c r="AZ52" s="16"/>
      <c r="BA52" s="16"/>
      <c r="BB52" s="16"/>
      <c r="BC52" s="16"/>
      <c r="BD52" s="16"/>
      <c r="BE52" s="16"/>
      <c r="BF52" s="16"/>
      <c r="BG52" s="16"/>
      <c r="BH52" s="16">
        <f t="shared" ref="BH52:BJ52" si="126">+BH50-BH51</f>
        <v>12268</v>
      </c>
      <c r="BI52" s="16">
        <f t="shared" si="126"/>
        <v>13336</v>
      </c>
      <c r="BJ52" s="16">
        <f t="shared" si="126"/>
        <v>20170</v>
      </c>
      <c r="BK52" s="16">
        <f>+BK50-BK51</f>
        <v>22583</v>
      </c>
      <c r="BL52" s="16">
        <f>+BL50-BL51</f>
        <v>25110.829999999998</v>
      </c>
      <c r="BM52" s="16">
        <f>+BM50-BM51</f>
        <v>25115.134025000003</v>
      </c>
      <c r="BN52" s="16">
        <f t="shared" ref="BN52:BT52" si="127">+BN50-BN51</f>
        <v>25338.159358249999</v>
      </c>
      <c r="BO52" s="16">
        <f t="shared" si="127"/>
        <v>26182.668415497494</v>
      </c>
      <c r="BP52" s="16">
        <f t="shared" si="127"/>
        <v>25521.436850374925</v>
      </c>
      <c r="BQ52" s="16">
        <f t="shared" si="127"/>
        <v>25106.04771901431</v>
      </c>
      <c r="BR52" s="16">
        <f t="shared" si="127"/>
        <v>24038.225886172135</v>
      </c>
      <c r="BS52" s="16">
        <f t="shared" si="127"/>
        <v>23744.214370534144</v>
      </c>
      <c r="BT52" s="16">
        <f t="shared" si="127"/>
        <v>18642.032543611022</v>
      </c>
      <c r="BU52" s="15">
        <f>BT52*(1+$BW$55)</f>
        <v>18455.612218174912</v>
      </c>
      <c r="BV52" s="15">
        <f t="shared" ref="BV52:EG52" si="128">BU52*(1+$BW$55)</f>
        <v>18271.056095993164</v>
      </c>
      <c r="BW52" s="15">
        <f t="shared" si="128"/>
        <v>18088.345535033233</v>
      </c>
      <c r="BX52" s="15">
        <f t="shared" si="128"/>
        <v>17907.4620796829</v>
      </c>
      <c r="BY52" s="15">
        <f t="shared" si="128"/>
        <v>17728.387458886071</v>
      </c>
      <c r="BZ52" s="15">
        <f t="shared" si="128"/>
        <v>17551.103584297209</v>
      </c>
      <c r="CA52" s="15">
        <f t="shared" si="128"/>
        <v>17375.592548454235</v>
      </c>
      <c r="CB52" s="15">
        <f t="shared" si="128"/>
        <v>17201.836622969691</v>
      </c>
      <c r="CC52" s="15">
        <f t="shared" si="128"/>
        <v>17029.818256739993</v>
      </c>
      <c r="CD52" s="15">
        <f t="shared" si="128"/>
        <v>16859.520074172593</v>
      </c>
      <c r="CE52" s="15">
        <f t="shared" si="128"/>
        <v>16690.924873430868</v>
      </c>
      <c r="CF52" s="15">
        <f t="shared" si="128"/>
        <v>16524.01562469656</v>
      </c>
      <c r="CG52" s="15">
        <f t="shared" si="128"/>
        <v>16358.775468449594</v>
      </c>
      <c r="CH52" s="15">
        <f t="shared" si="128"/>
        <v>16195.187713765097</v>
      </c>
      <c r="CI52" s="15">
        <f t="shared" si="128"/>
        <v>16033.235836627446</v>
      </c>
      <c r="CJ52" s="15">
        <f t="shared" si="128"/>
        <v>15872.903478261171</v>
      </c>
      <c r="CK52" s="15">
        <f t="shared" si="128"/>
        <v>15714.17444347856</v>
      </c>
      <c r="CL52" s="15">
        <f t="shared" si="128"/>
        <v>15557.032699043773</v>
      </c>
      <c r="CM52" s="15">
        <f t="shared" si="128"/>
        <v>15401.462372053336</v>
      </c>
      <c r="CN52" s="15">
        <f t="shared" si="128"/>
        <v>15247.447748332803</v>
      </c>
      <c r="CO52" s="15">
        <f t="shared" si="128"/>
        <v>15094.973270849474</v>
      </c>
      <c r="CP52" s="15">
        <f t="shared" si="128"/>
        <v>14944.023538140978</v>
      </c>
      <c r="CQ52" s="15">
        <f t="shared" si="128"/>
        <v>14794.583302759569</v>
      </c>
      <c r="CR52" s="15">
        <f t="shared" si="128"/>
        <v>14646.637469731973</v>
      </c>
      <c r="CS52" s="15">
        <f t="shared" si="128"/>
        <v>14500.171095034653</v>
      </c>
      <c r="CT52" s="15">
        <f t="shared" si="128"/>
        <v>14355.169384084307</v>
      </c>
      <c r="CU52" s="15">
        <f t="shared" si="128"/>
        <v>14211.617690243464</v>
      </c>
      <c r="CV52" s="15">
        <f t="shared" si="128"/>
        <v>14069.501513341029</v>
      </c>
      <c r="CW52" s="15">
        <f t="shared" si="128"/>
        <v>13928.806498207618</v>
      </c>
      <c r="CX52" s="15">
        <f t="shared" si="128"/>
        <v>13789.518433225541</v>
      </c>
      <c r="CY52" s="15">
        <f t="shared" si="128"/>
        <v>13651.623248893286</v>
      </c>
      <c r="CZ52" s="15">
        <f t="shared" si="128"/>
        <v>13515.107016404352</v>
      </c>
      <c r="DA52" s="15">
        <f t="shared" si="128"/>
        <v>13379.955946240309</v>
      </c>
      <c r="DB52" s="15">
        <f t="shared" si="128"/>
        <v>13246.156386777906</v>
      </c>
      <c r="DC52" s="15">
        <f t="shared" si="128"/>
        <v>13113.694822910127</v>
      </c>
      <c r="DD52" s="15">
        <f t="shared" si="128"/>
        <v>12982.557874681026</v>
      </c>
      <c r="DE52" s="15">
        <f t="shared" si="128"/>
        <v>12852.732295934216</v>
      </c>
      <c r="DF52" s="15">
        <f t="shared" si="128"/>
        <v>12724.204972974874</v>
      </c>
      <c r="DG52" s="15">
        <f t="shared" si="128"/>
        <v>12596.962923245126</v>
      </c>
      <c r="DH52" s="15">
        <f t="shared" si="128"/>
        <v>12470.993294012675</v>
      </c>
      <c r="DI52" s="15">
        <f t="shared" si="128"/>
        <v>12346.283361072548</v>
      </c>
      <c r="DJ52" s="15">
        <f t="shared" si="128"/>
        <v>12222.820527461823</v>
      </c>
      <c r="DK52" s="15">
        <f t="shared" si="128"/>
        <v>12100.592322187205</v>
      </c>
      <c r="DL52" s="15">
        <f t="shared" si="128"/>
        <v>11979.586398965334</v>
      </c>
      <c r="DM52" s="15">
        <f t="shared" si="128"/>
        <v>11859.79053497568</v>
      </c>
      <c r="DN52" s="15">
        <f t="shared" si="128"/>
        <v>11741.192629625923</v>
      </c>
      <c r="DO52" s="15">
        <f t="shared" si="128"/>
        <v>11623.780703329663</v>
      </c>
      <c r="DP52" s="15">
        <f t="shared" si="128"/>
        <v>11507.542896296367</v>
      </c>
      <c r="DQ52" s="15">
        <f t="shared" si="128"/>
        <v>11392.467467333403</v>
      </c>
      <c r="DR52" s="15">
        <f t="shared" si="128"/>
        <v>11278.54279266007</v>
      </c>
      <c r="DS52" s="15">
        <f t="shared" si="128"/>
        <v>11165.757364733468</v>
      </c>
      <c r="DT52" s="15">
        <f t="shared" si="128"/>
        <v>11054.099791086133</v>
      </c>
      <c r="DU52" s="15">
        <f t="shared" si="128"/>
        <v>10943.558793175273</v>
      </c>
      <c r="DV52" s="15">
        <f t="shared" si="128"/>
        <v>10834.123205243519</v>
      </c>
      <c r="DW52" s="15">
        <f t="shared" si="128"/>
        <v>10725.781973191084</v>
      </c>
      <c r="DX52" s="15">
        <f t="shared" si="128"/>
        <v>10618.524153459173</v>
      </c>
      <c r="DY52" s="15">
        <f t="shared" si="128"/>
        <v>10512.338911924582</v>
      </c>
      <c r="DZ52" s="15">
        <f t="shared" si="128"/>
        <v>10407.215522805336</v>
      </c>
      <c r="EA52" s="15">
        <f t="shared" si="128"/>
        <v>10303.143367577282</v>
      </c>
      <c r="EB52" s="15">
        <f t="shared" si="128"/>
        <v>10200.111933901509</v>
      </c>
      <c r="EC52" s="15">
        <f t="shared" si="128"/>
        <v>10098.110814562495</v>
      </c>
      <c r="ED52" s="15">
        <f t="shared" si="128"/>
        <v>9997.1297064168702</v>
      </c>
      <c r="EE52" s="15">
        <f t="shared" si="128"/>
        <v>9897.1584093527017</v>
      </c>
      <c r="EF52" s="15">
        <f t="shared" si="128"/>
        <v>9798.1868252591739</v>
      </c>
      <c r="EG52" s="15">
        <f t="shared" si="128"/>
        <v>9700.2049570065828</v>
      </c>
      <c r="EH52" s="15">
        <f t="shared" ref="EH52:GQ52" si="129">EG52*(1+$BW$55)</f>
        <v>9603.2029074365164</v>
      </c>
      <c r="EI52" s="15">
        <f t="shared" si="129"/>
        <v>9507.1708783621507</v>
      </c>
      <c r="EJ52" s="15">
        <f t="shared" si="129"/>
        <v>9412.0991695785287</v>
      </c>
      <c r="EK52" s="15">
        <f t="shared" si="129"/>
        <v>9317.9781778827437</v>
      </c>
      <c r="EL52" s="15">
        <f t="shared" si="129"/>
        <v>9224.7983961039154</v>
      </c>
      <c r="EM52" s="15">
        <f t="shared" si="129"/>
        <v>9132.5504121428767</v>
      </c>
      <c r="EN52" s="15">
        <f t="shared" si="129"/>
        <v>9041.2249080214478</v>
      </c>
      <c r="EO52" s="15">
        <f t="shared" si="129"/>
        <v>8950.8126589412332</v>
      </c>
      <c r="EP52" s="15">
        <f t="shared" si="129"/>
        <v>8861.3045323518199</v>
      </c>
      <c r="EQ52" s="15">
        <f t="shared" si="129"/>
        <v>8772.6914870283017</v>
      </c>
      <c r="ER52" s="15">
        <f t="shared" si="129"/>
        <v>8684.9645721580182</v>
      </c>
      <c r="ES52" s="15">
        <f t="shared" si="129"/>
        <v>8598.1149264364376</v>
      </c>
      <c r="ET52" s="15">
        <f t="shared" si="129"/>
        <v>8512.1337771720737</v>
      </c>
      <c r="EU52" s="15">
        <f t="shared" si="129"/>
        <v>8427.0124394003524</v>
      </c>
      <c r="EV52" s="15">
        <f t="shared" si="129"/>
        <v>8342.7423150063496</v>
      </c>
      <c r="EW52" s="15">
        <f t="shared" si="129"/>
        <v>8259.3148918562856</v>
      </c>
      <c r="EX52" s="15">
        <f t="shared" si="129"/>
        <v>8176.7217429377224</v>
      </c>
      <c r="EY52" s="15">
        <f t="shared" si="129"/>
        <v>8094.9545255083449</v>
      </c>
      <c r="EZ52" s="15">
        <f t="shared" si="129"/>
        <v>8014.0049802532612</v>
      </c>
      <c r="FA52" s="15">
        <f t="shared" si="129"/>
        <v>7933.8649304507289</v>
      </c>
      <c r="FB52" s="15">
        <f t="shared" si="129"/>
        <v>7854.5262811462217</v>
      </c>
      <c r="FC52" s="15">
        <f t="shared" si="129"/>
        <v>7775.981018334759</v>
      </c>
      <c r="FD52" s="15">
        <f t="shared" si="129"/>
        <v>7698.2212081514117</v>
      </c>
      <c r="FE52" s="15">
        <f t="shared" si="129"/>
        <v>7621.2389960698974</v>
      </c>
      <c r="FF52" s="15">
        <f t="shared" si="129"/>
        <v>7545.0266061091988</v>
      </c>
      <c r="FG52" s="15">
        <f t="shared" si="129"/>
        <v>7469.5763400481064</v>
      </c>
      <c r="FH52" s="15">
        <f t="shared" si="129"/>
        <v>7394.8805766476253</v>
      </c>
      <c r="FI52" s="15">
        <f t="shared" si="129"/>
        <v>7320.9317708811486</v>
      </c>
      <c r="FJ52" s="15">
        <f t="shared" si="129"/>
        <v>7247.7224531723368</v>
      </c>
      <c r="FK52" s="15">
        <f t="shared" si="129"/>
        <v>7175.2452286406133</v>
      </c>
      <c r="FL52" s="15">
        <f t="shared" si="129"/>
        <v>7103.4927763542073</v>
      </c>
      <c r="FM52" s="15">
        <f t="shared" si="129"/>
        <v>7032.457848590665</v>
      </c>
      <c r="FN52" s="15">
        <f t="shared" si="129"/>
        <v>6962.1332701047586</v>
      </c>
      <c r="FO52" s="15">
        <f t="shared" si="129"/>
        <v>6892.5119374037113</v>
      </c>
      <c r="FP52" s="15">
        <f t="shared" si="129"/>
        <v>6823.5868180296739</v>
      </c>
      <c r="FQ52" s="15">
        <f t="shared" si="129"/>
        <v>6755.3509498493768</v>
      </c>
      <c r="FR52" s="15">
        <f t="shared" si="129"/>
        <v>6687.7974403508833</v>
      </c>
      <c r="FS52" s="15">
        <f t="shared" si="129"/>
        <v>6620.9194659473742</v>
      </c>
      <c r="FT52" s="15">
        <f t="shared" si="129"/>
        <v>6554.7102712879005</v>
      </c>
      <c r="FU52" s="15">
        <f t="shared" si="129"/>
        <v>6489.1631685750217</v>
      </c>
      <c r="FV52" s="15">
        <f t="shared" si="129"/>
        <v>6424.2715368892714</v>
      </c>
      <c r="FW52" s="15">
        <f t="shared" si="129"/>
        <v>6360.0288215203782</v>
      </c>
      <c r="FX52" s="15">
        <f t="shared" si="129"/>
        <v>6296.4285333051739</v>
      </c>
      <c r="FY52" s="15">
        <f t="shared" si="129"/>
        <v>6233.4642479721224</v>
      </c>
      <c r="FZ52" s="15">
        <f t="shared" si="129"/>
        <v>6171.1296054924014</v>
      </c>
      <c r="GA52" s="15">
        <f t="shared" si="129"/>
        <v>6109.4183094374775</v>
      </c>
      <c r="GB52" s="15">
        <f t="shared" si="129"/>
        <v>6048.3241263431028</v>
      </c>
      <c r="GC52" s="15">
        <f t="shared" si="129"/>
        <v>5987.8408850796714</v>
      </c>
      <c r="GD52" s="15">
        <f t="shared" si="129"/>
        <v>5927.9624762288749</v>
      </c>
      <c r="GE52" s="15">
        <f t="shared" si="129"/>
        <v>5868.6828514665858</v>
      </c>
      <c r="GF52" s="15">
        <f t="shared" si="129"/>
        <v>5809.9960229519202</v>
      </c>
      <c r="GG52" s="15">
        <f t="shared" si="129"/>
        <v>5751.8960627224005</v>
      </c>
      <c r="GH52" s="15">
        <f t="shared" si="129"/>
        <v>5694.3771020951763</v>
      </c>
      <c r="GI52" s="15">
        <f t="shared" si="129"/>
        <v>5637.433331074224</v>
      </c>
      <c r="GJ52" s="15">
        <f t="shared" si="129"/>
        <v>5581.0589977634818</v>
      </c>
      <c r="GK52" s="15">
        <f t="shared" si="129"/>
        <v>5525.2484077858471</v>
      </c>
      <c r="GL52" s="15">
        <f t="shared" si="129"/>
        <v>5469.9959237079884</v>
      </c>
      <c r="GM52" s="15">
        <f t="shared" si="129"/>
        <v>5415.2959644709081</v>
      </c>
      <c r="GN52" s="15">
        <f t="shared" si="129"/>
        <v>5361.1430048261991</v>
      </c>
      <c r="GO52" s="15">
        <f t="shared" si="129"/>
        <v>5307.5315747779368</v>
      </c>
      <c r="GP52" s="15">
        <f t="shared" si="129"/>
        <v>5254.4562590301575</v>
      </c>
      <c r="GQ52" s="15">
        <f t="shared" si="129"/>
        <v>5201.9116964398563</v>
      </c>
    </row>
    <row r="53" spans="2:199" s="14" customFormat="1" x14ac:dyDescent="0.2">
      <c r="B53" s="14" t="s">
        <v>15</v>
      </c>
      <c r="C53" s="3"/>
      <c r="D53" s="3"/>
      <c r="E53" s="3"/>
      <c r="F53" s="3"/>
      <c r="G53" s="3">
        <f>G52/G54</f>
        <v>0.60311526479750777</v>
      </c>
      <c r="H53" s="3"/>
      <c r="I53" s="3">
        <f>I52/I54</f>
        <v>0.74465408805031441</v>
      </c>
      <c r="J53" s="3"/>
      <c r="K53" s="3"/>
      <c r="L53" s="3">
        <f>L52/L54</f>
        <v>0.83022388059701491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f t="shared" ref="W53:X53" si="130">W52/W54</f>
        <v>1.2932002495321273</v>
      </c>
      <c r="X53" s="3">
        <f t="shared" si="130"/>
        <v>1.24125</v>
      </c>
      <c r="Y53" s="3">
        <f t="shared" ref="Y53:Z53" si="131">Y52/Y54</f>
        <v>1.4235807860262009</v>
      </c>
      <c r="Z53" s="3">
        <f t="shared" ref="Z53:AA53" si="132">Z52/Z54</f>
        <v>1.4937578027465668</v>
      </c>
      <c r="AA53" s="3">
        <f t="shared" si="132"/>
        <v>1.8847117794486214</v>
      </c>
      <c r="AB53" s="3">
        <f t="shared" ref="AB53:AC53" si="133">AB52/AB54</f>
        <v>1.9993638676844783</v>
      </c>
      <c r="AC53" s="3">
        <f t="shared" si="133"/>
        <v>2.1485148514851486</v>
      </c>
      <c r="AD53" s="3">
        <f t="shared" ref="AD53:AH53" si="134">AD52/AD54</f>
        <v>1.9067288474350432</v>
      </c>
      <c r="AE53" s="3">
        <f t="shared" si="134"/>
        <v>2.1564396493594065</v>
      </c>
      <c r="AF53" s="3">
        <f t="shared" si="134"/>
        <v>2.2749326145552562</v>
      </c>
      <c r="AG53" s="3">
        <f t="shared" ref="AG53" si="135">AG52/AG54</f>
        <v>2.3385030343897504</v>
      </c>
      <c r="AH53" s="3">
        <f t="shared" si="134"/>
        <v>2.2181818181818183</v>
      </c>
      <c r="AI53" s="3">
        <f t="shared" ref="AI53:AJ53" si="136">AI52/AI54</f>
        <v>2.4346361185983829</v>
      </c>
      <c r="AJ53" s="3">
        <f t="shared" si="136"/>
        <v>2.3642987249544625</v>
      </c>
      <c r="AK53" s="3">
        <f t="shared" ref="AK53:AQ53" si="137">AK52/AK54</f>
        <v>3.5152198421645999</v>
      </c>
      <c r="AL53" s="3">
        <f t="shared" si="137"/>
        <v>3.6188063063063063</v>
      </c>
      <c r="AM53" s="3">
        <f t="shared" si="137"/>
        <v>2.9532394366197181</v>
      </c>
      <c r="AN53" s="3">
        <f t="shared" si="137"/>
        <v>3.1171171171171173</v>
      </c>
      <c r="AO53" s="3">
        <f t="shared" si="137"/>
        <v>3.3134496342149689</v>
      </c>
      <c r="AP53" s="3">
        <f t="shared" si="137"/>
        <v>3.3278965129358831</v>
      </c>
      <c r="AQ53" s="3">
        <f t="shared" si="137"/>
        <v>3.2699662542182226</v>
      </c>
      <c r="AR53" s="3">
        <f t="shared" ref="AR53:AT53" si="138">AR52/AR54</f>
        <v>3.6418918918918921</v>
      </c>
      <c r="AS53" s="3">
        <f t="shared" si="138"/>
        <v>3.7201576576576576</v>
      </c>
      <c r="AT53" s="3">
        <f t="shared" si="138"/>
        <v>3.5032826576576577</v>
      </c>
      <c r="AU53" s="3">
        <f t="shared" ref="AU53:AX53" si="139">AU52/AU54</f>
        <v>4.2707400478603601</v>
      </c>
      <c r="AV53" s="3">
        <f t="shared" si="139"/>
        <v>4.5050837556306309</v>
      </c>
      <c r="AW53" s="3">
        <f t="shared" si="139"/>
        <v>4.484413583896397</v>
      </c>
      <c r="AX53" s="3">
        <f t="shared" si="139"/>
        <v>4.355849408783782</v>
      </c>
      <c r="AY53" s="3"/>
      <c r="AZ53" s="3"/>
      <c r="BA53" s="3"/>
      <c r="BB53" s="3"/>
      <c r="BC53" s="3"/>
      <c r="BD53" s="3"/>
      <c r="BE53" s="3"/>
      <c r="BF53" s="3"/>
      <c r="BG53" s="3"/>
      <c r="BH53" s="3">
        <f t="shared" ref="BH53:BJ53" si="140">+BH52/BH54</f>
        <v>7.9353169469598965</v>
      </c>
      <c r="BI53" s="3">
        <f t="shared" si="140"/>
        <v>8.9880370682392581</v>
      </c>
      <c r="BJ53" s="3">
        <f t="shared" si="140"/>
        <v>12.076036521478821</v>
      </c>
      <c r="BK53" s="3">
        <f>+BK52/BK54</f>
        <v>12.712074303405572</v>
      </c>
      <c r="BL53" s="3">
        <f>+BL52/BL54</f>
        <v>14.135001407261468</v>
      </c>
      <c r="BM53" s="3">
        <f>+BM52/BM54</f>
        <v>14.137424162679428</v>
      </c>
      <c r="BN53" s="3">
        <f t="shared" ref="BN53:BT53" si="141">+BN52/BN54</f>
        <v>14.262966145933014</v>
      </c>
      <c r="BO53" s="3">
        <f t="shared" si="141"/>
        <v>14.738344168588513</v>
      </c>
      <c r="BP53" s="3">
        <f t="shared" si="141"/>
        <v>14.366133887067225</v>
      </c>
      <c r="BQ53" s="3">
        <f t="shared" si="141"/>
        <v>14.132309439355087</v>
      </c>
      <c r="BR53" s="3">
        <f t="shared" si="141"/>
        <v>13.531227630831486</v>
      </c>
      <c r="BS53" s="3">
        <f t="shared" si="141"/>
        <v>13.365727199850349</v>
      </c>
      <c r="BT53" s="3">
        <f t="shared" si="141"/>
        <v>10.493685642336629</v>
      </c>
    </row>
    <row r="54" spans="2:199" s="15" customFormat="1" x14ac:dyDescent="0.2">
      <c r="B54" s="15" t="s">
        <v>14</v>
      </c>
      <c r="C54" s="16"/>
      <c r="D54" s="16"/>
      <c r="E54" s="16"/>
      <c r="F54" s="16"/>
      <c r="G54" s="16">
        <v>1605</v>
      </c>
      <c r="H54" s="16"/>
      <c r="I54" s="16">
        <v>1590</v>
      </c>
      <c r="J54" s="16"/>
      <c r="K54" s="16"/>
      <c r="L54" s="16">
        <v>1608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1603</v>
      </c>
      <c r="X54" s="16">
        <v>1600</v>
      </c>
      <c r="Y54" s="16">
        <v>1603</v>
      </c>
      <c r="Z54" s="16">
        <v>1602</v>
      </c>
      <c r="AA54" s="16">
        <v>1596</v>
      </c>
      <c r="AB54" s="16">
        <v>1572</v>
      </c>
      <c r="AC54" s="16">
        <v>1515</v>
      </c>
      <c r="AD54" s="16">
        <v>1501</v>
      </c>
      <c r="AE54" s="16">
        <v>1483</v>
      </c>
      <c r="AF54" s="16">
        <v>1484</v>
      </c>
      <c r="AG54" s="16">
        <v>1483</v>
      </c>
      <c r="AH54" s="16">
        <v>1485</v>
      </c>
      <c r="AI54" s="16">
        <v>1484</v>
      </c>
      <c r="AJ54" s="16">
        <v>1647</v>
      </c>
      <c r="AK54" s="16">
        <v>1774</v>
      </c>
      <c r="AL54" s="16">
        <v>1776</v>
      </c>
      <c r="AM54" s="16">
        <v>1775</v>
      </c>
      <c r="AN54" s="16">
        <v>1776</v>
      </c>
      <c r="AO54" s="16">
        <v>1777</v>
      </c>
      <c r="AP54" s="16">
        <v>1778</v>
      </c>
      <c r="AQ54" s="16">
        <v>1778</v>
      </c>
      <c r="AR54" s="16">
        <v>1776</v>
      </c>
      <c r="AS54" s="16">
        <v>1776</v>
      </c>
      <c r="AT54" s="16">
        <f>+AS54</f>
        <v>1776</v>
      </c>
      <c r="AU54" s="16">
        <f t="shared" ref="AU54:AX54" si="142">+AT54</f>
        <v>1776</v>
      </c>
      <c r="AV54" s="16">
        <f t="shared" si="142"/>
        <v>1776</v>
      </c>
      <c r="AW54" s="16">
        <f t="shared" si="142"/>
        <v>1776</v>
      </c>
      <c r="AX54" s="16">
        <f t="shared" si="142"/>
        <v>1776</v>
      </c>
      <c r="AY54" s="16"/>
      <c r="AZ54" s="16"/>
      <c r="BA54" s="16"/>
      <c r="BB54" s="16"/>
      <c r="BC54" s="16"/>
      <c r="BD54" s="16"/>
      <c r="BE54" s="16"/>
      <c r="BF54" s="16"/>
      <c r="BG54" s="16"/>
      <c r="BH54" s="16">
        <f>AVERAGE(AA54:AD54)</f>
        <v>1546</v>
      </c>
      <c r="BI54" s="16">
        <f>AVERAGE(AE54:AH54)</f>
        <v>1483.75</v>
      </c>
      <c r="BJ54" s="16">
        <f>AVERAGE(AI54:AL54)</f>
        <v>1670.25</v>
      </c>
      <c r="BK54" s="16">
        <f>AVERAGE(AM54:AP54)</f>
        <v>1776.5</v>
      </c>
      <c r="BL54" s="16">
        <f>AVERAGE(AQ54:AT54)</f>
        <v>1776.5</v>
      </c>
      <c r="BM54" s="16">
        <f>BL54</f>
        <v>1776.5</v>
      </c>
      <c r="BN54" s="16">
        <f t="shared" ref="BN54:BT54" si="143">BM54</f>
        <v>1776.5</v>
      </c>
      <c r="BO54" s="16">
        <f t="shared" si="143"/>
        <v>1776.5</v>
      </c>
      <c r="BP54" s="16">
        <f t="shared" si="143"/>
        <v>1776.5</v>
      </c>
      <c r="BQ54" s="16">
        <f t="shared" si="143"/>
        <v>1776.5</v>
      </c>
      <c r="BR54" s="16">
        <f t="shared" si="143"/>
        <v>1776.5</v>
      </c>
      <c r="BS54" s="16">
        <f t="shared" si="143"/>
        <v>1776.5</v>
      </c>
      <c r="BT54" s="16">
        <f t="shared" si="143"/>
        <v>1776.5</v>
      </c>
      <c r="BV54" s="48" t="s">
        <v>258</v>
      </c>
      <c r="BW54" s="29">
        <v>0.06</v>
      </c>
    </row>
    <row r="55" spans="2:199" x14ac:dyDescent="0.2">
      <c r="BV55" s="45" t="s">
        <v>259</v>
      </c>
      <c r="BW55" s="29">
        <v>-0.01</v>
      </c>
    </row>
    <row r="56" spans="2:199" s="32" customFormat="1" x14ac:dyDescent="0.2">
      <c r="B56" s="32" t="s">
        <v>161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>
        <f t="shared" ref="AA56:AK56" si="144">+AA42/W42-1</f>
        <v>0.21352095442031205</v>
      </c>
      <c r="AB56" s="33">
        <f t="shared" si="144"/>
        <v>0.18922811059907829</v>
      </c>
      <c r="AC56" s="33">
        <f t="shared" si="144"/>
        <v>0.1774124374553252</v>
      </c>
      <c r="AD56" s="33">
        <f t="shared" si="144"/>
        <v>7.3136064090967734E-2</v>
      </c>
      <c r="AE56" s="33">
        <f t="shared" si="144"/>
        <v>-1.3360221830098329E-2</v>
      </c>
      <c r="AF56" s="33">
        <f t="shared" si="144"/>
        <v>-3.6328408815688995E-4</v>
      </c>
      <c r="AG56" s="33">
        <f t="shared" si="144"/>
        <v>2.9504613890237952E-2</v>
      </c>
      <c r="AH56" s="33">
        <f t="shared" si="144"/>
        <v>4.8043347381095725E-2</v>
      </c>
      <c r="AI56" s="33">
        <f t="shared" si="144"/>
        <v>0.10104752171691356</v>
      </c>
      <c r="AJ56" s="33">
        <f t="shared" si="144"/>
        <v>0.26287098728043601</v>
      </c>
      <c r="AK56" s="33">
        <f t="shared" si="144"/>
        <v>0.51928293430829098</v>
      </c>
      <c r="AL56" s="33">
        <f t="shared" ref="AL56:AP56" si="145">+AL42/AH42-1</f>
        <v>0.59214154411764697</v>
      </c>
      <c r="AM56" s="33">
        <f t="shared" si="145"/>
        <v>0.50075414781297134</v>
      </c>
      <c r="AN56" s="33">
        <f t="shared" si="145"/>
        <v>0.3389928057553957</v>
      </c>
      <c r="AO56" s="33">
        <f t="shared" si="145"/>
        <v>0.11333643844123586</v>
      </c>
      <c r="AP56" s="33">
        <f t="shared" si="145"/>
        <v>7.4180978496175554E-2</v>
      </c>
      <c r="AQ56" s="33">
        <f>+AQ42/AM42-1</f>
        <v>4.6617703904135999E-2</v>
      </c>
      <c r="AR56" s="33">
        <f t="shared" ref="AR56" si="146">+AR42/AN42-1</f>
        <v>4.4702342574683085E-2</v>
      </c>
      <c r="AS56" s="33">
        <f>+AS42/AO42-1</f>
        <v>3.2770882722074957E-2</v>
      </c>
      <c r="AT56" s="33">
        <f t="shared" ref="AT56" si="147">+AT42/AP42-1</f>
        <v>1.5786645169958424E-2</v>
      </c>
      <c r="AU56" s="33">
        <f t="shared" ref="AU56" si="148">+AU42/AQ42-1</f>
        <v>1.0900428423696207E-2</v>
      </c>
      <c r="AV56" s="33">
        <f t="shared" ref="AV56" si="149">+AV42/AR42-1</f>
        <v>-3.8743742714119067E-3</v>
      </c>
      <c r="AW56" s="33">
        <f t="shared" ref="AW56" si="150">+AW42/AS42-1</f>
        <v>-2.2705238995409105E-2</v>
      </c>
      <c r="AX56" s="33">
        <f t="shared" ref="AX56" si="151">+AX42/AT42-1</f>
        <v>-4.5018847959791164E-2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>
        <f>+BI42/BH42-1</f>
        <v>1.6283261540341654E-2</v>
      </c>
      <c r="BJ56" s="33">
        <f>+BJ42/BI42-1</f>
        <v>0.37630012625503517</v>
      </c>
      <c r="BK56" s="33">
        <f>+BK42/BJ42-1</f>
        <v>0.22579940590599334</v>
      </c>
      <c r="BL56" s="33">
        <f>+BL42/BK42-1</f>
        <v>3.4425002672748617E-2</v>
      </c>
      <c r="BM56" s="33">
        <f t="shared" ref="BM56:BT56" si="152">+BM42/BL42-1</f>
        <v>-0.18380456127054112</v>
      </c>
      <c r="BN56" s="33">
        <f t="shared" si="152"/>
        <v>-1.2213705176560286E-3</v>
      </c>
      <c r="BO56" s="33">
        <f t="shared" si="152"/>
        <v>2.2545644061816139E-2</v>
      </c>
      <c r="BP56" s="33">
        <f t="shared" si="152"/>
        <v>-3.4268469698250037E-2</v>
      </c>
      <c r="BQ56" s="33">
        <f t="shared" si="152"/>
        <v>-2.5963307382593781E-2</v>
      </c>
      <c r="BR56" s="33">
        <f t="shared" si="152"/>
        <v>-5.2596771515776464E-2</v>
      </c>
      <c r="BS56" s="33">
        <f t="shared" si="152"/>
        <v>-2.3041159303599068E-2</v>
      </c>
      <c r="BT56" s="33">
        <f t="shared" si="152"/>
        <v>-0.23013516907338216</v>
      </c>
      <c r="BV56" s="51" t="s">
        <v>261</v>
      </c>
      <c r="BW56" s="33" t="s">
        <v>213</v>
      </c>
    </row>
    <row r="57" spans="2:199" s="32" customFormat="1" x14ac:dyDescent="0.2">
      <c r="B57" s="32" t="s">
        <v>266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>
        <v>0.17599999999999999</v>
      </c>
      <c r="AB57" s="33">
        <v>0.17100000000000001</v>
      </c>
      <c r="AC57" s="33">
        <v>0.185</v>
      </c>
      <c r="AD57" s="33">
        <v>8.3000000000000004E-2</v>
      </c>
      <c r="AE57" s="33">
        <v>4.0000000000000001E-3</v>
      </c>
      <c r="AF57" s="33">
        <v>1.4999999999999999E-2</v>
      </c>
      <c r="AG57" s="33"/>
      <c r="AH57" s="33"/>
      <c r="AI57" s="33"/>
      <c r="AJ57" s="33"/>
      <c r="AK57" s="33"/>
      <c r="AL57" s="33"/>
      <c r="AM57" s="33"/>
      <c r="AN57" s="33"/>
      <c r="AO57" s="33"/>
      <c r="AP57" s="33">
        <v>7.3999999999999996E-2</v>
      </c>
      <c r="AQ57" s="33">
        <v>5.3999999999999999E-2</v>
      </c>
      <c r="AR57" s="33">
        <v>6.0999999999999999E-2</v>
      </c>
      <c r="AS57" s="33">
        <v>5.3999999999999999E-2</v>
      </c>
      <c r="AT57" s="33">
        <v>3.7999999999999999E-2</v>
      </c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V57" s="51"/>
      <c r="BW57" s="33"/>
    </row>
    <row r="58" spans="2:199" s="29" customFormat="1" x14ac:dyDescent="0.2">
      <c r="B58" s="31" t="s">
        <v>160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>
        <f t="shared" ref="AE58" si="153">+AE5/AA5-1</f>
        <v>-5.5850499044383106E-2</v>
      </c>
      <c r="AF58" s="30">
        <f t="shared" ref="AE58:AK58" si="154">+AF5/AB5-1</f>
        <v>-6.0752169720347138E-2</v>
      </c>
      <c r="AG58" s="30">
        <f t="shared" si="154"/>
        <v>-3.669008587041378E-2</v>
      </c>
      <c r="AH58" s="30">
        <f t="shared" si="154"/>
        <v>-2.0333468889788264E-4</v>
      </c>
      <c r="AI58" s="30">
        <f t="shared" si="154"/>
        <v>5.7804768331084055E-2</v>
      </c>
      <c r="AJ58" s="30">
        <f t="shared" si="154"/>
        <v>-6.7761806981520012E-3</v>
      </c>
      <c r="AK58" s="30">
        <f t="shared" si="154"/>
        <v>4.1329011345218714E-2</v>
      </c>
      <c r="AL58" s="30">
        <f t="shared" ref="AL58:AT58" si="155">+AL5/AH5-1</f>
        <v>4.7793369941020902E-2</v>
      </c>
      <c r="AM58" s="30">
        <f t="shared" si="155"/>
        <v>3.4871358707208255E-2</v>
      </c>
      <c r="AN58" s="30">
        <f t="shared" si="155"/>
        <v>4.7756874095513657E-2</v>
      </c>
      <c r="AO58" s="30">
        <f t="shared" si="155"/>
        <v>5.5447470817120648E-2</v>
      </c>
      <c r="AP58" s="30">
        <f t="shared" si="155"/>
        <v>3.5326086956521729E-2</v>
      </c>
      <c r="AQ58" s="30">
        <f t="shared" si="155"/>
        <v>-2.6915964659954827E-2</v>
      </c>
      <c r="AR58" s="30">
        <f t="shared" si="155"/>
        <v>5.8208366219415941E-2</v>
      </c>
      <c r="AS58" s="30">
        <f>+AS5/AO5-1</f>
        <v>2.4700460829493176E-2</v>
      </c>
      <c r="AT58" s="30">
        <f>+AT5/AP5-1</f>
        <v>4.5931758530183719E-2</v>
      </c>
      <c r="AU58" s="30">
        <f t="shared" ref="AU58" si="156">+AU5/AQ5-1</f>
        <v>-5.0000000000000044E-2</v>
      </c>
      <c r="AV58" s="30">
        <f t="shared" ref="AV58" si="157">+AV5/AR5-1</f>
        <v>-0.10000000000000009</v>
      </c>
      <c r="AW58" s="30">
        <f t="shared" ref="AW58" si="158">+AW5/AS5-1</f>
        <v>-0.15000000000000002</v>
      </c>
      <c r="AX58" s="30">
        <f t="shared" ref="AX58" si="159">+AX5/AT5-1</f>
        <v>-0.20000000000000007</v>
      </c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>
        <f>+BI5/BH5-1</f>
        <v>-3.8473113964687E-2</v>
      </c>
      <c r="BJ58" s="30">
        <f>+BJ5/BI5-1</f>
        <v>3.4587093745109376E-2</v>
      </c>
      <c r="BK58" s="30">
        <f t="shared" ref="BK58:BT58" si="160">+BK5/BJ5-1</f>
        <v>4.3465106897942807E-2</v>
      </c>
      <c r="BL58" s="30">
        <f t="shared" si="160"/>
        <v>2.623948970716139E-2</v>
      </c>
      <c r="BM58" s="30">
        <f t="shared" si="160"/>
        <v>-0.5</v>
      </c>
      <c r="BN58" s="30">
        <f t="shared" si="160"/>
        <v>-0.10000000000000009</v>
      </c>
      <c r="BO58" s="30">
        <f t="shared" si="160"/>
        <v>-9.9999999999999867E-2</v>
      </c>
      <c r="BP58" s="30">
        <f t="shared" si="160"/>
        <v>-0.19999999999999996</v>
      </c>
      <c r="BQ58" s="30">
        <f t="shared" si="160"/>
        <v>-0.19999999999999996</v>
      </c>
      <c r="BR58" s="30">
        <f t="shared" si="160"/>
        <v>-0.5</v>
      </c>
      <c r="BS58" s="30">
        <f t="shared" si="160"/>
        <v>-0.5</v>
      </c>
      <c r="BT58" s="30">
        <f t="shared" si="160"/>
        <v>-0.5</v>
      </c>
      <c r="BV58" s="32" t="s">
        <v>260</v>
      </c>
      <c r="BW58" s="17">
        <f>NPV(BW54,BM52:GQ52)+Main!K5-Main!K6</f>
        <v>259535.50373653159</v>
      </c>
    </row>
    <row r="59" spans="2:199" s="29" customFormat="1" x14ac:dyDescent="0.2">
      <c r="B59" s="31" t="s">
        <v>162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>
        <f t="shared" ref="AE59" si="161">+AE7/AA7-1</f>
        <v>0.34120734908136474</v>
      </c>
      <c r="AF59" s="30">
        <f t="shared" ref="AF59:AK59" si="162">+AF7/AB7-1</f>
        <v>0.29294117647058826</v>
      </c>
      <c r="AG59" s="30">
        <f t="shared" si="162"/>
        <v>0.29320987654320985</v>
      </c>
      <c r="AH59" s="30">
        <f t="shared" si="162"/>
        <v>0.28827037773359843</v>
      </c>
      <c r="AI59" s="30">
        <f t="shared" si="162"/>
        <v>0.20547945205479445</v>
      </c>
      <c r="AJ59" s="30">
        <f t="shared" si="162"/>
        <v>0.17197452229299359</v>
      </c>
      <c r="AK59" s="30">
        <f t="shared" si="162"/>
        <v>8.9896579156722334E-2</v>
      </c>
      <c r="AL59" s="30">
        <f t="shared" ref="AL59:AT60" si="163">+AL7/AH7-1</f>
        <v>9.8765432098765427E-2</v>
      </c>
      <c r="AM59" s="30">
        <f t="shared" si="163"/>
        <v>2.9220779220779258E-2</v>
      </c>
      <c r="AN59" s="30">
        <f t="shared" si="163"/>
        <v>7.2204968944099335E-2</v>
      </c>
      <c r="AO59" s="30">
        <f t="shared" si="163"/>
        <v>2.9197080291971655E-3</v>
      </c>
      <c r="AP59" s="30">
        <f t="shared" si="163"/>
        <v>-2.73876404494382E-2</v>
      </c>
      <c r="AQ59" s="30">
        <f t="shared" si="163"/>
        <v>-7.4921135646687675E-2</v>
      </c>
      <c r="AR59" s="30">
        <f t="shared" si="163"/>
        <v>-0.17089065894279509</v>
      </c>
      <c r="AS59" s="30">
        <f>+AS7/AO7-1</f>
        <v>-0.17394468704512378</v>
      </c>
      <c r="AT59" s="30">
        <f t="shared" si="163"/>
        <v>-0.19494584837545126</v>
      </c>
      <c r="AU59" s="30">
        <f t="shared" ref="AU59:AU60" si="164">+AU7/AQ7-1</f>
        <v>-9.9999999999999978E-2</v>
      </c>
      <c r="AV59" s="30">
        <f t="shared" ref="AV59:AV60" si="165">+AV7/AR7-1</f>
        <v>-9.9999999999999978E-2</v>
      </c>
      <c r="AW59" s="30">
        <f t="shared" ref="AW59:AW60" si="166">+AW7/AS7-1</f>
        <v>-9.9999999999999978E-2</v>
      </c>
      <c r="AX59" s="30">
        <f t="shared" ref="AX59:AX60" si="167">+AX7/AT7-1</f>
        <v>-9.9999999999999978E-2</v>
      </c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>
        <f>+BI7/BH7-1</f>
        <v>0.30194986072423391</v>
      </c>
      <c r="BJ59" s="30">
        <f>+BJ7/BI7-1</f>
        <v>0.13692768506632436</v>
      </c>
      <c r="BK59" s="30">
        <f t="shared" ref="BK59:BT59" si="168">+BK7/BJ7-1</f>
        <v>1.7689123071132906E-2</v>
      </c>
      <c r="BL59" s="30">
        <f t="shared" si="168"/>
        <v>-0.15532544378698221</v>
      </c>
      <c r="BM59" s="30">
        <f t="shared" si="168"/>
        <v>-0.10000000000000009</v>
      </c>
      <c r="BN59" s="30">
        <f t="shared" si="168"/>
        <v>-9.9999999999999978E-2</v>
      </c>
      <c r="BO59" s="30">
        <f t="shared" si="168"/>
        <v>-9.9999999999999978E-2</v>
      </c>
      <c r="BP59" s="30">
        <f t="shared" si="168"/>
        <v>-9.9999999999999978E-2</v>
      </c>
      <c r="BQ59" s="30">
        <f t="shared" si="168"/>
        <v>-9.9999999999999978E-2</v>
      </c>
      <c r="BR59" s="30">
        <f t="shared" si="168"/>
        <v>-9.9999999999999978E-2</v>
      </c>
      <c r="BS59" s="30">
        <f t="shared" si="168"/>
        <v>-0.10000000000000009</v>
      </c>
      <c r="BT59" s="30">
        <f t="shared" si="168"/>
        <v>-9.9999999999999978E-2</v>
      </c>
      <c r="BV59" s="51" t="s">
        <v>262</v>
      </c>
      <c r="BW59" s="14">
        <f>BW58/Main!K3</f>
        <v>146.75621391498626</v>
      </c>
    </row>
    <row r="60" spans="2:199" s="29" customFormat="1" x14ac:dyDescent="0.2">
      <c r="B60" s="31" t="s">
        <v>159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71" t="s">
        <v>213</v>
      </c>
      <c r="X60" s="71" t="s">
        <v>213</v>
      </c>
      <c r="Y60" s="71" t="s">
        <v>213</v>
      </c>
      <c r="Z60" s="71" t="s">
        <v>213</v>
      </c>
      <c r="AA60" s="71" t="s">
        <v>213</v>
      </c>
      <c r="AB60" s="71" t="s">
        <v>213</v>
      </c>
      <c r="AC60" s="71" t="s">
        <v>213</v>
      </c>
      <c r="AD60" s="71" t="s">
        <v>213</v>
      </c>
      <c r="AE60" s="71" t="s">
        <v>213</v>
      </c>
      <c r="AF60" s="71" t="s">
        <v>213</v>
      </c>
      <c r="AG60" s="71" t="s">
        <v>213</v>
      </c>
      <c r="AH60" s="71" t="s">
        <v>213</v>
      </c>
      <c r="AI60" s="71" t="s">
        <v>213</v>
      </c>
      <c r="AJ60" s="30">
        <f t="shared" ref="AJ60:AK60" si="169">+AJ8/AF8-1</f>
        <v>5.875</v>
      </c>
      <c r="AK60" s="30">
        <f t="shared" si="169"/>
        <v>3.7802197802197801</v>
      </c>
      <c r="AL60" s="30">
        <f t="shared" si="163"/>
        <v>1.4305555555555554</v>
      </c>
      <c r="AM60" s="30">
        <f t="shared" si="163"/>
        <v>0.91333333333333333</v>
      </c>
      <c r="AN60" s="30">
        <f t="shared" si="163"/>
        <v>1.0424242424242425</v>
      </c>
      <c r="AO60" s="30">
        <f t="shared" si="163"/>
        <v>0.8298850574712644</v>
      </c>
      <c r="AP60" s="30">
        <f t="shared" si="163"/>
        <v>0.7047619047619047</v>
      </c>
      <c r="AQ60" s="30">
        <f t="shared" si="163"/>
        <v>0.63763066202090601</v>
      </c>
      <c r="AR60" s="30">
        <f t="shared" si="163"/>
        <v>0.85756676557863498</v>
      </c>
      <c r="AS60" s="30">
        <f>+AS8/AO8-1</f>
        <v>0.75502512562814061</v>
      </c>
      <c r="AT60" s="30">
        <f t="shared" si="163"/>
        <v>0.76089385474860327</v>
      </c>
      <c r="AU60" s="30">
        <f t="shared" si="164"/>
        <v>0.64999999999999991</v>
      </c>
      <c r="AV60" s="30">
        <f t="shared" si="165"/>
        <v>0.5</v>
      </c>
      <c r="AW60" s="30">
        <f t="shared" si="166"/>
        <v>0.39999999999999991</v>
      </c>
      <c r="AX60" s="30">
        <f t="shared" si="167"/>
        <v>0.30000000000000004</v>
      </c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71" t="s">
        <v>213</v>
      </c>
      <c r="BJ60" s="30">
        <f>+BJ8/BI8-1</f>
        <v>3.47887323943662</v>
      </c>
      <c r="BK60" s="30">
        <f t="shared" ref="BK60:BT60" si="170">+BK8/BJ8-1</f>
        <v>0.84842767295597477</v>
      </c>
      <c r="BL60" s="30">
        <f t="shared" si="170"/>
        <v>0.75740047635250085</v>
      </c>
      <c r="BM60" s="30">
        <f t="shared" si="170"/>
        <v>0.30000000000000004</v>
      </c>
      <c r="BN60" s="30">
        <f t="shared" si="170"/>
        <v>0.30000000000000004</v>
      </c>
      <c r="BO60" s="30">
        <f t="shared" si="170"/>
        <v>0.30000000000000004</v>
      </c>
      <c r="BP60" s="30">
        <f t="shared" si="170"/>
        <v>3.0000000000000027E-2</v>
      </c>
      <c r="BQ60" s="30">
        <f t="shared" si="170"/>
        <v>3.0000000000000027E-2</v>
      </c>
      <c r="BR60" s="30">
        <f t="shared" si="170"/>
        <v>3.0000000000000027E-2</v>
      </c>
      <c r="BS60" s="30">
        <f t="shared" si="170"/>
        <v>3.0000000000000027E-2</v>
      </c>
      <c r="BT60" s="30">
        <f t="shared" si="170"/>
        <v>3.0000000000000027E-2</v>
      </c>
    </row>
    <row r="61" spans="2:199" s="29" customFormat="1" x14ac:dyDescent="0.2">
      <c r="B61" s="72" t="s">
        <v>338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D61:AE61" si="171">+AE3/AA3-1</f>
        <v>-5.5850499044383106E-2</v>
      </c>
      <c r="AF61" s="30">
        <f>+AF3/AB3-1</f>
        <v>-5.1494696239151372E-2</v>
      </c>
      <c r="AG61" s="30">
        <f t="shared" ref="AG61:AL61" si="172">+AG3/AC3-1</f>
        <v>-1.6198282591725177E-2</v>
      </c>
      <c r="AH61" s="30">
        <f t="shared" si="172"/>
        <v>5.0427002846685554E-2</v>
      </c>
      <c r="AI61" s="30">
        <f t="shared" si="172"/>
        <v>0.14462438146648671</v>
      </c>
      <c r="AJ61" s="30">
        <f t="shared" si="172"/>
        <v>8.0927206181374611E-2</v>
      </c>
      <c r="AK61" s="30">
        <f t="shared" si="172"/>
        <v>0.14858163062884344</v>
      </c>
      <c r="AL61" s="30">
        <f t="shared" si="172"/>
        <v>0.1533101045296168</v>
      </c>
      <c r="AM61" s="30">
        <f t="shared" ref="AM61" si="173">+AM3/AI3-1</f>
        <v>0.1287089801532717</v>
      </c>
      <c r="AN61" s="30">
        <f t="shared" ref="AN61" si="174">+AN3/AJ3-1</f>
        <v>0.15124153498871329</v>
      </c>
      <c r="AO61" s="30">
        <f t="shared" ref="AO61" si="175">+AO3/AK3-1</f>
        <v>0.15267702936096716</v>
      </c>
      <c r="AP61" s="30">
        <f t="shared" ref="AP61" si="176">+AP3/AL3-1</f>
        <v>0.13225914736488753</v>
      </c>
      <c r="AQ61" s="30">
        <f t="shared" ref="AQ61" si="177">+AQ3/AM3-1</f>
        <v>6.9115598885793883E-2</v>
      </c>
      <c r="AR61" s="30">
        <f t="shared" ref="AR61" si="178">+AR3/AN3-1</f>
        <v>0.17761437908496736</v>
      </c>
      <c r="AS61" s="30">
        <f t="shared" ref="AS61" si="179">+AS3/AO3-1</f>
        <v>0.14638897213065638</v>
      </c>
      <c r="AT61" s="30">
        <f t="shared" ref="AT61" si="180">+AT3/AP3-1</f>
        <v>0.17477023421286697</v>
      </c>
      <c r="AU61" s="30">
        <f t="shared" ref="AU61" si="181">+AU3/AQ3-1</f>
        <v>7.6078814525321503E-2</v>
      </c>
      <c r="AV61" s="30">
        <f t="shared" ref="AV61" si="182">+AV3/AR3-1</f>
        <v>2.8874705147772906E-2</v>
      </c>
      <c r="AW61" s="30">
        <f t="shared" ref="AW61" si="183">+AW3/AS3-1</f>
        <v>-1.7781989282446786E-2</v>
      </c>
      <c r="AX61" s="30">
        <f t="shared" ref="AX61" si="184">+AX3/AT3-1</f>
        <v>-6.1703470031545748E-2</v>
      </c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>
        <f>+Model!BI3/Model!BH3-1</f>
        <v>-1.8308587479935801E-2</v>
      </c>
      <c r="BJ61" s="30">
        <f>+Model!BJ3/Model!BI3-1</f>
        <v>0.13192989627510099</v>
      </c>
      <c r="BK61" s="30">
        <f>+Model!BK3/Model!BJ3-1</f>
        <v>0.14133525933282165</v>
      </c>
      <c r="BL61" s="30">
        <f>+Model!BL3/Model!BK3-1</f>
        <v>0.14396456256921364</v>
      </c>
      <c r="BM61" s="30">
        <f>+Model!BM3/Model!BL3-1</f>
        <v>-0.31093002350988797</v>
      </c>
      <c r="BN61" s="30">
        <f>+Model!BN3/Model!BM3-1</f>
        <v>5.1700736453283547E-2</v>
      </c>
      <c r="BO61" s="30">
        <f>+Model!BO3/Model!BN3-1</f>
        <v>8.3166367332675684E-2</v>
      </c>
      <c r="BP61" s="30">
        <f>+Model!BP3/Model!BO3-1</f>
        <v>-5.7129856981037563E-2</v>
      </c>
      <c r="BQ61" s="30">
        <f>+Model!BQ3/Model!BP3-1</f>
        <v>-4.3927344185113348E-2</v>
      </c>
      <c r="BR61" s="30">
        <f>+Model!BR3/Model!BQ3-1</f>
        <v>-0.11254507861949159</v>
      </c>
      <c r="BS61" s="30">
        <f>+Model!BS3/Model!BR3-1</f>
        <v>-5.031116577603223E-2</v>
      </c>
      <c r="BT61" s="30">
        <f>+Model!BT3/Model!BS3-1</f>
        <v>-0.1795109487460016</v>
      </c>
    </row>
    <row r="62" spans="2:199" s="29" customFormat="1" x14ac:dyDescent="0.2">
      <c r="B62" s="43" t="s">
        <v>122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50" t="s">
        <v>213</v>
      </c>
      <c r="X62" s="50" t="s">
        <v>213</v>
      </c>
      <c r="Y62" s="50" t="s">
        <v>213</v>
      </c>
      <c r="Z62" s="50" t="s">
        <v>213</v>
      </c>
      <c r="AA62" s="50" t="s">
        <v>213</v>
      </c>
      <c r="AB62" s="50" t="s">
        <v>213</v>
      </c>
      <c r="AC62" s="50" t="s">
        <v>213</v>
      </c>
      <c r="AD62" s="50" t="s">
        <v>213</v>
      </c>
      <c r="AE62" s="50" t="s">
        <v>213</v>
      </c>
      <c r="AF62" s="50" t="s">
        <v>213</v>
      </c>
      <c r="AG62" s="50" t="s">
        <v>213</v>
      </c>
      <c r="AH62" s="50" t="s">
        <v>213</v>
      </c>
      <c r="AI62" s="50" t="s">
        <v>213</v>
      </c>
      <c r="AJ62" s="50" t="s">
        <v>213</v>
      </c>
      <c r="AK62" s="50" t="s">
        <v>213</v>
      </c>
      <c r="AL62" s="50" t="s">
        <v>213</v>
      </c>
      <c r="AM62" s="50" t="s">
        <v>213</v>
      </c>
      <c r="AN62" s="30">
        <f t="shared" ref="AN62:AT63" si="185">AN9/AJ9-1</f>
        <v>1.584070796460177</v>
      </c>
      <c r="AO62" s="30">
        <f t="shared" si="185"/>
        <v>0.38676844783715003</v>
      </c>
      <c r="AP62" s="30">
        <f t="shared" si="185"/>
        <v>0.26977687626774838</v>
      </c>
      <c r="AQ62" s="30">
        <f t="shared" si="185"/>
        <v>0.34381551362683438</v>
      </c>
      <c r="AR62" s="30">
        <f t="shared" si="185"/>
        <v>0.19006849315068486</v>
      </c>
      <c r="AS62" s="30">
        <f>AS9/AO9-1</f>
        <v>0.16880733944954129</v>
      </c>
      <c r="AT62" s="30">
        <f t="shared" si="185"/>
        <v>2.5559105431310014E-2</v>
      </c>
      <c r="AU62" s="30">
        <f t="shared" ref="AU62:AU63" si="186">AU9/AQ9-1</f>
        <v>3.0000000000000027E-2</v>
      </c>
      <c r="AV62" s="30">
        <f t="shared" ref="AV62:AV63" si="187">AV9/AR9-1</f>
        <v>3.0000000000000027E-2</v>
      </c>
      <c r="AW62" s="30">
        <f t="shared" ref="AW62:AW63" si="188">AW9/AS9-1</f>
        <v>3.0000000000000027E-2</v>
      </c>
      <c r="AX62" s="30">
        <f t="shared" ref="AX62:AX63" si="189">AX9/AT9-1</f>
        <v>3.0000000000000027E-2</v>
      </c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</row>
    <row r="63" spans="2:199" s="29" customFormat="1" x14ac:dyDescent="0.2">
      <c r="B63" s="43" t="s">
        <v>125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50" t="s">
        <v>213</v>
      </c>
      <c r="X63" s="50" t="s">
        <v>213</v>
      </c>
      <c r="Y63" s="50" t="s">
        <v>213</v>
      </c>
      <c r="Z63" s="50" t="s">
        <v>213</v>
      </c>
      <c r="AA63" s="50" t="s">
        <v>213</v>
      </c>
      <c r="AB63" s="50" t="s">
        <v>213</v>
      </c>
      <c r="AC63" s="50" t="s">
        <v>213</v>
      </c>
      <c r="AD63" s="50" t="s">
        <v>213</v>
      </c>
      <c r="AE63" s="50" t="s">
        <v>213</v>
      </c>
      <c r="AF63" s="50" t="s">
        <v>213</v>
      </c>
      <c r="AG63" s="50" t="s">
        <v>213</v>
      </c>
      <c r="AH63" s="50" t="s">
        <v>213</v>
      </c>
      <c r="AI63" s="50" t="s">
        <v>213</v>
      </c>
      <c r="AJ63" s="50" t="s">
        <v>213</v>
      </c>
      <c r="AK63" s="50" t="s">
        <v>213</v>
      </c>
      <c r="AL63" s="50" t="s">
        <v>213</v>
      </c>
      <c r="AM63" s="50" t="s">
        <v>213</v>
      </c>
      <c r="AN63" s="30">
        <f t="shared" si="185"/>
        <v>1.0303030303030303</v>
      </c>
      <c r="AO63" s="30">
        <f t="shared" si="185"/>
        <v>0.23326959847036322</v>
      </c>
      <c r="AP63" s="30">
        <f t="shared" si="185"/>
        <v>0.18342151675485008</v>
      </c>
      <c r="AQ63" s="30">
        <f t="shared" si="185"/>
        <v>0.15413533834586457</v>
      </c>
      <c r="AR63" s="30">
        <f t="shared" si="185"/>
        <v>0.12437810945273631</v>
      </c>
      <c r="AS63" s="30">
        <f>AS10/AO10-1</f>
        <v>8.3720930232558111E-2</v>
      </c>
      <c r="AT63" s="30">
        <f t="shared" si="185"/>
        <v>8.4947839046199736E-2</v>
      </c>
      <c r="AU63" s="30">
        <f t="shared" si="186"/>
        <v>3.0000000000000027E-2</v>
      </c>
      <c r="AV63" s="30">
        <f t="shared" si="187"/>
        <v>3.0000000000000027E-2</v>
      </c>
      <c r="AW63" s="30">
        <f t="shared" si="188"/>
        <v>3.0000000000000027E-2</v>
      </c>
      <c r="AX63" s="30">
        <f t="shared" si="189"/>
        <v>3.0000000000000027E-2</v>
      </c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</row>
    <row r="64" spans="2:199" s="29" customFormat="1" x14ac:dyDescent="0.2">
      <c r="B64" s="53" t="s">
        <v>264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54" t="s">
        <v>213</v>
      </c>
      <c r="X64" s="54" t="s">
        <v>213</v>
      </c>
      <c r="Y64" s="54" t="s">
        <v>213</v>
      </c>
      <c r="Z64" s="54" t="s">
        <v>213</v>
      </c>
      <c r="AA64" s="54" t="s">
        <v>213</v>
      </c>
      <c r="AB64" s="54" t="s">
        <v>213</v>
      </c>
      <c r="AC64" s="54" t="s">
        <v>213</v>
      </c>
      <c r="AD64" s="54" t="s">
        <v>213</v>
      </c>
      <c r="AE64" s="54" t="s">
        <v>213</v>
      </c>
      <c r="AF64" s="54" t="s">
        <v>213</v>
      </c>
      <c r="AG64" s="54" t="s">
        <v>213</v>
      </c>
      <c r="AH64" s="54" t="s">
        <v>213</v>
      </c>
      <c r="AI64" s="54" t="s">
        <v>213</v>
      </c>
      <c r="AJ64" s="54" t="s">
        <v>213</v>
      </c>
      <c r="AK64" s="30">
        <f t="shared" ref="AK64:AT64" si="190">AK12/AG12-1</f>
        <v>14.357142857142858</v>
      </c>
      <c r="AL64" s="30">
        <f t="shared" si="190"/>
        <v>7.5151515151515156</v>
      </c>
      <c r="AM64" s="30">
        <f t="shared" si="190"/>
        <v>2.5232558139534884</v>
      </c>
      <c r="AN64" s="30">
        <f t="shared" si="190"/>
        <v>1.5369127516778525</v>
      </c>
      <c r="AO64" s="30">
        <f t="shared" si="190"/>
        <v>1.1069767441860465</v>
      </c>
      <c r="AP64" s="30">
        <f t="shared" si="190"/>
        <v>0.83985765124555156</v>
      </c>
      <c r="AQ64" s="30">
        <f t="shared" si="190"/>
        <v>0.53465346534653468</v>
      </c>
      <c r="AR64" s="30">
        <f t="shared" si="190"/>
        <v>0.56613756613756605</v>
      </c>
      <c r="AS64" s="30">
        <f>AS12/AO12-1</f>
        <v>0.53421633554083892</v>
      </c>
      <c r="AT64" s="30">
        <f t="shared" si="190"/>
        <v>0.4893617021276595</v>
      </c>
      <c r="AU64" s="30">
        <f t="shared" ref="AU64" si="191">AU12/AQ12-1</f>
        <v>0.19999999999999996</v>
      </c>
      <c r="AV64" s="30">
        <f t="shared" ref="AV64" si="192">AV12/AR12-1</f>
        <v>0.19999999999999996</v>
      </c>
      <c r="AW64" s="30">
        <f t="shared" ref="AW64" si="193">AW12/AS12-1</f>
        <v>0.19999999999999996</v>
      </c>
      <c r="AX64" s="30">
        <f t="shared" ref="AX64" si="194">AX12/AT12-1</f>
        <v>0.19999999999999996</v>
      </c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</row>
    <row r="65" spans="2:71" s="29" customFormat="1" x14ac:dyDescent="0.2">
      <c r="B65" s="43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</row>
    <row r="66" spans="2:71" s="29" customFormat="1" x14ac:dyDescent="0.2">
      <c r="B66" s="43" t="s">
        <v>214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>
        <f t="shared" ref="Y66:Z66" si="195">+Y44/Y42</f>
        <v>0.80814867762687637</v>
      </c>
      <c r="Z66" s="30">
        <f t="shared" ref="Z66:AA66" si="196">+Z44/Z42</f>
        <v>0.78989533531464018</v>
      </c>
      <c r="AA66" s="30">
        <f t="shared" ref="AA66:AB66" si="197">+AA44/AA42</f>
        <v>0.80186538946307029</v>
      </c>
      <c r="AB66" s="30">
        <f t="shared" ref="AB66:AH66" si="198">+AB44/AB42</f>
        <v>0.80540082344393316</v>
      </c>
      <c r="AC66" s="30">
        <f t="shared" si="198"/>
        <v>0.81677999028654691</v>
      </c>
      <c r="AD66" s="30">
        <f t="shared" si="198"/>
        <v>0.79843467790487654</v>
      </c>
      <c r="AE66" s="30">
        <f t="shared" si="198"/>
        <v>0.83354624425140522</v>
      </c>
      <c r="AF66" s="30">
        <f t="shared" si="198"/>
        <v>0.8271350696547547</v>
      </c>
      <c r="AG66" s="30">
        <f t="shared" si="198"/>
        <v>0.82014388489208634</v>
      </c>
      <c r="AH66" s="30">
        <f>+AH44/AH42</f>
        <v>0.81560202205882348</v>
      </c>
      <c r="AI66" s="30">
        <f>+AI44/AI42</f>
        <v>0.82666202575704839</v>
      </c>
      <c r="AJ66" s="30">
        <f>+AJ44/AJ42</f>
        <v>0.82772182254196647</v>
      </c>
      <c r="AK66" s="30">
        <f>+AK44/AK42</f>
        <v>0.81664337835739786</v>
      </c>
      <c r="AL66" s="30">
        <f t="shared" ref="AL66:AT66" si="199">+AL44/AL42</f>
        <v>0.81793909655072883</v>
      </c>
      <c r="AM66" s="30">
        <f t="shared" si="199"/>
        <v>0.83880943177425593</v>
      </c>
      <c r="AN66" s="30">
        <f t="shared" si="199"/>
        <v>0.82240848198295002</v>
      </c>
      <c r="AO66" s="30">
        <f t="shared" si="199"/>
        <v>0.83175289359921911</v>
      </c>
      <c r="AP66" s="30">
        <f t="shared" si="199"/>
        <v>0.83555018137847648</v>
      </c>
      <c r="AQ66" s="30">
        <f t="shared" si="199"/>
        <v>0.84465947702762589</v>
      </c>
      <c r="AR66" s="30">
        <f t="shared" si="199"/>
        <v>0.85140231776726327</v>
      </c>
      <c r="AS66" s="30">
        <f>+AS44/AS42</f>
        <v>0.85369970294355924</v>
      </c>
      <c r="AT66" s="30">
        <f t="shared" si="199"/>
        <v>0.85</v>
      </c>
      <c r="AU66" s="30">
        <f t="shared" ref="AU66:AX66" si="200">+AU44/AU42</f>
        <v>0.84999999999999987</v>
      </c>
      <c r="AV66" s="30">
        <f t="shared" si="200"/>
        <v>0.85</v>
      </c>
      <c r="AW66" s="30">
        <f t="shared" si="200"/>
        <v>0.85</v>
      </c>
      <c r="AX66" s="30">
        <f t="shared" si="200"/>
        <v>0.84999999999999987</v>
      </c>
      <c r="AY66" s="30"/>
      <c r="AZ66" s="30"/>
      <c r="BA66" s="30"/>
      <c r="BB66" s="30"/>
      <c r="BC66" s="30"/>
      <c r="BD66" s="30"/>
      <c r="BE66" s="30"/>
      <c r="BF66" s="30"/>
      <c r="BG66" s="30"/>
      <c r="BH66" s="30">
        <f>+BH44/BH42</f>
        <v>0.80563956863104513</v>
      </c>
      <c r="BI66" s="30">
        <f>+BI44/BI42</f>
        <v>0.82384416521373172</v>
      </c>
      <c r="BJ66" s="30">
        <f>+BJ44/BJ42</f>
        <v>0.82144417263672898</v>
      </c>
      <c r="BK66" s="30">
        <f>+BK44/BK42</f>
        <v>0.8320622928619793</v>
      </c>
      <c r="BL66" s="30">
        <f>+BL44/BL42</f>
        <v>0.85005081475867295</v>
      </c>
      <c r="BM66" s="30">
        <f t="shared" ref="BM66:BQ66" si="201">+BM44/BM42</f>
        <v>0.85</v>
      </c>
      <c r="BN66" s="30">
        <f t="shared" si="201"/>
        <v>0.85</v>
      </c>
      <c r="BO66" s="30">
        <f t="shared" si="201"/>
        <v>0.84999999999999987</v>
      </c>
      <c r="BP66" s="30">
        <f t="shared" si="201"/>
        <v>0.85</v>
      </c>
      <c r="BQ66" s="30">
        <f t="shared" si="201"/>
        <v>0.85</v>
      </c>
      <c r="BR66" s="30"/>
      <c r="BS66" s="30"/>
    </row>
    <row r="67" spans="2:71" s="29" customFormat="1" x14ac:dyDescent="0.2">
      <c r="B67" s="43" t="s">
        <v>215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>
        <f t="shared" ref="Y67:Z67" si="202">+Y51/Y50</f>
        <v>0.18934280639431617</v>
      </c>
      <c r="Z67" s="30">
        <f t="shared" ref="Z67:AA67" si="203">+Z51/Z50</f>
        <v>0.18853848762292302</v>
      </c>
      <c r="AA67" s="30">
        <f t="shared" ref="AA67:AB67" si="204">+AA51/AA50</f>
        <v>7.6450721522873813E-2</v>
      </c>
      <c r="AB67" s="30">
        <f t="shared" ref="AB67:AH67" si="205">+AB51/AB50</f>
        <v>9.0040532715691957E-2</v>
      </c>
      <c r="AC67" s="30">
        <f t="shared" si="205"/>
        <v>9.1036023457134879E-2</v>
      </c>
      <c r="AD67" s="30">
        <f t="shared" si="205"/>
        <v>9.1716915264995244E-2</v>
      </c>
      <c r="AE67" s="30">
        <f t="shared" si="205"/>
        <v>7.8917050691244245E-2</v>
      </c>
      <c r="AF67" s="30">
        <f t="shared" si="205"/>
        <v>8.7567567567567561E-2</v>
      </c>
      <c r="AG67" s="30">
        <f t="shared" si="205"/>
        <v>8.7848500789058384E-2</v>
      </c>
      <c r="AH67" s="30">
        <f>+AH51/AH50</f>
        <v>8.8544548976203646E-2</v>
      </c>
      <c r="AI67" s="30">
        <f>+AI51/AI50</f>
        <v>9.7426929802648013E-2</v>
      </c>
      <c r="AJ67" s="30">
        <f>+AJ51/AJ50</f>
        <v>0.11399317406143344</v>
      </c>
      <c r="AK67" s="30">
        <f>+AK51/AK50</f>
        <v>9.6755504055619931E-2</v>
      </c>
      <c r="AL67" s="30">
        <f t="shared" ref="AL67:AT67" si="206">+AL51/AL50</f>
        <v>9.6443132292984679E-2</v>
      </c>
      <c r="AM67" s="30">
        <f t="shared" si="206"/>
        <v>0.1234113712374582</v>
      </c>
      <c r="AN67" s="30">
        <f t="shared" si="206"/>
        <v>0.12653834017040075</v>
      </c>
      <c r="AO67" s="30">
        <f t="shared" si="206"/>
        <v>0.12783291364242336</v>
      </c>
      <c r="AP67" s="30">
        <f t="shared" si="206"/>
        <v>0.12496302868973676</v>
      </c>
      <c r="AQ67" s="30">
        <f t="shared" si="206"/>
        <v>0.11802184466019418</v>
      </c>
      <c r="AR67" s="30">
        <f t="shared" si="206"/>
        <v>0.12982644961657475</v>
      </c>
      <c r="AS67" s="30">
        <f>+AS51/AS50</f>
        <v>0.1274432118330692</v>
      </c>
      <c r="AT67" s="30">
        <f t="shared" si="206"/>
        <v>0.15</v>
      </c>
      <c r="AU67" s="30">
        <f t="shared" ref="AU67:AX67" si="207">+AU51/AU50</f>
        <v>0.15</v>
      </c>
      <c r="AV67" s="30">
        <f t="shared" si="207"/>
        <v>0.15</v>
      </c>
      <c r="AW67" s="30">
        <f t="shared" si="207"/>
        <v>0.15</v>
      </c>
      <c r="AX67" s="30">
        <f t="shared" si="207"/>
        <v>0.15</v>
      </c>
      <c r="AY67" s="30"/>
      <c r="AZ67" s="30"/>
      <c r="BA67" s="30"/>
      <c r="BB67" s="30"/>
      <c r="BC67" s="30"/>
      <c r="BD67" s="30"/>
      <c r="BE67" s="30"/>
      <c r="BF67" s="30"/>
      <c r="BG67" s="30"/>
      <c r="BH67" s="30">
        <f t="shared" ref="BH67" si="208">+BH51/BH50</f>
        <v>8.7406084951275761E-2</v>
      </c>
      <c r="BI67" s="30">
        <f t="shared" ref="BI67:BQ67" si="209">+BI51/BI50</f>
        <v>8.5823964902659713E-2</v>
      </c>
      <c r="BJ67" s="30">
        <f t="shared" si="209"/>
        <v>0.10015614543832255</v>
      </c>
      <c r="BK67" s="30">
        <f t="shared" si="209"/>
        <v>0.12574038945453136</v>
      </c>
      <c r="BL67" s="30">
        <f t="shared" si="209"/>
        <v>0.13161795219388039</v>
      </c>
      <c r="BM67" s="30">
        <f t="shared" si="209"/>
        <v>0.15</v>
      </c>
      <c r="BN67" s="30">
        <f t="shared" si="209"/>
        <v>0.15</v>
      </c>
      <c r="BO67" s="30">
        <f t="shared" si="209"/>
        <v>0.15</v>
      </c>
      <c r="BP67" s="30">
        <f t="shared" si="209"/>
        <v>0.15</v>
      </c>
      <c r="BQ67" s="30">
        <f t="shared" si="209"/>
        <v>0.15</v>
      </c>
      <c r="BR67" s="30"/>
      <c r="BS67" s="30"/>
    </row>
    <row r="69" spans="2:71" x14ac:dyDescent="0.2">
      <c r="B69" s="25" t="s">
        <v>149</v>
      </c>
      <c r="AQ69" s="16">
        <f>AQ70-AQ79</f>
        <v>-65642</v>
      </c>
      <c r="AR69" s="16">
        <f>AR70-AR79</f>
        <v>-62727</v>
      </c>
      <c r="AS69" s="16">
        <f>AS70-AS79</f>
        <v>-57492</v>
      </c>
      <c r="AT69" s="16">
        <f>AT70-AT79</f>
        <v>0</v>
      </c>
    </row>
    <row r="70" spans="2:71" s="15" customFormat="1" x14ac:dyDescent="0.2">
      <c r="B70" s="23" t="s">
        <v>53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>
        <f>6098+1474+260</f>
        <v>7832</v>
      </c>
      <c r="AR70" s="16">
        <f>8521+1440+244</f>
        <v>10205</v>
      </c>
      <c r="AS70" s="16">
        <f>11832+47+235</f>
        <v>12114</v>
      </c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2:71" s="15" customFormat="1" x14ac:dyDescent="0.2">
      <c r="B71" s="23" t="s">
        <v>139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v>10733</v>
      </c>
      <c r="AR71" s="16">
        <v>11237</v>
      </c>
      <c r="AS71" s="16">
        <v>10743</v>
      </c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2">
      <c r="B72" s="23" t="s">
        <v>140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3483</v>
      </c>
      <c r="AR72" s="16">
        <v>3396</v>
      </c>
      <c r="AS72" s="16">
        <v>3172</v>
      </c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2">
      <c r="B73" s="23" t="s">
        <v>141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v>4721</v>
      </c>
      <c r="AR73" s="16">
        <v>4506</v>
      </c>
      <c r="AS73" s="16">
        <v>4570</v>
      </c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2:71" s="15" customFormat="1" x14ac:dyDescent="0.2">
      <c r="B74" s="23" t="s">
        <v>142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5075</v>
      </c>
      <c r="AR74" s="16">
        <v>4958</v>
      </c>
      <c r="AS74" s="16">
        <v>4893</v>
      </c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2:71" s="15" customFormat="1" x14ac:dyDescent="0.2">
      <c r="B75" s="23" t="s">
        <v>143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f>73986+32298</f>
        <v>106284</v>
      </c>
      <c r="AR75" s="16">
        <f>71823+32028</f>
        <v>103851</v>
      </c>
      <c r="AS75" s="16">
        <f>68725+31726</f>
        <v>100451</v>
      </c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2:71" s="15" customFormat="1" x14ac:dyDescent="0.2">
      <c r="B76" s="23" t="s">
        <v>12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5083</v>
      </c>
      <c r="AR76" s="16">
        <v>5033</v>
      </c>
      <c r="AS76" s="16">
        <v>5382</v>
      </c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7" spans="2:71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f>SUM(AQ70:AQ76)</f>
        <v>143211</v>
      </c>
      <c r="AR77" s="16">
        <f>SUM(AR70:AR76)</f>
        <v>143186</v>
      </c>
      <c r="AS77" s="16">
        <f>SUM(AS70:AS76)</f>
        <v>141325</v>
      </c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9" spans="2:71" s="15" customFormat="1" x14ac:dyDescent="0.2">
      <c r="B79" s="23" t="s">
        <v>54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f>12+9940+63522</f>
        <v>73474</v>
      </c>
      <c r="AR79" s="16">
        <f>17+61002+11913</f>
        <v>72932</v>
      </c>
      <c r="AS79" s="16">
        <f>10+9197+60399</f>
        <v>69606</v>
      </c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spans="2:71" s="15" customFormat="1" x14ac:dyDescent="0.2">
      <c r="B80" s="23" t="s">
        <v>144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v>22569</v>
      </c>
      <c r="AR80" s="16">
        <v>22543</v>
      </c>
      <c r="AS80" s="16">
        <v>23505</v>
      </c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2:71" s="15" customFormat="1" x14ac:dyDescent="0.2">
      <c r="B81" s="23" t="s">
        <v>145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>
        <v>2831</v>
      </c>
      <c r="AR81" s="16">
        <v>2255</v>
      </c>
      <c r="AS81" s="16">
        <v>1972</v>
      </c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2:71" s="15" customFormat="1" x14ac:dyDescent="0.2">
      <c r="B82" s="23" t="s">
        <v>146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v>28023</v>
      </c>
      <c r="AR82" s="16">
        <v>30768</v>
      </c>
      <c r="AS82" s="16">
        <v>30215</v>
      </c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spans="2:71" s="15" customFormat="1" x14ac:dyDescent="0.2">
      <c r="B83" s="23" t="s">
        <v>147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16314</v>
      </c>
      <c r="AR83" s="16">
        <v>14688</v>
      </c>
      <c r="AS83" s="16">
        <v>16027</v>
      </c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  <row r="84" spans="2:71" s="15" customFormat="1" x14ac:dyDescent="0.2">
      <c r="B84" s="23" t="s">
        <v>148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f>SUM(AQ79:AQ83)</f>
        <v>143211</v>
      </c>
      <c r="AR84" s="16">
        <f>SUM(AR79:AR83)</f>
        <v>143186</v>
      </c>
      <c r="AS84" s="16">
        <f>SUM(AS79:AS83)</f>
        <v>141325</v>
      </c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</row>
    <row r="86" spans="2:71" s="15" customFormat="1" x14ac:dyDescent="0.2">
      <c r="B86" s="67" t="s">
        <v>312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f>+AQ52</f>
        <v>5814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</row>
    <row r="87" spans="2:71" s="15" customFormat="1" x14ac:dyDescent="0.2">
      <c r="B87" s="67" t="s">
        <v>313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v>4493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</row>
    <row r="88" spans="2:71" s="15" customFormat="1" x14ac:dyDescent="0.2">
      <c r="B88" s="67" t="s">
        <v>314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>
        <v>198</v>
      </c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</row>
    <row r="89" spans="2:71" s="15" customFormat="1" x14ac:dyDescent="0.2">
      <c r="B89" s="67" t="s">
        <v>315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v>1855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</row>
    <row r="90" spans="2:71" s="15" customFormat="1" x14ac:dyDescent="0.2">
      <c r="B90" s="67" t="s">
        <v>145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-194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</row>
    <row r="91" spans="2:71" s="15" customFormat="1" x14ac:dyDescent="0.2">
      <c r="B91" s="67" t="s">
        <v>316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-748</v>
      </c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</row>
    <row r="92" spans="2:71" s="15" customFormat="1" x14ac:dyDescent="0.2">
      <c r="B92" s="67" t="s">
        <v>317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306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</row>
    <row r="93" spans="2:71" x14ac:dyDescent="0.2">
      <c r="B93" s="64" t="s">
        <v>320</v>
      </c>
      <c r="AQ93" s="16">
        <v>145</v>
      </c>
    </row>
    <row r="94" spans="2:71" x14ac:dyDescent="0.2">
      <c r="B94" s="64" t="s">
        <v>12</v>
      </c>
      <c r="AQ94" s="16">
        <v>128</v>
      </c>
    </row>
    <row r="95" spans="2:71" x14ac:dyDescent="0.2">
      <c r="B95" s="64" t="s">
        <v>319</v>
      </c>
      <c r="AQ95" s="16">
        <f>-785-385-285-258+438</f>
        <v>-1275</v>
      </c>
    </row>
    <row r="96" spans="2:71" x14ac:dyDescent="0.2">
      <c r="B96" s="64" t="s">
        <v>318</v>
      </c>
      <c r="AQ96" s="16">
        <f>SUM(AQ87:AQ95)</f>
        <v>4908</v>
      </c>
    </row>
    <row r="98" spans="2:71" s="15" customFormat="1" x14ac:dyDescent="0.2">
      <c r="B98" s="67" t="s">
        <v>322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>
        <f>-185-1406+8+154</f>
        <v>-1429</v>
      </c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</row>
    <row r="99" spans="2:71" s="15" customFormat="1" x14ac:dyDescent="0.2">
      <c r="B99" s="67" t="s">
        <v>323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>
        <v>-162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</row>
    <row r="100" spans="2:71" s="15" customFormat="1" x14ac:dyDescent="0.2">
      <c r="B100" s="67" t="s">
        <v>321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>
        <f>AQ98+AQ99</f>
        <v>-1591</v>
      </c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</row>
    <row r="102" spans="2:71" x14ac:dyDescent="0.2">
      <c r="B102" s="64" t="s">
        <v>54</v>
      </c>
      <c r="AQ102" s="16">
        <f>2000-4879</f>
        <v>-2879</v>
      </c>
    </row>
    <row r="103" spans="2:71" x14ac:dyDescent="0.2">
      <c r="B103" s="64" t="s">
        <v>324</v>
      </c>
      <c r="AQ103" s="16">
        <v>-2526</v>
      </c>
    </row>
    <row r="104" spans="2:71" x14ac:dyDescent="0.2">
      <c r="B104" s="64" t="s">
        <v>328</v>
      </c>
      <c r="AQ104" s="16">
        <v>-1470</v>
      </c>
    </row>
    <row r="105" spans="2:71" x14ac:dyDescent="0.2">
      <c r="B105" s="64" t="s">
        <v>329</v>
      </c>
      <c r="AQ105" s="16">
        <v>128</v>
      </c>
    </row>
    <row r="106" spans="2:71" x14ac:dyDescent="0.2">
      <c r="B106" s="64" t="s">
        <v>316</v>
      </c>
      <c r="AQ106" s="16">
        <v>-246</v>
      </c>
    </row>
    <row r="107" spans="2:71" x14ac:dyDescent="0.2">
      <c r="B107" s="64" t="s">
        <v>12</v>
      </c>
      <c r="AQ107" s="16">
        <v>21</v>
      </c>
    </row>
    <row r="108" spans="2:71" x14ac:dyDescent="0.2">
      <c r="B108" s="64" t="s">
        <v>327</v>
      </c>
      <c r="AQ108" s="16">
        <f>SUM(AQ102:AQ107)</f>
        <v>-6972</v>
      </c>
    </row>
    <row r="109" spans="2:71" x14ac:dyDescent="0.2">
      <c r="B109" s="64" t="s">
        <v>326</v>
      </c>
      <c r="AQ109" s="16">
        <v>7</v>
      </c>
    </row>
    <row r="110" spans="2:71" x14ac:dyDescent="0.2">
      <c r="B110" s="64" t="s">
        <v>325</v>
      </c>
      <c r="AQ110" s="16">
        <f>+AQ109+AQ108+AQ100+AQ96</f>
        <v>-3648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7" bestFit="1" customWidth="1"/>
    <col min="2" max="16384" width="9.140625" style="57"/>
  </cols>
  <sheetData>
    <row r="1" spans="1:5" x14ac:dyDescent="0.2">
      <c r="A1" s="20" t="s">
        <v>78</v>
      </c>
    </row>
    <row r="2" spans="1:5" x14ac:dyDescent="0.2">
      <c r="B2" s="57" t="s">
        <v>151</v>
      </c>
      <c r="C2" s="57" t="s">
        <v>120</v>
      </c>
    </row>
    <row r="3" spans="1:5" x14ac:dyDescent="0.2">
      <c r="B3" s="57" t="s">
        <v>197</v>
      </c>
      <c r="C3" s="57" t="s">
        <v>278</v>
      </c>
    </row>
    <row r="4" spans="1:5" x14ac:dyDescent="0.2">
      <c r="B4" s="57" t="s">
        <v>27</v>
      </c>
      <c r="C4" s="57" t="s">
        <v>279</v>
      </c>
    </row>
    <row r="5" spans="1:5" x14ac:dyDescent="0.2">
      <c r="B5" s="57" t="s">
        <v>33</v>
      </c>
      <c r="C5" s="57" t="s">
        <v>165</v>
      </c>
    </row>
    <row r="6" spans="1:5" x14ac:dyDescent="0.2">
      <c r="B6" s="57" t="s">
        <v>56</v>
      </c>
      <c r="C6" s="57" t="s">
        <v>280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78</v>
      </c>
    </row>
    <row r="2" spans="1:3" x14ac:dyDescent="0.2">
      <c r="B2" s="1" t="s">
        <v>79</v>
      </c>
      <c r="C2" s="1" t="s">
        <v>0</v>
      </c>
    </row>
    <row r="3" spans="1:3" x14ac:dyDescent="0.2">
      <c r="B3" s="1" t="s">
        <v>80</v>
      </c>
      <c r="C3" s="1" t="s">
        <v>81</v>
      </c>
    </row>
    <row r="4" spans="1:3" x14ac:dyDescent="0.2">
      <c r="B4" s="45" t="s">
        <v>241</v>
      </c>
      <c r="C4" s="45" t="s">
        <v>242</v>
      </c>
    </row>
    <row r="5" spans="1:3" x14ac:dyDescent="0.2">
      <c r="B5" s="26" t="s">
        <v>33</v>
      </c>
      <c r="C5" s="26" t="s">
        <v>150</v>
      </c>
    </row>
    <row r="6" spans="1:3" x14ac:dyDescent="0.2">
      <c r="B6" s="45" t="s">
        <v>56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243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209</v>
      </c>
    </row>
    <row r="3" spans="1:3" x14ac:dyDescent="0.2">
      <c r="B3" s="41" t="s">
        <v>197</v>
      </c>
      <c r="C3" s="41" t="s">
        <v>210</v>
      </c>
    </row>
    <row r="4" spans="1:3" x14ac:dyDescent="0.2">
      <c r="B4" s="41" t="s">
        <v>33</v>
      </c>
      <c r="C4" s="57" t="s">
        <v>270</v>
      </c>
    </row>
    <row r="5" spans="1:3" ht="15" x14ac:dyDescent="0.25">
      <c r="B5" s="41" t="s">
        <v>27</v>
      </c>
      <c r="C5"/>
    </row>
    <row r="6" spans="1:3" x14ac:dyDescent="0.2">
      <c r="C6" s="41" t="s">
        <v>228</v>
      </c>
    </row>
    <row r="7" spans="1:3" x14ac:dyDescent="0.2">
      <c r="C7" s="41" t="s">
        <v>229</v>
      </c>
    </row>
    <row r="8" spans="1:3" x14ac:dyDescent="0.2">
      <c r="C8" s="41" t="s">
        <v>230</v>
      </c>
    </row>
    <row r="9" spans="1:3" x14ac:dyDescent="0.2">
      <c r="C9" s="41" t="s">
        <v>231</v>
      </c>
    </row>
    <row r="10" spans="1:3" x14ac:dyDescent="0.2">
      <c r="C10" s="41" t="s">
        <v>232</v>
      </c>
    </row>
    <row r="12" spans="1:3" x14ac:dyDescent="0.2">
      <c r="C12" s="57" t="s">
        <v>271</v>
      </c>
    </row>
    <row r="13" spans="1:3" x14ac:dyDescent="0.2">
      <c r="C13" s="57" t="s">
        <v>272</v>
      </c>
    </row>
    <row r="14" spans="1:3" x14ac:dyDescent="0.2">
      <c r="C14" s="57" t="s">
        <v>273</v>
      </c>
    </row>
    <row r="15" spans="1:3" x14ac:dyDescent="0.2">
      <c r="C15" s="57" t="s">
        <v>277</v>
      </c>
    </row>
    <row r="16" spans="1:3" x14ac:dyDescent="0.2">
      <c r="C16" s="57" t="s">
        <v>276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4" bestFit="1" customWidth="1"/>
    <col min="2" max="2" width="11" style="64" bestFit="1" customWidth="1"/>
    <col min="3" max="16384" width="9.140625" style="64"/>
  </cols>
  <sheetData>
    <row r="1" spans="1:3" x14ac:dyDescent="0.2">
      <c r="A1" s="20" t="s">
        <v>78</v>
      </c>
    </row>
    <row r="2" spans="1:3" x14ac:dyDescent="0.2">
      <c r="B2" s="64" t="s">
        <v>151</v>
      </c>
      <c r="C2" s="64" t="s">
        <v>306</v>
      </c>
    </row>
    <row r="3" spans="1:3" x14ac:dyDescent="0.2">
      <c r="B3" s="64" t="s">
        <v>197</v>
      </c>
      <c r="C3" s="64" t="s">
        <v>307</v>
      </c>
    </row>
    <row r="4" spans="1:3" x14ac:dyDescent="0.2">
      <c r="B4" s="64" t="s">
        <v>27</v>
      </c>
    </row>
    <row r="5" spans="1:3" x14ac:dyDescent="0.2">
      <c r="B5" s="64" t="s">
        <v>308</v>
      </c>
      <c r="C5" s="65">
        <v>33581</v>
      </c>
    </row>
    <row r="6" spans="1:3" x14ac:dyDescent="0.2">
      <c r="B6" s="64" t="s">
        <v>33</v>
      </c>
      <c r="C6" s="64" t="s">
        <v>309</v>
      </c>
    </row>
    <row r="7" spans="1:3" x14ac:dyDescent="0.2">
      <c r="B7" s="64" t="s">
        <v>310</v>
      </c>
      <c r="C7" s="64" t="s">
        <v>311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236</v>
      </c>
    </row>
    <row r="3" spans="1:3" x14ac:dyDescent="0.2">
      <c r="B3" s="41" t="s">
        <v>197</v>
      </c>
      <c r="C3" s="41" t="s">
        <v>233</v>
      </c>
    </row>
    <row r="4" spans="1:3" x14ac:dyDescent="0.2">
      <c r="B4" s="41" t="s">
        <v>33</v>
      </c>
      <c r="C4" s="41" t="s">
        <v>237</v>
      </c>
    </row>
    <row r="5" spans="1:3" x14ac:dyDescent="0.2">
      <c r="B5" s="41" t="s">
        <v>27</v>
      </c>
      <c r="C5" s="41" t="s">
        <v>238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2023-02-14T08:06:39Z</dcterms:modified>
</cp:coreProperties>
</file>