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7BCBD723-5F3E-4899-8267-241BDA095BEF}" xr6:coauthVersionLast="47" xr6:coauthVersionMax="47" xr10:uidLastSave="{00000000-0000-0000-0000-000000000000}"/>
  <bookViews>
    <workbookView xWindow="-37905" yWindow="45" windowWidth="37950" windowHeight="20850" xr2:uid="{1DFF4005-BD0C-4C09-A1C4-CA5C3CA974D5}"/>
  </bookViews>
  <sheets>
    <sheet name="Main" sheetId="1" r:id="rId1"/>
    <sheet name="Mode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26" i="2" l="1"/>
  <c r="AN28" i="2"/>
  <c r="AM29" i="2"/>
  <c r="AN31" i="2"/>
  <c r="AM31" i="2"/>
  <c r="AM30" i="2" s="1"/>
  <c r="AM28" i="2"/>
  <c r="AM26" i="2"/>
  <c r="AG33" i="2"/>
  <c r="AH34" i="2"/>
  <c r="AH33" i="2"/>
  <c r="AI34" i="2"/>
  <c r="AI33" i="2"/>
  <c r="AJ34" i="2"/>
  <c r="AJ33" i="2"/>
  <c r="AH26" i="2"/>
  <c r="AI26" i="2"/>
  <c r="AH27" i="2"/>
  <c r="AH29" i="2" s="1"/>
  <c r="AH30" i="2" s="1"/>
  <c r="AH24" i="2"/>
  <c r="AH25" i="2" s="1"/>
  <c r="AH21" i="2"/>
  <c r="AI24" i="2"/>
  <c r="AI25" i="2" s="1"/>
  <c r="AI21" i="2"/>
  <c r="AI11" i="2"/>
  <c r="AI10" i="2"/>
  <c r="AI5" i="2"/>
  <c r="AJ11" i="2"/>
  <c r="AJ10" i="2"/>
  <c r="AJ5" i="2"/>
  <c r="AK4" i="2"/>
  <c r="AL4" i="2"/>
  <c r="AJ30" i="2"/>
  <c r="AJ29" i="2"/>
  <c r="AL26" i="2"/>
  <c r="AK26" i="2"/>
  <c r="AN27" i="2"/>
  <c r="AM27" i="2"/>
  <c r="AJ27" i="2"/>
  <c r="AJ26" i="2"/>
  <c r="AN24" i="2"/>
  <c r="AN25" i="2" s="1"/>
  <c r="AM24" i="2"/>
  <c r="AM25" i="2" s="1"/>
  <c r="AL24" i="2"/>
  <c r="AK24" i="2"/>
  <c r="AJ24" i="2"/>
  <c r="AJ25" i="2" s="1"/>
  <c r="AN23" i="2"/>
  <c r="AM23" i="2"/>
  <c r="AN22" i="2"/>
  <c r="AM22" i="2"/>
  <c r="AN21" i="2"/>
  <c r="AN34" i="2" s="1"/>
  <c r="AN20" i="2"/>
  <c r="AM21" i="2"/>
  <c r="AM34" i="2" s="1"/>
  <c r="AM20" i="2"/>
  <c r="AJ21" i="2"/>
  <c r="AL19" i="2"/>
  <c r="AL21" i="2" s="1"/>
  <c r="AL34" i="2" s="1"/>
  <c r="AK19" i="2"/>
  <c r="AK33" i="2" s="1"/>
  <c r="AN33" i="2"/>
  <c r="AL11" i="2"/>
  <c r="AK11" i="2"/>
  <c r="AL10" i="2"/>
  <c r="AK10" i="2"/>
  <c r="AN10" i="2"/>
  <c r="AN19" i="2" s="1"/>
  <c r="AM10" i="2"/>
  <c r="AM19" i="2" s="1"/>
  <c r="AK5" i="2"/>
  <c r="AL5" i="2"/>
  <c r="AM18" i="2"/>
  <c r="AM17" i="2"/>
  <c r="AM16" i="2"/>
  <c r="AM15" i="2"/>
  <c r="AM14" i="2"/>
  <c r="AM13" i="2"/>
  <c r="AM12" i="2"/>
  <c r="AM11" i="2"/>
  <c r="AM9" i="2"/>
  <c r="AM8" i="2"/>
  <c r="AM7" i="2"/>
  <c r="AM6" i="2"/>
  <c r="AM5" i="2"/>
  <c r="AM4" i="2"/>
  <c r="AN18" i="2"/>
  <c r="AN17" i="2"/>
  <c r="AN16" i="2"/>
  <c r="AN15" i="2"/>
  <c r="AN14" i="2"/>
  <c r="AN13" i="2"/>
  <c r="AN12" i="2"/>
  <c r="AN11" i="2"/>
  <c r="AN9" i="2"/>
  <c r="AN8" i="2"/>
  <c r="AN7" i="2"/>
  <c r="AN6" i="2"/>
  <c r="AN5" i="2"/>
  <c r="AN4" i="2"/>
  <c r="AJ3" i="2"/>
  <c r="AK3" i="2" s="1"/>
  <c r="AL3" i="2" s="1"/>
  <c r="AM3" i="2" s="1"/>
  <c r="AN3" i="2" s="1"/>
  <c r="AO3" i="2" s="1"/>
  <c r="Y3" i="2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X3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1" i="2"/>
  <c r="N30" i="2"/>
  <c r="N28" i="2"/>
  <c r="N29" i="2"/>
  <c r="N27" i="2"/>
  <c r="N26" i="2"/>
  <c r="N25" i="2"/>
  <c r="N24" i="2"/>
  <c r="N23" i="2"/>
  <c r="N22" i="2"/>
  <c r="N20" i="2"/>
  <c r="N21" i="2"/>
  <c r="N34" i="2" s="1"/>
  <c r="M34" i="2"/>
  <c r="L34" i="2"/>
  <c r="K34" i="2"/>
  <c r="J34" i="2"/>
  <c r="I34" i="2"/>
  <c r="H34" i="2"/>
  <c r="G34" i="2"/>
  <c r="H19" i="2"/>
  <c r="L19" i="2"/>
  <c r="L33" i="2"/>
  <c r="H26" i="2"/>
  <c r="L26" i="2"/>
  <c r="L24" i="2"/>
  <c r="L21" i="2"/>
  <c r="L25" i="2" s="1"/>
  <c r="L27" i="2" s="1"/>
  <c r="L29" i="2" s="1"/>
  <c r="L30" i="2" s="1"/>
  <c r="M53" i="2"/>
  <c r="M51" i="2"/>
  <c r="M49" i="2"/>
  <c r="M54" i="2" s="1"/>
  <c r="M42" i="2"/>
  <c r="M37" i="2"/>
  <c r="M44" i="2" s="1"/>
  <c r="I26" i="2"/>
  <c r="M33" i="2"/>
  <c r="M26" i="2"/>
  <c r="M24" i="2"/>
  <c r="M21" i="2"/>
  <c r="J26" i="2"/>
  <c r="J19" i="2"/>
  <c r="J21" i="2" s="1"/>
  <c r="G26" i="2"/>
  <c r="K26" i="2"/>
  <c r="I21" i="2"/>
  <c r="H21" i="2"/>
  <c r="J24" i="2"/>
  <c r="I24" i="2"/>
  <c r="H24" i="2"/>
  <c r="G24" i="2"/>
  <c r="K24" i="2"/>
  <c r="G19" i="2"/>
  <c r="G21" i="2" s="1"/>
  <c r="K19" i="2"/>
  <c r="L7" i="1"/>
  <c r="L4" i="1"/>
  <c r="AN29" i="2" l="1"/>
  <c r="AN30" i="2" s="1"/>
  <c r="AI27" i="2"/>
  <c r="AI29" i="2" s="1"/>
  <c r="AI30" i="2" s="1"/>
  <c r="AM33" i="2"/>
  <c r="AL33" i="2"/>
  <c r="AK21" i="2"/>
  <c r="AK34" i="2" s="1"/>
  <c r="AL25" i="2"/>
  <c r="AL27" i="2"/>
  <c r="AL29" i="2" s="1"/>
  <c r="AL30" i="2" s="1"/>
  <c r="M25" i="2"/>
  <c r="M27" i="2" s="1"/>
  <c r="M29" i="2" s="1"/>
  <c r="M30" i="2" s="1"/>
  <c r="K33" i="2"/>
  <c r="N19" i="2"/>
  <c r="N33" i="2" s="1"/>
  <c r="M36" i="2"/>
  <c r="G25" i="2"/>
  <c r="G27" i="2" s="1"/>
  <c r="G29" i="2" s="1"/>
  <c r="G30" i="2" s="1"/>
  <c r="H25" i="2"/>
  <c r="H27" i="2" s="1"/>
  <c r="H29" i="2" s="1"/>
  <c r="H30" i="2" s="1"/>
  <c r="I25" i="2"/>
  <c r="I27" i="2" s="1"/>
  <c r="I29" i="2" s="1"/>
  <c r="I30" i="2" s="1"/>
  <c r="K21" i="2"/>
  <c r="K25" i="2" s="1"/>
  <c r="K27" i="2" s="1"/>
  <c r="K29" i="2" s="1"/>
  <c r="K30" i="2" s="1"/>
  <c r="J25" i="2"/>
  <c r="J27" i="2" s="1"/>
  <c r="J29" i="2" s="1"/>
  <c r="J30" i="2" s="1"/>
  <c r="AK25" i="2" l="1"/>
  <c r="AK27" i="2" s="1"/>
  <c r="AK29" i="2" s="1"/>
  <c r="AK3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tc={DEC28CAE-3B18-448E-9B03-42CBC7D02E25}</author>
  </authors>
  <commentList>
    <comment ref="AI19" authorId="0" shapeId="0" xr:uid="{DEC28CAE-3B18-448E-9B03-42CBC7D02E25}">
      <text>
        <t>[Threaded comment]
Your version of Excel allows you to read this threaded comment; however, any edits to it will get removed if the file is opened in a newer version of Excel. Learn more: https://go.microsoft.com/fwlink/?linkid=870924
Comment:
    STJ acquisition</t>
      </text>
    </comment>
  </commentList>
</comments>
</file>

<file path=xl/sharedStrings.xml><?xml version="1.0" encoding="utf-8"?>
<sst xmlns="http://schemas.openxmlformats.org/spreadsheetml/2006/main" count="74" uniqueCount="67">
  <si>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</si>
  <si>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</si>
  <si>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</si>
  <si>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</si>
  <si>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</si>
  <si>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</si>
  <si>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</si>
  <si>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</si>
  <si>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</si>
  <si>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</si>
  <si>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</si>
  <si>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</si>
  <si>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</si>
  <si>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</si>
  <si>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</si>
  <si>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</si>
  <si>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</si>
  <si>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</si>
  <si>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</si>
  <si>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</si>
  <si>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Diabetes</t>
  </si>
  <si>
    <t>Rapid Diagnostics</t>
  </si>
  <si>
    <t>Core Lab</t>
  </si>
  <si>
    <t>Molecular Dx</t>
  </si>
  <si>
    <t>PoC Dx</t>
  </si>
  <si>
    <t>Neuromodulation</t>
  </si>
  <si>
    <t>Structural Heart</t>
  </si>
  <si>
    <t>Vascular</t>
  </si>
  <si>
    <t>Heart Failure</t>
  </si>
  <si>
    <t>Electrophysiology</t>
  </si>
  <si>
    <t>Rhythm</t>
  </si>
  <si>
    <t>Adult Nutritionals</t>
  </si>
  <si>
    <t>Pediatric Nutritionals</t>
  </si>
  <si>
    <t>Pharma</t>
  </si>
  <si>
    <t>Other</t>
  </si>
  <si>
    <t>Operating Expenses</t>
  </si>
  <si>
    <t>Operating Income</t>
  </si>
  <si>
    <t>COGS</t>
  </si>
  <si>
    <t>Gross Profit</t>
  </si>
  <si>
    <t>SG&amp;A</t>
  </si>
  <si>
    <t>R&amp;D</t>
  </si>
  <si>
    <t>Interest Income</t>
  </si>
  <si>
    <t>Pretax Income</t>
  </si>
  <si>
    <t>Taxes</t>
  </si>
  <si>
    <t>Net Income</t>
  </si>
  <si>
    <t>EPS</t>
  </si>
  <si>
    <t>Revenue Growth</t>
  </si>
  <si>
    <t>Q123</t>
  </si>
  <si>
    <t>Q223</t>
  </si>
  <si>
    <t>Q323</t>
  </si>
  <si>
    <t>Q423</t>
  </si>
  <si>
    <t>AP</t>
  </si>
  <si>
    <t>Salaries</t>
  </si>
  <si>
    <t>AL</t>
  </si>
  <si>
    <t>Dividends</t>
  </si>
  <si>
    <t>Pension</t>
  </si>
  <si>
    <t>SE+NCI</t>
  </si>
  <si>
    <t>AR</t>
  </si>
  <si>
    <t>Inventories</t>
  </si>
  <si>
    <t>Prepaids</t>
  </si>
  <si>
    <t>Goodwill</t>
  </si>
  <si>
    <t>PP&amp;E</t>
  </si>
  <si>
    <t>DT</t>
  </si>
  <si>
    <t>Assets</t>
  </si>
  <si>
    <t>L+SE</t>
  </si>
  <si>
    <t>Net Debt</t>
  </si>
  <si>
    <t>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</si>
</sst>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0" fontId="2" fillId="0" borderId="0" xfId="1"/>
    <xf numFmtId="9" fontId="0" fillId="0" borderId="0" xfId="0" applyNumberFormat="1" applyAlignment="1">
      <alignment horizontal="right"/>
    </xf>
    <xf numFmtId="9" fontId="1" fillId="0" borderId="0" xfId="0" applyNumberFormat="1" applyFon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11907</xdr:colOff>
      <xdr:row>0</xdr:row>
      <xdr:rowOff>0</xdr:rowOff>
    </xdr:from>
    <xdr:to>
      <xdr:col>13</xdr:col>
      <xdr:colOff>11907</xdr:colOff>
      <xdr:row>56</xdr:row>
      <xdr:rowOff>29764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3B7D2B6-EE12-C73C-03DF-8EB2CB34AD53}"/>
            </a:ext>
          </a:extLst>
        </xdr:cNvPr>
        <xdr:cNvCxnSpPr/>
      </xdr:nvCxnSpPr>
      <xdr:spPr>
        <a:xfrm>
          <a:off x="8215313" y="0"/>
          <a:ext cx="0" cy="903088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15479</xdr:colOff>
      <xdr:row>0</xdr:row>
      <xdr:rowOff>0</xdr:rowOff>
    </xdr:from>
    <xdr:to>
      <xdr:col>39</xdr:col>
      <xdr:colOff>15479</xdr:colOff>
      <xdr:row>56</xdr:row>
      <xdr:rowOff>29764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CB05243-6FE7-4A1D-B9B1-1E4090294687}"/>
            </a:ext>
          </a:extLst>
        </xdr:cNvPr>
        <xdr:cNvCxnSpPr/>
      </xdr:nvCxnSpPr>
      <xdr:spPr>
        <a:xfrm>
          <a:off x="24006573" y="0"/>
          <a:ext cx="0" cy="903088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2F949183-79EC-44FB-BA6D-BE13BEB03E9C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I19" dT="2023-01-07T00:44:46.14" personId="{2F949183-79EC-44FB-BA6D-BE13BEB03E9C}" id="{DEC28CAE-3B18-448E-9B03-42CBC7D02E25}">
    <text>STJ acquisition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5650F-BB24-4124-8C12-116214A91726}">
  <dimension ref="K2:M7"/>
  <sheetViews>
    <sheetView tabSelected="1" zoomScale="190" zoomScaleNormal="190" workbookViewId="0">
      <selection activeCell="M6" sqref="M6"/>
    </sheetView>
  </sheetViews>
  <sheetFormatPr defaultRowHeight="12.75" x14ac:dyDescent="0.2"/>
  <sheetData>
    <row r="2" spans="11:13" x14ac:dyDescent="0.2">
      <c r="K2" t="s">
        <v>0</v>
      </c>
      <c r="L2" s="1">
        <v>112.33</v>
      </c>
    </row>
    <row r="3" spans="11:13" x14ac:dyDescent="0.2">
      <c r="K3" t="s">
        <v>1</v>
      </c>
      <c r="L3" s="2">
        <v>1743.5737770000001</v>
      </c>
      <c r="M3" s="3" t="s">
        <v>18</v>
      </c>
    </row>
    <row r="4" spans="11:13" x14ac:dyDescent="0.2">
      <c r="K4" t="s">
        <v>2</v>
      </c>
      <c r="L4" s="2">
        <f>+L2*L3</f>
        <v>195855.64237041</v>
      </c>
    </row>
    <row r="5" spans="11:13" x14ac:dyDescent="0.2">
      <c r="K5" t="s">
        <v>3</v>
      </c>
      <c r="L5" s="2">
        <v>10671</v>
      </c>
      <c r="M5" s="3" t="s">
        <v>18</v>
      </c>
    </row>
    <row r="6" spans="11:13" x14ac:dyDescent="0.2">
      <c r="K6" t="s">
        <v>4</v>
      </c>
      <c r="L6" s="2">
        <v>16414</v>
      </c>
      <c r="M6" s="3" t="s">
        <v>18</v>
      </c>
    </row>
    <row r="7" spans="11:13" x14ac:dyDescent="0.2">
      <c r="K7" t="s">
        <v>5</v>
      </c>
      <c r="L7" s="2">
        <f>+L4-L5+L6</f>
        <v>201598.64237041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BD345-0DC4-47FD-B223-F1519D82AF4D}">
  <dimension ref="A1:AO54"/>
  <sheetViews>
    <sheetView zoomScale="190" zoomScaleNormal="190" workbookViewId="0">
      <pane xSplit="2" ySplit="3" topLeftCell="G34" activePane="bottomRight" state="frozen"/>
      <selection pane="topRight" activeCell="C1" sqref="C1"/>
      <selection pane="bottomLeft" activeCell="A4" sqref="A4"/>
      <selection pane="bottomRight" activeCell="G34" sqref="G34"/>
    </sheetView>
  </sheetViews>
  <sheetFormatPr defaultRowHeight="12.75" x14ac:dyDescent="0.2"/>
  <cols>
    <col min="1" max="1" width="5" bestFit="1" customWidth="1"/>
    <col min="2" max="2" width="17.85546875" customWidth="1"/>
    <col min="3" max="14" width="9.140625" style="3"/>
  </cols>
  <sheetData>
    <row r="1" spans="1:41" x14ac:dyDescent="0.2">
      <c r="A1" s="11" t="s">
        <v>7</v>
      </c>
    </row>
    <row r="3" spans="1:41" x14ac:dyDescent="0.2"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3" t="s">
        <v>15</v>
      </c>
      <c r="J3" s="3" t="s">
        <v>16</v>
      </c>
      <c r="K3" s="3" t="s">
        <v>6</v>
      </c>
      <c r="L3" s="3" t="s">
        <v>17</v>
      </c>
      <c r="M3" s="3" t="s">
        <v>18</v>
      </c>
      <c r="N3" s="3" t="s">
        <v>19</v>
      </c>
      <c r="O3" s="3" t="s">
        <v>47</v>
      </c>
      <c r="P3" s="3" t="s">
        <v>48</v>
      </c>
      <c r="Q3" s="3" t="s">
        <v>49</v>
      </c>
      <c r="R3" s="3" t="s">
        <v>50</v>
      </c>
      <c r="W3">
        <v>2005</v>
      </c>
      <c r="X3">
        <f>+W3+1</f>
        <v>2006</v>
      </c>
      <c r="Y3">
        <f t="shared" ref="Y3:AO3" si="0">+X3+1</f>
        <v>2007</v>
      </c>
      <c r="Z3">
        <f t="shared" si="0"/>
        <v>2008</v>
      </c>
      <c r="AA3">
        <f t="shared" si="0"/>
        <v>2009</v>
      </c>
      <c r="AB3">
        <f t="shared" si="0"/>
        <v>2010</v>
      </c>
      <c r="AC3">
        <f t="shared" si="0"/>
        <v>2011</v>
      </c>
      <c r="AD3">
        <f t="shared" si="0"/>
        <v>2012</v>
      </c>
      <c r="AE3">
        <f t="shared" si="0"/>
        <v>2013</v>
      </c>
      <c r="AF3">
        <f t="shared" si="0"/>
        <v>2014</v>
      </c>
      <c r="AG3">
        <f t="shared" si="0"/>
        <v>2015</v>
      </c>
      <c r="AH3">
        <f t="shared" si="0"/>
        <v>2016</v>
      </c>
      <c r="AI3">
        <f t="shared" si="0"/>
        <v>2017</v>
      </c>
      <c r="AJ3">
        <f t="shared" si="0"/>
        <v>2018</v>
      </c>
      <c r="AK3">
        <f t="shared" si="0"/>
        <v>2019</v>
      </c>
      <c r="AL3">
        <f t="shared" si="0"/>
        <v>2020</v>
      </c>
      <c r="AM3">
        <f t="shared" si="0"/>
        <v>2021</v>
      </c>
      <c r="AN3">
        <f t="shared" si="0"/>
        <v>2022</v>
      </c>
      <c r="AO3">
        <f t="shared" si="0"/>
        <v>2023</v>
      </c>
    </row>
    <row r="4" spans="1:41" s="2" customFormat="1" x14ac:dyDescent="0.2">
      <c r="B4" s="2" t="s">
        <v>34</v>
      </c>
      <c r="C4" s="4"/>
      <c r="D4" s="4"/>
      <c r="E4" s="4"/>
      <c r="F4" s="4"/>
      <c r="G4" s="4">
        <v>16</v>
      </c>
      <c r="H4" s="4">
        <v>22</v>
      </c>
      <c r="I4" s="4">
        <v>11</v>
      </c>
      <c r="J4" s="4">
        <v>3</v>
      </c>
      <c r="K4" s="4">
        <v>3</v>
      </c>
      <c r="L4" s="4">
        <v>2</v>
      </c>
      <c r="M4" s="4">
        <v>3</v>
      </c>
      <c r="N4" s="4">
        <f>+J4*0.95</f>
        <v>2.8499999999999996</v>
      </c>
      <c r="AK4" s="2">
        <f>31904-31847</f>
        <v>57</v>
      </c>
      <c r="AL4" s="2">
        <f>34608-34542</f>
        <v>66</v>
      </c>
      <c r="AM4" s="2">
        <f>SUM(G4:J4)</f>
        <v>52</v>
      </c>
      <c r="AN4" s="2">
        <f>SUM(K4:N4)</f>
        <v>10.85</v>
      </c>
    </row>
    <row r="5" spans="1:41" s="2" customFormat="1" x14ac:dyDescent="0.2">
      <c r="B5" s="2" t="s">
        <v>33</v>
      </c>
      <c r="C5" s="4"/>
      <c r="D5" s="4"/>
      <c r="E5" s="4"/>
      <c r="F5" s="4"/>
      <c r="G5" s="4">
        <v>1070</v>
      </c>
      <c r="H5" s="4">
        <v>1180</v>
      </c>
      <c r="I5" s="4">
        <v>1265</v>
      </c>
      <c r="J5" s="4">
        <v>1203</v>
      </c>
      <c r="K5" s="4">
        <v>1147</v>
      </c>
      <c r="L5" s="4">
        <v>1223</v>
      </c>
      <c r="M5" s="4">
        <v>1326</v>
      </c>
      <c r="N5" s="4">
        <f t="shared" ref="N5:N18" si="1">+J5*0.95</f>
        <v>1142.8499999999999</v>
      </c>
      <c r="AI5" s="2">
        <f>3307+980</f>
        <v>4287</v>
      </c>
      <c r="AJ5" s="2">
        <f>3363+1059</f>
        <v>4422</v>
      </c>
      <c r="AK5" s="2">
        <f>3392+1094</f>
        <v>4486</v>
      </c>
      <c r="AL5" s="2">
        <f>3209+1094</f>
        <v>4303</v>
      </c>
      <c r="AM5" s="2">
        <f t="shared" ref="AM5:AM20" si="2">SUM(G5:J5)</f>
        <v>4718</v>
      </c>
      <c r="AN5" s="2">
        <f t="shared" ref="AN5:AN20" si="3">SUM(K5:N5)</f>
        <v>4838.8500000000004</v>
      </c>
    </row>
    <row r="6" spans="1:41" s="2" customFormat="1" x14ac:dyDescent="0.2">
      <c r="B6" s="2" t="s">
        <v>24</v>
      </c>
      <c r="C6" s="4"/>
      <c r="D6" s="4"/>
      <c r="E6" s="4"/>
      <c r="F6" s="4"/>
      <c r="G6" s="4">
        <v>129</v>
      </c>
      <c r="H6" s="4">
        <v>137</v>
      </c>
      <c r="I6" s="4">
        <v>135</v>
      </c>
      <c r="J6" s="4">
        <v>135</v>
      </c>
      <c r="K6" s="4">
        <v>128</v>
      </c>
      <c r="L6" s="4">
        <v>139</v>
      </c>
      <c r="M6" s="4">
        <v>127</v>
      </c>
      <c r="N6" s="4">
        <f t="shared" si="1"/>
        <v>128.25</v>
      </c>
      <c r="AI6" s="2">
        <v>550</v>
      </c>
      <c r="AJ6" s="2">
        <v>553</v>
      </c>
      <c r="AK6" s="2">
        <v>561</v>
      </c>
      <c r="AL6" s="2">
        <v>516</v>
      </c>
      <c r="AM6" s="2">
        <f t="shared" si="2"/>
        <v>536</v>
      </c>
      <c r="AN6" s="2">
        <f t="shared" si="3"/>
        <v>522.25</v>
      </c>
    </row>
    <row r="7" spans="1:41" s="2" customFormat="1" x14ac:dyDescent="0.2">
      <c r="B7" s="2" t="s">
        <v>23</v>
      </c>
      <c r="C7" s="4"/>
      <c r="D7" s="4"/>
      <c r="E7" s="4"/>
      <c r="F7" s="4"/>
      <c r="G7" s="4">
        <v>447</v>
      </c>
      <c r="H7" s="4">
        <v>290</v>
      </c>
      <c r="I7" s="4">
        <v>345</v>
      </c>
      <c r="J7" s="4">
        <v>345</v>
      </c>
      <c r="K7" s="4">
        <v>420</v>
      </c>
      <c r="L7" s="4">
        <v>212</v>
      </c>
      <c r="M7" s="4">
        <v>183</v>
      </c>
      <c r="N7" s="4">
        <f t="shared" si="1"/>
        <v>327.75</v>
      </c>
      <c r="AI7" s="2">
        <v>463</v>
      </c>
      <c r="AJ7" s="2">
        <v>484</v>
      </c>
      <c r="AK7" s="2">
        <v>442</v>
      </c>
      <c r="AL7" s="2">
        <v>1438</v>
      </c>
      <c r="AM7" s="2">
        <f t="shared" si="2"/>
        <v>1427</v>
      </c>
      <c r="AN7" s="2">
        <f t="shared" si="3"/>
        <v>1142.75</v>
      </c>
    </row>
    <row r="8" spans="1:41" s="2" customFormat="1" x14ac:dyDescent="0.2">
      <c r="B8" s="2" t="s">
        <v>22</v>
      </c>
      <c r="C8" s="4"/>
      <c r="D8" s="4"/>
      <c r="E8" s="4"/>
      <c r="F8" s="4"/>
      <c r="G8" s="4">
        <v>1182</v>
      </c>
      <c r="H8" s="4">
        <v>1306</v>
      </c>
      <c r="I8" s="4">
        <v>1292</v>
      </c>
      <c r="J8" s="4">
        <v>1348</v>
      </c>
      <c r="K8" s="4">
        <v>1184</v>
      </c>
      <c r="L8" s="4">
        <v>1221</v>
      </c>
      <c r="M8" s="4">
        <v>1219</v>
      </c>
      <c r="N8" s="4">
        <f t="shared" si="1"/>
        <v>1280.5999999999999</v>
      </c>
      <c r="AI8" s="2">
        <v>4063</v>
      </c>
      <c r="AJ8" s="2">
        <v>4386</v>
      </c>
      <c r="AK8" s="2">
        <v>4656</v>
      </c>
      <c r="AL8" s="2">
        <v>4475</v>
      </c>
      <c r="AM8" s="2">
        <f t="shared" si="2"/>
        <v>5128</v>
      </c>
      <c r="AN8" s="2">
        <f t="shared" si="3"/>
        <v>4904.6000000000004</v>
      </c>
    </row>
    <row r="9" spans="1:41" s="2" customFormat="1" x14ac:dyDescent="0.2">
      <c r="B9" s="2" t="s">
        <v>21</v>
      </c>
      <c r="C9" s="4"/>
      <c r="D9" s="4"/>
      <c r="E9" s="4"/>
      <c r="F9" s="4"/>
      <c r="G9" s="4">
        <v>2256</v>
      </c>
      <c r="H9" s="4">
        <v>1514</v>
      </c>
      <c r="I9" s="4">
        <v>2140</v>
      </c>
      <c r="J9" s="4">
        <v>2643</v>
      </c>
      <c r="K9" s="4">
        <v>3554</v>
      </c>
      <c r="L9" s="4">
        <v>2750</v>
      </c>
      <c r="M9" s="4">
        <v>2142</v>
      </c>
      <c r="N9" s="4">
        <f t="shared" si="1"/>
        <v>2510.85</v>
      </c>
      <c r="AI9" s="2">
        <v>540</v>
      </c>
      <c r="AJ9" s="2">
        <v>2072</v>
      </c>
      <c r="AK9" s="2">
        <v>2054</v>
      </c>
      <c r="AL9" s="2">
        <v>4376</v>
      </c>
      <c r="AM9" s="2">
        <f t="shared" si="2"/>
        <v>8553</v>
      </c>
      <c r="AN9" s="2">
        <f t="shared" si="3"/>
        <v>10956.85</v>
      </c>
    </row>
    <row r="10" spans="1:41" s="2" customFormat="1" x14ac:dyDescent="0.2">
      <c r="B10" s="2" t="s">
        <v>32</v>
      </c>
      <c r="C10" s="4"/>
      <c r="D10" s="4"/>
      <c r="E10" s="4"/>
      <c r="F10" s="4"/>
      <c r="G10" s="4">
        <v>1066</v>
      </c>
      <c r="H10" s="4">
        <v>1093</v>
      </c>
      <c r="I10" s="4">
        <v>1100</v>
      </c>
      <c r="J10" s="4">
        <v>1039</v>
      </c>
      <c r="K10" s="4">
        <v>847</v>
      </c>
      <c r="L10" s="4">
        <v>925</v>
      </c>
      <c r="M10" s="4">
        <v>827</v>
      </c>
      <c r="N10" s="4">
        <f t="shared" si="1"/>
        <v>987.05</v>
      </c>
      <c r="AI10" s="2">
        <f>2112+1777</f>
        <v>3889</v>
      </c>
      <c r="AJ10" s="2">
        <f>1843+2254</f>
        <v>4097</v>
      </c>
      <c r="AK10" s="2">
        <f>1879+2282</f>
        <v>4161</v>
      </c>
      <c r="AL10" s="2">
        <f>2140+1987</f>
        <v>4127</v>
      </c>
      <c r="AM10" s="2">
        <f>SUM(G10:J10)</f>
        <v>4298</v>
      </c>
      <c r="AN10" s="2">
        <f>SUM(K10:N10)</f>
        <v>3586.05</v>
      </c>
    </row>
    <row r="11" spans="1:41" s="2" customFormat="1" x14ac:dyDescent="0.2">
      <c r="B11" s="2" t="s">
        <v>31</v>
      </c>
      <c r="C11" s="4"/>
      <c r="D11" s="4"/>
      <c r="E11" s="4"/>
      <c r="F11" s="4"/>
      <c r="G11" s="4">
        <v>970</v>
      </c>
      <c r="H11" s="4">
        <v>1015</v>
      </c>
      <c r="I11" s="4">
        <v>1008</v>
      </c>
      <c r="J11" s="4">
        <v>1003</v>
      </c>
      <c r="K11" s="4">
        <v>1047</v>
      </c>
      <c r="L11" s="4">
        <v>1028</v>
      </c>
      <c r="M11" s="4">
        <v>968</v>
      </c>
      <c r="N11" s="4">
        <f t="shared" si="1"/>
        <v>952.84999999999991</v>
      </c>
      <c r="AI11" s="2">
        <f>1782+1254</f>
        <v>3036</v>
      </c>
      <c r="AJ11" s="2">
        <f>1900+1232</f>
        <v>3132</v>
      </c>
      <c r="AK11" s="2">
        <f>1231+2017</f>
        <v>3248</v>
      </c>
      <c r="AL11" s="2">
        <f>1292+2228</f>
        <v>3520</v>
      </c>
      <c r="AM11" s="2">
        <f t="shared" si="2"/>
        <v>3996</v>
      </c>
      <c r="AN11" s="2">
        <f t="shared" si="3"/>
        <v>3995.85</v>
      </c>
    </row>
    <row r="12" spans="1:41" s="2" customFormat="1" x14ac:dyDescent="0.2">
      <c r="B12" s="2" t="s">
        <v>25</v>
      </c>
      <c r="C12" s="4"/>
      <c r="D12" s="4"/>
      <c r="E12" s="4"/>
      <c r="F12" s="4"/>
      <c r="G12" s="4">
        <v>184</v>
      </c>
      <c r="H12" s="4">
        <v>210</v>
      </c>
      <c r="I12" s="4">
        <v>190</v>
      </c>
      <c r="J12" s="4">
        <v>197</v>
      </c>
      <c r="K12" s="4">
        <v>179</v>
      </c>
      <c r="L12" s="4">
        <v>197</v>
      </c>
      <c r="M12" s="4">
        <v>192</v>
      </c>
      <c r="N12" s="4">
        <f t="shared" si="1"/>
        <v>187.14999999999998</v>
      </c>
      <c r="AI12" s="2">
        <v>808</v>
      </c>
      <c r="AJ12" s="2">
        <v>864</v>
      </c>
      <c r="AK12" s="2">
        <v>831</v>
      </c>
      <c r="AL12" s="2">
        <v>702</v>
      </c>
      <c r="AM12" s="2">
        <f t="shared" si="2"/>
        <v>781</v>
      </c>
      <c r="AN12" s="2">
        <f t="shared" si="3"/>
        <v>755.15</v>
      </c>
    </row>
    <row r="13" spans="1:41" s="2" customFormat="1" x14ac:dyDescent="0.2">
      <c r="B13" s="2" t="s">
        <v>28</v>
      </c>
      <c r="C13" s="4"/>
      <c r="D13" s="4"/>
      <c r="E13" s="4"/>
      <c r="F13" s="4"/>
      <c r="G13" s="4">
        <v>194</v>
      </c>
      <c r="H13" s="4">
        <v>227</v>
      </c>
      <c r="I13" s="4">
        <v>229</v>
      </c>
      <c r="J13" s="4">
        <v>239</v>
      </c>
      <c r="K13" s="4">
        <v>221</v>
      </c>
      <c r="L13" s="4">
        <v>241</v>
      </c>
      <c r="M13" s="4">
        <v>228</v>
      </c>
      <c r="N13" s="4">
        <f t="shared" si="1"/>
        <v>227.04999999999998</v>
      </c>
      <c r="AI13" s="2">
        <v>643</v>
      </c>
      <c r="AJ13" s="2">
        <v>646</v>
      </c>
      <c r="AK13" s="2">
        <v>769</v>
      </c>
      <c r="AL13" s="2">
        <v>740</v>
      </c>
      <c r="AM13" s="2">
        <f t="shared" si="2"/>
        <v>889</v>
      </c>
      <c r="AN13" s="2">
        <f t="shared" si="3"/>
        <v>917.05</v>
      </c>
    </row>
    <row r="14" spans="1:41" s="2" customFormat="1" x14ac:dyDescent="0.2">
      <c r="B14" s="2" t="s">
        <v>26</v>
      </c>
      <c r="C14" s="4"/>
      <c r="D14" s="4"/>
      <c r="E14" s="4"/>
      <c r="F14" s="4"/>
      <c r="G14" s="4">
        <v>377</v>
      </c>
      <c r="H14" s="4">
        <v>422</v>
      </c>
      <c r="I14" s="4">
        <v>392</v>
      </c>
      <c r="J14" s="4">
        <v>419</v>
      </c>
      <c r="K14" s="4">
        <v>411</v>
      </c>
      <c r="L14" s="4">
        <v>440</v>
      </c>
      <c r="M14" s="4">
        <v>420</v>
      </c>
      <c r="N14" s="4">
        <f t="shared" si="1"/>
        <v>398.04999999999995</v>
      </c>
      <c r="AI14" s="2">
        <v>1083</v>
      </c>
      <c r="AJ14" s="2">
        <v>1239</v>
      </c>
      <c r="AK14" s="2">
        <v>1400</v>
      </c>
      <c r="AL14" s="2">
        <v>1247</v>
      </c>
      <c r="AM14" s="2">
        <f t="shared" si="2"/>
        <v>1610</v>
      </c>
      <c r="AN14" s="2">
        <f t="shared" si="3"/>
        <v>1669.05</v>
      </c>
    </row>
    <row r="15" spans="1:41" s="2" customFormat="1" x14ac:dyDescent="0.2">
      <c r="B15" s="2" t="s">
        <v>29</v>
      </c>
      <c r="C15" s="4"/>
      <c r="D15" s="4"/>
      <c r="E15" s="4"/>
      <c r="F15" s="4"/>
      <c r="G15" s="4">
        <v>431</v>
      </c>
      <c r="H15" s="4">
        <v>487</v>
      </c>
      <c r="I15" s="4">
        <v>485</v>
      </c>
      <c r="J15" s="4">
        <v>504</v>
      </c>
      <c r="K15" s="4">
        <v>485</v>
      </c>
      <c r="L15" s="4">
        <v>486</v>
      </c>
      <c r="M15" s="4">
        <v>469</v>
      </c>
      <c r="N15" s="4">
        <f t="shared" si="1"/>
        <v>478.79999999999995</v>
      </c>
      <c r="AI15" s="2">
        <v>1382</v>
      </c>
      <c r="AJ15" s="2">
        <v>1561</v>
      </c>
      <c r="AK15" s="2">
        <v>1721</v>
      </c>
      <c r="AL15" s="2">
        <v>1578</v>
      </c>
      <c r="AM15" s="2">
        <f t="shared" si="2"/>
        <v>1907</v>
      </c>
      <c r="AN15" s="2">
        <f t="shared" si="3"/>
        <v>1918.8</v>
      </c>
    </row>
    <row r="16" spans="1:41" s="2" customFormat="1" x14ac:dyDescent="0.2">
      <c r="B16" s="2" t="s">
        <v>30</v>
      </c>
      <c r="C16" s="4"/>
      <c r="D16" s="4"/>
      <c r="E16" s="4"/>
      <c r="F16" s="4"/>
      <c r="G16" s="4">
        <v>519</v>
      </c>
      <c r="H16" s="4">
        <v>567</v>
      </c>
      <c r="I16" s="4">
        <v>571</v>
      </c>
      <c r="J16" s="4">
        <v>541</v>
      </c>
      <c r="K16" s="4">
        <v>524</v>
      </c>
      <c r="L16" s="4">
        <v>548</v>
      </c>
      <c r="M16" s="4">
        <v>533</v>
      </c>
      <c r="N16" s="4">
        <f t="shared" si="1"/>
        <v>513.94999999999993</v>
      </c>
      <c r="AI16" s="2">
        <v>2103</v>
      </c>
      <c r="AJ16" s="2">
        <v>2198</v>
      </c>
      <c r="AK16" s="2">
        <v>2144</v>
      </c>
      <c r="AL16" s="2">
        <v>1914</v>
      </c>
      <c r="AM16" s="2">
        <f t="shared" si="2"/>
        <v>2198</v>
      </c>
      <c r="AN16" s="2">
        <f t="shared" si="3"/>
        <v>2118.9499999999998</v>
      </c>
    </row>
    <row r="17" spans="2:40" s="2" customFormat="1" x14ac:dyDescent="0.2">
      <c r="B17" s="2" t="s">
        <v>27</v>
      </c>
      <c r="C17" s="4"/>
      <c r="D17" s="4"/>
      <c r="E17" s="4"/>
      <c r="F17" s="4"/>
      <c r="G17" s="4">
        <v>635</v>
      </c>
      <c r="H17" s="4">
        <v>697</v>
      </c>
      <c r="I17" s="4">
        <v>644</v>
      </c>
      <c r="J17" s="4">
        <v>678</v>
      </c>
      <c r="K17" s="4">
        <v>619</v>
      </c>
      <c r="L17" s="4">
        <v>653</v>
      </c>
      <c r="M17" s="4">
        <v>606</v>
      </c>
      <c r="N17" s="4">
        <f t="shared" si="1"/>
        <v>644.1</v>
      </c>
      <c r="AI17" s="2">
        <v>2892</v>
      </c>
      <c r="AJ17" s="2">
        <v>2929</v>
      </c>
      <c r="AK17" s="2">
        <v>2850</v>
      </c>
      <c r="AL17" s="2">
        <v>2339</v>
      </c>
      <c r="AM17" s="2">
        <f t="shared" si="2"/>
        <v>2654</v>
      </c>
      <c r="AN17" s="2">
        <f t="shared" si="3"/>
        <v>2522.1</v>
      </c>
    </row>
    <row r="18" spans="2:40" s="2" customFormat="1" x14ac:dyDescent="0.2">
      <c r="B18" s="2" t="s">
        <v>20</v>
      </c>
      <c r="C18" s="4"/>
      <c r="D18" s="4"/>
      <c r="E18" s="4"/>
      <c r="F18" s="4"/>
      <c r="G18" s="4">
        <v>980</v>
      </c>
      <c r="H18" s="4">
        <v>1056</v>
      </c>
      <c r="I18" s="4">
        <v>1121</v>
      </c>
      <c r="J18" s="4">
        <v>1171</v>
      </c>
      <c r="K18" s="4">
        <v>1126</v>
      </c>
      <c r="L18" s="4">
        <v>1192</v>
      </c>
      <c r="M18" s="4">
        <v>1167</v>
      </c>
      <c r="N18" s="4">
        <f t="shared" si="1"/>
        <v>1112.45</v>
      </c>
      <c r="AJ18" s="2">
        <v>1933</v>
      </c>
      <c r="AK18" s="2">
        <v>2524</v>
      </c>
      <c r="AL18" s="2">
        <v>3267</v>
      </c>
      <c r="AM18" s="2">
        <f t="shared" si="2"/>
        <v>4328</v>
      </c>
      <c r="AN18" s="2">
        <f t="shared" si="3"/>
        <v>4597.45</v>
      </c>
    </row>
    <row r="19" spans="2:40" s="5" customFormat="1" x14ac:dyDescent="0.2">
      <c r="B19" s="5" t="s">
        <v>8</v>
      </c>
      <c r="C19" s="6"/>
      <c r="D19" s="6"/>
      <c r="E19" s="6"/>
      <c r="F19" s="6"/>
      <c r="G19" s="6">
        <f t="shared" ref="G19:J19" si="4">SUM(G4:G18)</f>
        <v>10456</v>
      </c>
      <c r="H19" s="6">
        <f t="shared" si="4"/>
        <v>10223</v>
      </c>
      <c r="I19" s="6">
        <v>10928</v>
      </c>
      <c r="J19" s="6">
        <f t="shared" si="4"/>
        <v>11468</v>
      </c>
      <c r="K19" s="6">
        <f>SUM(K4:K18)</f>
        <v>11895</v>
      </c>
      <c r="L19" s="6">
        <f>SUM(L4:L18)</f>
        <v>11257</v>
      </c>
      <c r="M19" s="6">
        <v>10410</v>
      </c>
      <c r="N19" s="6">
        <f>+J19*0.95</f>
        <v>10894.6</v>
      </c>
      <c r="AF19" s="5">
        <v>20247</v>
      </c>
      <c r="AG19" s="5">
        <v>20405</v>
      </c>
      <c r="AH19" s="5">
        <v>20853</v>
      </c>
      <c r="AI19" s="5">
        <v>27390</v>
      </c>
      <c r="AJ19" s="5">
        <v>30578</v>
      </c>
      <c r="AK19" s="5">
        <f>SUM(AK4:AK18)</f>
        <v>31904</v>
      </c>
      <c r="AL19" s="5">
        <f>SUM(AL4:AL18)</f>
        <v>34608</v>
      </c>
      <c r="AM19" s="5">
        <f>SUM(AM4:AM18)</f>
        <v>43075</v>
      </c>
      <c r="AN19" s="5">
        <f>SUM(AN4:AN18)</f>
        <v>44456.6</v>
      </c>
    </row>
    <row r="20" spans="2:40" s="2" customFormat="1" x14ac:dyDescent="0.2">
      <c r="B20" s="2" t="s">
        <v>37</v>
      </c>
      <c r="C20" s="4"/>
      <c r="D20" s="4"/>
      <c r="E20" s="4"/>
      <c r="F20" s="4"/>
      <c r="G20" s="4">
        <v>4401</v>
      </c>
      <c r="H20" s="4">
        <v>4947</v>
      </c>
      <c r="I20" s="4">
        <v>4423</v>
      </c>
      <c r="J20" s="4">
        <v>4766</v>
      </c>
      <c r="K20" s="4">
        <v>4987</v>
      </c>
      <c r="L20" s="4">
        <v>4933</v>
      </c>
      <c r="M20" s="4">
        <v>4629</v>
      </c>
      <c r="N20" s="4">
        <f>+N19-N21</f>
        <v>4793.6239999999998</v>
      </c>
      <c r="AH20" s="2">
        <v>9094</v>
      </c>
      <c r="AI20" s="2">
        <v>12409</v>
      </c>
      <c r="AJ20" s="2">
        <v>12706</v>
      </c>
      <c r="AK20" s="2">
        <v>13231</v>
      </c>
      <c r="AL20" s="2">
        <v>15003</v>
      </c>
      <c r="AM20" s="2">
        <f t="shared" si="2"/>
        <v>18537</v>
      </c>
      <c r="AN20" s="2">
        <f t="shared" si="3"/>
        <v>19342.624</v>
      </c>
    </row>
    <row r="21" spans="2:40" s="2" customFormat="1" x14ac:dyDescent="0.2">
      <c r="B21" s="2" t="s">
        <v>38</v>
      </c>
      <c r="C21" s="4"/>
      <c r="D21" s="4"/>
      <c r="E21" s="4"/>
      <c r="F21" s="4"/>
      <c r="G21" s="4">
        <f t="shared" ref="G21:J21" si="5">+G19-G20</f>
        <v>6055</v>
      </c>
      <c r="H21" s="4">
        <f t="shared" si="5"/>
        <v>5276</v>
      </c>
      <c r="I21" s="4">
        <f t="shared" si="5"/>
        <v>6505</v>
      </c>
      <c r="J21" s="4">
        <f t="shared" si="5"/>
        <v>6702</v>
      </c>
      <c r="K21" s="4">
        <f>+K19-K20</f>
        <v>6908</v>
      </c>
      <c r="L21" s="4">
        <f>+L19-L20</f>
        <v>6324</v>
      </c>
      <c r="M21" s="4">
        <f>+M19-M20</f>
        <v>5781</v>
      </c>
      <c r="N21" s="4">
        <f>+N19*0.56</f>
        <v>6100.9760000000006</v>
      </c>
      <c r="AH21" s="2">
        <f t="shared" ref="AH21:AN21" si="6">+AH19-AH20</f>
        <v>11759</v>
      </c>
      <c r="AI21" s="2">
        <f t="shared" si="6"/>
        <v>14981</v>
      </c>
      <c r="AJ21" s="2">
        <f t="shared" si="6"/>
        <v>17872</v>
      </c>
      <c r="AK21" s="2">
        <f t="shared" si="6"/>
        <v>18673</v>
      </c>
      <c r="AL21" s="2">
        <f t="shared" si="6"/>
        <v>19605</v>
      </c>
      <c r="AM21" s="2">
        <f t="shared" si="6"/>
        <v>24538</v>
      </c>
      <c r="AN21" s="2">
        <f t="shared" si="6"/>
        <v>25113.975999999999</v>
      </c>
    </row>
    <row r="22" spans="2:40" s="2" customFormat="1" x14ac:dyDescent="0.2">
      <c r="B22" s="2" t="s">
        <v>39</v>
      </c>
      <c r="C22" s="4"/>
      <c r="D22" s="4"/>
      <c r="E22" s="4"/>
      <c r="F22" s="4"/>
      <c r="G22" s="4">
        <v>2783</v>
      </c>
      <c r="H22" s="4">
        <v>2726</v>
      </c>
      <c r="I22" s="4">
        <v>2767</v>
      </c>
      <c r="J22" s="4">
        <v>3048</v>
      </c>
      <c r="K22" s="4">
        <v>2787</v>
      </c>
      <c r="L22" s="4">
        <v>2757</v>
      </c>
      <c r="M22" s="4">
        <v>2731</v>
      </c>
      <c r="N22" s="4">
        <f>+J22</f>
        <v>3048</v>
      </c>
      <c r="AH22" s="2">
        <v>6736</v>
      </c>
      <c r="AI22" s="2">
        <v>9182</v>
      </c>
      <c r="AJ22" s="2">
        <v>9744</v>
      </c>
      <c r="AK22" s="2">
        <v>9765</v>
      </c>
      <c r="AL22" s="2">
        <v>9696</v>
      </c>
      <c r="AM22" s="2">
        <f t="shared" ref="AM22:AM23" si="7">SUM(G22:J22)</f>
        <v>11324</v>
      </c>
      <c r="AN22" s="2">
        <f t="shared" ref="AN22:AN23" si="8">SUM(K22:N22)</f>
        <v>11323</v>
      </c>
    </row>
    <row r="23" spans="2:40" s="2" customFormat="1" x14ac:dyDescent="0.2">
      <c r="B23" s="2" t="s">
        <v>40</v>
      </c>
      <c r="C23" s="4"/>
      <c r="D23" s="4"/>
      <c r="E23" s="4"/>
      <c r="F23" s="4"/>
      <c r="G23" s="4">
        <v>654</v>
      </c>
      <c r="H23" s="4">
        <v>654</v>
      </c>
      <c r="I23" s="4">
        <v>672</v>
      </c>
      <c r="J23" s="4">
        <v>762</v>
      </c>
      <c r="K23" s="4">
        <v>697</v>
      </c>
      <c r="L23" s="4">
        <v>684</v>
      </c>
      <c r="M23" s="4">
        <v>782</v>
      </c>
      <c r="N23" s="4">
        <f>+J23</f>
        <v>762</v>
      </c>
      <c r="AH23" s="2">
        <v>1447</v>
      </c>
      <c r="AI23" s="2">
        <v>2260</v>
      </c>
      <c r="AJ23" s="2">
        <v>2300</v>
      </c>
      <c r="AK23" s="2">
        <v>2440</v>
      </c>
      <c r="AL23" s="2">
        <v>2420</v>
      </c>
      <c r="AM23" s="2">
        <f t="shared" si="7"/>
        <v>2742</v>
      </c>
      <c r="AN23" s="2">
        <f t="shared" si="8"/>
        <v>2925</v>
      </c>
    </row>
    <row r="24" spans="2:40" s="2" customFormat="1" x14ac:dyDescent="0.2">
      <c r="B24" s="2" t="s">
        <v>35</v>
      </c>
      <c r="C24" s="4"/>
      <c r="D24" s="4"/>
      <c r="E24" s="4"/>
      <c r="F24" s="4"/>
      <c r="G24" s="4">
        <f t="shared" ref="G24:J24" si="9">+G22+G23</f>
        <v>3437</v>
      </c>
      <c r="H24" s="4">
        <f t="shared" si="9"/>
        <v>3380</v>
      </c>
      <c r="I24" s="4">
        <f t="shared" si="9"/>
        <v>3439</v>
      </c>
      <c r="J24" s="4">
        <f t="shared" si="9"/>
        <v>3810</v>
      </c>
      <c r="K24" s="4">
        <f>+K22+K23</f>
        <v>3484</v>
      </c>
      <c r="L24" s="4">
        <f>+L22+L23</f>
        <v>3441</v>
      </c>
      <c r="M24" s="4">
        <f>+M22+M23</f>
        <v>3513</v>
      </c>
      <c r="N24" s="4">
        <f>+N22+N23</f>
        <v>3810</v>
      </c>
      <c r="AH24" s="4">
        <f>+AH22+AH23</f>
        <v>8183</v>
      </c>
      <c r="AI24" s="4">
        <f>+AI22+AI23</f>
        <v>11442</v>
      </c>
      <c r="AJ24" s="4">
        <f>+AJ22+AJ23</f>
        <v>12044</v>
      </c>
      <c r="AK24" s="4">
        <f t="shared" ref="AK24:AN24" si="10">+AK22+AK23</f>
        <v>12205</v>
      </c>
      <c r="AL24" s="4">
        <f t="shared" si="10"/>
        <v>12116</v>
      </c>
      <c r="AM24" s="4">
        <f t="shared" si="10"/>
        <v>14066</v>
      </c>
      <c r="AN24" s="4">
        <f t="shared" si="10"/>
        <v>14248</v>
      </c>
    </row>
    <row r="25" spans="2:40" s="2" customFormat="1" x14ac:dyDescent="0.2">
      <c r="B25" s="2" t="s">
        <v>36</v>
      </c>
      <c r="C25" s="4"/>
      <c r="D25" s="4"/>
      <c r="E25" s="4"/>
      <c r="F25" s="4"/>
      <c r="G25" s="4">
        <f t="shared" ref="G25:J25" si="11">+G21-G24</f>
        <v>2618</v>
      </c>
      <c r="H25" s="4">
        <f t="shared" si="11"/>
        <v>1896</v>
      </c>
      <c r="I25" s="4">
        <f t="shared" si="11"/>
        <v>3066</v>
      </c>
      <c r="J25" s="4">
        <f t="shared" si="11"/>
        <v>2892</v>
      </c>
      <c r="K25" s="4">
        <f>+K21-K24</f>
        <v>3424</v>
      </c>
      <c r="L25" s="4">
        <f>+L21-L24</f>
        <v>2883</v>
      </c>
      <c r="M25" s="4">
        <f>+M21-M24</f>
        <v>2268</v>
      </c>
      <c r="N25" s="4">
        <f>+N21-N24</f>
        <v>2290.9760000000006</v>
      </c>
      <c r="AH25" s="4">
        <f>+AH21-AH24</f>
        <v>3576</v>
      </c>
      <c r="AI25" s="4">
        <f>+AI21-AI24</f>
        <v>3539</v>
      </c>
      <c r="AJ25" s="4">
        <f>+AJ21-AJ24</f>
        <v>5828</v>
      </c>
      <c r="AK25" s="4">
        <f t="shared" ref="AK25:AN25" si="12">+AK21-AK24</f>
        <v>6468</v>
      </c>
      <c r="AL25" s="4">
        <f t="shared" si="12"/>
        <v>7489</v>
      </c>
      <c r="AM25" s="4">
        <f t="shared" si="12"/>
        <v>10472</v>
      </c>
      <c r="AN25" s="4">
        <f t="shared" si="12"/>
        <v>10865.975999999999</v>
      </c>
    </row>
    <row r="26" spans="2:40" x14ac:dyDescent="0.2">
      <c r="B26" s="2" t="s">
        <v>41</v>
      </c>
      <c r="G26" s="3">
        <f>-135+11+61</f>
        <v>-63</v>
      </c>
      <c r="H26" s="3">
        <f>-134+11+79</f>
        <v>-44</v>
      </c>
      <c r="I26" s="3">
        <f>-133+10+74</f>
        <v>-49</v>
      </c>
      <c r="J26" s="3">
        <f>-120+63</f>
        <v>-57</v>
      </c>
      <c r="K26" s="3">
        <f>-131+14+78</f>
        <v>-39</v>
      </c>
      <c r="L26" s="3">
        <f>-132+26+82</f>
        <v>-24</v>
      </c>
      <c r="M26" s="3">
        <f>-141+55+93</f>
        <v>7</v>
      </c>
      <c r="N26" s="4">
        <f>+J26</f>
        <v>-57</v>
      </c>
      <c r="AH26">
        <f>-99+786</f>
        <v>687</v>
      </c>
      <c r="AI26" s="2">
        <f>-904+124-1413</f>
        <v>-2193</v>
      </c>
      <c r="AJ26">
        <f>-826+105+139</f>
        <v>-582</v>
      </c>
      <c r="AK26">
        <f>-670+94+191</f>
        <v>-385</v>
      </c>
      <c r="AL26">
        <f>-546+46+103</f>
        <v>-397</v>
      </c>
      <c r="AM26" s="2">
        <f t="shared" ref="AM26" si="13">SUM(G26:J26)</f>
        <v>-213</v>
      </c>
      <c r="AN26" s="2">
        <f t="shared" ref="AN26" si="14">SUM(K26:N26)</f>
        <v>-113</v>
      </c>
    </row>
    <row r="27" spans="2:40" x14ac:dyDescent="0.2">
      <c r="B27" s="2" t="s">
        <v>42</v>
      </c>
      <c r="G27" s="4">
        <f t="shared" ref="G27:J27" si="15">+G25+G26</f>
        <v>2555</v>
      </c>
      <c r="H27" s="4">
        <f t="shared" si="15"/>
        <v>1852</v>
      </c>
      <c r="I27" s="4">
        <f t="shared" si="15"/>
        <v>3017</v>
      </c>
      <c r="J27" s="4">
        <f t="shared" si="15"/>
        <v>2835</v>
      </c>
      <c r="K27" s="4">
        <f>+K25+K26</f>
        <v>3385</v>
      </c>
      <c r="L27" s="4">
        <f>+L25+L26</f>
        <v>2859</v>
      </c>
      <c r="M27" s="4">
        <f>+M25+M26</f>
        <v>2275</v>
      </c>
      <c r="N27" s="4">
        <f>+N25+N26</f>
        <v>2233.9760000000006</v>
      </c>
      <c r="AH27" s="2">
        <f>+AH25+AH26</f>
        <v>4263</v>
      </c>
      <c r="AI27" s="2">
        <f>+AI25+AI26</f>
        <v>1346</v>
      </c>
      <c r="AJ27" s="2">
        <f>+AJ25+AJ26</f>
        <v>5246</v>
      </c>
      <c r="AK27" s="2">
        <f t="shared" ref="AK27:AN27" si="16">+AK25+AK26</f>
        <v>6083</v>
      </c>
      <c r="AL27" s="2">
        <f t="shared" si="16"/>
        <v>7092</v>
      </c>
      <c r="AM27" s="2">
        <f t="shared" si="16"/>
        <v>10259</v>
      </c>
      <c r="AN27" s="2">
        <f t="shared" si="16"/>
        <v>10752.975999999999</v>
      </c>
    </row>
    <row r="28" spans="2:40" x14ac:dyDescent="0.2">
      <c r="B28" s="2" t="s">
        <v>43</v>
      </c>
      <c r="G28" s="3">
        <v>250</v>
      </c>
      <c r="H28" s="3">
        <v>159</v>
      </c>
      <c r="I28" s="3">
        <v>393</v>
      </c>
      <c r="J28" s="3">
        <v>398</v>
      </c>
      <c r="K28" s="3">
        <v>429</v>
      </c>
      <c r="L28" s="3">
        <v>334</v>
      </c>
      <c r="M28" s="3">
        <v>323</v>
      </c>
      <c r="N28" s="4">
        <f>+N27*0.15</f>
        <v>335.09640000000007</v>
      </c>
      <c r="AH28">
        <v>350</v>
      </c>
      <c r="AI28">
        <v>0</v>
      </c>
      <c r="AJ28">
        <v>539</v>
      </c>
      <c r="AK28">
        <v>390</v>
      </c>
      <c r="AL28">
        <v>497</v>
      </c>
      <c r="AM28" s="2">
        <f t="shared" ref="AM28" si="17">SUM(G28:J28)</f>
        <v>1200</v>
      </c>
      <c r="AN28" s="2">
        <f>SUM(K28:N28)</f>
        <v>1421.0964000000001</v>
      </c>
    </row>
    <row r="29" spans="2:40" x14ac:dyDescent="0.2">
      <c r="B29" s="2" t="s">
        <v>44</v>
      </c>
      <c r="G29" s="4">
        <f t="shared" ref="G29:J29" si="18">+G27-G28</f>
        <v>2305</v>
      </c>
      <c r="H29" s="4">
        <f t="shared" si="18"/>
        <v>1693</v>
      </c>
      <c r="I29" s="4">
        <f t="shared" si="18"/>
        <v>2624</v>
      </c>
      <c r="J29" s="4">
        <f t="shared" si="18"/>
        <v>2437</v>
      </c>
      <c r="K29" s="4">
        <f>+K27-K28</f>
        <v>2956</v>
      </c>
      <c r="L29" s="4">
        <f>+L27-L28</f>
        <v>2525</v>
      </c>
      <c r="M29" s="4">
        <f>+M27-M28</f>
        <v>1952</v>
      </c>
      <c r="N29" s="4">
        <f>+N27-N28</f>
        <v>1898.8796000000004</v>
      </c>
      <c r="AH29" s="2">
        <f t="shared" ref="AH29:AN29" si="19">+AH27-AH28</f>
        <v>3913</v>
      </c>
      <c r="AI29" s="2">
        <f t="shared" si="19"/>
        <v>1346</v>
      </c>
      <c r="AJ29" s="2">
        <f t="shared" si="19"/>
        <v>4707</v>
      </c>
      <c r="AK29" s="2">
        <f t="shared" si="19"/>
        <v>5693</v>
      </c>
      <c r="AL29" s="2">
        <f t="shared" si="19"/>
        <v>6595</v>
      </c>
      <c r="AM29" s="2">
        <f t="shared" si="19"/>
        <v>9059</v>
      </c>
      <c r="AN29" s="2">
        <f t="shared" si="19"/>
        <v>9331.8795999999984</v>
      </c>
    </row>
    <row r="30" spans="2:40" x14ac:dyDescent="0.2">
      <c r="B30" s="2" t="s">
        <v>45</v>
      </c>
      <c r="G30" s="7" t="e">
        <f t="shared" ref="G30:N30" si="20">+G29/G31</f>
        <v>#DIV/0!</v>
      </c>
      <c r="H30" s="7">
        <f t="shared" si="20"/>
        <v>0.94408064779657819</v>
      </c>
      <c r="I30" s="7">
        <f t="shared" si="20"/>
        <v>1.4667420160659677</v>
      </c>
      <c r="J30" s="7">
        <f t="shared" si="20"/>
        <v>1.3675645342312008</v>
      </c>
      <c r="K30" s="7">
        <f t="shared" si="20"/>
        <v>1.6657819313377762</v>
      </c>
      <c r="L30" s="7">
        <f t="shared" si="20"/>
        <v>1.4302197213988626</v>
      </c>
      <c r="M30" s="7">
        <f t="shared" si="20"/>
        <v>1.1067936833379355</v>
      </c>
      <c r="N30" s="7">
        <f t="shared" si="20"/>
        <v>1.0766741530221651</v>
      </c>
      <c r="AH30" s="1">
        <f>+AH29/AH31</f>
        <v>2.6385704652730952</v>
      </c>
      <c r="AI30" s="1">
        <f>+AI29/AI31</f>
        <v>0.76958261863922239</v>
      </c>
      <c r="AJ30" s="1">
        <f>+AJ29/AJ31</f>
        <v>2.659322033898305</v>
      </c>
      <c r="AK30" s="1">
        <f t="shared" ref="AK30:AN30" si="21">+AK29/AK31</f>
        <v>3.1965188096574959</v>
      </c>
      <c r="AL30" s="1">
        <f t="shared" si="21"/>
        <v>3.692609182530795</v>
      </c>
      <c r="AM30" s="1">
        <f t="shared" si="21"/>
        <v>5.0662922391419682</v>
      </c>
      <c r="AN30" s="1">
        <f t="shared" si="21"/>
        <v>5.2817144172656318</v>
      </c>
    </row>
    <row r="31" spans="2:40" s="2" customFormat="1" x14ac:dyDescent="0.2">
      <c r="B31" s="2" t="s">
        <v>1</v>
      </c>
      <c r="C31" s="4"/>
      <c r="D31" s="4"/>
      <c r="E31" s="4"/>
      <c r="F31" s="4"/>
      <c r="G31" s="4"/>
      <c r="H31" s="4">
        <v>1793.279</v>
      </c>
      <c r="I31" s="4">
        <v>1788.999</v>
      </c>
      <c r="J31" s="4">
        <v>1782</v>
      </c>
      <c r="K31" s="4">
        <v>1774.5419999999999</v>
      </c>
      <c r="L31" s="4">
        <v>1765.463</v>
      </c>
      <c r="M31" s="4">
        <v>1763.653</v>
      </c>
      <c r="N31" s="4">
        <f>+M31</f>
        <v>1763.653</v>
      </c>
      <c r="AH31" s="2">
        <v>1483</v>
      </c>
      <c r="AI31" s="2">
        <v>1749</v>
      </c>
      <c r="AJ31" s="2">
        <v>1770</v>
      </c>
      <c r="AK31" s="2">
        <v>1781</v>
      </c>
      <c r="AL31" s="2">
        <v>1786</v>
      </c>
      <c r="AM31" s="2">
        <f>AVERAGE(G31:J31)</f>
        <v>1788.0926666666667</v>
      </c>
      <c r="AN31" s="2">
        <f>AVERAGE(K31:N31)</f>
        <v>1766.8277500000002</v>
      </c>
    </row>
    <row r="33" spans="2:40" s="10" customFormat="1" x14ac:dyDescent="0.2">
      <c r="B33" s="5" t="s">
        <v>46</v>
      </c>
      <c r="C33" s="8"/>
      <c r="D33" s="8"/>
      <c r="E33" s="8"/>
      <c r="F33" s="8"/>
      <c r="G33" s="8"/>
      <c r="H33" s="8"/>
      <c r="I33" s="8"/>
      <c r="J33" s="8"/>
      <c r="K33" s="9">
        <f>K19/G19-1</f>
        <v>0.13762433052792655</v>
      </c>
      <c r="L33" s="9">
        <f>L19/H19-1</f>
        <v>0.10114447813753302</v>
      </c>
      <c r="M33" s="9">
        <f>M19/I19-1</f>
        <v>-4.7401171303074641E-2</v>
      </c>
      <c r="N33" s="9">
        <f>N19/J19-1</f>
        <v>-4.9999999999999933E-2</v>
      </c>
      <c r="AG33" s="13">
        <f t="shared" ref="AG33:AL33" si="22">+AG19/AF19-1</f>
        <v>7.8036252284288121E-3</v>
      </c>
      <c r="AH33" s="13">
        <f t="shared" si="22"/>
        <v>2.1955403087478453E-2</v>
      </c>
      <c r="AI33" s="13">
        <f t="shared" si="22"/>
        <v>0.31348007480938</v>
      </c>
      <c r="AJ33" s="13">
        <f t="shared" si="22"/>
        <v>0.11639284410368744</v>
      </c>
      <c r="AK33" s="13">
        <f t="shared" si="22"/>
        <v>4.3364510432337022E-2</v>
      </c>
      <c r="AL33" s="13">
        <f t="shared" si="22"/>
        <v>8.4754262788365065E-2</v>
      </c>
      <c r="AM33" s="13">
        <f t="shared" ref="AM33:AN33" si="23">+AM19/AL19-1</f>
        <v>0.2446544151641239</v>
      </c>
      <c r="AN33" s="13">
        <f t="shared" si="23"/>
        <v>3.2074289030760372E-2</v>
      </c>
    </row>
    <row r="34" spans="2:40" x14ac:dyDescent="0.2">
      <c r="B34" s="2" t="s">
        <v>66</v>
      </c>
      <c r="G34" s="12">
        <f>+G21/G19</f>
        <v>0.57909334353481257</v>
      </c>
      <c r="H34" s="12">
        <f t="shared" ref="H34:N34" si="24">+H21/H19</f>
        <v>0.51609116697642565</v>
      </c>
      <c r="I34" s="12">
        <f t="shared" si="24"/>
        <v>0.59525988286969256</v>
      </c>
      <c r="J34" s="12">
        <f t="shared" si="24"/>
        <v>0.58440878967561916</v>
      </c>
      <c r="K34" s="12">
        <f t="shared" si="24"/>
        <v>0.58074821353509876</v>
      </c>
      <c r="L34" s="12">
        <f t="shared" si="24"/>
        <v>0.56178377898196674</v>
      </c>
      <c r="M34" s="12">
        <f t="shared" si="24"/>
        <v>0.55533141210374637</v>
      </c>
      <c r="N34" s="12">
        <f t="shared" si="24"/>
        <v>0.56000000000000005</v>
      </c>
      <c r="AH34" s="14">
        <f>+AH21/AH19</f>
        <v>0.56389967870330404</v>
      </c>
      <c r="AI34" s="14">
        <f>+AI21/AI19</f>
        <v>0.54695144213216507</v>
      </c>
      <c r="AJ34" s="14">
        <f>+AJ21/AJ19</f>
        <v>0.58447249656615863</v>
      </c>
      <c r="AK34" s="14">
        <f>+AK21/AK19</f>
        <v>0.58528711133400202</v>
      </c>
      <c r="AL34" s="14">
        <f t="shared" ref="AL34:AN34" si="25">+AL21/AL19</f>
        <v>0.56648751733703195</v>
      </c>
      <c r="AM34" s="14">
        <f t="shared" si="25"/>
        <v>0.56965757399883921</v>
      </c>
      <c r="AN34" s="14">
        <f t="shared" si="25"/>
        <v>0.56490995712672587</v>
      </c>
    </row>
    <row r="36" spans="2:40" x14ac:dyDescent="0.2">
      <c r="B36" t="s">
        <v>65</v>
      </c>
      <c r="M36" s="4">
        <f>+M37-M51</f>
        <v>-5743</v>
      </c>
    </row>
    <row r="37" spans="2:40" s="2" customFormat="1" x14ac:dyDescent="0.2">
      <c r="B37" s="2" t="s">
        <v>3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>
        <f>9594+313+764</f>
        <v>10671</v>
      </c>
      <c r="N37" s="4"/>
    </row>
    <row r="38" spans="2:40" s="2" customFormat="1" x14ac:dyDescent="0.2">
      <c r="B38" s="2" t="s">
        <v>57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>
        <v>6408</v>
      </c>
      <c r="N38" s="4"/>
    </row>
    <row r="39" spans="2:40" s="2" customFormat="1" x14ac:dyDescent="0.2">
      <c r="B39" s="2" t="s">
        <v>58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>
        <v>5734</v>
      </c>
      <c r="N39" s="4"/>
    </row>
    <row r="40" spans="2:40" s="2" customFormat="1" x14ac:dyDescent="0.2">
      <c r="B40" s="2" t="s">
        <v>59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>
        <v>2796</v>
      </c>
      <c r="N40" s="4"/>
    </row>
    <row r="41" spans="2:40" s="2" customFormat="1" x14ac:dyDescent="0.2">
      <c r="B41" s="2" t="s">
        <v>61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>
        <v>8689</v>
      </c>
      <c r="N41" s="4"/>
    </row>
    <row r="42" spans="2:40" s="2" customFormat="1" x14ac:dyDescent="0.2">
      <c r="B42" s="2" t="s">
        <v>60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>
        <f>10850+22284</f>
        <v>33134</v>
      </c>
      <c r="N42" s="4"/>
    </row>
    <row r="43" spans="2:40" s="2" customFormat="1" x14ac:dyDescent="0.2">
      <c r="B43" s="2" t="s">
        <v>62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>
        <v>5369</v>
      </c>
      <c r="N43" s="4"/>
    </row>
    <row r="44" spans="2:40" s="2" customFormat="1" x14ac:dyDescent="0.2">
      <c r="B44" s="2" t="s">
        <v>63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>
        <f>SUM(M37:M43)</f>
        <v>72801</v>
      </c>
      <c r="N44" s="4"/>
    </row>
    <row r="45" spans="2:40" s="2" customFormat="1" x14ac:dyDescent="0.2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2:40" s="2" customFormat="1" x14ac:dyDescent="0.2">
      <c r="B46" s="2" t="s">
        <v>51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>
        <v>4133</v>
      </c>
      <c r="N46" s="4"/>
    </row>
    <row r="47" spans="2:40" s="2" customFormat="1" x14ac:dyDescent="0.2">
      <c r="B47" s="2" t="s">
        <v>52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>
        <v>1426</v>
      </c>
      <c r="N47" s="4"/>
    </row>
    <row r="48" spans="2:40" s="2" customFormat="1" x14ac:dyDescent="0.2">
      <c r="B48" s="2" t="s">
        <v>53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>
        <v>5475</v>
      </c>
      <c r="N48" s="4"/>
    </row>
    <row r="49" spans="2:14" s="2" customFormat="1" x14ac:dyDescent="0.2">
      <c r="B49" s="2" t="s">
        <v>54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>
        <f>820</f>
        <v>820</v>
      </c>
      <c r="N49" s="4"/>
    </row>
    <row r="50" spans="2:14" s="2" customFormat="1" x14ac:dyDescent="0.2">
      <c r="B50" s="2" t="s">
        <v>43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>
        <v>394</v>
      </c>
      <c r="N50" s="4"/>
    </row>
    <row r="51" spans="2:14" s="2" customFormat="1" x14ac:dyDescent="0.2">
      <c r="B51" s="2" t="s">
        <v>4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>
        <f>1117+15297</f>
        <v>16414</v>
      </c>
      <c r="N51" s="4"/>
    </row>
    <row r="52" spans="2:14" s="2" customFormat="1" x14ac:dyDescent="0.2">
      <c r="B52" s="2" t="s">
        <v>55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>
        <v>8255</v>
      </c>
      <c r="N52" s="4"/>
    </row>
    <row r="53" spans="2:14" s="2" customFormat="1" x14ac:dyDescent="0.2">
      <c r="B53" s="2" t="s">
        <v>56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>
        <f>35884</f>
        <v>35884</v>
      </c>
      <c r="N53" s="4"/>
    </row>
    <row r="54" spans="2:14" s="2" customFormat="1" x14ac:dyDescent="0.2">
      <c r="B54" s="2" t="s">
        <v>64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>
        <f>SUM(M46:M53)</f>
        <v>72801</v>
      </c>
      <c r="N54" s="4"/>
    </row>
  </sheetData>
  <hyperlinks>
    <hyperlink ref="A1" location="Main!A1" display="Main" xr:uid="{99BB727D-8C29-48CC-ACC9-35EF86A9E0C2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2022-07-19T14:56:20Z</dcterms:created>
  <dcterms:modified xsi:type="dcterms:W3CDTF">2023-01-07T00:50:28Z</dcterms:modified>
</cp:coreProperties>
</file>