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46002C1-E3E9-4885-AAF0-6C4185CADD04}" xr6:coauthVersionLast="47" xr6:coauthVersionMax="47" xr10:uidLastSave="{00000000-0000-0000-0000-000000000000}"/>
  <bookViews>
    <workbookView xWindow="5925" yWindow="360" windowWidth="33330" windowHeight="20340" activeTab="1" xr2:uid="{7C34F31A-DE2D-4EBA-93CC-6997970EE8B3}"/>
  </bookViews>
  <sheets>
    <sheet name="Main" sheetId="1" r:id="rId1"/>
    <sheet name="Model" sheetId="2" r:id="rId2"/>
    <sheet name="ALN-HSD" sheetId="6" r:id="rId3"/>
    <sheet name="Amvuttra" sheetId="5" r:id="rId4"/>
    <sheet name="Onpattro" sheetId="4" r:id="rId5"/>
    <sheet name="Oxlum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Q16" i="2"/>
  <c r="Q11" i="2"/>
  <c r="R8" i="2"/>
  <c r="AK14" i="2"/>
  <c r="AK15" i="2" s="1"/>
  <c r="AJ14" i="2"/>
  <c r="AI14" i="2"/>
  <c r="AH14" i="2"/>
  <c r="AG14" i="2"/>
  <c r="AF15" i="2"/>
  <c r="AF14" i="2"/>
  <c r="AG8" i="2"/>
  <c r="AH8" i="2" s="1"/>
  <c r="AI8" i="2" s="1"/>
  <c r="AJ8" i="2" s="1"/>
  <c r="AG7" i="2"/>
  <c r="AH7" i="2" s="1"/>
  <c r="AI7" i="2" s="1"/>
  <c r="AJ7" i="2" s="1"/>
  <c r="AG6" i="2"/>
  <c r="AH6" i="2" s="1"/>
  <c r="AI6" i="2" s="1"/>
  <c r="AJ6" i="2" s="1"/>
  <c r="AG5" i="2"/>
  <c r="AH5" i="2" s="1"/>
  <c r="AI5" i="2" s="1"/>
  <c r="AJ5" i="2" s="1"/>
  <c r="AG4" i="2"/>
  <c r="R3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R13" i="2"/>
  <c r="R14" i="2" s="1"/>
  <c r="R21" i="2"/>
  <c r="Q14" i="2"/>
  <c r="I24" i="2"/>
  <c r="R5" i="2"/>
  <c r="R6" i="2"/>
  <c r="R7" i="2"/>
  <c r="Q9" i="2"/>
  <c r="P23" i="2"/>
  <c r="I16" i="2"/>
  <c r="I10" i="2"/>
  <c r="I14" i="2"/>
  <c r="I9" i="2"/>
  <c r="I11" i="2" s="1"/>
  <c r="I15" i="2" s="1"/>
  <c r="I17" i="2" s="1"/>
  <c r="I19" i="2" s="1"/>
  <c r="I20" i="2" s="1"/>
  <c r="M16" i="2"/>
  <c r="M10" i="2"/>
  <c r="M14" i="2"/>
  <c r="M11" i="2"/>
  <c r="M15" i="2" s="1"/>
  <c r="M17" i="2" s="1"/>
  <c r="M19" i="2" s="1"/>
  <c r="M20" i="2" s="1"/>
  <c r="J16" i="2"/>
  <c r="J14" i="2"/>
  <c r="N16" i="2"/>
  <c r="N14" i="2"/>
  <c r="N10" i="2"/>
  <c r="J9" i="2"/>
  <c r="J11" i="2" s="1"/>
  <c r="J24" i="2" s="1"/>
  <c r="K16" i="2"/>
  <c r="O16" i="2"/>
  <c r="K10" i="2"/>
  <c r="K14" i="2"/>
  <c r="O14" i="2"/>
  <c r="O10" i="2"/>
  <c r="O11" i="2" s="1"/>
  <c r="O24" i="2" s="1"/>
  <c r="K9" i="2"/>
  <c r="K11" i="2" s="1"/>
  <c r="K24" i="2" s="1"/>
  <c r="L9" i="2"/>
  <c r="L11" i="2" s="1"/>
  <c r="L24" i="2" s="1"/>
  <c r="M9" i="2"/>
  <c r="M23" i="2" s="1"/>
  <c r="N9" i="2"/>
  <c r="N23" i="2" s="1"/>
  <c r="O9" i="2"/>
  <c r="L16" i="2"/>
  <c r="P16" i="2"/>
  <c r="L14" i="2"/>
  <c r="P14" i="2"/>
  <c r="L10" i="2"/>
  <c r="P10" i="2"/>
  <c r="P9" i="2"/>
  <c r="P11" i="2" s="1"/>
  <c r="L4" i="1"/>
  <c r="L7" i="1" s="1"/>
  <c r="Q24" i="2" l="1"/>
  <c r="P15" i="2"/>
  <c r="P17" i="2" s="1"/>
  <c r="P19" i="2" s="1"/>
  <c r="P20" i="2" s="1"/>
  <c r="P24" i="2"/>
  <c r="O23" i="2"/>
  <c r="R9" i="2"/>
  <c r="M24" i="2"/>
  <c r="N11" i="2"/>
  <c r="N24" i="2" s="1"/>
  <c r="Q23" i="2"/>
  <c r="O15" i="2"/>
  <c r="O17" i="2" s="1"/>
  <c r="O19" i="2" s="1"/>
  <c r="O20" i="2" s="1"/>
  <c r="Q15" i="2"/>
  <c r="Q17" i="2" s="1"/>
  <c r="Q19" i="2" s="1"/>
  <c r="Q20" i="2" s="1"/>
  <c r="J15" i="2"/>
  <c r="J17" i="2" s="1"/>
  <c r="J19" i="2" s="1"/>
  <c r="J20" i="2" s="1"/>
  <c r="N15" i="2"/>
  <c r="N17" i="2" s="1"/>
  <c r="N19" i="2" s="1"/>
  <c r="N20" i="2" s="1"/>
  <c r="K15" i="2"/>
  <c r="K17" i="2" s="1"/>
  <c r="K19" i="2" s="1"/>
  <c r="K20" i="2" s="1"/>
  <c r="L15" i="2"/>
  <c r="L17" i="2"/>
  <c r="L19" i="2" s="1"/>
  <c r="L20" i="2" s="1"/>
  <c r="R23" i="2" l="1"/>
  <c r="R11" i="2"/>
  <c r="AG3" i="2"/>
  <c r="AG9" i="2" l="1"/>
  <c r="AH3" i="2"/>
  <c r="R24" i="2"/>
  <c r="R15" i="2"/>
  <c r="R17" i="2" s="1"/>
  <c r="R19" i="2" s="1"/>
  <c r="R20" i="2" s="1"/>
  <c r="R10" i="2"/>
  <c r="AG10" i="2" s="1"/>
  <c r="AI3" i="2" l="1"/>
  <c r="AH9" i="2"/>
  <c r="AG11" i="2"/>
  <c r="AG24" i="2" l="1"/>
  <c r="AG15" i="2"/>
  <c r="AH23" i="2"/>
  <c r="AH10" i="2"/>
  <c r="AH11" i="2"/>
  <c r="AJ3" i="2"/>
  <c r="AJ9" i="2" s="1"/>
  <c r="AI9" i="2"/>
  <c r="AI10" i="2" l="1"/>
  <c r="AI11" i="2"/>
  <c r="AI23" i="2"/>
  <c r="AJ10" i="2"/>
  <c r="AJ11" i="2" s="1"/>
  <c r="AJ23" i="2"/>
  <c r="AH24" i="2"/>
  <c r="AH15" i="2"/>
  <c r="AJ24" i="2" l="1"/>
  <c r="AJ15" i="2"/>
  <c r="AI24" i="2"/>
  <c r="AI15" i="2"/>
</calcChain>
</file>

<file path=xl/sharedStrings.xml><?xml version="1.0" encoding="utf-8"?>
<sst xmlns="http://schemas.openxmlformats.org/spreadsheetml/2006/main" count="173" uniqueCount="133">
  <si>
    <t>Price</t>
  </si>
  <si>
    <t>Shares</t>
  </si>
  <si>
    <t>MC</t>
  </si>
  <si>
    <t>Cash</t>
  </si>
  <si>
    <t>Debt</t>
  </si>
  <si>
    <t>EV</t>
  </si>
  <si>
    <t>Q222</t>
  </si>
  <si>
    <t>Name</t>
  </si>
  <si>
    <t>Onpattro</t>
  </si>
  <si>
    <t>Givlaari</t>
  </si>
  <si>
    <t>Oxlumo</t>
  </si>
  <si>
    <t>Indication</t>
  </si>
  <si>
    <t>Approval</t>
  </si>
  <si>
    <t>MOA</t>
  </si>
  <si>
    <t>Economics</t>
  </si>
  <si>
    <t>Admin</t>
  </si>
  <si>
    <t>IP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</si>
  <si>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</si>
  <si>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</si>
  <si>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</si>
  <si>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</si>
  <si>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</si>
  <si>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</si>
  <si>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</si>
  <si>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</si>
  <si>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</si>
  <si>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</si>
  <si>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</si>
  <si>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</si>
  <si>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</si>
  <si>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</si>
  <si>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</si>
  <si>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</si>
  <si>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</si>
  <si>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Collab</t>
  </si>
  <si>
    <t>Royalty</t>
  </si>
  <si>
    <t>COGS</t>
  </si>
  <si>
    <t>Gross Profit</t>
  </si>
  <si>
    <t>R&amp;D</t>
  </si>
  <si>
    <t>SG&amp;A</t>
  </si>
  <si>
    <t>Operating Expenses</t>
  </si>
  <si>
    <t>Operating Income</t>
  </si>
  <si>
    <t>S/O</t>
  </si>
  <si>
    <t>EPS</t>
  </si>
  <si>
    <t>Net Income</t>
  </si>
  <si>
    <t>Taxes</t>
  </si>
  <si>
    <t>Pretax Income</t>
  </si>
  <si>
    <t>Interest Expense</t>
  </si>
  <si>
    <t>Amvuttra (vutrisiran)</t>
  </si>
  <si>
    <t>ATTR Polyneuropathy</t>
  </si>
  <si>
    <t>Onpattro (patisiran)</t>
  </si>
  <si>
    <t>Givlaari (givosiran)</t>
  </si>
  <si>
    <t>Oxlumo (lumasiran)</t>
  </si>
  <si>
    <t>Leqvio (inclisiran)</t>
  </si>
  <si>
    <t>cemdisiran</t>
  </si>
  <si>
    <t>fitusiran</t>
  </si>
  <si>
    <t>zilebesiran</t>
  </si>
  <si>
    <t>ALN-APP</t>
  </si>
  <si>
    <t>ALN-XDH</t>
  </si>
  <si>
    <t>Revenue y/y</t>
  </si>
  <si>
    <t>Gross Margin</t>
  </si>
  <si>
    <t>10/13/22: Q3 results date</t>
  </si>
  <si>
    <t>Brand</t>
  </si>
  <si>
    <t>Generic</t>
  </si>
  <si>
    <t>lumasiran</t>
  </si>
  <si>
    <t>Clinical Trials</t>
  </si>
  <si>
    <t>10/6/22: sNDA approved for Oxlumo in PH1</t>
  </si>
  <si>
    <t>PH1</t>
  </si>
  <si>
    <t>Subcutaneous</t>
  </si>
  <si>
    <t>Administration</t>
  </si>
  <si>
    <t>subcutaneous</t>
  </si>
  <si>
    <t>Primary Hyperoxaluria type 1. Oxalate overproduction.</t>
  </si>
  <si>
    <t>Phase III "ILLUMINATE-A" pediatric PH1</t>
  </si>
  <si>
    <t>Phase III "ILLUMINATE-B" adult PH1</t>
  </si>
  <si>
    <t>VP, Global Rare Disease Lead: Jorge Capapey</t>
  </si>
  <si>
    <t>Phase III "ILLUMINATE-C" PH1 with severe renal impairment - NCT04152200</t>
  </si>
  <si>
    <t>Cohort A n=6</t>
  </si>
  <si>
    <t>Cohort B n=15</t>
  </si>
  <si>
    <t>Hydroxyacid oxidase 1 RNAi, encodes glycolate oxidase</t>
  </si>
  <si>
    <t>HAO1</t>
  </si>
  <si>
    <t>ATTR Amyloidosis. Neuropathy &amp; Cardiomyopathy.</t>
  </si>
  <si>
    <t>HQ: Cambridge, MA</t>
  </si>
  <si>
    <t>6MW PE met at 12 months: +14.7m, p=0.0162</t>
  </si>
  <si>
    <t>Phase III "APOLLO-B" n=360 ATTR with cardiomyopathy</t>
  </si>
  <si>
    <t>0.3mg/kg IV q3w</t>
  </si>
  <si>
    <t xml:space="preserve">  '-8.15 for patisiran, -21.345 for placebo</t>
  </si>
  <si>
    <t>patisiran</t>
  </si>
  <si>
    <t>Initially presented at ISA, press release 8/2022; HFSA 10/2022</t>
  </si>
  <si>
    <t>TTR Lead: Rena N. Denoncourt</t>
  </si>
  <si>
    <t>ABUS?</t>
  </si>
  <si>
    <t>TTR</t>
  </si>
  <si>
    <t>IV</t>
  </si>
  <si>
    <t>9/30/22: APOLLO-B presentation at HFS (incomplete)</t>
  </si>
  <si>
    <t>9/21/22: Management changes</t>
  </si>
  <si>
    <t>CDSO: Evan Lippman</t>
  </si>
  <si>
    <t>9/20/22: Amvuttra approved in EU</t>
  </si>
  <si>
    <t>Amvuttra</t>
  </si>
  <si>
    <t>vutrisiran</t>
  </si>
  <si>
    <t>NVS</t>
  </si>
  <si>
    <t>Hypercholesterolemia</t>
  </si>
  <si>
    <t>PCSK9</t>
  </si>
  <si>
    <t>Phase III "HELIOS-A"</t>
  </si>
  <si>
    <t>SVP, Head International Region: Kasha Witkos</t>
  </si>
  <si>
    <t>hATTR polyneuropathy. 50k WW patients</t>
  </si>
  <si>
    <t>9/19/22: RNAi roundtable webcast</t>
  </si>
  <si>
    <t>IgAN</t>
  </si>
  <si>
    <t>Alzheimer's, CAA</t>
  </si>
  <si>
    <t>ALN-HSD</t>
  </si>
  <si>
    <t>NASH</t>
  </si>
  <si>
    <t>Gout</t>
  </si>
  <si>
    <t>Hemophilia</t>
  </si>
  <si>
    <t>Phase</t>
  </si>
  <si>
    <t>REGN</t>
  </si>
  <si>
    <t>I</t>
  </si>
  <si>
    <t>HSD17B3</t>
  </si>
  <si>
    <t>Cohort A healthy adults</t>
  </si>
  <si>
    <t>Cohort B NASH</t>
  </si>
  <si>
    <t>200mg, 400mg q3m</t>
  </si>
  <si>
    <t>Phase II NASH initiates late 2022</t>
  </si>
  <si>
    <t>Phase I healthy adults/NASH</t>
  </si>
  <si>
    <t>PC</t>
  </si>
  <si>
    <t>PNPLA3</t>
  </si>
  <si>
    <t>CIDEB</t>
  </si>
  <si>
    <t>9/15/22: ALN-HSD Phase I results</t>
  </si>
  <si>
    <t>9/13/22: to present APOLLO-B at HFS</t>
  </si>
  <si>
    <t>9/13/22: prices $900m converts</t>
  </si>
  <si>
    <t>9/12/22: to sell $900m converts</t>
  </si>
  <si>
    <t>MACE HR=0.839 p=NS</t>
  </si>
  <si>
    <t>CEO: Yvonne Greenstreet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</si>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</sst>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1" fillId="0" borderId="0" xfId="0" applyNumberFormat="1" applyFont="1"/>
    <xf numFmtId="3" fontId="1" fillId="0" borderId="0" xfId="0" applyNumberFormat="1" applyFont="1" applyAlignment="1">
      <alignment horizontal="right" vertical="top"/>
    </xf>
    <xf numFmtId="9" fontId="0" fillId="0" borderId="0" xfId="0" applyNumberFormat="1" applyAlignment="1">
      <alignment horizontal="right" vertical="top"/>
    </xf>
    <xf numFmtId="9" fontId="1" fillId="0" borderId="0" xfId="0" applyNumberFormat="1" applyFont="1" applyAlignment="1">
      <alignment horizontal="right" vertical="top"/>
    </xf>
    <xf numFmtId="0" fontId="2" fillId="0" borderId="0" xfId="1"/>
    <xf numFmtId="0" fontId="3" fillId="0" borderId="0" xfId="0" applyFont="1"/>
    <xf numFmtId="0" fontId="2" fillId="0" borderId="1" xfId="1" applyBorder="1"/>
    <xf numFmtId="17" fontId="0" fillId="0" borderId="0" xfId="0" applyNumberFormat="1"/>
    <xf numFmtId="0" fontId="2" fillId="0" borderId="3" xfId="1" applyBorder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29765</xdr:colOff>
      <xdr:row>0</xdr:row>
      <xdr:rowOff>0</xdr:rowOff>
    </xdr:from>
    <xdr:to>
      <xdr:col>17</xdr:col>
      <xdr:colOff>29765</xdr:colOff>
      <xdr:row>43</xdr:row>
      <xdr:rowOff>148829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C14A36-1524-CC86-4F0A-E410A2350906}"/>
            </a:ext>
          </a:extLst>
        </xdr:cNvPr>
        <xdr:cNvCxnSpPr/>
      </xdr:nvCxnSpPr>
      <xdr:spPr>
        <a:xfrm>
          <a:off x="10679906" y="0"/>
          <a:ext cx="0" cy="7060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0B6-A1FF-428A-9D75-C1B382F99280}">
  <dimension ref="B2:M27"/>
  <sheetViews>
    <sheetView zoomScale="160" zoomScaleNormal="160" workbookViewId="0">
      <selection activeCell="K13" sqref="K13"/>
    </sheetView>
  </sheetViews>
  <sheetFormatPr defaultRowHeight="12.75" x14ac:dyDescent="0.2"/>
  <cols>
    <col min="1" max="1" width="4.42578125" customWidth="1"/>
    <col min="2" max="2" width="18" customWidth="1"/>
    <col min="3" max="3" width="19.5703125" customWidth="1"/>
    <col min="6" max="6" width="11.42578125" customWidth="1"/>
  </cols>
  <sheetData>
    <row r="2" spans="2:13" x14ac:dyDescent="0.2">
      <c r="B2" s="9" t="s">
        <v>7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1" t="s">
        <v>16</v>
      </c>
      <c r="K2" t="s">
        <v>0</v>
      </c>
      <c r="L2" s="1">
        <v>232.86</v>
      </c>
    </row>
    <row r="3" spans="2:13" x14ac:dyDescent="0.2">
      <c r="B3" s="23" t="s">
        <v>50</v>
      </c>
      <c r="C3" t="s">
        <v>49</v>
      </c>
      <c r="E3" t="s">
        <v>90</v>
      </c>
      <c r="F3" t="s">
        <v>89</v>
      </c>
      <c r="G3" t="s">
        <v>91</v>
      </c>
      <c r="H3" s="5"/>
      <c r="K3" t="s">
        <v>1</v>
      </c>
      <c r="L3" s="2">
        <v>122.991</v>
      </c>
      <c r="M3" s="3" t="s">
        <v>32</v>
      </c>
    </row>
    <row r="4" spans="2:13" x14ac:dyDescent="0.2">
      <c r="B4" s="4" t="s">
        <v>51</v>
      </c>
      <c r="H4" s="5"/>
      <c r="K4" t="s">
        <v>2</v>
      </c>
      <c r="L4" s="2">
        <f>+L2*L3</f>
        <v>28639.684260000002</v>
      </c>
      <c r="M4" s="3"/>
    </row>
    <row r="5" spans="2:13" x14ac:dyDescent="0.2">
      <c r="B5" s="23" t="s">
        <v>52</v>
      </c>
      <c r="C5" t="s">
        <v>67</v>
      </c>
      <c r="D5" s="24">
        <v>44136</v>
      </c>
      <c r="E5" t="s">
        <v>79</v>
      </c>
      <c r="G5" t="s">
        <v>68</v>
      </c>
      <c r="H5" s="5"/>
      <c r="K5" t="s">
        <v>3</v>
      </c>
      <c r="L5" s="2">
        <f>1073.228+1169.05+23.051+49.389</f>
        <v>2314.7180000000003</v>
      </c>
      <c r="M5" s="3" t="s">
        <v>32</v>
      </c>
    </row>
    <row r="6" spans="2:13" x14ac:dyDescent="0.2">
      <c r="B6" s="4" t="s">
        <v>53</v>
      </c>
      <c r="C6" t="s">
        <v>99</v>
      </c>
      <c r="E6" t="s">
        <v>100</v>
      </c>
      <c r="F6" t="s">
        <v>98</v>
      </c>
      <c r="G6" t="s">
        <v>68</v>
      </c>
      <c r="H6" s="5"/>
      <c r="K6" t="s">
        <v>4</v>
      </c>
      <c r="L6" s="2">
        <f>1015.975+1231.873</f>
        <v>2247.848</v>
      </c>
      <c r="M6" s="3" t="s">
        <v>32</v>
      </c>
    </row>
    <row r="7" spans="2:13" x14ac:dyDescent="0.2">
      <c r="B7" s="25" t="s">
        <v>48</v>
      </c>
      <c r="C7" s="7" t="s">
        <v>49</v>
      </c>
      <c r="D7" s="7"/>
      <c r="E7" s="7" t="s">
        <v>90</v>
      </c>
      <c r="F7" s="7"/>
      <c r="G7" s="7" t="s">
        <v>68</v>
      </c>
      <c r="H7" s="8"/>
      <c r="K7" t="s">
        <v>5</v>
      </c>
      <c r="L7" s="2">
        <f>+L4-L5+L6</f>
        <v>28572.814259999999</v>
      </c>
    </row>
    <row r="8" spans="2:13" x14ac:dyDescent="0.2">
      <c r="B8" s="9"/>
      <c r="C8" s="10"/>
      <c r="D8" s="10" t="s">
        <v>111</v>
      </c>
      <c r="E8" s="10"/>
      <c r="F8" s="10"/>
      <c r="G8" s="10"/>
      <c r="H8" s="11"/>
    </row>
    <row r="9" spans="2:13" x14ac:dyDescent="0.2">
      <c r="B9" s="4" t="s">
        <v>54</v>
      </c>
      <c r="C9" t="s">
        <v>105</v>
      </c>
      <c r="H9" s="5"/>
    </row>
    <row r="10" spans="2:13" x14ac:dyDescent="0.2">
      <c r="B10" s="4" t="s">
        <v>55</v>
      </c>
      <c r="C10" t="s">
        <v>110</v>
      </c>
      <c r="H10" s="5"/>
      <c r="J10" t="s">
        <v>81</v>
      </c>
    </row>
    <row r="11" spans="2:13" x14ac:dyDescent="0.2">
      <c r="B11" s="4" t="s">
        <v>56</v>
      </c>
      <c r="H11" s="5"/>
      <c r="J11" t="s">
        <v>74</v>
      </c>
    </row>
    <row r="12" spans="2:13" x14ac:dyDescent="0.2">
      <c r="B12" s="4" t="s">
        <v>57</v>
      </c>
      <c r="C12" t="s">
        <v>106</v>
      </c>
      <c r="H12" s="5"/>
      <c r="J12" t="s">
        <v>88</v>
      </c>
    </row>
    <row r="13" spans="2:13" x14ac:dyDescent="0.2">
      <c r="B13" s="4" t="s">
        <v>58</v>
      </c>
      <c r="C13" t="s">
        <v>109</v>
      </c>
      <c r="H13" s="5"/>
      <c r="J13" t="s">
        <v>128</v>
      </c>
    </row>
    <row r="14" spans="2:13" x14ac:dyDescent="0.2">
      <c r="B14" s="4" t="s">
        <v>107</v>
      </c>
      <c r="C14" t="s">
        <v>108</v>
      </c>
      <c r="D14" t="s">
        <v>114</v>
      </c>
      <c r="E14" t="s">
        <v>113</v>
      </c>
      <c r="F14" t="s">
        <v>112</v>
      </c>
      <c r="H14" s="5"/>
      <c r="J14" t="s">
        <v>94</v>
      </c>
    </row>
    <row r="15" spans="2:13" x14ac:dyDescent="0.2">
      <c r="B15" s="4"/>
      <c r="C15" t="s">
        <v>108</v>
      </c>
      <c r="D15" t="s">
        <v>121</v>
      </c>
      <c r="E15" t="s">
        <v>120</v>
      </c>
      <c r="F15" t="s">
        <v>112</v>
      </c>
      <c r="H15" s="5"/>
      <c r="J15" t="s">
        <v>102</v>
      </c>
    </row>
    <row r="16" spans="2:13" x14ac:dyDescent="0.2">
      <c r="B16" s="6"/>
      <c r="C16" s="7" t="s">
        <v>108</v>
      </c>
      <c r="D16" s="7" t="s">
        <v>122</v>
      </c>
      <c r="E16" s="7" t="s">
        <v>120</v>
      </c>
      <c r="F16" s="7" t="s">
        <v>112</v>
      </c>
      <c r="G16" s="7"/>
      <c r="H16" s="8"/>
    </row>
    <row r="18" spans="7:7" x14ac:dyDescent="0.2">
      <c r="G18" t="s">
        <v>61</v>
      </c>
    </row>
    <row r="19" spans="7:7" x14ac:dyDescent="0.2">
      <c r="G19" t="s">
        <v>66</v>
      </c>
    </row>
    <row r="20" spans="7:7" x14ac:dyDescent="0.2">
      <c r="G20" t="s">
        <v>92</v>
      </c>
    </row>
    <row r="21" spans="7:7" x14ac:dyDescent="0.2">
      <c r="G21" t="s">
        <v>93</v>
      </c>
    </row>
    <row r="22" spans="7:7" x14ac:dyDescent="0.2">
      <c r="G22" t="s">
        <v>95</v>
      </c>
    </row>
    <row r="23" spans="7:7" x14ac:dyDescent="0.2">
      <c r="G23" t="s">
        <v>104</v>
      </c>
    </row>
    <row r="24" spans="7:7" x14ac:dyDescent="0.2">
      <c r="G24" t="s">
        <v>123</v>
      </c>
    </row>
    <row r="25" spans="7:7" x14ac:dyDescent="0.2">
      <c r="G25" t="s">
        <v>124</v>
      </c>
    </row>
    <row r="26" spans="7:7" x14ac:dyDescent="0.2">
      <c r="G26" t="s">
        <v>125</v>
      </c>
    </row>
    <row r="27" spans="7:7" x14ac:dyDescent="0.2">
      <c r="G27" t="s">
        <v>126</v>
      </c>
    </row>
  </sheetData>
  <hyperlinks>
    <hyperlink ref="B5" location="Oxlumo!A1" display="Oxlumo (lumasiran)" xr:uid="{FC8AB475-7305-491D-AA3E-C642F432AAB9}"/>
    <hyperlink ref="B3" location="Onpattro!A1" display="Onpattro (patisiran)" xr:uid="{EEE6DABE-BE88-43F1-9042-DF541D157B1E}"/>
    <hyperlink ref="B7" location="Amvuttra!A1" display="Amvuttra (vutrisiran)" xr:uid="{AB1193E2-AD99-4B2E-B7A6-E1B37C16EED8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19CA-CB58-43F1-B61F-985A61CFCF16}">
  <dimension ref="A1:AL24"/>
  <sheetViews>
    <sheetView tabSelected="1" zoomScale="160" zoomScaleNormal="1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W2" sqref="W2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12"/>
  </cols>
  <sheetData>
    <row r="1" spans="1:38" x14ac:dyDescent="0.2">
      <c r="A1" s="21" t="s">
        <v>17</v>
      </c>
    </row>
    <row r="2" spans="1:38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6</v>
      </c>
      <c r="Q2" s="12" t="s">
        <v>32</v>
      </c>
      <c r="R2" s="12" t="s">
        <v>33</v>
      </c>
      <c r="S2" s="12" t="s">
        <v>129</v>
      </c>
      <c r="T2" s="12" t="s">
        <v>130</v>
      </c>
      <c r="U2" s="12" t="s">
        <v>131</v>
      </c>
      <c r="V2" s="12" t="s">
        <v>132</v>
      </c>
      <c r="Z2">
        <v>2015</v>
      </c>
      <c r="AA2">
        <f>+Z2+1</f>
        <v>2016</v>
      </c>
      <c r="AB2">
        <f t="shared" ref="AB2:AL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</row>
    <row r="3" spans="1:38" s="2" customFormat="1" x14ac:dyDescent="0.2">
      <c r="B3" s="2" t="s">
        <v>8</v>
      </c>
      <c r="C3" s="16"/>
      <c r="D3" s="16"/>
      <c r="E3" s="16"/>
      <c r="F3" s="16"/>
      <c r="G3" s="16"/>
      <c r="H3" s="16"/>
      <c r="I3" s="16">
        <v>82.516000000000005</v>
      </c>
      <c r="J3" s="16">
        <v>90.366</v>
      </c>
      <c r="K3" s="16">
        <v>101.95099999999999</v>
      </c>
      <c r="L3" s="16">
        <v>113.839</v>
      </c>
      <c r="M3" s="16">
        <v>120.31699999999999</v>
      </c>
      <c r="N3" s="16">
        <v>138.63</v>
      </c>
      <c r="O3" s="16">
        <v>137.00899999999999</v>
      </c>
      <c r="P3" s="16">
        <v>153.428</v>
      </c>
      <c r="Q3" s="16">
        <v>144.94999999999999</v>
      </c>
      <c r="R3" s="16">
        <f>+Q3</f>
        <v>144.94999999999999</v>
      </c>
      <c r="AG3" s="2">
        <f t="shared" ref="AG3:AG8" si="1">SUM(O3:R3)</f>
        <v>580.33699999999999</v>
      </c>
      <c r="AH3" s="2">
        <f>+AG3*0.8</f>
        <v>464.26960000000003</v>
      </c>
      <c r="AI3" s="2">
        <f>+AH3*0.8</f>
        <v>371.41568000000007</v>
      </c>
      <c r="AJ3" s="2">
        <f>+AI3*0.8</f>
        <v>297.13254400000005</v>
      </c>
    </row>
    <row r="4" spans="1:38" s="2" customFormat="1" x14ac:dyDescent="0.2">
      <c r="B4" s="2" t="s">
        <v>96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>
        <v>25.228999999999999</v>
      </c>
      <c r="R4" s="16">
        <v>15</v>
      </c>
      <c r="AG4" s="2">
        <f t="shared" si="1"/>
        <v>40.228999999999999</v>
      </c>
      <c r="AH4" s="2">
        <v>200</v>
      </c>
      <c r="AI4" s="2">
        <v>350</v>
      </c>
      <c r="AJ4" s="2">
        <v>450</v>
      </c>
    </row>
    <row r="5" spans="1:38" s="2" customFormat="1" x14ac:dyDescent="0.2">
      <c r="B5" s="2" t="s">
        <v>9</v>
      </c>
      <c r="C5" s="16"/>
      <c r="D5" s="16"/>
      <c r="E5" s="16"/>
      <c r="F5" s="16"/>
      <c r="G5" s="16"/>
      <c r="H5" s="16"/>
      <c r="I5" s="16">
        <v>16.690000000000001</v>
      </c>
      <c r="J5" s="16">
        <v>22.143999999999998</v>
      </c>
      <c r="K5" s="16">
        <v>24.672999999999998</v>
      </c>
      <c r="L5" s="16">
        <v>30.63</v>
      </c>
      <c r="M5" s="16">
        <v>31.832999999999998</v>
      </c>
      <c r="N5" s="16">
        <v>40.679000000000002</v>
      </c>
      <c r="O5" s="16">
        <v>35.277000000000001</v>
      </c>
      <c r="P5" s="16">
        <v>45.15</v>
      </c>
      <c r="Q5" s="16">
        <v>45.658999999999999</v>
      </c>
      <c r="R5" s="16">
        <f>+Q5+4</f>
        <v>49.658999999999999</v>
      </c>
      <c r="AG5" s="2">
        <f t="shared" si="1"/>
        <v>175.74499999999998</v>
      </c>
      <c r="AH5" s="2">
        <f t="shared" ref="AH5:AJ6" si="2">+AG5*1.15</f>
        <v>202.10674999999995</v>
      </c>
      <c r="AI5" s="2">
        <f t="shared" si="2"/>
        <v>232.42276249999992</v>
      </c>
      <c r="AJ5" s="2">
        <f t="shared" si="2"/>
        <v>267.28617687499991</v>
      </c>
    </row>
    <row r="6" spans="1:38" s="2" customFormat="1" x14ac:dyDescent="0.2">
      <c r="B6" s="2" t="s">
        <v>10</v>
      </c>
      <c r="C6" s="16"/>
      <c r="D6" s="16"/>
      <c r="E6" s="16"/>
      <c r="F6" s="16"/>
      <c r="G6" s="16"/>
      <c r="H6" s="16"/>
      <c r="I6" s="16">
        <v>0</v>
      </c>
      <c r="J6" s="16">
        <v>0.33300000000000002</v>
      </c>
      <c r="K6" s="16">
        <v>9.1449999999999996</v>
      </c>
      <c r="L6" s="16">
        <v>16.341999999999999</v>
      </c>
      <c r="M6" s="16">
        <v>14.894</v>
      </c>
      <c r="N6" s="16">
        <v>19.204999999999998</v>
      </c>
      <c r="O6" s="16">
        <v>14.586</v>
      </c>
      <c r="P6" s="16">
        <v>14.936999999999999</v>
      </c>
      <c r="Q6" s="16">
        <v>16.428999999999998</v>
      </c>
      <c r="R6" s="16">
        <f>+Q6+3</f>
        <v>19.428999999999998</v>
      </c>
      <c r="AG6" s="2">
        <f t="shared" si="1"/>
        <v>65.381</v>
      </c>
      <c r="AH6" s="2">
        <f t="shared" si="2"/>
        <v>75.188149999999993</v>
      </c>
      <c r="AI6" s="2">
        <f t="shared" si="2"/>
        <v>86.466372499999991</v>
      </c>
      <c r="AJ6" s="2">
        <f t="shared" si="2"/>
        <v>99.436328374999988</v>
      </c>
    </row>
    <row r="7" spans="1:38" s="2" customFormat="1" x14ac:dyDescent="0.2">
      <c r="B7" s="2" t="s">
        <v>34</v>
      </c>
      <c r="C7" s="16"/>
      <c r="D7" s="16"/>
      <c r="E7" s="16"/>
      <c r="F7" s="16"/>
      <c r="G7" s="16"/>
      <c r="H7" s="16"/>
      <c r="I7" s="16">
        <v>26.646999999999998</v>
      </c>
      <c r="J7" s="16">
        <v>50.719000000000001</v>
      </c>
      <c r="K7" s="16">
        <v>41.796999999999997</v>
      </c>
      <c r="L7" s="16">
        <v>59.395000000000003</v>
      </c>
      <c r="M7" s="16">
        <v>20.135999999999999</v>
      </c>
      <c r="N7" s="16">
        <v>59.625</v>
      </c>
      <c r="O7" s="16">
        <v>25.945</v>
      </c>
      <c r="P7" s="16">
        <v>9.0250000000000004</v>
      </c>
      <c r="Q7" s="16">
        <v>29.297000000000001</v>
      </c>
      <c r="R7" s="16">
        <f>+Q7-1</f>
        <v>28.297000000000001</v>
      </c>
      <c r="AG7" s="2">
        <f t="shared" si="1"/>
        <v>92.563999999999993</v>
      </c>
      <c r="AH7" s="2">
        <f>+AG7*0.5</f>
        <v>46.281999999999996</v>
      </c>
      <c r="AI7" s="2">
        <f>+AH7*0.5</f>
        <v>23.140999999999998</v>
      </c>
      <c r="AJ7" s="2">
        <f>+AI7*0.5</f>
        <v>11.570499999999999</v>
      </c>
    </row>
    <row r="8" spans="1:38" s="2" customFormat="1" x14ac:dyDescent="0.2">
      <c r="B8" s="2" t="s">
        <v>35</v>
      </c>
      <c r="C8" s="16"/>
      <c r="D8" s="16"/>
      <c r="E8" s="16"/>
      <c r="F8" s="16"/>
      <c r="G8" s="16"/>
      <c r="H8" s="16"/>
      <c r="I8" s="16">
        <v>0</v>
      </c>
      <c r="J8" s="16">
        <v>0</v>
      </c>
      <c r="K8" s="16">
        <v>0</v>
      </c>
      <c r="L8" s="16">
        <v>0.34699999999999998</v>
      </c>
      <c r="M8" s="16">
        <v>0.45300000000000001</v>
      </c>
      <c r="N8" s="16">
        <v>0.39600000000000002</v>
      </c>
      <c r="O8" s="16">
        <v>0.442</v>
      </c>
      <c r="P8" s="16">
        <v>2.278</v>
      </c>
      <c r="Q8" s="16">
        <v>2.742</v>
      </c>
      <c r="R8" s="16">
        <f>+Q8</f>
        <v>2.742</v>
      </c>
      <c r="AG8" s="2">
        <f t="shared" si="1"/>
        <v>8.2040000000000006</v>
      </c>
      <c r="AH8" s="2">
        <f>+AG8*2</f>
        <v>16.408000000000001</v>
      </c>
      <c r="AI8" s="2">
        <f>+AH8*2</f>
        <v>32.816000000000003</v>
      </c>
      <c r="AJ8" s="2">
        <f>+AI8*2</f>
        <v>65.632000000000005</v>
      </c>
    </row>
    <row r="9" spans="1:38" s="17" customFormat="1" x14ac:dyDescent="0.2">
      <c r="B9" s="17" t="s">
        <v>18</v>
      </c>
      <c r="C9" s="18"/>
      <c r="D9" s="18"/>
      <c r="E9" s="18"/>
      <c r="F9" s="18"/>
      <c r="G9" s="18"/>
      <c r="H9" s="18"/>
      <c r="I9" s="18">
        <f t="shared" ref="I9:P9" si="3">SUM(I3:I8)</f>
        <v>125.85300000000001</v>
      </c>
      <c r="J9" s="18">
        <f t="shared" si="3"/>
        <v>163.56199999999998</v>
      </c>
      <c r="K9" s="18">
        <f t="shared" si="3"/>
        <v>177.566</v>
      </c>
      <c r="L9" s="18">
        <f t="shared" si="3"/>
        <v>220.553</v>
      </c>
      <c r="M9" s="18">
        <f t="shared" si="3"/>
        <v>187.63299999999998</v>
      </c>
      <c r="N9" s="18">
        <f t="shared" si="3"/>
        <v>258.53500000000003</v>
      </c>
      <c r="O9" s="18">
        <f t="shared" si="3"/>
        <v>213.25900000000001</v>
      </c>
      <c r="P9" s="18">
        <f t="shared" si="3"/>
        <v>224.81800000000001</v>
      </c>
      <c r="Q9" s="18">
        <f t="shared" ref="Q9:R9" si="4">SUM(Q3:Q8)</f>
        <v>264.30599999999998</v>
      </c>
      <c r="R9" s="18">
        <f t="shared" si="4"/>
        <v>260.077</v>
      </c>
      <c r="AG9" s="17">
        <f>SUM(AG3:AG8)</f>
        <v>962.45999999999992</v>
      </c>
      <c r="AH9" s="17">
        <f>SUM(AH3:AH8)</f>
        <v>1004.2545</v>
      </c>
      <c r="AI9" s="17">
        <f>SUM(AI3:AI8)</f>
        <v>1096.2618150000001</v>
      </c>
      <c r="AJ9" s="17">
        <f>SUM(AJ3:AJ8)</f>
        <v>1191.05754925</v>
      </c>
    </row>
    <row r="10" spans="1:38" s="2" customFormat="1" x14ac:dyDescent="0.2">
      <c r="B10" s="2" t="s">
        <v>36</v>
      </c>
      <c r="C10" s="16"/>
      <c r="D10" s="16"/>
      <c r="E10" s="16"/>
      <c r="F10" s="16"/>
      <c r="G10" s="16"/>
      <c r="H10" s="16"/>
      <c r="I10" s="16">
        <f>20.826+0.971</f>
        <v>21.797000000000001</v>
      </c>
      <c r="J10" s="16">
        <v>23.024000000000001</v>
      </c>
      <c r="K10" s="16">
        <f>23.023+8.039</f>
        <v>31.061999999999998</v>
      </c>
      <c r="L10" s="16">
        <f>30.256+8.499</f>
        <v>38.755000000000003</v>
      </c>
      <c r="M10" s="16">
        <f>28.091+4.572</f>
        <v>32.663000000000004</v>
      </c>
      <c r="N10" s="16">
        <f>33.635+4.029</f>
        <v>37.664000000000001</v>
      </c>
      <c r="O10" s="16">
        <f>23.457+12.17</f>
        <v>35.627000000000002</v>
      </c>
      <c r="P10" s="16">
        <f>34.038+6.77</f>
        <v>40.807999999999993</v>
      </c>
      <c r="Q10" s="16">
        <v>36.506999999999998</v>
      </c>
      <c r="R10" s="16">
        <f>+R9-R11</f>
        <v>44.213090000000022</v>
      </c>
      <c r="AG10" s="2">
        <f>SUM(O10:R10)</f>
        <v>157.15509000000003</v>
      </c>
      <c r="AH10" s="2">
        <f>+AH9*0.17</f>
        <v>170.72326500000003</v>
      </c>
      <c r="AI10" s="2">
        <f>+AI9*0.17</f>
        <v>186.36450855000004</v>
      </c>
      <c r="AJ10" s="2">
        <f>+AJ9*0.17</f>
        <v>202.47978337250001</v>
      </c>
    </row>
    <row r="11" spans="1:38" s="2" customFormat="1" x14ac:dyDescent="0.2">
      <c r="B11" s="2" t="s">
        <v>37</v>
      </c>
      <c r="C11" s="16"/>
      <c r="D11" s="16"/>
      <c r="E11" s="16"/>
      <c r="F11" s="16"/>
      <c r="G11" s="16"/>
      <c r="H11" s="16"/>
      <c r="I11" s="16">
        <f t="shared" ref="I11:P11" si="5">+I9-I10</f>
        <v>104.05600000000001</v>
      </c>
      <c r="J11" s="16">
        <f t="shared" si="5"/>
        <v>140.53799999999998</v>
      </c>
      <c r="K11" s="16">
        <f t="shared" si="5"/>
        <v>146.50400000000002</v>
      </c>
      <c r="L11" s="16">
        <f t="shared" si="5"/>
        <v>181.798</v>
      </c>
      <c r="M11" s="16">
        <f t="shared" si="5"/>
        <v>154.96999999999997</v>
      </c>
      <c r="N11" s="16">
        <f t="shared" si="5"/>
        <v>220.87100000000004</v>
      </c>
      <c r="O11" s="16">
        <f t="shared" si="5"/>
        <v>177.63200000000001</v>
      </c>
      <c r="P11" s="16">
        <f t="shared" si="5"/>
        <v>184.01000000000002</v>
      </c>
      <c r="Q11" s="16">
        <f>+Q9-Q10</f>
        <v>227.79899999999998</v>
      </c>
      <c r="R11" s="16">
        <f>+R9*0.83</f>
        <v>215.86390999999998</v>
      </c>
      <c r="AG11" s="2">
        <f>+AG9-AG10</f>
        <v>805.30490999999984</v>
      </c>
      <c r="AH11" s="2">
        <f t="shared" ref="AH11:AJ11" si="6">+AH9-AH10</f>
        <v>833.53123499999992</v>
      </c>
      <c r="AI11" s="2">
        <f t="shared" si="6"/>
        <v>909.89730645000009</v>
      </c>
      <c r="AJ11" s="2">
        <f t="shared" si="6"/>
        <v>988.57776587749993</v>
      </c>
    </row>
    <row r="12" spans="1:38" s="2" customFormat="1" x14ac:dyDescent="0.2">
      <c r="B12" s="2" t="s">
        <v>38</v>
      </c>
      <c r="C12" s="16"/>
      <c r="D12" s="16"/>
      <c r="E12" s="16"/>
      <c r="F12" s="16"/>
      <c r="G12" s="16"/>
      <c r="H12" s="16"/>
      <c r="I12" s="16">
        <v>161.78299999999999</v>
      </c>
      <c r="J12" s="16">
        <v>168.46899999999999</v>
      </c>
      <c r="K12" s="16">
        <v>185.899</v>
      </c>
      <c r="L12" s="16">
        <v>182.63499999999999</v>
      </c>
      <c r="M12" s="16">
        <v>194.572</v>
      </c>
      <c r="N12" s="16">
        <v>229.05</v>
      </c>
      <c r="O12" s="16">
        <v>169.893</v>
      </c>
      <c r="P12" s="16">
        <v>205.71199999999999</v>
      </c>
      <c r="Q12" s="16">
        <v>245.37100000000001</v>
      </c>
      <c r="R12" s="16"/>
    </row>
    <row r="13" spans="1:38" s="2" customFormat="1" x14ac:dyDescent="0.2">
      <c r="B13" s="2" t="s">
        <v>39</v>
      </c>
      <c r="C13" s="16"/>
      <c r="D13" s="16"/>
      <c r="E13" s="16"/>
      <c r="F13" s="16"/>
      <c r="G13" s="16"/>
      <c r="H13" s="16"/>
      <c r="I13" s="16">
        <v>167.47200000000001</v>
      </c>
      <c r="J13" s="16">
        <v>166.291</v>
      </c>
      <c r="K13" s="16">
        <v>146.85900000000001</v>
      </c>
      <c r="L13" s="16">
        <v>145.32300000000001</v>
      </c>
      <c r="M13" s="16">
        <v>142.07499999999999</v>
      </c>
      <c r="N13" s="16">
        <v>186.38200000000001</v>
      </c>
      <c r="O13" s="16">
        <v>154.471</v>
      </c>
      <c r="P13" s="16">
        <v>169.98400000000001</v>
      </c>
      <c r="Q13" s="16">
        <v>235.85900000000001</v>
      </c>
      <c r="R13" s="16">
        <f>+Q13</f>
        <v>235.85900000000001</v>
      </c>
    </row>
    <row r="14" spans="1:38" s="2" customFormat="1" x14ac:dyDescent="0.2">
      <c r="B14" s="2" t="s">
        <v>40</v>
      </c>
      <c r="C14" s="16"/>
      <c r="D14" s="16"/>
      <c r="E14" s="16"/>
      <c r="F14" s="16"/>
      <c r="G14" s="16"/>
      <c r="H14" s="16"/>
      <c r="I14" s="16">
        <f t="shared" ref="I14:R14" si="7">+I12+I13</f>
        <v>329.255</v>
      </c>
      <c r="J14" s="16">
        <f t="shared" si="7"/>
        <v>334.76</v>
      </c>
      <c r="K14" s="16">
        <f t="shared" si="7"/>
        <v>332.75800000000004</v>
      </c>
      <c r="L14" s="16">
        <f t="shared" si="7"/>
        <v>327.95799999999997</v>
      </c>
      <c r="M14" s="16">
        <f t="shared" si="7"/>
        <v>336.64699999999999</v>
      </c>
      <c r="N14" s="16">
        <f t="shared" si="7"/>
        <v>415.43200000000002</v>
      </c>
      <c r="O14" s="16">
        <f t="shared" si="7"/>
        <v>324.36400000000003</v>
      </c>
      <c r="P14" s="16">
        <f t="shared" si="7"/>
        <v>375.69600000000003</v>
      </c>
      <c r="Q14" s="16">
        <f t="shared" si="7"/>
        <v>481.23</v>
      </c>
      <c r="R14" s="16">
        <f t="shared" si="7"/>
        <v>235.85900000000001</v>
      </c>
      <c r="AF14" s="16">
        <f t="shared" ref="AF14:AK14" si="8">+AF12+AF13</f>
        <v>0</v>
      </c>
      <c r="AG14" s="16">
        <f t="shared" si="8"/>
        <v>0</v>
      </c>
      <c r="AH14" s="16">
        <f t="shared" si="8"/>
        <v>0</v>
      </c>
      <c r="AI14" s="16">
        <f t="shared" si="8"/>
        <v>0</v>
      </c>
      <c r="AJ14" s="16">
        <f t="shared" si="8"/>
        <v>0</v>
      </c>
      <c r="AK14" s="16">
        <f t="shared" si="8"/>
        <v>0</v>
      </c>
    </row>
    <row r="15" spans="1:38" s="2" customFormat="1" x14ac:dyDescent="0.2">
      <c r="B15" s="2" t="s">
        <v>41</v>
      </c>
      <c r="C15" s="16"/>
      <c r="D15" s="16"/>
      <c r="E15" s="16"/>
      <c r="F15" s="16"/>
      <c r="G15" s="16"/>
      <c r="H15" s="16"/>
      <c r="I15" s="16">
        <f t="shared" ref="I15:R15" si="9">+I11-I14</f>
        <v>-225.19899999999998</v>
      </c>
      <c r="J15" s="16">
        <f t="shared" si="9"/>
        <v>-194.22200000000001</v>
      </c>
      <c r="K15" s="16">
        <f t="shared" si="9"/>
        <v>-186.25400000000002</v>
      </c>
      <c r="L15" s="16">
        <f t="shared" si="9"/>
        <v>-146.15999999999997</v>
      </c>
      <c r="M15" s="16">
        <f t="shared" si="9"/>
        <v>-181.67700000000002</v>
      </c>
      <c r="N15" s="16">
        <f t="shared" si="9"/>
        <v>-194.56099999999998</v>
      </c>
      <c r="O15" s="16">
        <f t="shared" si="9"/>
        <v>-146.73200000000003</v>
      </c>
      <c r="P15" s="16">
        <f t="shared" si="9"/>
        <v>-191.68600000000001</v>
      </c>
      <c r="Q15" s="16">
        <f t="shared" si="9"/>
        <v>-253.43100000000004</v>
      </c>
      <c r="R15" s="16">
        <f t="shared" si="9"/>
        <v>-19.995090000000033</v>
      </c>
      <c r="AF15" s="16">
        <f t="shared" ref="AF15:AK15" si="10">+AF11-AF14</f>
        <v>0</v>
      </c>
      <c r="AG15" s="16">
        <f t="shared" si="10"/>
        <v>805.30490999999984</v>
      </c>
      <c r="AH15" s="16">
        <f t="shared" si="10"/>
        <v>833.53123499999992</v>
      </c>
      <c r="AI15" s="16">
        <f t="shared" si="10"/>
        <v>909.89730645000009</v>
      </c>
      <c r="AJ15" s="16">
        <f t="shared" si="10"/>
        <v>988.57776587749993</v>
      </c>
      <c r="AK15" s="16">
        <f t="shared" si="10"/>
        <v>0</v>
      </c>
    </row>
    <row r="16" spans="1:38" s="2" customFormat="1" x14ac:dyDescent="0.2">
      <c r="B16" s="2" t="s">
        <v>47</v>
      </c>
      <c r="C16" s="16"/>
      <c r="D16" s="16"/>
      <c r="E16" s="16"/>
      <c r="F16" s="16"/>
      <c r="G16" s="16"/>
      <c r="H16" s="16"/>
      <c r="I16" s="16">
        <f>-28.731+2.072-0.591</f>
        <v>-27.250000000000004</v>
      </c>
      <c r="J16" s="16">
        <f>-28.517+1.092-21.952</f>
        <v>-49.377000000000002</v>
      </c>
      <c r="K16" s="16">
        <f>-32.515+0.45+19.044</f>
        <v>-13.020999999999997</v>
      </c>
      <c r="L16" s="16">
        <f>-33.416-8.755</f>
        <v>-42.170999999999999</v>
      </c>
      <c r="M16" s="16">
        <f>-40.274+0.225+17.49</f>
        <v>-22.559000000000001</v>
      </c>
      <c r="N16" s="16">
        <f>-36.816+0.495-29.42</f>
        <v>-65.741000000000014</v>
      </c>
      <c r="O16" s="16">
        <f>-42.362+1.012-51.274</f>
        <v>-92.623999999999995</v>
      </c>
      <c r="P16" s="16">
        <f>-42.609-40.378</f>
        <v>-82.986999999999995</v>
      </c>
      <c r="Q16" s="16">
        <f>-41.084-30.233</f>
        <v>-71.317000000000007</v>
      </c>
      <c r="R16" s="16"/>
    </row>
    <row r="17" spans="2:37" s="2" customFormat="1" x14ac:dyDescent="0.2">
      <c r="B17" s="2" t="s">
        <v>46</v>
      </c>
      <c r="C17" s="16"/>
      <c r="D17" s="16"/>
      <c r="E17" s="16"/>
      <c r="F17" s="16"/>
      <c r="G17" s="16"/>
      <c r="H17" s="16"/>
      <c r="I17" s="16">
        <f t="shared" ref="I17:R17" si="11">+I15+I16</f>
        <v>-252.44899999999998</v>
      </c>
      <c r="J17" s="16">
        <f t="shared" si="11"/>
        <v>-243.59900000000002</v>
      </c>
      <c r="K17" s="16">
        <f t="shared" si="11"/>
        <v>-199.27500000000001</v>
      </c>
      <c r="L17" s="16">
        <f t="shared" si="11"/>
        <v>-188.33099999999996</v>
      </c>
      <c r="M17" s="16">
        <f t="shared" si="11"/>
        <v>-204.23600000000002</v>
      </c>
      <c r="N17" s="16">
        <f t="shared" si="11"/>
        <v>-260.30200000000002</v>
      </c>
      <c r="O17" s="16">
        <f t="shared" si="11"/>
        <v>-239.35600000000002</v>
      </c>
      <c r="P17" s="16">
        <f t="shared" si="11"/>
        <v>-274.673</v>
      </c>
      <c r="Q17" s="16">
        <f t="shared" si="11"/>
        <v>-324.74800000000005</v>
      </c>
      <c r="R17" s="16">
        <f t="shared" si="11"/>
        <v>-19.995090000000033</v>
      </c>
    </row>
    <row r="18" spans="2:37" s="2" customFormat="1" x14ac:dyDescent="0.2">
      <c r="B18" s="2" t="s">
        <v>45</v>
      </c>
      <c r="C18" s="16"/>
      <c r="D18" s="16"/>
      <c r="E18" s="16"/>
      <c r="F18" s="16"/>
      <c r="G18" s="16"/>
      <c r="H18" s="16"/>
      <c r="I18" s="16">
        <v>0.83899999999999997</v>
      </c>
      <c r="J18" s="16">
        <v>-5.8999999999999997E-2</v>
      </c>
      <c r="K18" s="16">
        <v>1.016</v>
      </c>
      <c r="L18" s="16">
        <v>-1.228</v>
      </c>
      <c r="M18" s="16">
        <v>0.27800000000000002</v>
      </c>
      <c r="N18" s="16">
        <v>-1.8420000000000001</v>
      </c>
      <c r="O18" s="16">
        <v>0.98499999999999999</v>
      </c>
      <c r="P18" s="16">
        <v>2.7290000000000001</v>
      </c>
      <c r="Q18" s="16">
        <v>0</v>
      </c>
      <c r="R18" s="16"/>
    </row>
    <row r="19" spans="2:37" s="2" customFormat="1" x14ac:dyDescent="0.2">
      <c r="B19" s="2" t="s">
        <v>44</v>
      </c>
      <c r="C19" s="16"/>
      <c r="D19" s="16"/>
      <c r="E19" s="16"/>
      <c r="F19" s="16"/>
      <c r="G19" s="16"/>
      <c r="H19" s="16"/>
      <c r="I19" s="16">
        <f t="shared" ref="I19:R19" si="12">+I17-I18</f>
        <v>-253.28799999999998</v>
      </c>
      <c r="J19" s="16">
        <f t="shared" si="12"/>
        <v>-243.54000000000002</v>
      </c>
      <c r="K19" s="16">
        <f t="shared" si="12"/>
        <v>-200.291</v>
      </c>
      <c r="L19" s="16">
        <f t="shared" si="12"/>
        <v>-187.10299999999995</v>
      </c>
      <c r="M19" s="16">
        <f t="shared" si="12"/>
        <v>-204.51400000000001</v>
      </c>
      <c r="N19" s="16">
        <f t="shared" si="12"/>
        <v>-258.46000000000004</v>
      </c>
      <c r="O19" s="16">
        <f t="shared" si="12"/>
        <v>-240.34100000000004</v>
      </c>
      <c r="P19" s="16">
        <f t="shared" si="12"/>
        <v>-277.40199999999999</v>
      </c>
      <c r="Q19" s="16">
        <f t="shared" si="12"/>
        <v>-324.74800000000005</v>
      </c>
      <c r="R19" s="16">
        <f t="shared" si="12"/>
        <v>-19.995090000000033</v>
      </c>
    </row>
    <row r="20" spans="2:37" s="1" customFormat="1" x14ac:dyDescent="0.2">
      <c r="B20" s="1" t="s">
        <v>43</v>
      </c>
      <c r="C20" s="15"/>
      <c r="D20" s="15"/>
      <c r="E20" s="15"/>
      <c r="F20" s="15"/>
      <c r="G20" s="15"/>
      <c r="H20" s="15"/>
      <c r="I20" s="15">
        <f t="shared" ref="I20:R20" si="13">+I19/I21</f>
        <v>-2.1837808011311708</v>
      </c>
      <c r="J20" s="15">
        <f t="shared" si="13"/>
        <v>-2.094535321740028</v>
      </c>
      <c r="K20" s="15">
        <f t="shared" si="13"/>
        <v>-1.710719166381961</v>
      </c>
      <c r="L20" s="15">
        <f t="shared" si="13"/>
        <v>-1.5886883130115812</v>
      </c>
      <c r="M20" s="15">
        <f t="shared" si="13"/>
        <v>-1.7165711216122075</v>
      </c>
      <c r="N20" s="15">
        <f t="shared" si="13"/>
        <v>-2.1579153899459813</v>
      </c>
      <c r="O20" s="15">
        <f t="shared" si="13"/>
        <v>-1.9963037718139762</v>
      </c>
      <c r="P20" s="15">
        <f t="shared" si="13"/>
        <v>-2.2945506881948119</v>
      </c>
      <c r="Q20" s="15">
        <f t="shared" si="13"/>
        <v>-2.6582518867770086</v>
      </c>
      <c r="R20" s="15">
        <f t="shared" si="13"/>
        <v>-0.16367147978979449</v>
      </c>
    </row>
    <row r="21" spans="2:37" s="2" customFormat="1" x14ac:dyDescent="0.2">
      <c r="B21" s="2" t="s">
        <v>42</v>
      </c>
      <c r="C21" s="16"/>
      <c r="D21" s="16"/>
      <c r="E21" s="16"/>
      <c r="F21" s="16"/>
      <c r="G21" s="16"/>
      <c r="H21" s="16"/>
      <c r="I21" s="16">
        <v>115.986</v>
      </c>
      <c r="J21" s="16">
        <v>116.274</v>
      </c>
      <c r="K21" s="16">
        <v>117.08</v>
      </c>
      <c r="L21" s="16">
        <v>117.77200000000001</v>
      </c>
      <c r="M21" s="16">
        <v>119.14100000000001</v>
      </c>
      <c r="N21" s="16">
        <v>119.773</v>
      </c>
      <c r="O21" s="16">
        <v>120.393</v>
      </c>
      <c r="P21" s="16">
        <v>120.896</v>
      </c>
      <c r="Q21" s="16">
        <v>122.166</v>
      </c>
      <c r="R21" s="16">
        <f>+Q21</f>
        <v>122.166</v>
      </c>
    </row>
    <row r="23" spans="2:37" s="13" customFormat="1" x14ac:dyDescent="0.2">
      <c r="B23" s="17" t="s">
        <v>59</v>
      </c>
      <c r="C23" s="14"/>
      <c r="D23" s="14"/>
      <c r="E23" s="14"/>
      <c r="F23" s="14"/>
      <c r="G23" s="14"/>
      <c r="H23" s="14"/>
      <c r="I23" s="14"/>
      <c r="J23" s="14"/>
      <c r="K23" s="20"/>
      <c r="L23" s="20"/>
      <c r="M23" s="20">
        <f t="shared" ref="M23:O23" si="14">+M9/I9-1</f>
        <v>0.49089016551055575</v>
      </c>
      <c r="N23" s="20">
        <f t="shared" si="14"/>
        <v>0.58065443073574574</v>
      </c>
      <c r="O23" s="20">
        <f t="shared" si="14"/>
        <v>0.20101258123739907</v>
      </c>
      <c r="P23" s="20">
        <f>+P9/L9-1</f>
        <v>1.9337755550820068E-2</v>
      </c>
      <c r="Q23" s="20">
        <f t="shared" ref="Q23:R23" si="15">+Q9/M9-1</f>
        <v>0.40863280979358652</v>
      </c>
      <c r="R23" s="20">
        <f t="shared" si="15"/>
        <v>5.9643761966463593E-3</v>
      </c>
      <c r="AH23" s="26">
        <f>+AH9/AG9-1</f>
        <v>4.3424661804126963E-2</v>
      </c>
      <c r="AI23" s="26">
        <f>+AI9/AH9-1</f>
        <v>9.161752822616176E-2</v>
      </c>
      <c r="AJ23" s="26">
        <f>+AJ9/AI9-1</f>
        <v>8.6471801674493198E-2</v>
      </c>
    </row>
    <row r="24" spans="2:37" x14ac:dyDescent="0.2">
      <c r="B24" t="s">
        <v>60</v>
      </c>
      <c r="I24" s="19">
        <f>+I11/I9</f>
        <v>0.8268058766974169</v>
      </c>
      <c r="J24" s="19">
        <f t="shared" ref="J24:R24" si="16">+J11/J9</f>
        <v>0.85923380736356858</v>
      </c>
      <c r="K24" s="19">
        <f t="shared" si="16"/>
        <v>0.8250678620907157</v>
      </c>
      <c r="L24" s="19">
        <f t="shared" si="16"/>
        <v>0.82428259874043885</v>
      </c>
      <c r="M24" s="19">
        <f t="shared" si="16"/>
        <v>0.82592081350295521</v>
      </c>
      <c r="N24" s="19">
        <f t="shared" si="16"/>
        <v>0.85431759723054912</v>
      </c>
      <c r="O24" s="19">
        <f t="shared" si="16"/>
        <v>0.83294022761055797</v>
      </c>
      <c r="P24" s="19">
        <f t="shared" si="16"/>
        <v>0.81848428506614246</v>
      </c>
      <c r="Q24" s="19">
        <f t="shared" si="16"/>
        <v>0.86187600735511105</v>
      </c>
      <c r="R24" s="19">
        <f t="shared" si="16"/>
        <v>0.83</v>
      </c>
      <c r="AG24" s="19">
        <f t="shared" ref="AG24:AJ24" si="17">+AG11/AG9</f>
        <v>0.83671519855370602</v>
      </c>
      <c r="AH24" s="19">
        <f t="shared" si="17"/>
        <v>0.83</v>
      </c>
      <c r="AI24" s="19">
        <f t="shared" si="17"/>
        <v>0.83000000000000007</v>
      </c>
      <c r="AJ24" s="19">
        <f t="shared" si="17"/>
        <v>0.83</v>
      </c>
      <c r="AK24" s="19"/>
    </row>
  </sheetData>
  <hyperlinks>
    <hyperlink ref="A1" location="Main!A1" display="Main" xr:uid="{3DF728E2-5AF6-42CE-B546-A76D28A67CFC}"/>
  </hyperlink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8543-0125-48E2-917E-AFC096EB64C2}">
  <dimension ref="A1:D13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4" x14ac:dyDescent="0.2">
      <c r="A1" s="21" t="s">
        <v>17</v>
      </c>
    </row>
    <row r="2" spans="1:4" x14ac:dyDescent="0.2">
      <c r="B2" t="s">
        <v>62</v>
      </c>
      <c r="C2" t="s">
        <v>107</v>
      </c>
    </row>
    <row r="3" spans="1:4" x14ac:dyDescent="0.2">
      <c r="B3" t="s">
        <v>11</v>
      </c>
      <c r="C3" t="s">
        <v>108</v>
      </c>
    </row>
    <row r="4" spans="1:4" x14ac:dyDescent="0.2">
      <c r="B4" t="s">
        <v>13</v>
      </c>
      <c r="C4" t="s">
        <v>114</v>
      </c>
    </row>
    <row r="5" spans="1:4" x14ac:dyDescent="0.2">
      <c r="B5" t="s">
        <v>14</v>
      </c>
      <c r="C5" t="s">
        <v>112</v>
      </c>
    </row>
    <row r="6" spans="1:4" x14ac:dyDescent="0.2">
      <c r="B6" t="s">
        <v>65</v>
      </c>
    </row>
    <row r="7" spans="1:4" x14ac:dyDescent="0.2">
      <c r="C7" s="22" t="s">
        <v>119</v>
      </c>
    </row>
    <row r="8" spans="1:4" x14ac:dyDescent="0.2">
      <c r="C8" t="s">
        <v>115</v>
      </c>
    </row>
    <row r="9" spans="1:4" x14ac:dyDescent="0.2">
      <c r="C9" t="s">
        <v>116</v>
      </c>
    </row>
    <row r="10" spans="1:4" x14ac:dyDescent="0.2">
      <c r="D10" t="s">
        <v>117</v>
      </c>
    </row>
    <row r="13" spans="1:4" x14ac:dyDescent="0.2">
      <c r="C13" s="22" t="s">
        <v>118</v>
      </c>
    </row>
  </sheetData>
  <hyperlinks>
    <hyperlink ref="A1" location="Main!A1" display="Main" xr:uid="{2F387ADB-5933-4315-894A-6227C52FB0BE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0B77-8D3D-4AA1-AC03-6C0EAC385E3F}">
  <dimension ref="A1:C7"/>
  <sheetViews>
    <sheetView zoomScale="190" zoomScaleNormal="190" workbookViewId="0">
      <selection activeCell="C5" sqref="C5"/>
    </sheetView>
  </sheetViews>
  <sheetFormatPr defaultRowHeight="12.75" x14ac:dyDescent="0.2"/>
  <cols>
    <col min="1" max="1" width="5" bestFit="1" customWidth="1"/>
    <col min="2" max="2" width="12.140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96</v>
      </c>
    </row>
    <row r="3" spans="1:3" x14ac:dyDescent="0.2">
      <c r="B3" t="s">
        <v>63</v>
      </c>
      <c r="C3" t="s">
        <v>97</v>
      </c>
    </row>
    <row r="4" spans="1:3" x14ac:dyDescent="0.2">
      <c r="B4" t="s">
        <v>11</v>
      </c>
      <c r="C4" t="s">
        <v>103</v>
      </c>
    </row>
    <row r="5" spans="1:3" x14ac:dyDescent="0.2">
      <c r="B5" t="s">
        <v>15</v>
      </c>
      <c r="C5" t="s">
        <v>68</v>
      </c>
    </row>
    <row r="6" spans="1:3" x14ac:dyDescent="0.2">
      <c r="B6" t="s">
        <v>65</v>
      </c>
    </row>
    <row r="7" spans="1:3" x14ac:dyDescent="0.2">
      <c r="C7" s="22" t="s">
        <v>101</v>
      </c>
    </row>
  </sheetData>
  <hyperlinks>
    <hyperlink ref="A1" location="Main!A1" display="Main" xr:uid="{58B97AB1-6F28-4919-AD4C-9EB4B7CBCB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C7B2-025D-4CC8-B8DF-D63413D3CD25}">
  <dimension ref="A1:C11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8</v>
      </c>
    </row>
    <row r="3" spans="1:3" x14ac:dyDescent="0.2">
      <c r="B3" t="s">
        <v>63</v>
      </c>
      <c r="C3" t="s">
        <v>86</v>
      </c>
    </row>
    <row r="4" spans="1:3" x14ac:dyDescent="0.2">
      <c r="B4" t="s">
        <v>11</v>
      </c>
      <c r="C4" t="s">
        <v>80</v>
      </c>
    </row>
    <row r="5" spans="1:3" x14ac:dyDescent="0.2">
      <c r="B5" t="s">
        <v>65</v>
      </c>
    </row>
    <row r="6" spans="1:3" x14ac:dyDescent="0.2">
      <c r="C6" s="22" t="s">
        <v>83</v>
      </c>
    </row>
    <row r="7" spans="1:3" x14ac:dyDescent="0.2">
      <c r="C7" t="s">
        <v>82</v>
      </c>
    </row>
    <row r="8" spans="1:3" x14ac:dyDescent="0.2">
      <c r="C8" t="s">
        <v>85</v>
      </c>
    </row>
    <row r="9" spans="1:3" x14ac:dyDescent="0.2">
      <c r="C9" t="s">
        <v>87</v>
      </c>
    </row>
    <row r="10" spans="1:3" x14ac:dyDescent="0.2">
      <c r="C10" t="s">
        <v>84</v>
      </c>
    </row>
    <row r="11" spans="1:3" x14ac:dyDescent="0.2">
      <c r="C11" t="s">
        <v>127</v>
      </c>
    </row>
  </sheetData>
  <hyperlinks>
    <hyperlink ref="A1" location="Main!A1" display="Main" xr:uid="{8E992D46-BA96-4AE0-B7BE-0841E5F0BD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F252-D1FE-41F6-93EB-75B65F0EBF79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21" t="s">
        <v>17</v>
      </c>
    </row>
    <row r="2" spans="1:3" x14ac:dyDescent="0.2">
      <c r="B2" t="s">
        <v>62</v>
      </c>
      <c r="C2" t="s">
        <v>10</v>
      </c>
    </row>
    <row r="3" spans="1:3" x14ac:dyDescent="0.2">
      <c r="B3" t="s">
        <v>63</v>
      </c>
      <c r="C3" t="s">
        <v>64</v>
      </c>
    </row>
    <row r="4" spans="1:3" x14ac:dyDescent="0.2">
      <c r="B4" t="s">
        <v>11</v>
      </c>
      <c r="C4" t="s">
        <v>71</v>
      </c>
    </row>
    <row r="5" spans="1:3" x14ac:dyDescent="0.2">
      <c r="B5" t="s">
        <v>13</v>
      </c>
      <c r="C5" t="s">
        <v>78</v>
      </c>
    </row>
    <row r="6" spans="1:3" x14ac:dyDescent="0.2">
      <c r="B6" t="s">
        <v>69</v>
      </c>
      <c r="C6" t="s">
        <v>70</v>
      </c>
    </row>
    <row r="7" spans="1:3" x14ac:dyDescent="0.2">
      <c r="B7" t="s">
        <v>65</v>
      </c>
    </row>
    <row r="8" spans="1:3" x14ac:dyDescent="0.2">
      <c r="C8" s="22" t="s">
        <v>75</v>
      </c>
    </row>
    <row r="9" spans="1:3" x14ac:dyDescent="0.2">
      <c r="C9" t="s">
        <v>76</v>
      </c>
    </row>
    <row r="10" spans="1:3" x14ac:dyDescent="0.2">
      <c r="C10" t="s">
        <v>77</v>
      </c>
    </row>
    <row r="12" spans="1:3" x14ac:dyDescent="0.2">
      <c r="C12" s="22" t="s">
        <v>72</v>
      </c>
    </row>
    <row r="14" spans="1:3" x14ac:dyDescent="0.2">
      <c r="C14" s="22" t="s">
        <v>73</v>
      </c>
    </row>
  </sheetData>
  <hyperlinks>
    <hyperlink ref="A1" location="Main!A1" display="Main" xr:uid="{C7E137ED-9D7F-4944-882F-25584BBD96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ALN-HSD</vt:lpstr>
      <vt:lpstr>Amvuttra</vt:lpstr>
      <vt:lpstr>Onpattro</vt:lpstr>
      <vt:lpstr>Oxlumo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2022-10-21T19:35:25Z</dcterms:created>
  <dcterms:modified xsi:type="dcterms:W3CDTF">2023-01-05T00:39:42Z</dcterms:modified>
</cp:coreProperties>
</file>