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62900C6-F62A-484A-9B32-C13F846FAE6C}" xr6:coauthVersionLast="47" xr6:coauthVersionMax="47" xr10:uidLastSave="{00000000-0000-0000-0000-000000000000}"/>
  <bookViews>
    <workbookView xWindow="-31110" yWindow="300" windowWidth="30840" windowHeight="20430" activeTab="1" xr2:uid="{0DAA4E62-F5A3-42B7-9991-5143FBFA4FA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2" l="1"/>
  <c r="Y6" i="2"/>
  <c r="Y7" i="2" s="1"/>
  <c r="Y11" i="2" s="1"/>
  <c r="Y13" i="2" s="1"/>
  <c r="Y15" i="2" s="1"/>
  <c r="Y16" i="2" s="1"/>
  <c r="Y5" i="2"/>
  <c r="Y4" i="2"/>
  <c r="Z16" i="2"/>
  <c r="Z17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J16" i="2"/>
  <c r="J15" i="2"/>
  <c r="J14" i="2"/>
  <c r="J13" i="2"/>
  <c r="J12" i="2"/>
  <c r="J11" i="2"/>
  <c r="J10" i="2"/>
  <c r="J9" i="2"/>
  <c r="J8" i="2"/>
  <c r="J7" i="2"/>
  <c r="J4" i="2"/>
  <c r="J5" i="2" s="1"/>
  <c r="G12" i="2"/>
  <c r="G4" i="2"/>
  <c r="G10" i="2"/>
  <c r="G5" i="2"/>
  <c r="G7" i="2" s="1"/>
  <c r="G11" i="2" s="1"/>
  <c r="G13" i="2" s="1"/>
  <c r="G15" i="2" s="1"/>
  <c r="G16" i="2" s="1"/>
  <c r="K12" i="2"/>
  <c r="K10" i="2"/>
  <c r="K7" i="2"/>
  <c r="K11" i="2" s="1"/>
  <c r="K13" i="2" s="1"/>
  <c r="K15" i="2" s="1"/>
  <c r="K16" i="2" s="1"/>
  <c r="K4" i="2"/>
  <c r="H12" i="2"/>
  <c r="H10" i="2"/>
  <c r="L12" i="2"/>
  <c r="L10" i="2"/>
  <c r="H4" i="2"/>
  <c r="H5" i="2" s="1"/>
  <c r="H7" i="2" s="1"/>
  <c r="H11" i="2" s="1"/>
  <c r="H13" i="2" s="1"/>
  <c r="H15" i="2" s="1"/>
  <c r="H16" i="2" s="1"/>
  <c r="L4" i="2"/>
  <c r="I12" i="2"/>
  <c r="M12" i="2"/>
  <c r="I10" i="2"/>
  <c r="M10" i="2"/>
  <c r="M5" i="2"/>
  <c r="M7" i="2" s="1"/>
  <c r="M11" i="2" s="1"/>
  <c r="M13" i="2" s="1"/>
  <c r="M15" i="2" s="1"/>
  <c r="M16" i="2" s="1"/>
  <c r="L5" i="2"/>
  <c r="L7" i="2" s="1"/>
  <c r="L11" i="2" s="1"/>
  <c r="L13" i="2" s="1"/>
  <c r="L15" i="2" s="1"/>
  <c r="L16" i="2" s="1"/>
  <c r="K5" i="2"/>
  <c r="I4" i="2"/>
  <c r="I5" i="2" s="1"/>
  <c r="I7" i="2" s="1"/>
  <c r="I11" i="2" s="1"/>
  <c r="I13" i="2" s="1"/>
  <c r="I15" i="2" s="1"/>
  <c r="I16" i="2" s="1"/>
  <c r="M4" i="2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K7" i="1"/>
  <c r="K4" i="1"/>
</calcChain>
</file>

<file path=xl/sharedStrings.xml><?xml version="1.0" encoding="utf-8"?>
<sst xmlns="http://schemas.openxmlformats.org/spreadsheetml/2006/main" count="51" uniqueCount="47">
  <si>
    <t>Price</t>
  </si>
  <si>
    <t>Shares</t>
  </si>
  <si>
    <t>MC</t>
  </si>
  <si>
    <t>Cash</t>
  </si>
  <si>
    <t>Debt</t>
  </si>
  <si>
    <t>EV</t>
  </si>
  <si>
    <t>Vyvgart (efgartigimod)</t>
  </si>
  <si>
    <t>Name</t>
  </si>
  <si>
    <t>Indication</t>
  </si>
  <si>
    <t>gMG</t>
  </si>
  <si>
    <t>Economics</t>
  </si>
  <si>
    <t>Q322</t>
  </si>
  <si>
    <t>ARGX-117</t>
  </si>
  <si>
    <t>ARGX-119</t>
  </si>
  <si>
    <t>MOA</t>
  </si>
  <si>
    <t>C2</t>
  </si>
  <si>
    <t>MuSK agonist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</si>
  <si>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</si>
  <si>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</si>
  <si>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</si>
  <si>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</si>
  <si>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</si>
  <si>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</si>
  <si>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</si>
  <si>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</si>
  <si>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</si>
  <si>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</si>
  <si>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</si>
  <si>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</si>
  <si>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</si>
  <si>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Q123</t>
  </si>
  <si>
    <t>Q223</t>
  </si>
  <si>
    <t>Q323</t>
  </si>
  <si>
    <t>Q423</t>
  </si>
  <si>
    <t>Product</t>
  </si>
  <si>
    <t>Other</t>
  </si>
  <si>
    <t>Operating Income</t>
  </si>
  <si>
    <t>Operating Expenses</t>
  </si>
  <si>
    <t>COGS</t>
  </si>
  <si>
    <t>Gross Profit</t>
  </si>
  <si>
    <t>R&amp;D</t>
  </si>
  <si>
    <t>SG&amp;A</t>
  </si>
  <si>
    <t>EPS</t>
  </si>
  <si>
    <t>Net Income</t>
  </si>
  <si>
    <t>Taxes</t>
  </si>
  <si>
    <t>Pretax Income</t>
  </si>
  <si>
    <t>Interest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</si>
</sst>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39413</xdr:colOff>
      <xdr:row>0</xdr:row>
      <xdr:rowOff>59121</xdr:rowOff>
    </xdr:from>
    <xdr:to>
      <xdr:col>13</xdr:col>
      <xdr:colOff>39413</xdr:colOff>
      <xdr:row>40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002FF7E-E98E-5366-2BB5-01F55F372139}"/>
            </a:ext>
          </a:extLst>
        </xdr:cNvPr>
        <xdr:cNvCxnSpPr/>
      </xdr:nvCxnSpPr>
      <xdr:spPr>
        <a:xfrm>
          <a:off x="8303172" y="59121"/>
          <a:ext cx="0" cy="66740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21435</xdr:colOff>
      <xdr:row>0</xdr:row>
      <xdr:rowOff>0</xdr:rowOff>
    </xdr:from>
    <xdr:to>
      <xdr:col>26</xdr:col>
      <xdr:colOff>21435</xdr:colOff>
      <xdr:row>39</xdr:row>
      <xdr:rowOff>101300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852971F-1AC8-44CA-8432-9A5F3A23F196}"/>
            </a:ext>
          </a:extLst>
        </xdr:cNvPr>
        <xdr:cNvCxnSpPr/>
      </xdr:nvCxnSpPr>
      <xdr:spPr>
        <a:xfrm>
          <a:off x="16244014" y="0"/>
          <a:ext cx="0" cy="63577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072C-9090-47FE-AE79-FF8859A46899}">
  <dimension ref="B2:L11"/>
  <sheetViews>
    <sheetView zoomScale="205" zoomScaleNormal="205" workbookViewId="0">
      <selection activeCell="K7" sqref="K7"/>
    </sheetView>
  </sheetViews>
  <sheetFormatPr defaultRowHeight="12.75" x14ac:dyDescent="0.2"/>
  <cols>
    <col min="1" max="1" width="4.5703125" customWidth="1"/>
    <col min="2" max="2" width="21.85546875" customWidth="1"/>
    <col min="3" max="3" width="10.28515625" customWidth="1"/>
    <col min="4" max="4" width="11.28515625" customWidth="1"/>
    <col min="5" max="5" width="13.7109375" customWidth="1"/>
  </cols>
  <sheetData>
    <row r="2" spans="2:12" x14ac:dyDescent="0.2">
      <c r="B2" s="4" t="s">
        <v>7</v>
      </c>
      <c r="C2" s="5" t="s">
        <v>8</v>
      </c>
      <c r="D2" s="5" t="s">
        <v>10</v>
      </c>
      <c r="E2" s="5" t="s">
        <v>14</v>
      </c>
      <c r="F2" s="5"/>
      <c r="G2" s="6"/>
      <c r="J2" t="s">
        <v>0</v>
      </c>
      <c r="K2" s="1">
        <v>394.96</v>
      </c>
    </row>
    <row r="3" spans="2:12" x14ac:dyDescent="0.2">
      <c r="B3" s="2" t="s">
        <v>6</v>
      </c>
      <c r="C3" s="7" t="s">
        <v>9</v>
      </c>
      <c r="D3" s="7"/>
      <c r="E3" s="7"/>
      <c r="F3" s="7"/>
      <c r="G3" s="8"/>
      <c r="J3" t="s">
        <v>1</v>
      </c>
      <c r="K3" s="11">
        <v>55.203654999999998</v>
      </c>
      <c r="L3" s="12" t="s">
        <v>11</v>
      </c>
    </row>
    <row r="4" spans="2:12" x14ac:dyDescent="0.2">
      <c r="B4" s="4"/>
      <c r="C4" s="5"/>
      <c r="D4" s="5"/>
      <c r="E4" s="5"/>
      <c r="F4" s="5"/>
      <c r="G4" s="6"/>
      <c r="J4" t="s">
        <v>2</v>
      </c>
      <c r="K4" s="11">
        <f>+K2*K3</f>
        <v>21803.235578799999</v>
      </c>
    </row>
    <row r="5" spans="2:12" x14ac:dyDescent="0.2">
      <c r="B5" s="2" t="s">
        <v>12</v>
      </c>
      <c r="C5" s="7"/>
      <c r="D5" s="7"/>
      <c r="E5" s="7" t="s">
        <v>15</v>
      </c>
      <c r="F5" s="7"/>
      <c r="G5" s="8"/>
      <c r="J5" t="s">
        <v>3</v>
      </c>
      <c r="K5" s="11">
        <v>2385.5</v>
      </c>
      <c r="L5" s="12" t="s">
        <v>11</v>
      </c>
    </row>
    <row r="6" spans="2:12" x14ac:dyDescent="0.2">
      <c r="B6" s="2" t="s">
        <v>13</v>
      </c>
      <c r="C6" s="7"/>
      <c r="D6" s="7"/>
      <c r="E6" s="7" t="s">
        <v>16</v>
      </c>
      <c r="F6" s="7"/>
      <c r="G6" s="8"/>
      <c r="J6" t="s">
        <v>4</v>
      </c>
      <c r="K6" s="11">
        <v>0</v>
      </c>
      <c r="L6" s="12" t="s">
        <v>11</v>
      </c>
    </row>
    <row r="7" spans="2:12" x14ac:dyDescent="0.2">
      <c r="B7" s="2"/>
      <c r="C7" s="7"/>
      <c r="D7" s="7"/>
      <c r="E7" s="7"/>
      <c r="F7" s="7"/>
      <c r="G7" s="8"/>
      <c r="J7" t="s">
        <v>5</v>
      </c>
      <c r="K7" s="11">
        <f>+K4-K5+K6</f>
        <v>19417.735578799999</v>
      </c>
    </row>
    <row r="8" spans="2:12" x14ac:dyDescent="0.2">
      <c r="B8" s="2"/>
      <c r="C8" s="7"/>
      <c r="D8" s="7"/>
      <c r="E8" s="7"/>
      <c r="F8" s="7"/>
      <c r="G8" s="8"/>
    </row>
    <row r="9" spans="2:12" x14ac:dyDescent="0.2">
      <c r="B9" s="2"/>
      <c r="C9" s="7"/>
      <c r="D9" s="7"/>
      <c r="E9" s="7"/>
      <c r="F9" s="7"/>
      <c r="G9" s="8"/>
    </row>
    <row r="10" spans="2:12" x14ac:dyDescent="0.2">
      <c r="B10" s="2"/>
      <c r="C10" s="7"/>
      <c r="D10" s="7"/>
      <c r="E10" s="7"/>
      <c r="F10" s="7"/>
      <c r="G10" s="8"/>
    </row>
    <row r="11" spans="2:12" x14ac:dyDescent="0.2">
      <c r="B11" s="3"/>
      <c r="C11" s="9"/>
      <c r="D11" s="9"/>
      <c r="E11" s="9"/>
      <c r="F11" s="9"/>
      <c r="G11" s="1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FC1B-B0AD-4EAF-96B8-DF2C11F9039A}">
  <dimension ref="A1:AI17"/>
  <sheetViews>
    <sheetView tabSelected="1" zoomScale="190" zoomScaleNormal="19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T2" sqref="T2"/>
    </sheetView>
  </sheetViews>
  <sheetFormatPr defaultRowHeight="12.75" x14ac:dyDescent="0.2"/>
  <cols>
    <col min="1" max="1" width="5" bestFit="1" customWidth="1"/>
    <col min="2" max="2" width="18.140625" bestFit="1" customWidth="1"/>
    <col min="3" max="18" width="9.140625" style="12"/>
  </cols>
  <sheetData>
    <row r="1" spans="1:35" x14ac:dyDescent="0.2">
      <c r="A1" s="13" t="s">
        <v>17</v>
      </c>
    </row>
    <row r="2" spans="1:35" x14ac:dyDescent="0.2">
      <c r="C2" s="12" t="s">
        <v>19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28</v>
      </c>
      <c r="M2" s="12" t="s">
        <v>11</v>
      </c>
      <c r="N2" s="12" t="s">
        <v>29</v>
      </c>
      <c r="O2" s="12" t="s">
        <v>30</v>
      </c>
      <c r="P2" s="12" t="s">
        <v>31</v>
      </c>
      <c r="Q2" s="12" t="s">
        <v>32</v>
      </c>
      <c r="R2" s="12" t="s">
        <v>33</v>
      </c>
      <c r="T2">
        <v>2015</v>
      </c>
      <c r="U2">
        <f>+T2+1</f>
        <v>2016</v>
      </c>
      <c r="V2">
        <f t="shared" ref="V2:AI2" si="0">+U2+1</f>
        <v>2017</v>
      </c>
      <c r="W2">
        <f t="shared" si="0"/>
        <v>2018</v>
      </c>
      <c r="X2">
        <f t="shared" si="0"/>
        <v>2019</v>
      </c>
      <c r="Y2">
        <f t="shared" si="0"/>
        <v>2020</v>
      </c>
      <c r="Z2">
        <f t="shared" si="0"/>
        <v>2021</v>
      </c>
      <c r="AA2">
        <f t="shared" si="0"/>
        <v>2022</v>
      </c>
      <c r="AB2">
        <f t="shared" si="0"/>
        <v>2023</v>
      </c>
      <c r="AC2">
        <f t="shared" si="0"/>
        <v>2024</v>
      </c>
      <c r="AD2">
        <f t="shared" si="0"/>
        <v>2025</v>
      </c>
      <c r="AE2">
        <f t="shared" si="0"/>
        <v>2026</v>
      </c>
      <c r="AF2">
        <f t="shared" si="0"/>
        <v>2027</v>
      </c>
      <c r="AG2">
        <f t="shared" si="0"/>
        <v>2028</v>
      </c>
      <c r="AH2">
        <f t="shared" si="0"/>
        <v>2029</v>
      </c>
      <c r="AI2">
        <f t="shared" si="0"/>
        <v>2030</v>
      </c>
    </row>
    <row r="3" spans="1:35" s="17" customFormat="1" x14ac:dyDescent="0.2">
      <c r="B3" s="17" t="s">
        <v>34</v>
      </c>
      <c r="C3" s="18"/>
      <c r="D3" s="18"/>
      <c r="E3" s="18"/>
      <c r="F3" s="18"/>
      <c r="G3" s="18">
        <v>0</v>
      </c>
      <c r="H3" s="18">
        <v>0</v>
      </c>
      <c r="I3" s="18">
        <v>0</v>
      </c>
      <c r="J3" s="18">
        <v>0</v>
      </c>
      <c r="K3" s="18">
        <v>21.163</v>
      </c>
      <c r="L3" s="18">
        <v>74.832999999999998</v>
      </c>
      <c r="M3" s="18">
        <v>131.32900000000001</v>
      </c>
      <c r="N3" s="18"/>
      <c r="O3" s="18"/>
      <c r="P3" s="18"/>
      <c r="Q3" s="18"/>
      <c r="R3" s="18"/>
      <c r="Y3" s="17">
        <v>0</v>
      </c>
      <c r="Z3" s="17">
        <f>SUM(G3:J3)</f>
        <v>0</v>
      </c>
    </row>
    <row r="4" spans="1:35" s="17" customFormat="1" x14ac:dyDescent="0.2">
      <c r="B4" s="17" t="s">
        <v>35</v>
      </c>
      <c r="C4" s="18"/>
      <c r="D4" s="18"/>
      <c r="E4" s="18"/>
      <c r="F4" s="18"/>
      <c r="G4" s="18">
        <f>158.155+20.412</f>
        <v>178.56700000000001</v>
      </c>
      <c r="H4" s="18">
        <f>312.243+7.819</f>
        <v>320.06200000000001</v>
      </c>
      <c r="I4" s="18">
        <f>0.857+6.248</f>
        <v>7.1050000000000004</v>
      </c>
      <c r="J4" s="18">
        <f>497.277+42.141-I4-H4-G4</f>
        <v>33.683999999999969</v>
      </c>
      <c r="K4" s="18">
        <f>2.249+8.068</f>
        <v>10.317</v>
      </c>
      <c r="L4" s="18">
        <f>0.361+9.989</f>
        <v>10.350000000000001</v>
      </c>
      <c r="M4" s="18">
        <f>6.652+8.508</f>
        <v>15.16</v>
      </c>
      <c r="N4" s="18"/>
      <c r="O4" s="18"/>
      <c r="P4" s="18"/>
      <c r="Q4" s="18"/>
      <c r="R4" s="18"/>
      <c r="Y4" s="17">
        <f>41.243+23.668</f>
        <v>64.911000000000001</v>
      </c>
      <c r="Z4" s="17">
        <f>SUM(G4:J4)</f>
        <v>539.41800000000001</v>
      </c>
    </row>
    <row r="5" spans="1:35" s="19" customFormat="1" x14ac:dyDescent="0.2">
      <c r="B5" s="19" t="s">
        <v>18</v>
      </c>
      <c r="C5" s="20"/>
      <c r="D5" s="20"/>
      <c r="E5" s="20"/>
      <c r="F5" s="20"/>
      <c r="G5" s="20">
        <f>+G3+G4</f>
        <v>178.56700000000001</v>
      </c>
      <c r="H5" s="20">
        <f>+H3+H4</f>
        <v>320.06200000000001</v>
      </c>
      <c r="I5" s="20">
        <f>+I3+I4</f>
        <v>7.1050000000000004</v>
      </c>
      <c r="J5" s="20">
        <f t="shared" ref="J5:M5" si="1">+J3+J4</f>
        <v>33.683999999999969</v>
      </c>
      <c r="K5" s="20">
        <f t="shared" si="1"/>
        <v>31.48</v>
      </c>
      <c r="L5" s="20">
        <f t="shared" si="1"/>
        <v>85.182999999999993</v>
      </c>
      <c r="M5" s="20">
        <f t="shared" si="1"/>
        <v>146.489</v>
      </c>
      <c r="N5" s="20"/>
      <c r="O5" s="20"/>
      <c r="P5" s="20"/>
      <c r="Q5" s="20"/>
      <c r="R5" s="20"/>
      <c r="Y5" s="19">
        <f>+Y3+Y4</f>
        <v>64.911000000000001</v>
      </c>
      <c r="Z5" s="19">
        <f>+Z3+Z4</f>
        <v>539.41800000000001</v>
      </c>
    </row>
    <row r="6" spans="1:35" s="17" customFormat="1" x14ac:dyDescent="0.2">
      <c r="B6" s="17" t="s">
        <v>38</v>
      </c>
      <c r="C6" s="18"/>
      <c r="D6" s="18"/>
      <c r="E6" s="18"/>
      <c r="F6" s="18"/>
      <c r="G6" s="18">
        <v>0</v>
      </c>
      <c r="H6" s="18">
        <v>0</v>
      </c>
      <c r="I6" s="18">
        <v>0</v>
      </c>
      <c r="J6" s="18">
        <v>0</v>
      </c>
      <c r="K6" s="18">
        <v>1.3720000000000001</v>
      </c>
      <c r="L6" s="18">
        <v>5.01</v>
      </c>
      <c r="M6" s="18">
        <v>10.263999999999999</v>
      </c>
      <c r="N6" s="18"/>
      <c r="O6" s="18"/>
      <c r="P6" s="18"/>
      <c r="Q6" s="18"/>
      <c r="R6" s="18"/>
      <c r="Y6" s="17">
        <f>SUM(F6:I6)</f>
        <v>0</v>
      </c>
      <c r="Z6" s="17">
        <f>SUM(G6:J6)</f>
        <v>0</v>
      </c>
    </row>
    <row r="7" spans="1:35" s="17" customFormat="1" x14ac:dyDescent="0.2">
      <c r="B7" s="17" t="s">
        <v>39</v>
      </c>
      <c r="C7" s="18"/>
      <c r="D7" s="18"/>
      <c r="E7" s="18"/>
      <c r="F7" s="18"/>
      <c r="G7" s="18">
        <f>+G5-G6</f>
        <v>178.56700000000001</v>
      </c>
      <c r="H7" s="18">
        <f>+H5-H6</f>
        <v>320.06200000000001</v>
      </c>
      <c r="I7" s="18">
        <f>+I5-I6</f>
        <v>7.1050000000000004</v>
      </c>
      <c r="J7" s="18">
        <f>+J5-J6</f>
        <v>33.683999999999969</v>
      </c>
      <c r="K7" s="18">
        <f>+K5-K6</f>
        <v>30.108000000000001</v>
      </c>
      <c r="L7" s="18">
        <f>+L5-L6</f>
        <v>80.172999999999988</v>
      </c>
      <c r="M7" s="18">
        <f>+M5-M6</f>
        <v>136.22499999999999</v>
      </c>
      <c r="N7" s="18"/>
      <c r="O7" s="18"/>
      <c r="P7" s="18"/>
      <c r="Q7" s="18"/>
      <c r="R7" s="18"/>
      <c r="Y7" s="17">
        <f>+Y5-Y6</f>
        <v>64.911000000000001</v>
      </c>
      <c r="Z7" s="17">
        <f>+Z5-Z6</f>
        <v>539.41800000000001</v>
      </c>
    </row>
    <row r="8" spans="1:35" s="17" customFormat="1" x14ac:dyDescent="0.2">
      <c r="B8" s="17" t="s">
        <v>40</v>
      </c>
      <c r="C8" s="18"/>
      <c r="D8" s="18"/>
      <c r="E8" s="18"/>
      <c r="F8" s="18"/>
      <c r="G8" s="18">
        <v>122.328</v>
      </c>
      <c r="H8" s="18">
        <v>151.57900000000001</v>
      </c>
      <c r="I8" s="18">
        <v>139.44</v>
      </c>
      <c r="J8" s="18">
        <f>580.52-I8-H8-G8</f>
        <v>167.17299999999997</v>
      </c>
      <c r="K8" s="18">
        <v>151.96799999999999</v>
      </c>
      <c r="L8" s="18">
        <v>126.919</v>
      </c>
      <c r="M8" s="18">
        <v>236.68100000000001</v>
      </c>
      <c r="N8" s="18"/>
      <c r="O8" s="18"/>
      <c r="P8" s="18"/>
      <c r="Q8" s="18"/>
      <c r="R8" s="18"/>
      <c r="Y8" s="17">
        <v>370.88499999999999</v>
      </c>
      <c r="Z8" s="17">
        <f t="shared" ref="Y8:Z9" si="2">SUM(G8:J8)</f>
        <v>580.52</v>
      </c>
    </row>
    <row r="9" spans="1:35" s="17" customFormat="1" x14ac:dyDescent="0.2">
      <c r="B9" s="17" t="s">
        <v>41</v>
      </c>
      <c r="C9" s="18"/>
      <c r="D9" s="18"/>
      <c r="E9" s="18"/>
      <c r="F9" s="18"/>
      <c r="G9" s="18">
        <v>56.253</v>
      </c>
      <c r="H9" s="18">
        <v>73.346000000000004</v>
      </c>
      <c r="I9" s="18">
        <v>80.623000000000005</v>
      </c>
      <c r="J9" s="18">
        <f>307.644-I9-H9-G9</f>
        <v>97.422000000000011</v>
      </c>
      <c r="K9" s="18">
        <v>100.866</v>
      </c>
      <c r="L9" s="18">
        <v>127.798</v>
      </c>
      <c r="M9" s="18">
        <v>108.181</v>
      </c>
      <c r="N9" s="18"/>
      <c r="O9" s="18"/>
      <c r="P9" s="18"/>
      <c r="Q9" s="18"/>
      <c r="R9" s="18"/>
      <c r="Y9" s="17">
        <v>171.643</v>
      </c>
      <c r="Z9" s="17">
        <f t="shared" si="2"/>
        <v>307.64400000000001</v>
      </c>
    </row>
    <row r="10" spans="1:35" s="17" customFormat="1" x14ac:dyDescent="0.2">
      <c r="B10" s="17" t="s">
        <v>37</v>
      </c>
      <c r="C10" s="18"/>
      <c r="D10" s="18"/>
      <c r="E10" s="18"/>
      <c r="F10" s="18"/>
      <c r="G10" s="18">
        <f>+G8+G9</f>
        <v>178.58100000000002</v>
      </c>
      <c r="H10" s="18">
        <f>+H8+H9</f>
        <v>224.92500000000001</v>
      </c>
      <c r="I10" s="18">
        <f>+I8+I9</f>
        <v>220.06299999999999</v>
      </c>
      <c r="J10" s="18">
        <f>+J8+J9</f>
        <v>264.59499999999997</v>
      </c>
      <c r="K10" s="18">
        <f>+K8+K9</f>
        <v>252.834</v>
      </c>
      <c r="L10" s="18">
        <f>+L8+L9</f>
        <v>254.71699999999998</v>
      </c>
      <c r="M10" s="18">
        <f>+M8+M9</f>
        <v>344.86200000000002</v>
      </c>
      <c r="N10" s="18"/>
      <c r="O10" s="18"/>
      <c r="P10" s="18"/>
      <c r="Q10" s="18"/>
      <c r="R10" s="18"/>
      <c r="Y10" s="17">
        <f>+Y8+Y9</f>
        <v>542.52800000000002</v>
      </c>
      <c r="Z10" s="17">
        <f>+Z8+Z9</f>
        <v>888.16399999999999</v>
      </c>
    </row>
    <row r="11" spans="1:35" s="17" customFormat="1" x14ac:dyDescent="0.2">
      <c r="B11" s="17" t="s">
        <v>36</v>
      </c>
      <c r="C11" s="18"/>
      <c r="D11" s="18"/>
      <c r="E11" s="18"/>
      <c r="F11" s="18"/>
      <c r="G11" s="18">
        <f>+G7-G10</f>
        <v>-1.4000000000010004E-2</v>
      </c>
      <c r="H11" s="18">
        <f>+H7-H10</f>
        <v>95.137</v>
      </c>
      <c r="I11" s="18">
        <f>+I7-I10</f>
        <v>-212.958</v>
      </c>
      <c r="J11" s="18">
        <f>+J7-J10</f>
        <v>-230.911</v>
      </c>
      <c r="K11" s="18">
        <f>+K7-K10</f>
        <v>-222.726</v>
      </c>
      <c r="L11" s="18">
        <f>+L7-L10</f>
        <v>-174.54399999999998</v>
      </c>
      <c r="M11" s="18">
        <f>+M7-M10</f>
        <v>-208.63700000000003</v>
      </c>
      <c r="N11" s="18"/>
      <c r="O11" s="18"/>
      <c r="P11" s="18"/>
      <c r="Q11" s="18"/>
      <c r="R11" s="18"/>
      <c r="Y11" s="17">
        <f>+Y7-Y10</f>
        <v>-477.61700000000002</v>
      </c>
      <c r="Z11" s="17">
        <f>+Z7-Z10</f>
        <v>-348.74599999999998</v>
      </c>
    </row>
    <row r="12" spans="1:35" s="17" customFormat="1" x14ac:dyDescent="0.2">
      <c r="B12" s="17" t="s">
        <v>46</v>
      </c>
      <c r="C12" s="18"/>
      <c r="D12" s="18"/>
      <c r="E12" s="18"/>
      <c r="F12" s="18"/>
      <c r="G12" s="18">
        <f>0.764-1.184</f>
        <v>-0.41999999999999993</v>
      </c>
      <c r="H12" s="18">
        <f>0.864-1.189</f>
        <v>-0.32500000000000007</v>
      </c>
      <c r="I12" s="18">
        <f>0.805-1.1</f>
        <v>-0.29500000000000004</v>
      </c>
      <c r="J12" s="18">
        <f>-0.944-I12-H12-G12</f>
        <v>9.6000000000000085E-2</v>
      </c>
      <c r="K12" s="18">
        <f>0.821-0.953</f>
        <v>-0.13200000000000001</v>
      </c>
      <c r="L12" s="18">
        <f>4.912-1.178</f>
        <v>3.734</v>
      </c>
      <c r="M12" s="18">
        <f>8.007-0.785</f>
        <v>7.2219999999999995</v>
      </c>
      <c r="N12" s="18"/>
      <c r="O12" s="18"/>
      <c r="P12" s="18"/>
      <c r="Q12" s="18"/>
      <c r="R12" s="18"/>
      <c r="Y12" s="17">
        <v>-1.5009999999999999</v>
      </c>
      <c r="Z12" s="17">
        <f t="shared" ref="Y12:Z14" si="3">SUM(G12:J12)</f>
        <v>-0.94399999999999995</v>
      </c>
    </row>
    <row r="13" spans="1:35" s="17" customFormat="1" x14ac:dyDescent="0.2">
      <c r="B13" s="17" t="s">
        <v>45</v>
      </c>
      <c r="C13" s="18"/>
      <c r="D13" s="18"/>
      <c r="E13" s="18"/>
      <c r="F13" s="18"/>
      <c r="G13" s="18">
        <f>+G11+G12</f>
        <v>-0.43400000000000993</v>
      </c>
      <c r="H13" s="18">
        <f>+H11+H12</f>
        <v>94.811999999999998</v>
      </c>
      <c r="I13" s="18">
        <f>+I11+I12</f>
        <v>-213.25299999999999</v>
      </c>
      <c r="J13" s="18">
        <f>+J11+J12</f>
        <v>-230.815</v>
      </c>
      <c r="K13" s="18">
        <f>+K11+K12</f>
        <v>-222.858</v>
      </c>
      <c r="L13" s="18">
        <f>+L11+L12</f>
        <v>-170.80999999999997</v>
      </c>
      <c r="M13" s="18">
        <f>+M11+M12</f>
        <v>-201.41500000000002</v>
      </c>
      <c r="N13" s="18"/>
      <c r="O13" s="18"/>
      <c r="P13" s="18"/>
      <c r="Q13" s="18"/>
      <c r="R13" s="18"/>
      <c r="Y13" s="17">
        <f>+Y11+Y12</f>
        <v>-479.11799999999999</v>
      </c>
      <c r="Z13" s="17">
        <f>+Z11+Z12</f>
        <v>-349.69</v>
      </c>
    </row>
    <row r="14" spans="1:35" s="17" customFormat="1" x14ac:dyDescent="0.2">
      <c r="B14" s="17" t="s">
        <v>44</v>
      </c>
      <c r="C14" s="18"/>
      <c r="D14" s="18"/>
      <c r="E14" s="18"/>
      <c r="F14" s="18"/>
      <c r="G14" s="18">
        <v>11.183999999999999</v>
      </c>
      <c r="H14" s="18">
        <v>1.651</v>
      </c>
      <c r="I14" s="18">
        <v>-2.7490000000000001</v>
      </c>
      <c r="J14" s="18">
        <f>8.522-I14-H14-G14</f>
        <v>-1.5639999999999983</v>
      </c>
      <c r="K14" s="18">
        <v>-2.8849999999999998</v>
      </c>
      <c r="L14" s="18">
        <v>-8.2289999999999992</v>
      </c>
      <c r="M14" s="18">
        <v>-5.9820000000000002</v>
      </c>
      <c r="N14" s="18"/>
      <c r="O14" s="18"/>
      <c r="P14" s="18"/>
      <c r="Q14" s="18"/>
      <c r="R14" s="18"/>
      <c r="Y14" s="17">
        <v>3.1030000000000002</v>
      </c>
      <c r="Z14" s="17">
        <f t="shared" si="3"/>
        <v>8.5220000000000002</v>
      </c>
    </row>
    <row r="15" spans="1:35" s="17" customFormat="1" x14ac:dyDescent="0.2">
      <c r="B15" s="17" t="s">
        <v>43</v>
      </c>
      <c r="C15" s="18"/>
      <c r="D15" s="18"/>
      <c r="E15" s="18"/>
      <c r="F15" s="18"/>
      <c r="G15" s="18">
        <f>+G13-G14</f>
        <v>-11.618000000000009</v>
      </c>
      <c r="H15" s="18">
        <f>+H13-H14</f>
        <v>93.161000000000001</v>
      </c>
      <c r="I15" s="18">
        <f>+I13-I14</f>
        <v>-210.50399999999999</v>
      </c>
      <c r="J15" s="18">
        <f>+J13-J14</f>
        <v>-229.251</v>
      </c>
      <c r="K15" s="18">
        <f>+K13-K14</f>
        <v>-219.97300000000001</v>
      </c>
      <c r="L15" s="18">
        <f>+L13-L14</f>
        <v>-162.58099999999996</v>
      </c>
      <c r="M15" s="18">
        <f>+M13-M14</f>
        <v>-195.43300000000002</v>
      </c>
      <c r="N15" s="18"/>
      <c r="O15" s="18"/>
      <c r="P15" s="18"/>
      <c r="Q15" s="18"/>
      <c r="R15" s="18"/>
      <c r="Y15" s="17">
        <f>+Y13-Y14</f>
        <v>-482.221</v>
      </c>
      <c r="Z15" s="17">
        <f>+Z13-Z14</f>
        <v>-358.21199999999999</v>
      </c>
    </row>
    <row r="16" spans="1:35" x14ac:dyDescent="0.2">
      <c r="B16" t="s">
        <v>42</v>
      </c>
      <c r="G16" s="16">
        <f>+G15/G17</f>
        <v>-0.23260882165652619</v>
      </c>
      <c r="H16" s="16">
        <f>+H15/H17</f>
        <v>1.8147777385731643</v>
      </c>
      <c r="I16" s="16">
        <f>+I15/I17</f>
        <v>-4.0901030441563018</v>
      </c>
      <c r="J16" s="16">
        <f>+J15/J17</f>
        <v>-4.4884442106047544</v>
      </c>
      <c r="K16" s="16">
        <f>+K15/K17</f>
        <v>-4.2234003755639771</v>
      </c>
      <c r="L16" s="16">
        <f>+L15/L17</f>
        <v>-2.9666799440804881</v>
      </c>
      <c r="M16" s="16">
        <f>+M15/M17</f>
        <v>-3.5402184873447244</v>
      </c>
      <c r="Y16" s="1">
        <f>+Y15/Y17</f>
        <v>-10.619165521445485</v>
      </c>
      <c r="Z16" s="1">
        <f>+Z15/Z17</f>
        <v>-7.0298407971513539</v>
      </c>
    </row>
    <row r="17" spans="2:26" s="14" customFormat="1" x14ac:dyDescent="0.2">
      <c r="B17" s="14" t="s">
        <v>1</v>
      </c>
      <c r="C17" s="15"/>
      <c r="D17" s="15"/>
      <c r="E17" s="15"/>
      <c r="F17" s="15"/>
      <c r="G17" s="15">
        <v>49.946514999999998</v>
      </c>
      <c r="H17" s="15">
        <v>51.334660999999997</v>
      </c>
      <c r="I17" s="15">
        <v>51.466673999999998</v>
      </c>
      <c r="J17" s="15">
        <v>51.075826999999997</v>
      </c>
      <c r="K17" s="15">
        <v>52.084335000000003</v>
      </c>
      <c r="L17" s="15">
        <v>54.802339000000003</v>
      </c>
      <c r="M17" s="15">
        <v>55.203654999999998</v>
      </c>
      <c r="N17" s="15"/>
      <c r="O17" s="15"/>
      <c r="P17" s="15"/>
      <c r="Q17" s="15"/>
      <c r="R17" s="15"/>
      <c r="Y17" s="14">
        <v>45.410442000000003</v>
      </c>
      <c r="Z17" s="14">
        <f>AVERAGE(G17:J17)</f>
        <v>50.955919249999994</v>
      </c>
    </row>
  </sheetData>
  <hyperlinks>
    <hyperlink ref="A1" location="Main!A1" display="Main" xr:uid="{1B35E4B9-9CA0-4AD7-893A-ABF700E55CB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2022-12-05T15:25:37Z</dcterms:created>
  <dcterms:modified xsi:type="dcterms:W3CDTF">2022-12-05T15:51:07Z</dcterms:modified>
</cp:coreProperties>
</file>