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FC85943-B61F-4864-BF4A-24240F9A22A3}" xr6:coauthVersionLast="47" xr6:coauthVersionMax="47" xr10:uidLastSave="{00000000-0000-0000-0000-000000000000}"/>
  <bookViews>
    <workbookView xWindow="-30165" yWindow="915" windowWidth="27885" windowHeight="20745" xr2:uid="{94D9BD71-8B15-4AF3-9192-B3E60893D3C5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6" i="2" l="1"/>
  <c r="AO25" i="2"/>
  <c r="AO27" i="2"/>
  <c r="AO29" i="2"/>
  <c r="AO28" i="2"/>
  <c r="AN29" i="2"/>
  <c r="AN30" i="2" s="1"/>
  <c r="AB16" i="2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A16" i="2"/>
  <c r="Z16" i="2"/>
  <c r="AB24" i="2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B23" i="2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Z24" i="2"/>
  <c r="AA24" i="2" s="1"/>
  <c r="AA23" i="2"/>
  <c r="Z23" i="2"/>
  <c r="AA27" i="2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A26" i="2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Z27" i="2"/>
  <c r="Z26" i="2"/>
  <c r="AG25" i="2"/>
  <c r="AH25" i="2" s="1"/>
  <c r="AI25" i="2" s="1"/>
  <c r="AJ25" i="2" s="1"/>
  <c r="AK25" i="2" s="1"/>
  <c r="AL25" i="2" s="1"/>
  <c r="AF25" i="2"/>
  <c r="AA25" i="2"/>
  <c r="AB25" i="2" s="1"/>
  <c r="AC25" i="2" s="1"/>
  <c r="AD25" i="2" s="1"/>
  <c r="AE25" i="2" s="1"/>
  <c r="Z25" i="2"/>
  <c r="AE22" i="2"/>
  <c r="AF22" i="2" s="1"/>
  <c r="AG22" i="2" s="1"/>
  <c r="AH22" i="2" s="1"/>
  <c r="AI22" i="2" s="1"/>
  <c r="AJ22" i="2" s="1"/>
  <c r="AK22" i="2" s="1"/>
  <c r="AL22" i="2" s="1"/>
  <c r="AD22" i="2"/>
  <c r="AC22" i="2"/>
  <c r="AB22" i="2"/>
  <c r="AA22" i="2"/>
  <c r="Z22" i="2"/>
  <c r="AB21" i="2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B20" i="2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Z21" i="2"/>
  <c r="AA21" i="2" s="1"/>
  <c r="AA20" i="2"/>
  <c r="Z20" i="2"/>
  <c r="AE19" i="2"/>
  <c r="AF19" i="2" s="1"/>
  <c r="AG19" i="2" s="1"/>
  <c r="AH19" i="2" s="1"/>
  <c r="AI19" i="2" s="1"/>
  <c r="AJ19" i="2" s="1"/>
  <c r="AK19" i="2" s="1"/>
  <c r="AL19" i="2" s="1"/>
  <c r="AE18" i="2"/>
  <c r="Z19" i="2"/>
  <c r="AA19" i="2" s="1"/>
  <c r="AA18" i="2"/>
  <c r="AB18" i="2" s="1"/>
  <c r="Z18" i="2"/>
  <c r="Z28" i="2"/>
  <c r="AL4" i="2"/>
  <c r="AK4" i="2"/>
  <c r="AB4" i="2"/>
  <c r="AC4" i="2" s="1"/>
  <c r="AD4" i="2" s="1"/>
  <c r="AE4" i="2" s="1"/>
  <c r="AF4" i="2" s="1"/>
  <c r="AG4" i="2" s="1"/>
  <c r="AH4" i="2" s="1"/>
  <c r="AI4" i="2" s="1"/>
  <c r="AJ4" i="2" s="1"/>
  <c r="AA4" i="2"/>
  <c r="Z4" i="2"/>
  <c r="AI10" i="2"/>
  <c r="AJ10" i="2" s="1"/>
  <c r="AK10" i="2" s="1"/>
  <c r="AL10" i="2" s="1"/>
  <c r="AH10" i="2"/>
  <c r="AG10" i="2"/>
  <c r="AF10" i="2"/>
  <c r="AA10" i="2"/>
  <c r="AB10" i="2" s="1"/>
  <c r="AC10" i="2" s="1"/>
  <c r="AD10" i="2" s="1"/>
  <c r="AE10" i="2" s="1"/>
  <c r="Z10" i="2"/>
  <c r="AA8" i="2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Z8" i="2"/>
  <c r="AA6" i="2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Z6" i="2"/>
  <c r="AA14" i="2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Z14" i="2"/>
  <c r="AC17" i="2"/>
  <c r="AD17" i="2" s="1"/>
  <c r="AE17" i="2" s="1"/>
  <c r="AF17" i="2" s="1"/>
  <c r="AG17" i="2" s="1"/>
  <c r="AH17" i="2" s="1"/>
  <c r="AI17" i="2" s="1"/>
  <c r="AJ17" i="2" s="1"/>
  <c r="AK17" i="2" s="1"/>
  <c r="AL17" i="2" s="1"/>
  <c r="AB17" i="2"/>
  <c r="AA17" i="2"/>
  <c r="Z17" i="2"/>
  <c r="AL15" i="2"/>
  <c r="AK15" i="2"/>
  <c r="AJ15" i="2"/>
  <c r="AI15" i="2"/>
  <c r="AH15" i="2"/>
  <c r="AG15" i="2"/>
  <c r="AF15" i="2"/>
  <c r="AF13" i="2"/>
  <c r="AD15" i="2"/>
  <c r="AE15" i="2"/>
  <c r="AE13" i="2" s="1"/>
  <c r="AC15" i="2"/>
  <c r="AC13" i="2" s="1"/>
  <c r="AB15" i="2"/>
  <c r="AA15" i="2"/>
  <c r="AA13" i="2" s="1"/>
  <c r="Z13" i="2"/>
  <c r="AD12" i="2"/>
  <c r="AE12" i="2" s="1"/>
  <c r="AF12" i="2" s="1"/>
  <c r="AG12" i="2" s="1"/>
  <c r="AH12" i="2" s="1"/>
  <c r="AI12" i="2" s="1"/>
  <c r="AJ12" i="2" s="1"/>
  <c r="AK12" i="2" s="1"/>
  <c r="AL12" i="2" s="1"/>
  <c r="AC12" i="2"/>
  <c r="AB12" i="2"/>
  <c r="AA12" i="2"/>
  <c r="Z12" i="2"/>
  <c r="Z15" i="2"/>
  <c r="AH2" i="2"/>
  <c r="AI2" i="2" s="1"/>
  <c r="AJ2" i="2" s="1"/>
  <c r="AK2" i="2" s="1"/>
  <c r="AL2" i="2" s="1"/>
  <c r="W44" i="2"/>
  <c r="W42" i="2"/>
  <c r="W40" i="2"/>
  <c r="W39" i="2"/>
  <c r="W35" i="2"/>
  <c r="Y66" i="2"/>
  <c r="Y71" i="2" s="1"/>
  <c r="Y70" i="2"/>
  <c r="Y69" i="2"/>
  <c r="Y61" i="2"/>
  <c r="Y62" i="2"/>
  <c r="Y64" i="2"/>
  <c r="Y63" i="2"/>
  <c r="Y60" i="2"/>
  <c r="X58" i="2"/>
  <c r="Y45" i="2"/>
  <c r="X45" i="2"/>
  <c r="Y55" i="2"/>
  <c r="X56" i="2"/>
  <c r="X55" i="2"/>
  <c r="Y53" i="2"/>
  <c r="X53" i="2"/>
  <c r="X28" i="2"/>
  <c r="X30" i="2" s="1"/>
  <c r="X48" i="2" s="1"/>
  <c r="X50" i="2" s="1"/>
  <c r="X52" i="2" s="1"/>
  <c r="Y29" i="2"/>
  <c r="X39" i="2"/>
  <c r="Y39" i="2"/>
  <c r="Y35" i="2"/>
  <c r="X35" i="2"/>
  <c r="Y28" i="2"/>
  <c r="X2" i="2"/>
  <c r="Y2" i="2" s="1"/>
  <c r="Z2" i="2" s="1"/>
  <c r="AA2" i="2" s="1"/>
  <c r="AB2" i="2" s="1"/>
  <c r="AC2" i="2" s="1"/>
  <c r="AD2" i="2" s="1"/>
  <c r="AE2" i="2" s="1"/>
  <c r="AF2" i="2" s="1"/>
  <c r="AG2" i="2" s="1"/>
  <c r="L3" i="1"/>
  <c r="L4" i="1" s="1"/>
  <c r="L7" i="1" s="1"/>
  <c r="I56" i="2"/>
  <c r="M56" i="2"/>
  <c r="I41" i="2"/>
  <c r="I39" i="2"/>
  <c r="I35" i="2"/>
  <c r="M41" i="2"/>
  <c r="M39" i="2"/>
  <c r="M35" i="2"/>
  <c r="AN31" i="2" l="1"/>
  <c r="AO30" i="2"/>
  <c r="AE28" i="2"/>
  <c r="AF18" i="2"/>
  <c r="AB19" i="2"/>
  <c r="AC19" i="2" s="1"/>
  <c r="AD19" i="2" s="1"/>
  <c r="AA28" i="2"/>
  <c r="AC18" i="2"/>
  <c r="AB28" i="2"/>
  <c r="AG13" i="2"/>
  <c r="AD13" i="2"/>
  <c r="AB13" i="2"/>
  <c r="Y30" i="2"/>
  <c r="Y48" i="2" s="1"/>
  <c r="Y50" i="2" s="1"/>
  <c r="Y52" i="2" s="1"/>
  <c r="Y56" i="2" s="1"/>
  <c r="Y58" i="2" s="1"/>
  <c r="Y40" i="2"/>
  <c r="Y42" i="2" s="1"/>
  <c r="Y44" i="2" s="1"/>
  <c r="X40" i="2"/>
  <c r="X42" i="2" s="1"/>
  <c r="X44" i="2" s="1"/>
  <c r="M40" i="2"/>
  <c r="M42" i="2" s="1"/>
  <c r="M44" i="2" s="1"/>
  <c r="M45" i="2" s="1"/>
  <c r="I40" i="2"/>
  <c r="I42" i="2" s="1"/>
  <c r="I44" i="2" s="1"/>
  <c r="I45" i="2" s="1"/>
  <c r="AN32" i="2" l="1"/>
  <c r="AO31" i="2"/>
  <c r="AF28" i="2"/>
  <c r="AG18" i="2"/>
  <c r="AC28" i="2"/>
  <c r="AD18" i="2"/>
  <c r="AD28" i="2" s="1"/>
  <c r="AH13" i="2"/>
  <c r="AN33" i="2" l="1"/>
  <c r="AO32" i="2"/>
  <c r="AG28" i="2"/>
  <c r="AH18" i="2"/>
  <c r="AI13" i="2"/>
  <c r="AN34" i="2" l="1"/>
  <c r="AO33" i="2"/>
  <c r="AI18" i="2"/>
  <c r="AH28" i="2"/>
  <c r="AJ13" i="2"/>
  <c r="AN35" i="2" l="1"/>
  <c r="AO35" i="2" s="1"/>
  <c r="AO34" i="2"/>
  <c r="AJ18" i="2"/>
  <c r="AI28" i="2"/>
  <c r="AK13" i="2"/>
  <c r="AK18" i="2" l="1"/>
  <c r="AJ28" i="2"/>
  <c r="AL13" i="2"/>
  <c r="AL18" i="2" l="1"/>
  <c r="AL28" i="2" s="1"/>
  <c r="AK28" i="2"/>
</calcChain>
</file>

<file path=xl/sharedStrings.xml><?xml version="1.0" encoding="utf-8"?>
<sst xmlns="http://schemas.openxmlformats.org/spreadsheetml/2006/main" count="136" uniqueCount="128">
  <si>
    <t>Price</t>
  </si>
  <si>
    <t>Shares</t>
  </si>
  <si>
    <t>MC</t>
  </si>
  <si>
    <t>Cash</t>
  </si>
  <si>
    <t>Debt</t>
  </si>
  <si>
    <t>EV</t>
  </si>
  <si>
    <t>Q322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</si>
  <si>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</si>
  <si>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</si>
  <si>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</si>
  <si>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</si>
  <si>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</si>
  <si>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</si>
  <si>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</si>
  <si>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</si>
  <si>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</si>
  <si>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</si>
  <si>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</si>
  <si>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</si>
  <si>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</si>
  <si>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Royalty</t>
  </si>
  <si>
    <t>Intangibles</t>
  </si>
  <si>
    <t>Other</t>
  </si>
  <si>
    <t>Change in CF</t>
  </si>
  <si>
    <t>R&amp;D</t>
  </si>
  <si>
    <t>G&amp;A</t>
  </si>
  <si>
    <t>Interest Expense</t>
  </si>
  <si>
    <t>Pretax Income</t>
  </si>
  <si>
    <t>Operating Income</t>
  </si>
  <si>
    <t>Operating Expenses</t>
  </si>
  <si>
    <t>Taxes</t>
  </si>
  <si>
    <t>Net Income</t>
  </si>
  <si>
    <t>EPS</t>
  </si>
  <si>
    <t>CFFO</t>
  </si>
  <si>
    <t>Q123</t>
  </si>
  <si>
    <t>Q223</t>
  </si>
  <si>
    <t>Q323</t>
  </si>
  <si>
    <t>Q423</t>
  </si>
  <si>
    <t>Tysabri End-Market</t>
  </si>
  <si>
    <t>CF Royalties</t>
  </si>
  <si>
    <t>CF End-Market</t>
  </si>
  <si>
    <t>Tysabri Royalties</t>
  </si>
  <si>
    <t>Imbruvica End-Market</t>
  </si>
  <si>
    <t>Imbruvica Royalties</t>
  </si>
  <si>
    <t>Xtandi End-Market</t>
  </si>
  <si>
    <t>Xtandi Royalties</t>
  </si>
  <si>
    <t>Promacta End-Market</t>
  </si>
  <si>
    <t>Promacta Royalties</t>
  </si>
  <si>
    <t>Tremfya End-Market</t>
  </si>
  <si>
    <t>Tremfya Royalties</t>
  </si>
  <si>
    <t>Trelegy</t>
  </si>
  <si>
    <t>Januvia</t>
  </si>
  <si>
    <t>Oxlumo</t>
  </si>
  <si>
    <t>Emgality</t>
  </si>
  <si>
    <t>Crysvita</t>
  </si>
  <si>
    <t>Erleada</t>
  </si>
  <si>
    <t>Orladeyo</t>
  </si>
  <si>
    <t>Trodelvy</t>
  </si>
  <si>
    <t>Prevymis</t>
  </si>
  <si>
    <t>Evrysdi</t>
  </si>
  <si>
    <t>Farxiga</t>
  </si>
  <si>
    <t>Cabometyx</t>
  </si>
  <si>
    <t>Other Products</t>
  </si>
  <si>
    <t>aficamten</t>
  </si>
  <si>
    <t>ampreloxetine</t>
  </si>
  <si>
    <t>BCX10013</t>
  </si>
  <si>
    <t>MK-8189</t>
  </si>
  <si>
    <t>olpsairan</t>
  </si>
  <si>
    <t>omecamtiv mecarbil</t>
  </si>
  <si>
    <t>pelabresib</t>
  </si>
  <si>
    <t>pelacarsen</t>
  </si>
  <si>
    <t>seltorexant</t>
  </si>
  <si>
    <t>trontinemab</t>
  </si>
  <si>
    <t>tulmimetostat</t>
  </si>
  <si>
    <t>zavegepant</t>
  </si>
  <si>
    <t>Name</t>
  </si>
  <si>
    <t>MOA</t>
  </si>
  <si>
    <t>Economics</t>
  </si>
  <si>
    <t>Phase</t>
  </si>
  <si>
    <t>Roche</t>
  </si>
  <si>
    <t>transferrin-gantenerumab</t>
  </si>
  <si>
    <t>Indication</t>
  </si>
  <si>
    <t>Alzheimer's</t>
  </si>
  <si>
    <t>PFE</t>
  </si>
  <si>
    <t>MOR</t>
  </si>
  <si>
    <t>JNJ</t>
  </si>
  <si>
    <t>NVS</t>
  </si>
  <si>
    <t>CYTK</t>
  </si>
  <si>
    <t>AMGN</t>
  </si>
  <si>
    <t>MRK</t>
  </si>
  <si>
    <t>Schizophrenia</t>
  </si>
  <si>
    <t>PDE10A inhibitor</t>
  </si>
  <si>
    <t>LP(a) siRNA</t>
  </si>
  <si>
    <t>BET inhibitor</t>
  </si>
  <si>
    <t>Myelofibrosis</t>
  </si>
  <si>
    <t>Orexin 2 antagonist</t>
  </si>
  <si>
    <t>Insomnia</t>
  </si>
  <si>
    <t>EZH2 inhibitor</t>
  </si>
  <si>
    <t>Migraine</t>
  </si>
  <si>
    <t>CGRP</t>
  </si>
  <si>
    <t>Manager: 75 employees</t>
  </si>
  <si>
    <t>Company: executive officers</t>
  </si>
  <si>
    <t>Royalty Receipts</t>
  </si>
  <si>
    <t>Tazverik</t>
  </si>
  <si>
    <t>One-Time</t>
  </si>
  <si>
    <t>Total Cash-In</t>
  </si>
  <si>
    <t>Cash-In</t>
  </si>
  <si>
    <t>Distributions to Legacy</t>
  </si>
  <si>
    <t>Adj Cash Receipts</t>
  </si>
  <si>
    <t>Professional Costs</t>
  </si>
  <si>
    <t>EBITDA</t>
  </si>
  <si>
    <t>Funding Payments</t>
  </si>
  <si>
    <t>Interest</t>
  </si>
  <si>
    <t>Investments/Other</t>
  </si>
  <si>
    <t>S/O</t>
  </si>
  <si>
    <t>CFPS</t>
  </si>
  <si>
    <t>Royalty Assets</t>
  </si>
  <si>
    <t>Royalty Receivable</t>
  </si>
  <si>
    <t>OA</t>
  </si>
  <si>
    <t>Assets</t>
  </si>
  <si>
    <t>NCI payable</t>
  </si>
  <si>
    <t>AP</t>
  </si>
  <si>
    <t>OL</t>
  </si>
  <si>
    <t>Liabilities</t>
  </si>
  <si>
    <t>Reported CFFO</t>
  </si>
  <si>
    <t>Acquisitions</t>
  </si>
  <si>
    <t>Legacy NCI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</si>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</sst>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5B3A8A5-0B19-4FAA-8CEA-94FE262ED3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4699</xdr:colOff>
      <xdr:row>0</xdr:row>
      <xdr:rowOff>45119</xdr:rowOff>
    </xdr:from>
    <xdr:to>
      <xdr:col>14</xdr:col>
      <xdr:colOff>4699</xdr:colOff>
      <xdr:row>73</xdr:row>
      <xdr:rowOff>33213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4823761-2EEE-562D-8F31-862C66D4B629}"/>
            </a:ext>
          </a:extLst>
        </xdr:cNvPr>
        <xdr:cNvCxnSpPr/>
      </xdr:nvCxnSpPr>
      <xdr:spPr>
        <a:xfrm>
          <a:off x="8888015" y="45119"/>
          <a:ext cx="0" cy="83299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30079</xdr:colOff>
      <xdr:row>0</xdr:row>
      <xdr:rowOff>50132</xdr:rowOff>
    </xdr:from>
    <xdr:to>
      <xdr:col>25</xdr:col>
      <xdr:colOff>30079</xdr:colOff>
      <xdr:row>81</xdr:row>
      <xdr:rowOff>103909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9AFBB88-8E4E-A2A9-CB2F-51EDE0399436}"/>
            </a:ext>
          </a:extLst>
        </xdr:cNvPr>
        <xdr:cNvCxnSpPr/>
      </xdr:nvCxnSpPr>
      <xdr:spPr>
        <a:xfrm>
          <a:off x="15707363" y="50132"/>
          <a:ext cx="0" cy="13029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D893-C181-4171-97CF-57470801B437}">
  <dimension ref="B2:M17"/>
  <sheetViews>
    <sheetView tabSelected="1" zoomScale="175" zoomScaleNormal="175" workbookViewId="0">
      <selection activeCell="L8" sqref="L8"/>
    </sheetView>
  </sheetViews>
  <sheetFormatPr defaultRowHeight="12.75" x14ac:dyDescent="0.2"/>
  <cols>
    <col min="2" max="2" width="17.7109375" bestFit="1" customWidth="1"/>
    <col min="3" max="3" width="22.28515625" bestFit="1" customWidth="1"/>
    <col min="4" max="4" width="12" customWidth="1"/>
  </cols>
  <sheetData>
    <row r="2" spans="2:13" x14ac:dyDescent="0.2">
      <c r="B2" s="14" t="s">
        <v>75</v>
      </c>
      <c r="C2" s="15" t="s">
        <v>76</v>
      </c>
      <c r="D2" s="15" t="s">
        <v>77</v>
      </c>
      <c r="E2" s="15" t="s">
        <v>78</v>
      </c>
      <c r="F2" s="15" t="s">
        <v>81</v>
      </c>
      <c r="G2" s="16"/>
      <c r="K2" t="s">
        <v>0</v>
      </c>
      <c r="L2" s="1">
        <v>35.67</v>
      </c>
    </row>
    <row r="3" spans="2:13" x14ac:dyDescent="0.2">
      <c r="B3" s="8" t="s">
        <v>63</v>
      </c>
      <c r="C3" s="9"/>
      <c r="D3" s="9"/>
      <c r="E3" s="9"/>
      <c r="F3" s="9"/>
      <c r="G3" s="10"/>
      <c r="K3" t="s">
        <v>1</v>
      </c>
      <c r="L3" s="2">
        <f>443.16603+164.057651</f>
        <v>607.22368099999994</v>
      </c>
      <c r="M3" s="3" t="s">
        <v>19</v>
      </c>
    </row>
    <row r="4" spans="2:13" x14ac:dyDescent="0.2">
      <c r="B4" s="8" t="s">
        <v>64</v>
      </c>
      <c r="C4" s="9"/>
      <c r="D4" s="9"/>
      <c r="E4" s="9"/>
      <c r="F4" s="9"/>
      <c r="G4" s="10"/>
      <c r="K4" t="s">
        <v>2</v>
      </c>
      <c r="L4" s="2">
        <f>+L2*L3</f>
        <v>21659.668701269999</v>
      </c>
    </row>
    <row r="5" spans="2:13" x14ac:dyDescent="0.2">
      <c r="B5" s="8" t="s">
        <v>65</v>
      </c>
      <c r="C5" s="9"/>
      <c r="D5" s="9"/>
      <c r="E5" s="9"/>
      <c r="F5" s="9"/>
      <c r="G5" s="10"/>
      <c r="K5" t="s">
        <v>3</v>
      </c>
      <c r="L5" s="2">
        <v>2472</v>
      </c>
      <c r="M5" s="3" t="s">
        <v>19</v>
      </c>
    </row>
    <row r="6" spans="2:13" x14ac:dyDescent="0.2">
      <c r="B6" s="8" t="s">
        <v>66</v>
      </c>
      <c r="C6" s="9" t="s">
        <v>91</v>
      </c>
      <c r="D6" s="9" t="s">
        <v>89</v>
      </c>
      <c r="E6" s="9"/>
      <c r="F6" s="9" t="s">
        <v>90</v>
      </c>
      <c r="G6" s="10"/>
      <c r="K6" t="s">
        <v>4</v>
      </c>
      <c r="L6" s="2">
        <v>7116</v>
      </c>
      <c r="M6" s="3" t="s">
        <v>19</v>
      </c>
    </row>
    <row r="7" spans="2:13" x14ac:dyDescent="0.2">
      <c r="B7" s="8" t="s">
        <v>67</v>
      </c>
      <c r="C7" s="9" t="s">
        <v>92</v>
      </c>
      <c r="D7" s="9" t="s">
        <v>88</v>
      </c>
      <c r="E7" s="9"/>
      <c r="F7" s="9"/>
      <c r="G7" s="10"/>
      <c r="K7" t="s">
        <v>5</v>
      </c>
      <c r="L7" s="2">
        <f>+L4-L5+L6</f>
        <v>26303.668701269999</v>
      </c>
    </row>
    <row r="8" spans="2:13" x14ac:dyDescent="0.2">
      <c r="B8" s="8" t="s">
        <v>68</v>
      </c>
      <c r="C8" s="9"/>
      <c r="D8" s="9" t="s">
        <v>87</v>
      </c>
      <c r="E8" s="9"/>
      <c r="F8" s="9"/>
      <c r="G8" s="10"/>
    </row>
    <row r="9" spans="2:13" x14ac:dyDescent="0.2">
      <c r="B9" s="8" t="s">
        <v>69</v>
      </c>
      <c r="C9" s="9" t="s">
        <v>93</v>
      </c>
      <c r="D9" s="9" t="s">
        <v>84</v>
      </c>
      <c r="E9" s="9"/>
      <c r="F9" s="17" t="s">
        <v>94</v>
      </c>
      <c r="G9" s="10"/>
    </row>
    <row r="10" spans="2:13" x14ac:dyDescent="0.2">
      <c r="B10" s="8" t="s">
        <v>70</v>
      </c>
      <c r="C10" s="9"/>
      <c r="D10" s="9" t="s">
        <v>86</v>
      </c>
      <c r="E10" s="9"/>
      <c r="F10" s="9"/>
      <c r="G10" s="10"/>
    </row>
    <row r="11" spans="2:13" x14ac:dyDescent="0.2">
      <c r="B11" s="8" t="s">
        <v>71</v>
      </c>
      <c r="C11" s="17" t="s">
        <v>95</v>
      </c>
      <c r="D11" s="9" t="s">
        <v>85</v>
      </c>
      <c r="E11" s="9"/>
      <c r="F11" s="17" t="s">
        <v>96</v>
      </c>
      <c r="G11" s="10"/>
    </row>
    <row r="12" spans="2:13" x14ac:dyDescent="0.2">
      <c r="B12" s="8" t="s">
        <v>72</v>
      </c>
      <c r="C12" s="9" t="s">
        <v>80</v>
      </c>
      <c r="D12" s="9" t="s">
        <v>79</v>
      </c>
      <c r="E12" s="9"/>
      <c r="F12" s="17" t="s">
        <v>82</v>
      </c>
      <c r="G12" s="10"/>
      <c r="J12" t="s">
        <v>101</v>
      </c>
    </row>
    <row r="13" spans="2:13" x14ac:dyDescent="0.2">
      <c r="B13" s="8" t="s">
        <v>73</v>
      </c>
      <c r="C13" s="17" t="s">
        <v>97</v>
      </c>
      <c r="D13" s="9" t="s">
        <v>84</v>
      </c>
      <c r="E13" s="9"/>
      <c r="F13" s="9"/>
      <c r="G13" s="10"/>
      <c r="J13" t="s">
        <v>100</v>
      </c>
    </row>
    <row r="14" spans="2:13" x14ac:dyDescent="0.2">
      <c r="B14" s="8" t="s">
        <v>74</v>
      </c>
      <c r="C14" s="17" t="s">
        <v>99</v>
      </c>
      <c r="D14" s="9" t="s">
        <v>83</v>
      </c>
      <c r="E14" s="9"/>
      <c r="F14" s="17" t="s">
        <v>98</v>
      </c>
      <c r="G14" s="10"/>
    </row>
    <row r="15" spans="2:13" x14ac:dyDescent="0.2">
      <c r="B15" s="11"/>
      <c r="C15" s="12"/>
      <c r="D15" s="12"/>
      <c r="E15" s="12"/>
      <c r="F15" s="12"/>
      <c r="G15" s="13"/>
    </row>
    <row r="17" spans="2:2" x14ac:dyDescent="0.2">
      <c r="B17" t="s">
        <v>103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F4E8-A8CE-4B18-916E-E9E556347FDE}">
  <dimension ref="A1:AO77"/>
  <sheetViews>
    <sheetView zoomScale="220" zoomScaleNormal="220" workbookViewId="0">
      <pane xSplit="2" ySplit="2" topLeftCell="AH16" activePane="bottomRight" state="frozen"/>
      <selection pane="topRight" activeCell="C1" sqref="C1"/>
      <selection pane="bottomLeft" activeCell="A3" sqref="A3"/>
      <selection pane="bottomRight" activeCell="AO34" sqref="AO34"/>
    </sheetView>
  </sheetViews>
  <sheetFormatPr defaultRowHeight="12.75" x14ac:dyDescent="0.2"/>
  <cols>
    <col min="1" max="1" width="5" bestFit="1" customWidth="1"/>
    <col min="2" max="2" width="19.5703125" customWidth="1"/>
    <col min="3" max="14" width="9.140625" style="3"/>
    <col min="41" max="41" width="10.85546875" bestFit="1" customWidth="1"/>
  </cols>
  <sheetData>
    <row r="1" spans="1:39" x14ac:dyDescent="0.2">
      <c r="A1" t="s">
        <v>7</v>
      </c>
    </row>
    <row r="2" spans="1:39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6</v>
      </c>
      <c r="N2" s="3" t="s">
        <v>19</v>
      </c>
      <c r="O2" s="3" t="s">
        <v>34</v>
      </c>
      <c r="P2" s="3" t="s">
        <v>35</v>
      </c>
      <c r="Q2" s="3" t="s">
        <v>36</v>
      </c>
      <c r="R2" s="3" t="s">
        <v>37</v>
      </c>
      <c r="U2">
        <v>2018</v>
      </c>
      <c r="V2">
        <v>2019</v>
      </c>
      <c r="W2">
        <v>2020</v>
      </c>
      <c r="X2">
        <f>W2+1</f>
        <v>2021</v>
      </c>
      <c r="Y2">
        <f t="shared" ref="Y2:AL2" si="0">X2+1</f>
        <v>2022</v>
      </c>
      <c r="Z2">
        <f t="shared" si="0"/>
        <v>2023</v>
      </c>
      <c r="AA2">
        <f t="shared" si="0"/>
        <v>2024</v>
      </c>
      <c r="AB2">
        <f t="shared" si="0"/>
        <v>2025</v>
      </c>
      <c r="AC2">
        <f t="shared" si="0"/>
        <v>2026</v>
      </c>
      <c r="AD2">
        <f t="shared" si="0"/>
        <v>2027</v>
      </c>
      <c r="AE2">
        <f t="shared" si="0"/>
        <v>2028</v>
      </c>
      <c r="AF2">
        <f t="shared" si="0"/>
        <v>2029</v>
      </c>
      <c r="AG2">
        <f t="shared" si="0"/>
        <v>2030</v>
      </c>
      <c r="AH2">
        <f t="shared" si="0"/>
        <v>2031</v>
      </c>
      <c r="AI2">
        <f t="shared" si="0"/>
        <v>2032</v>
      </c>
      <c r="AJ2">
        <f t="shared" si="0"/>
        <v>2033</v>
      </c>
      <c r="AK2">
        <f t="shared" si="0"/>
        <v>2034</v>
      </c>
      <c r="AL2">
        <f t="shared" si="0"/>
        <v>2035</v>
      </c>
    </row>
    <row r="3" spans="1:39" s="2" customFormat="1" x14ac:dyDescent="0.2">
      <c r="B3" s="2" t="s">
        <v>40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Y3" s="2">
        <v>8931</v>
      </c>
    </row>
    <row r="4" spans="1:39" s="2" customFormat="1" x14ac:dyDescent="0.2">
      <c r="B4" s="2" t="s">
        <v>39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X4" s="2">
        <v>702.14</v>
      </c>
      <c r="Y4" s="2">
        <v>811</v>
      </c>
      <c r="Z4" s="2">
        <f>Y4*1.05</f>
        <v>851.55000000000007</v>
      </c>
      <c r="AA4" s="2">
        <f t="shared" ref="AA4:AJ4" si="1">Z4*1.05</f>
        <v>894.12750000000005</v>
      </c>
      <c r="AB4" s="2">
        <f t="shared" si="1"/>
        <v>938.83387500000015</v>
      </c>
      <c r="AC4" s="2">
        <f t="shared" si="1"/>
        <v>985.77556875000016</v>
      </c>
      <c r="AD4" s="2">
        <f t="shared" si="1"/>
        <v>1035.0643471875003</v>
      </c>
      <c r="AE4" s="2">
        <f t="shared" si="1"/>
        <v>1086.8175645468752</v>
      </c>
      <c r="AF4" s="2">
        <f t="shared" si="1"/>
        <v>1141.1584427742191</v>
      </c>
      <c r="AG4" s="2">
        <f t="shared" si="1"/>
        <v>1198.2163649129302</v>
      </c>
      <c r="AH4" s="2">
        <f t="shared" si="1"/>
        <v>1258.1271831585768</v>
      </c>
      <c r="AI4" s="2">
        <f t="shared" si="1"/>
        <v>1321.0335423165056</v>
      </c>
      <c r="AJ4" s="2">
        <f t="shared" si="1"/>
        <v>1387.0852194323311</v>
      </c>
      <c r="AK4" s="2">
        <f>AJ4*0.9</f>
        <v>1248.376697489098</v>
      </c>
      <c r="AL4" s="2">
        <f>AK4*0.1</f>
        <v>124.8376697489098</v>
      </c>
    </row>
    <row r="5" spans="1:39" s="2" customFormat="1" x14ac:dyDescent="0.2">
      <c r="B5" s="2" t="s">
        <v>38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Y5" s="2">
        <v>2028</v>
      </c>
    </row>
    <row r="6" spans="1:39" s="2" customFormat="1" x14ac:dyDescent="0.2">
      <c r="B6" s="2" t="s">
        <v>41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X6" s="2">
        <v>369.149</v>
      </c>
      <c r="Y6" s="2">
        <v>370</v>
      </c>
      <c r="Z6" s="2">
        <f>Y6*0.95</f>
        <v>351.5</v>
      </c>
      <c r="AA6" s="2">
        <f t="shared" ref="AA6:AL6" si="2">Z6*0.95</f>
        <v>333.92500000000001</v>
      </c>
      <c r="AB6" s="2">
        <f t="shared" si="2"/>
        <v>317.22874999999999</v>
      </c>
      <c r="AC6" s="2">
        <f t="shared" si="2"/>
        <v>301.36731249999997</v>
      </c>
      <c r="AD6" s="2">
        <f t="shared" si="2"/>
        <v>286.29894687499996</v>
      </c>
      <c r="AE6" s="2">
        <f t="shared" si="2"/>
        <v>271.98399953124994</v>
      </c>
      <c r="AF6" s="2">
        <f t="shared" si="2"/>
        <v>258.38479955468745</v>
      </c>
      <c r="AG6" s="2">
        <f t="shared" si="2"/>
        <v>245.46555957695307</v>
      </c>
      <c r="AH6" s="2">
        <f t="shared" si="2"/>
        <v>233.19228159810541</v>
      </c>
      <c r="AI6" s="2">
        <f t="shared" si="2"/>
        <v>221.53266751820013</v>
      </c>
      <c r="AJ6" s="2">
        <f t="shared" si="2"/>
        <v>210.45603414229012</v>
      </c>
      <c r="AK6" s="2">
        <f t="shared" si="2"/>
        <v>199.9332324351756</v>
      </c>
      <c r="AL6" s="2">
        <f t="shared" si="2"/>
        <v>189.93657081341681</v>
      </c>
    </row>
    <row r="7" spans="1:39" s="2" customFormat="1" x14ac:dyDescent="0.2">
      <c r="B7" s="2" t="s">
        <v>42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Y7" s="2">
        <v>5820</v>
      </c>
    </row>
    <row r="8" spans="1:39" s="2" customFormat="1" x14ac:dyDescent="0.2">
      <c r="B8" s="2" t="s">
        <v>43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X8" s="2">
        <v>352.911</v>
      </c>
      <c r="Y8" s="2">
        <v>313</v>
      </c>
      <c r="Z8" s="2">
        <f>Y8*0.9</f>
        <v>281.7</v>
      </c>
      <c r="AA8" s="2">
        <f t="shared" ref="AA8:AL8" si="3">Z8*0.9</f>
        <v>253.53</v>
      </c>
      <c r="AB8" s="2">
        <f t="shared" si="3"/>
        <v>228.17699999999999</v>
      </c>
      <c r="AC8" s="2">
        <f t="shared" si="3"/>
        <v>205.35929999999999</v>
      </c>
      <c r="AD8" s="2">
        <f t="shared" si="3"/>
        <v>184.82336999999998</v>
      </c>
      <c r="AE8" s="2">
        <f t="shared" si="3"/>
        <v>166.34103299999998</v>
      </c>
      <c r="AF8" s="2">
        <f t="shared" si="3"/>
        <v>149.70692969999999</v>
      </c>
      <c r="AG8" s="2">
        <f t="shared" si="3"/>
        <v>134.73623673</v>
      </c>
      <c r="AH8" s="2">
        <f t="shared" si="3"/>
        <v>121.26261305700001</v>
      </c>
      <c r="AI8" s="2">
        <f t="shared" si="3"/>
        <v>109.13635175130001</v>
      </c>
      <c r="AJ8" s="2">
        <f t="shared" si="3"/>
        <v>98.222716576170015</v>
      </c>
      <c r="AK8" s="2">
        <f t="shared" si="3"/>
        <v>88.400444918553021</v>
      </c>
      <c r="AL8" s="2">
        <f t="shared" si="3"/>
        <v>79.560400426697726</v>
      </c>
    </row>
    <row r="9" spans="1:39" x14ac:dyDescent="0.2">
      <c r="B9" s="2" t="s">
        <v>44</v>
      </c>
      <c r="X9" s="2"/>
      <c r="Y9" s="2">
        <v>4817</v>
      </c>
    </row>
    <row r="10" spans="1:39" x14ac:dyDescent="0.2">
      <c r="B10" s="2" t="s">
        <v>45</v>
      </c>
      <c r="X10" s="2">
        <v>158.10300000000001</v>
      </c>
      <c r="Y10" s="2">
        <v>187</v>
      </c>
      <c r="Z10" s="2">
        <f>Y10*1.01</f>
        <v>188.87</v>
      </c>
      <c r="AA10" s="2">
        <f t="shared" ref="AA10:AG10" si="4">Z10*1.01</f>
        <v>190.7587</v>
      </c>
      <c r="AB10" s="2">
        <f t="shared" si="4"/>
        <v>192.66628700000001</v>
      </c>
      <c r="AC10" s="2">
        <f t="shared" si="4"/>
        <v>194.59294987000001</v>
      </c>
      <c r="AD10" s="2">
        <f t="shared" si="4"/>
        <v>196.53887936870001</v>
      </c>
      <c r="AE10" s="2">
        <f t="shared" si="4"/>
        <v>198.50426816238701</v>
      </c>
      <c r="AF10" s="2">
        <f t="shared" si="4"/>
        <v>200.48931084401087</v>
      </c>
      <c r="AG10" s="2">
        <f t="shared" si="4"/>
        <v>202.49420395245099</v>
      </c>
      <c r="AH10" s="2">
        <f>AG10*0.5</f>
        <v>101.24710197622549</v>
      </c>
      <c r="AI10" s="2">
        <f t="shared" ref="AI10:AL10" si="5">AH10*0.5</f>
        <v>50.623550988112747</v>
      </c>
      <c r="AJ10" s="2">
        <f t="shared" si="5"/>
        <v>25.311775494056374</v>
      </c>
      <c r="AK10" s="2">
        <f t="shared" si="5"/>
        <v>12.655887747028187</v>
      </c>
      <c r="AL10" s="2">
        <f t="shared" si="5"/>
        <v>6.3279438735140934</v>
      </c>
    </row>
    <row r="11" spans="1:39" x14ac:dyDescent="0.2">
      <c r="B11" s="2" t="s">
        <v>46</v>
      </c>
      <c r="X11" s="2"/>
      <c r="Y11" s="2">
        <v>2088</v>
      </c>
    </row>
    <row r="12" spans="1:39" x14ac:dyDescent="0.2">
      <c r="B12" s="2" t="s">
        <v>47</v>
      </c>
      <c r="X12" s="2">
        <v>173.62100000000001</v>
      </c>
      <c r="Y12" s="2">
        <v>182</v>
      </c>
      <c r="Z12" s="2">
        <f>Y12*1.03</f>
        <v>187.46</v>
      </c>
      <c r="AA12" s="2">
        <f>Z12*1.03</f>
        <v>193.08380000000002</v>
      </c>
      <c r="AB12" s="2">
        <f>AA12*0.5</f>
        <v>96.541900000000012</v>
      </c>
      <c r="AC12" s="2">
        <f>AB12*0.1</f>
        <v>9.6541900000000016</v>
      </c>
      <c r="AD12" s="2">
        <f t="shared" ref="AD12:AL12" si="6">AC12*0.1</f>
        <v>0.96541900000000025</v>
      </c>
      <c r="AE12" s="2">
        <f t="shared" si="6"/>
        <v>9.6541900000000028E-2</v>
      </c>
      <c r="AF12" s="2">
        <f t="shared" si="6"/>
        <v>9.6541900000000035E-3</v>
      </c>
      <c r="AG12" s="2">
        <f t="shared" si="6"/>
        <v>9.6541900000000035E-4</v>
      </c>
      <c r="AH12" s="2">
        <f t="shared" si="6"/>
        <v>9.6541900000000045E-5</v>
      </c>
      <c r="AI12" s="2">
        <f t="shared" si="6"/>
        <v>9.6541900000000059E-6</v>
      </c>
      <c r="AJ12" s="2">
        <f t="shared" si="6"/>
        <v>9.6541900000000063E-7</v>
      </c>
      <c r="AK12" s="2">
        <f t="shared" si="6"/>
        <v>9.6541900000000066E-8</v>
      </c>
      <c r="AL12" s="2">
        <f t="shared" si="6"/>
        <v>9.6541900000000076E-9</v>
      </c>
    </row>
    <row r="13" spans="1:39" x14ac:dyDescent="0.2">
      <c r="B13" s="2" t="s">
        <v>48</v>
      </c>
      <c r="X13" s="2"/>
      <c r="Y13" s="2">
        <v>2668</v>
      </c>
      <c r="Z13" s="2">
        <f>Z15/0.036</f>
        <v>4041.666666666667</v>
      </c>
      <c r="AA13" s="2">
        <f t="shared" ref="AA13:AC13" si="7">AA15/0.036</f>
        <v>4850</v>
      </c>
      <c r="AB13" s="2">
        <f t="shared" si="7"/>
        <v>5335.0000000000009</v>
      </c>
      <c r="AC13" s="2">
        <f t="shared" si="7"/>
        <v>5868.5000000000009</v>
      </c>
      <c r="AD13" s="2">
        <f t="shared" ref="AD13:AE13" si="8">AD15/0.036</f>
        <v>6455.3500000000013</v>
      </c>
      <c r="AE13" s="2">
        <f t="shared" si="8"/>
        <v>7100.8850000000029</v>
      </c>
      <c r="AF13" s="2">
        <f t="shared" ref="AF13:AM13" si="9">AF15/0.036</f>
        <v>6745.8407500000021</v>
      </c>
      <c r="AG13" s="2">
        <f t="shared" si="9"/>
        <v>6071.2566750000024</v>
      </c>
      <c r="AH13" s="2">
        <f t="shared" si="9"/>
        <v>5464.1310075000019</v>
      </c>
      <c r="AI13" s="2">
        <f t="shared" si="9"/>
        <v>4644.511356375001</v>
      </c>
      <c r="AJ13" s="2">
        <f t="shared" si="9"/>
        <v>3947.8346529187506</v>
      </c>
      <c r="AK13" s="2">
        <f t="shared" si="9"/>
        <v>3158.2677223350011</v>
      </c>
      <c r="AL13" s="2">
        <f t="shared" si="9"/>
        <v>2526.6141778680008</v>
      </c>
      <c r="AM13" s="2"/>
    </row>
    <row r="14" spans="1:39" x14ac:dyDescent="0.2">
      <c r="B14" s="2" t="s">
        <v>62</v>
      </c>
      <c r="X14" s="2">
        <v>404.01900000000001</v>
      </c>
      <c r="Y14" s="2">
        <v>262.73899999999998</v>
      </c>
      <c r="Z14" s="2">
        <f>Y14*0.9</f>
        <v>236.46509999999998</v>
      </c>
      <c r="AA14" s="2">
        <f t="shared" ref="AA14:AL14" si="10">Z14*0.9</f>
        <v>212.81858999999997</v>
      </c>
      <c r="AB14" s="2">
        <f t="shared" si="10"/>
        <v>191.53673099999997</v>
      </c>
      <c r="AC14" s="2">
        <f t="shared" si="10"/>
        <v>172.38305789999998</v>
      </c>
      <c r="AD14" s="2">
        <f t="shared" si="10"/>
        <v>155.14475210999998</v>
      </c>
      <c r="AE14" s="2">
        <f t="shared" si="10"/>
        <v>139.63027689899999</v>
      </c>
      <c r="AF14" s="2">
        <f t="shared" si="10"/>
        <v>125.66724920909999</v>
      </c>
      <c r="AG14" s="2">
        <f t="shared" si="10"/>
        <v>113.10052428819</v>
      </c>
      <c r="AH14" s="2">
        <f t="shared" si="10"/>
        <v>101.79047185937101</v>
      </c>
      <c r="AI14" s="2">
        <f t="shared" si="10"/>
        <v>91.611424673433916</v>
      </c>
      <c r="AJ14" s="2">
        <f t="shared" si="10"/>
        <v>82.45028220609052</v>
      </c>
      <c r="AK14" s="2">
        <f t="shared" si="10"/>
        <v>74.205253985481477</v>
      </c>
      <c r="AL14" s="2">
        <f t="shared" si="10"/>
        <v>66.784728586933326</v>
      </c>
      <c r="AM14" s="2"/>
    </row>
    <row r="15" spans="1:39" x14ac:dyDescent="0.2">
      <c r="B15" s="2" t="s">
        <v>49</v>
      </c>
      <c r="X15" s="2">
        <v>35.718000000000004</v>
      </c>
      <c r="Y15" s="2">
        <v>97</v>
      </c>
      <c r="Z15" s="2">
        <f>Y15*1.5</f>
        <v>145.5</v>
      </c>
      <c r="AA15" s="2">
        <f>Z15*1.2</f>
        <v>174.6</v>
      </c>
      <c r="AB15" s="2">
        <f>AA15*1.1</f>
        <v>192.06</v>
      </c>
      <c r="AC15" s="2">
        <f>AB15*1.1</f>
        <v>211.26600000000002</v>
      </c>
      <c r="AD15" s="2">
        <f>AC15*1.1</f>
        <v>232.39260000000004</v>
      </c>
      <c r="AE15" s="2">
        <f t="shared" ref="AD15:AE15" si="11">AD15*1.1</f>
        <v>255.63186000000007</v>
      </c>
      <c r="AF15" s="2">
        <f>AE15*0.95</f>
        <v>242.85026700000006</v>
      </c>
      <c r="AG15" s="2">
        <f>AF15*0.9</f>
        <v>218.56524030000006</v>
      </c>
      <c r="AH15" s="2">
        <f>AG15*0.9</f>
        <v>196.70871627000005</v>
      </c>
      <c r="AI15" s="2">
        <f>AH15*0.85</f>
        <v>167.20240882950003</v>
      </c>
      <c r="AJ15" s="2">
        <f>AI15*0.85</f>
        <v>142.12204750507502</v>
      </c>
      <c r="AK15" s="2">
        <f>AJ15*0.8</f>
        <v>113.69763800406002</v>
      </c>
      <c r="AL15" s="2">
        <f>AK15*0.8</f>
        <v>90.958110403248028</v>
      </c>
      <c r="AM15" s="2"/>
    </row>
    <row r="16" spans="1:39" x14ac:dyDescent="0.2">
      <c r="B16" s="2" t="s">
        <v>50</v>
      </c>
      <c r="X16" s="2">
        <v>0</v>
      </c>
      <c r="Y16" s="2">
        <v>90</v>
      </c>
      <c r="Z16">
        <f>Y16*1.2</f>
        <v>108</v>
      </c>
      <c r="AA16" s="2">
        <f>Z16*1.01</f>
        <v>109.08</v>
      </c>
      <c r="AB16" s="2">
        <f t="shared" ref="AB16:AL16" si="12">AA16*1.01</f>
        <v>110.1708</v>
      </c>
      <c r="AC16" s="2">
        <f t="shared" si="12"/>
        <v>111.272508</v>
      </c>
      <c r="AD16" s="2">
        <f t="shared" si="12"/>
        <v>112.38523308000001</v>
      </c>
      <c r="AE16" s="2">
        <f t="shared" si="12"/>
        <v>113.50908541080001</v>
      </c>
      <c r="AF16" s="2">
        <f t="shared" si="12"/>
        <v>114.64417626490801</v>
      </c>
      <c r="AG16" s="2">
        <f t="shared" si="12"/>
        <v>115.79061802755709</v>
      </c>
      <c r="AH16" s="2">
        <f t="shared" si="12"/>
        <v>116.94852420783266</v>
      </c>
      <c r="AI16" s="2">
        <f t="shared" si="12"/>
        <v>118.11800944991099</v>
      </c>
      <c r="AJ16" s="2">
        <f t="shared" si="12"/>
        <v>119.2991895444101</v>
      </c>
      <c r="AK16" s="2">
        <f t="shared" si="12"/>
        <v>120.49218143985419</v>
      </c>
      <c r="AL16" s="2">
        <f t="shared" si="12"/>
        <v>121.69710325425274</v>
      </c>
    </row>
    <row r="17" spans="2:41" x14ac:dyDescent="0.2">
      <c r="B17" s="2" t="s">
        <v>51</v>
      </c>
      <c r="X17" s="2">
        <v>151.15799999999999</v>
      </c>
      <c r="Y17" s="2">
        <v>73</v>
      </c>
      <c r="Z17" s="2">
        <f>Y17*0.9</f>
        <v>65.7</v>
      </c>
      <c r="AA17" s="2">
        <f>Z17*0.8</f>
        <v>52.56</v>
      </c>
      <c r="AB17" s="2">
        <f>AA17*0.7</f>
        <v>36.792000000000002</v>
      </c>
      <c r="AC17" s="2">
        <f t="shared" ref="AC17:AL17" si="13">AB17*0.7</f>
        <v>25.7544</v>
      </c>
      <c r="AD17" s="2">
        <f t="shared" si="13"/>
        <v>18.028079999999999</v>
      </c>
      <c r="AE17" s="2">
        <f t="shared" si="13"/>
        <v>12.619655999999999</v>
      </c>
      <c r="AF17" s="2">
        <f t="shared" si="13"/>
        <v>8.8337591999999994</v>
      </c>
      <c r="AG17" s="2">
        <f t="shared" si="13"/>
        <v>6.1836314399999992</v>
      </c>
      <c r="AH17" s="2">
        <f t="shared" si="13"/>
        <v>4.3285420079999994</v>
      </c>
      <c r="AI17" s="2">
        <f t="shared" si="13"/>
        <v>3.0299794055999993</v>
      </c>
      <c r="AJ17" s="2">
        <f t="shared" si="13"/>
        <v>2.1209855839199996</v>
      </c>
      <c r="AK17" s="2">
        <f t="shared" si="13"/>
        <v>1.4846899087439995</v>
      </c>
      <c r="AL17" s="2">
        <f t="shared" si="13"/>
        <v>1.0392829361207996</v>
      </c>
    </row>
    <row r="18" spans="2:41" x14ac:dyDescent="0.2">
      <c r="B18" s="2" t="s">
        <v>61</v>
      </c>
      <c r="X18" s="2">
        <v>33.722000000000001</v>
      </c>
      <c r="Y18" s="2">
        <v>55</v>
      </c>
      <c r="Z18" s="2">
        <f>Y18*0.9</f>
        <v>49.5</v>
      </c>
      <c r="AA18" s="2">
        <f t="shared" ref="AA18:AC18" si="14">Z18*0.9</f>
        <v>44.550000000000004</v>
      </c>
      <c r="AB18" s="2">
        <f t="shared" si="14"/>
        <v>40.095000000000006</v>
      </c>
      <c r="AC18" s="2">
        <f t="shared" si="14"/>
        <v>36.085500000000003</v>
      </c>
      <c r="AD18" s="2">
        <f>AC18*0.1</f>
        <v>3.6085500000000006</v>
      </c>
      <c r="AE18" s="2">
        <f t="shared" ref="AE18:AL18" si="15">AD18*0.1</f>
        <v>0.36085500000000009</v>
      </c>
      <c r="AF18" s="2">
        <f t="shared" si="15"/>
        <v>3.6085500000000013E-2</v>
      </c>
      <c r="AG18" s="2">
        <f t="shared" si="15"/>
        <v>3.6085500000000016E-3</v>
      </c>
      <c r="AH18" s="2">
        <f t="shared" si="15"/>
        <v>3.608550000000002E-4</v>
      </c>
      <c r="AI18" s="2">
        <f t="shared" si="15"/>
        <v>3.6085500000000019E-5</v>
      </c>
      <c r="AJ18" s="2">
        <f t="shared" si="15"/>
        <v>3.6085500000000021E-6</v>
      </c>
      <c r="AK18" s="2">
        <f t="shared" si="15"/>
        <v>3.6085500000000025E-7</v>
      </c>
      <c r="AL18" s="2">
        <f t="shared" si="15"/>
        <v>3.6085500000000029E-8</v>
      </c>
    </row>
    <row r="19" spans="2:41" x14ac:dyDescent="0.2">
      <c r="B19" s="2" t="s">
        <v>60</v>
      </c>
      <c r="X19" s="2">
        <v>36.378</v>
      </c>
      <c r="Y19" s="2">
        <v>43.84</v>
      </c>
      <c r="Z19" s="2">
        <f t="shared" ref="Z19:AC19" si="16">Y19*0.9</f>
        <v>39.456000000000003</v>
      </c>
      <c r="AA19" s="2">
        <f t="shared" si="16"/>
        <v>35.510400000000004</v>
      </c>
      <c r="AB19" s="2">
        <f t="shared" si="16"/>
        <v>31.959360000000004</v>
      </c>
      <c r="AC19" s="2">
        <f t="shared" si="16"/>
        <v>28.763424000000004</v>
      </c>
      <c r="AD19" s="2">
        <f t="shared" ref="AD19:AL19" si="17">AC19*0.1</f>
        <v>2.8763424000000004</v>
      </c>
      <c r="AE19" s="2">
        <f t="shared" si="17"/>
        <v>0.28763424000000004</v>
      </c>
      <c r="AF19" s="2">
        <f t="shared" si="17"/>
        <v>2.8763424000000006E-2</v>
      </c>
      <c r="AG19" s="2">
        <f t="shared" si="17"/>
        <v>2.8763424000000006E-3</v>
      </c>
      <c r="AH19" s="2">
        <f t="shared" si="17"/>
        <v>2.8763424000000006E-4</v>
      </c>
      <c r="AI19" s="2">
        <f t="shared" si="17"/>
        <v>2.8763424000000009E-5</v>
      </c>
      <c r="AJ19" s="2">
        <f t="shared" si="17"/>
        <v>2.8763424000000012E-6</v>
      </c>
      <c r="AK19" s="2">
        <f t="shared" si="17"/>
        <v>2.8763424000000012E-7</v>
      </c>
      <c r="AL19" s="2">
        <f t="shared" si="17"/>
        <v>2.8763424000000014E-8</v>
      </c>
    </row>
    <row r="20" spans="2:41" x14ac:dyDescent="0.2">
      <c r="B20" s="2" t="s">
        <v>59</v>
      </c>
      <c r="X20" s="2">
        <v>16.097999999999999</v>
      </c>
      <c r="Y20" s="2">
        <v>40.645000000000003</v>
      </c>
      <c r="Z20" s="2">
        <f>Y20*1.2</f>
        <v>48.774000000000001</v>
      </c>
      <c r="AA20" s="2">
        <f>Z20*0.99</f>
        <v>48.286259999999999</v>
      </c>
      <c r="AB20" s="2">
        <f t="shared" ref="AB20:AL20" si="18">AA20*0.99</f>
        <v>47.803397400000001</v>
      </c>
      <c r="AC20" s="2">
        <f t="shared" si="18"/>
        <v>47.325363426000003</v>
      </c>
      <c r="AD20" s="2">
        <f t="shared" si="18"/>
        <v>46.852109791740006</v>
      </c>
      <c r="AE20" s="2">
        <f t="shared" si="18"/>
        <v>46.383588693822603</v>
      </c>
      <c r="AF20" s="2">
        <f t="shared" si="18"/>
        <v>45.919752806884375</v>
      </c>
      <c r="AG20" s="2">
        <f t="shared" si="18"/>
        <v>45.460555278815534</v>
      </c>
      <c r="AH20" s="2">
        <f t="shared" si="18"/>
        <v>45.005949726027374</v>
      </c>
      <c r="AI20" s="2">
        <f t="shared" si="18"/>
        <v>44.555890228767097</v>
      </c>
      <c r="AJ20" s="2">
        <f t="shared" si="18"/>
        <v>44.110331326479425</v>
      </c>
      <c r="AK20" s="2">
        <f t="shared" si="18"/>
        <v>43.669228013214628</v>
      </c>
      <c r="AL20" s="2">
        <f t="shared" si="18"/>
        <v>43.232535733082479</v>
      </c>
    </row>
    <row r="21" spans="2:41" x14ac:dyDescent="0.2">
      <c r="B21" t="s">
        <v>58</v>
      </c>
      <c r="X21" s="2">
        <v>37.505000000000003</v>
      </c>
      <c r="Y21" s="2">
        <v>37</v>
      </c>
      <c r="Z21" s="2">
        <f t="shared" ref="Z21" si="19">Y21*1.2</f>
        <v>44.4</v>
      </c>
      <c r="AA21" s="2">
        <f t="shared" ref="AA21:AL21" si="20">Z21*0.99</f>
        <v>43.955999999999996</v>
      </c>
      <c r="AB21" s="2">
        <f t="shared" si="20"/>
        <v>43.516439999999996</v>
      </c>
      <c r="AC21" s="2">
        <f t="shared" si="20"/>
        <v>43.081275599999998</v>
      </c>
      <c r="AD21" s="2">
        <f t="shared" si="20"/>
        <v>42.650462843999996</v>
      </c>
      <c r="AE21" s="2">
        <f t="shared" si="20"/>
        <v>42.223958215559996</v>
      </c>
      <c r="AF21" s="2">
        <f t="shared" si="20"/>
        <v>41.801718633404398</v>
      </c>
      <c r="AG21" s="2">
        <f t="shared" si="20"/>
        <v>41.383701447070351</v>
      </c>
      <c r="AH21" s="2">
        <f t="shared" si="20"/>
        <v>40.96986443259965</v>
      </c>
      <c r="AI21" s="2">
        <f t="shared" si="20"/>
        <v>40.56016578827365</v>
      </c>
      <c r="AJ21" s="2">
        <f t="shared" si="20"/>
        <v>40.154564130390916</v>
      </c>
      <c r="AK21" s="2">
        <f t="shared" si="20"/>
        <v>39.753018489087005</v>
      </c>
      <c r="AL21" s="2">
        <f t="shared" si="20"/>
        <v>39.355488304196136</v>
      </c>
    </row>
    <row r="22" spans="2:41" x14ac:dyDescent="0.2">
      <c r="B22" t="s">
        <v>57</v>
      </c>
      <c r="X22" s="2">
        <v>13.395</v>
      </c>
      <c r="Y22" s="2">
        <v>24.809000000000001</v>
      </c>
      <c r="Z22" s="2">
        <f>Y22*1.2</f>
        <v>29.770800000000001</v>
      </c>
      <c r="AA22" s="2">
        <f>Z22*1.2</f>
        <v>35.724960000000003</v>
      </c>
      <c r="AB22" s="2">
        <f>AA22*1.2</f>
        <v>42.869952000000005</v>
      </c>
      <c r="AC22" s="2">
        <f>AB22*1.2</f>
        <v>51.443942400000005</v>
      </c>
      <c r="AD22" s="2">
        <f>AC22*1.01</f>
        <v>51.958381824000007</v>
      </c>
      <c r="AE22" s="2">
        <f t="shared" ref="AE22:AL22" si="21">AD22*1.01</f>
        <v>52.477965642240008</v>
      </c>
      <c r="AF22" s="2">
        <f t="shared" si="21"/>
        <v>53.002745298662411</v>
      </c>
      <c r="AG22" s="2">
        <f t="shared" si="21"/>
        <v>53.532772751649034</v>
      </c>
      <c r="AH22" s="2">
        <f t="shared" si="21"/>
        <v>54.068100479165523</v>
      </c>
      <c r="AI22" s="2">
        <f t="shared" si="21"/>
        <v>54.608781483957181</v>
      </c>
      <c r="AJ22" s="2">
        <f t="shared" si="21"/>
        <v>55.154869298796754</v>
      </c>
      <c r="AK22" s="2">
        <f t="shared" si="21"/>
        <v>55.706417991784726</v>
      </c>
      <c r="AL22" s="2">
        <f t="shared" si="21"/>
        <v>56.26348217170257</v>
      </c>
    </row>
    <row r="23" spans="2:41" x14ac:dyDescent="0.2">
      <c r="B23" t="s">
        <v>56</v>
      </c>
      <c r="X23" s="2">
        <v>6.74</v>
      </c>
      <c r="Y23" s="2">
        <v>21.800999999999998</v>
      </c>
      <c r="Z23" s="2">
        <f>Y23*1.2</f>
        <v>26.161199999999997</v>
      </c>
      <c r="AA23" s="2">
        <f>Z23*1.01</f>
        <v>26.422811999999997</v>
      </c>
      <c r="AB23" s="2">
        <f t="shared" ref="AB23:AL23" si="22">AA23*1.01</f>
        <v>26.687040119999995</v>
      </c>
      <c r="AC23" s="2">
        <f t="shared" si="22"/>
        <v>26.953910521199994</v>
      </c>
      <c r="AD23" s="2">
        <f t="shared" si="22"/>
        <v>27.223449626411995</v>
      </c>
      <c r="AE23" s="2">
        <f t="shared" si="22"/>
        <v>27.495684122676114</v>
      </c>
      <c r="AF23" s="2">
        <f t="shared" si="22"/>
        <v>27.770640963902874</v>
      </c>
      <c r="AG23" s="2">
        <f t="shared" si="22"/>
        <v>28.048347373541905</v>
      </c>
      <c r="AH23" s="2">
        <f t="shared" si="22"/>
        <v>28.328830847277324</v>
      </c>
      <c r="AI23" s="2">
        <f t="shared" si="22"/>
        <v>28.612119155750097</v>
      </c>
      <c r="AJ23" s="2">
        <f t="shared" si="22"/>
        <v>28.898240347307599</v>
      </c>
      <c r="AK23" s="2">
        <f t="shared" si="22"/>
        <v>29.187222750780677</v>
      </c>
      <c r="AL23" s="2">
        <f t="shared" si="22"/>
        <v>29.479094978288483</v>
      </c>
    </row>
    <row r="24" spans="2:41" x14ac:dyDescent="0.2">
      <c r="B24" t="s">
        <v>55</v>
      </c>
      <c r="X24" s="2">
        <v>14.227</v>
      </c>
      <c r="Y24" s="2">
        <v>21</v>
      </c>
      <c r="Z24" s="2">
        <f t="shared" ref="Z24" si="23">Y24*1.2</f>
        <v>25.2</v>
      </c>
      <c r="AA24" s="2">
        <f t="shared" ref="AA24:AL24" si="24">Z24*1.01</f>
        <v>25.451999999999998</v>
      </c>
      <c r="AB24" s="2">
        <f t="shared" si="24"/>
        <v>25.706519999999998</v>
      </c>
      <c r="AC24" s="2">
        <f t="shared" si="24"/>
        <v>25.963585199999997</v>
      </c>
      <c r="AD24" s="2">
        <f t="shared" si="24"/>
        <v>26.223221051999996</v>
      </c>
      <c r="AE24" s="2">
        <f t="shared" si="24"/>
        <v>26.485453262519997</v>
      </c>
      <c r="AF24" s="2">
        <f t="shared" si="24"/>
        <v>26.750307795145197</v>
      </c>
      <c r="AG24" s="2">
        <f t="shared" si="24"/>
        <v>27.01781087309665</v>
      </c>
      <c r="AH24" s="2">
        <f t="shared" si="24"/>
        <v>27.287988981827617</v>
      </c>
      <c r="AI24" s="2">
        <f t="shared" si="24"/>
        <v>27.560868871645894</v>
      </c>
      <c r="AJ24" s="2">
        <f t="shared" si="24"/>
        <v>27.836477560362354</v>
      </c>
      <c r="AK24" s="2">
        <f t="shared" si="24"/>
        <v>28.114842335965978</v>
      </c>
      <c r="AL24" s="2">
        <f t="shared" si="24"/>
        <v>28.395990759325638</v>
      </c>
    </row>
    <row r="25" spans="2:41" x14ac:dyDescent="0.2">
      <c r="B25" t="s">
        <v>54</v>
      </c>
      <c r="X25" s="2">
        <v>16.741</v>
      </c>
      <c r="Y25" s="2">
        <v>20</v>
      </c>
      <c r="Z25" s="2">
        <f>Y25*1.1</f>
        <v>22</v>
      </c>
      <c r="AA25" s="2">
        <f t="shared" ref="AA25:AE25" si="25">Z25*1.1</f>
        <v>24.200000000000003</v>
      </c>
      <c r="AB25" s="2">
        <f t="shared" si="25"/>
        <v>26.620000000000005</v>
      </c>
      <c r="AC25" s="2">
        <f t="shared" si="25"/>
        <v>29.282000000000007</v>
      </c>
      <c r="AD25" s="2">
        <f t="shared" si="25"/>
        <v>32.210200000000007</v>
      </c>
      <c r="AE25" s="2">
        <f t="shared" si="25"/>
        <v>35.43122000000001</v>
      </c>
      <c r="AF25" s="2">
        <f>AE25*1.01</f>
        <v>35.785532200000013</v>
      </c>
      <c r="AG25" s="2">
        <f t="shared" ref="AG25:AL25" si="26">AF25*1.01</f>
        <v>36.143387522000012</v>
      </c>
      <c r="AH25" s="2">
        <f t="shared" si="26"/>
        <v>36.504821397220013</v>
      </c>
      <c r="AI25" s="2">
        <f t="shared" si="26"/>
        <v>36.869869611192215</v>
      </c>
      <c r="AJ25" s="2">
        <f t="shared" si="26"/>
        <v>37.238568307304135</v>
      </c>
      <c r="AK25" s="2">
        <f t="shared" si="26"/>
        <v>37.610953990377176</v>
      </c>
      <c r="AL25" s="2">
        <f t="shared" si="26"/>
        <v>37.987063530280949</v>
      </c>
      <c r="AN25" s="18">
        <v>0.01</v>
      </c>
      <c r="AO25" s="2">
        <f t="shared" ref="AO25:AO27" si="27">NPV(AN25,$Z$28:$AL$28)</f>
        <v>28732.681743132147</v>
      </c>
    </row>
    <row r="26" spans="2:41" x14ac:dyDescent="0.2">
      <c r="B26" t="s">
        <v>53</v>
      </c>
      <c r="X26" s="2">
        <v>15.481</v>
      </c>
      <c r="Y26" s="2">
        <v>19</v>
      </c>
      <c r="Z26" s="2">
        <f>Y26*0.99</f>
        <v>18.809999999999999</v>
      </c>
      <c r="AA26" s="2">
        <f t="shared" ref="AA26:AL26" si="28">Z26*0.99</f>
        <v>18.6219</v>
      </c>
      <c r="AB26" s="2">
        <f t="shared" si="28"/>
        <v>18.435680999999999</v>
      </c>
      <c r="AC26" s="2">
        <f t="shared" si="28"/>
        <v>18.251324189999998</v>
      </c>
      <c r="AD26" s="2">
        <f t="shared" si="28"/>
        <v>18.068810948099998</v>
      </c>
      <c r="AE26" s="2">
        <f t="shared" si="28"/>
        <v>17.888122838618997</v>
      </c>
      <c r="AF26" s="2">
        <f t="shared" si="28"/>
        <v>17.709241610232809</v>
      </c>
      <c r="AG26" s="2">
        <f t="shared" si="28"/>
        <v>17.532149194130479</v>
      </c>
      <c r="AH26" s="2">
        <f t="shared" si="28"/>
        <v>17.356827702189175</v>
      </c>
      <c r="AI26" s="2">
        <f t="shared" si="28"/>
        <v>17.183259425167282</v>
      </c>
      <c r="AJ26" s="2">
        <f t="shared" si="28"/>
        <v>17.01142683091561</v>
      </c>
      <c r="AK26" s="2">
        <f t="shared" si="28"/>
        <v>16.841312562606454</v>
      </c>
      <c r="AL26" s="2">
        <f t="shared" si="28"/>
        <v>16.672899436980391</v>
      </c>
      <c r="AN26" s="18">
        <v>0.02</v>
      </c>
      <c r="AO26" s="2">
        <f t="shared" si="27"/>
        <v>27003.974817446797</v>
      </c>
    </row>
    <row r="27" spans="2:41" x14ac:dyDescent="0.2">
      <c r="B27" t="s">
        <v>52</v>
      </c>
      <c r="X27" s="2">
        <v>1.248</v>
      </c>
      <c r="Y27" s="2">
        <v>3</v>
      </c>
      <c r="Z27" s="2">
        <f>Y27*1.01</f>
        <v>3.0300000000000002</v>
      </c>
      <c r="AA27" s="2">
        <f t="shared" ref="AA27:AL27" si="29">Z27*1.01</f>
        <v>3.0603000000000002</v>
      </c>
      <c r="AB27" s="2">
        <f t="shared" si="29"/>
        <v>3.0909030000000004</v>
      </c>
      <c r="AC27" s="2">
        <f t="shared" si="29"/>
        <v>3.1218120300000005</v>
      </c>
      <c r="AD27" s="2">
        <f t="shared" si="29"/>
        <v>3.1530301503000007</v>
      </c>
      <c r="AE27" s="2">
        <f t="shared" si="29"/>
        <v>3.1845604518030006</v>
      </c>
      <c r="AF27" s="2">
        <f t="shared" si="29"/>
        <v>3.2164060563210306</v>
      </c>
      <c r="AG27" s="2">
        <f t="shared" si="29"/>
        <v>3.2485701168842409</v>
      </c>
      <c r="AH27" s="2">
        <f t="shared" si="29"/>
        <v>3.2810558180530833</v>
      </c>
      <c r="AI27" s="2">
        <f t="shared" si="29"/>
        <v>3.313866376233614</v>
      </c>
      <c r="AJ27" s="2">
        <f t="shared" si="29"/>
        <v>3.3470050399959503</v>
      </c>
      <c r="AK27" s="2">
        <f t="shared" si="29"/>
        <v>3.38047509039591</v>
      </c>
      <c r="AL27" s="2">
        <f t="shared" si="29"/>
        <v>3.4142798412998689</v>
      </c>
      <c r="AN27" s="18">
        <v>0.03</v>
      </c>
      <c r="AO27" s="2">
        <f t="shared" si="27"/>
        <v>25425.443574130655</v>
      </c>
    </row>
    <row r="28" spans="2:41" x14ac:dyDescent="0.2">
      <c r="B28" t="s">
        <v>102</v>
      </c>
      <c r="X28" s="2">
        <f>X4+X6+X8+X10+X12+SUM(X14:X27)</f>
        <v>2538.3540000000003</v>
      </c>
      <c r="Y28" s="2">
        <f>Y4+Y6+Y8+Y10+Y12+SUM(Y14:Y27)</f>
        <v>2671.8339999999998</v>
      </c>
      <c r="Z28" s="2">
        <f t="shared" ref="Z28:AL28" si="30">Z4+Z6+Z8+Z10+Z12+SUM(Z14:Z27)</f>
        <v>2723.8471000000004</v>
      </c>
      <c r="AA28" s="2">
        <f t="shared" si="30"/>
        <v>2720.2682220000002</v>
      </c>
      <c r="AB28" s="2">
        <f t="shared" si="30"/>
        <v>2610.7916365199999</v>
      </c>
      <c r="AC28" s="2">
        <f t="shared" si="30"/>
        <v>2527.6974243872</v>
      </c>
      <c r="AD28" s="2">
        <f t="shared" si="30"/>
        <v>2476.4661862577523</v>
      </c>
      <c r="AE28" s="2">
        <f t="shared" si="30"/>
        <v>2497.3533279175526</v>
      </c>
      <c r="AF28" s="2">
        <f t="shared" si="30"/>
        <v>2493.7657830254784</v>
      </c>
      <c r="AG28" s="2">
        <f t="shared" si="30"/>
        <v>2486.92712409667</v>
      </c>
      <c r="AH28" s="2">
        <f t="shared" si="30"/>
        <v>2386.409618550611</v>
      </c>
      <c r="AI28" s="2">
        <f t="shared" si="30"/>
        <v>2335.5528303766646</v>
      </c>
      <c r="AJ28" s="2">
        <f t="shared" si="30"/>
        <v>2320.8197407762073</v>
      </c>
      <c r="AK28" s="2">
        <f t="shared" si="30"/>
        <v>2113.5094978972379</v>
      </c>
      <c r="AL28" s="2">
        <f t="shared" si="30"/>
        <v>935.94264487275291</v>
      </c>
      <c r="AN28" s="18">
        <v>0.04</v>
      </c>
      <c r="AO28" s="2">
        <f>NPV(AN28,$Z$28:$AL$28)</f>
        <v>23981.425369581204</v>
      </c>
    </row>
    <row r="29" spans="2:41" x14ac:dyDescent="0.2">
      <c r="B29" t="s">
        <v>104</v>
      </c>
      <c r="X29" s="2">
        <v>70.188000000000002</v>
      </c>
      <c r="Y29" s="2">
        <f>559.623</f>
        <v>559.62300000000005</v>
      </c>
      <c r="AN29" s="18">
        <f>AN28+1%</f>
        <v>0.05</v>
      </c>
      <c r="AO29" s="2">
        <f t="shared" ref="AO29:AO35" si="31">NPV(AN29,$Z$28:$AL$28)</f>
        <v>22658.103509842338</v>
      </c>
    </row>
    <row r="30" spans="2:41" x14ac:dyDescent="0.2">
      <c r="B30" t="s">
        <v>105</v>
      </c>
      <c r="X30" s="2">
        <f>X28+X29</f>
        <v>2608.5420000000004</v>
      </c>
      <c r="Y30" s="2">
        <f>Y28+Y29</f>
        <v>3231.4569999999999</v>
      </c>
      <c r="AN30" s="18">
        <f t="shared" ref="AN30:AN35" si="32">AN29+1%</f>
        <v>6.0000000000000005E-2</v>
      </c>
      <c r="AO30" s="2">
        <f t="shared" si="31"/>
        <v>21443.26837156502</v>
      </c>
    </row>
    <row r="31" spans="2:41" x14ac:dyDescent="0.2">
      <c r="AN31" s="18">
        <f t="shared" si="32"/>
        <v>7.0000000000000007E-2</v>
      </c>
      <c r="AO31" s="2">
        <f t="shared" si="31"/>
        <v>20326.111905131995</v>
      </c>
    </row>
    <row r="32" spans="2:41" s="2" customFormat="1" x14ac:dyDescent="0.2">
      <c r="B32" s="2" t="s">
        <v>20</v>
      </c>
      <c r="C32" s="4"/>
      <c r="D32" s="4"/>
      <c r="E32" s="4"/>
      <c r="F32" s="4"/>
      <c r="G32" s="4"/>
      <c r="H32" s="4"/>
      <c r="I32" s="4">
        <v>505.83199999999999</v>
      </c>
      <c r="J32" s="4"/>
      <c r="K32" s="4"/>
      <c r="L32" s="4"/>
      <c r="M32" s="4">
        <v>551.68200000000002</v>
      </c>
      <c r="N32" s="4"/>
      <c r="W32" s="2">
        <v>1959.9749999999999</v>
      </c>
      <c r="X32" s="2">
        <v>2065.0830000000001</v>
      </c>
      <c r="Y32" s="2">
        <v>2125.096</v>
      </c>
      <c r="AN32" s="18">
        <f t="shared" si="32"/>
        <v>0.08</v>
      </c>
      <c r="AO32" s="2">
        <f t="shared" si="31"/>
        <v>19297.050536907314</v>
      </c>
    </row>
    <row r="33" spans="2:41" s="2" customFormat="1" x14ac:dyDescent="0.2">
      <c r="B33" s="2" t="s">
        <v>21</v>
      </c>
      <c r="C33" s="4"/>
      <c r="D33" s="4"/>
      <c r="E33" s="4"/>
      <c r="F33" s="4"/>
      <c r="G33" s="4"/>
      <c r="H33" s="4"/>
      <c r="I33" s="4">
        <v>63.405999999999999</v>
      </c>
      <c r="J33" s="4"/>
      <c r="K33" s="4"/>
      <c r="L33" s="4"/>
      <c r="M33" s="4">
        <v>1.073</v>
      </c>
      <c r="N33" s="4"/>
      <c r="W33" s="2">
        <v>143.38200000000001</v>
      </c>
      <c r="X33" s="2">
        <v>171.24799999999999</v>
      </c>
      <c r="Y33" s="2">
        <v>37.484000000000002</v>
      </c>
      <c r="AN33" s="18">
        <f t="shared" si="32"/>
        <v>0.09</v>
      </c>
      <c r="AO33" s="2">
        <f t="shared" si="31"/>
        <v>18347.572275962833</v>
      </c>
    </row>
    <row r="34" spans="2:41" s="2" customFormat="1" x14ac:dyDescent="0.2">
      <c r="B34" s="2" t="s">
        <v>22</v>
      </c>
      <c r="C34" s="4"/>
      <c r="D34" s="4"/>
      <c r="E34" s="4"/>
      <c r="F34" s="4"/>
      <c r="G34" s="4"/>
      <c r="H34" s="4"/>
      <c r="I34" s="4">
        <v>16.535</v>
      </c>
      <c r="J34" s="4"/>
      <c r="K34" s="4"/>
      <c r="L34" s="4"/>
      <c r="M34" s="4">
        <v>20.707999999999998</v>
      </c>
      <c r="N34" s="4"/>
      <c r="W34" s="2">
        <v>18.995999999999999</v>
      </c>
      <c r="X34" s="2">
        <v>53.131999999999998</v>
      </c>
      <c r="Y34" s="2">
        <v>74.635000000000005</v>
      </c>
      <c r="AN34" s="18">
        <f t="shared" si="32"/>
        <v>9.9999999999999992E-2</v>
      </c>
      <c r="AO34" s="2">
        <f t="shared" si="31"/>
        <v>17470.10448759262</v>
      </c>
    </row>
    <row r="35" spans="2:41" s="5" customFormat="1" x14ac:dyDescent="0.2">
      <c r="B35" s="5" t="s">
        <v>8</v>
      </c>
      <c r="C35" s="6"/>
      <c r="D35" s="6"/>
      <c r="E35" s="6"/>
      <c r="F35" s="6"/>
      <c r="G35" s="6"/>
      <c r="H35" s="6"/>
      <c r="I35" s="6">
        <f>SUM(I32:I34)</f>
        <v>585.77299999999991</v>
      </c>
      <c r="J35" s="6"/>
      <c r="K35" s="6"/>
      <c r="L35" s="6"/>
      <c r="M35" s="6">
        <f>SUM(M32:M34)</f>
        <v>573.46299999999997</v>
      </c>
      <c r="N35" s="6"/>
      <c r="W35" s="5">
        <f>SUM(W32:W34)</f>
        <v>2122.3530000000001</v>
      </c>
      <c r="X35" s="5">
        <f>SUM(X32:X34)</f>
        <v>2289.4630000000002</v>
      </c>
      <c r="Y35" s="5">
        <f>SUM(Y32:Y34)</f>
        <v>2237.2150000000001</v>
      </c>
      <c r="AN35" s="18">
        <f t="shared" si="32"/>
        <v>0.10999999999999999</v>
      </c>
      <c r="AO35" s="2">
        <f t="shared" si="31"/>
        <v>16657.899344433183</v>
      </c>
    </row>
    <row r="36" spans="2:41" s="2" customFormat="1" x14ac:dyDescent="0.2">
      <c r="B36" s="2" t="s">
        <v>23</v>
      </c>
      <c r="C36" s="4"/>
      <c r="D36" s="4"/>
      <c r="E36" s="4"/>
      <c r="F36" s="4"/>
      <c r="G36" s="4"/>
      <c r="H36" s="4"/>
      <c r="I36" s="4">
        <v>137.83699999999999</v>
      </c>
      <c r="J36" s="4"/>
      <c r="K36" s="4"/>
      <c r="L36" s="4"/>
      <c r="M36" s="4">
        <v>305.06099999999998</v>
      </c>
      <c r="N36" s="4"/>
      <c r="W36" s="2">
        <v>230.839</v>
      </c>
      <c r="X36" s="2">
        <v>452.84199999999998</v>
      </c>
      <c r="Y36" s="2">
        <v>904.24400000000003</v>
      </c>
    </row>
    <row r="37" spans="2:41" s="2" customFormat="1" x14ac:dyDescent="0.2">
      <c r="B37" s="2" t="s">
        <v>24</v>
      </c>
      <c r="C37" s="4"/>
      <c r="D37" s="4"/>
      <c r="E37" s="4"/>
      <c r="F37" s="4"/>
      <c r="G37" s="4"/>
      <c r="H37" s="4"/>
      <c r="I37" s="4">
        <v>90.5</v>
      </c>
      <c r="J37" s="4"/>
      <c r="K37" s="4"/>
      <c r="L37" s="4"/>
      <c r="M37" s="4">
        <v>25.5</v>
      </c>
      <c r="N37" s="4"/>
      <c r="W37" s="2">
        <v>26.289000000000001</v>
      </c>
      <c r="X37" s="2">
        <v>200.084</v>
      </c>
      <c r="Y37" s="2">
        <v>177.10599999999999</v>
      </c>
    </row>
    <row r="38" spans="2:41" s="2" customFormat="1" x14ac:dyDescent="0.2">
      <c r="B38" s="2" t="s">
        <v>25</v>
      </c>
      <c r="C38" s="4"/>
      <c r="D38" s="4"/>
      <c r="E38" s="4"/>
      <c r="F38" s="4"/>
      <c r="G38" s="4"/>
      <c r="H38" s="4"/>
      <c r="I38" s="4">
        <v>48.588000000000001</v>
      </c>
      <c r="J38" s="4"/>
      <c r="K38" s="4"/>
      <c r="L38" s="4"/>
      <c r="M38" s="4">
        <v>50.692</v>
      </c>
      <c r="N38" s="4"/>
      <c r="W38" s="2">
        <v>181.715</v>
      </c>
      <c r="X38" s="2">
        <v>182.82599999999999</v>
      </c>
      <c r="Y38" s="2">
        <v>227.303</v>
      </c>
    </row>
    <row r="39" spans="2:41" s="2" customFormat="1" x14ac:dyDescent="0.2">
      <c r="B39" s="2" t="s">
        <v>29</v>
      </c>
      <c r="C39" s="4"/>
      <c r="D39" s="4"/>
      <c r="E39" s="4"/>
      <c r="F39" s="4"/>
      <c r="G39" s="4"/>
      <c r="H39" s="4"/>
      <c r="I39" s="4">
        <f>SUM(I36:I38)</f>
        <v>276.92500000000001</v>
      </c>
      <c r="J39" s="4"/>
      <c r="K39" s="4"/>
      <c r="L39" s="4"/>
      <c r="M39" s="4">
        <f>SUM(M36:M38)</f>
        <v>381.25299999999999</v>
      </c>
      <c r="N39" s="4"/>
      <c r="W39" s="2">
        <f>W36+W37+W38</f>
        <v>438.84299999999996</v>
      </c>
      <c r="X39" s="2">
        <f>X36+X37+X38</f>
        <v>835.75199999999995</v>
      </c>
      <c r="Y39" s="2">
        <f>Y36+Y37+Y38</f>
        <v>1308.6529999999998</v>
      </c>
    </row>
    <row r="40" spans="2:41" s="2" customFormat="1" x14ac:dyDescent="0.2">
      <c r="B40" s="2" t="s">
        <v>28</v>
      </c>
      <c r="C40" s="4"/>
      <c r="D40" s="4"/>
      <c r="E40" s="4"/>
      <c r="F40" s="4"/>
      <c r="G40" s="4"/>
      <c r="H40" s="4"/>
      <c r="I40" s="4">
        <f>I35-I39</f>
        <v>308.8479999999999</v>
      </c>
      <c r="J40" s="4"/>
      <c r="K40" s="4"/>
      <c r="L40" s="4"/>
      <c r="M40" s="4">
        <f>M35-M39</f>
        <v>192.20999999999998</v>
      </c>
      <c r="N40" s="4"/>
      <c r="W40" s="2">
        <f>W35-W39</f>
        <v>1683.5100000000002</v>
      </c>
      <c r="X40" s="2">
        <f>X35-X39</f>
        <v>1453.7110000000002</v>
      </c>
      <c r="Y40" s="2">
        <f>Y35-Y39</f>
        <v>928.56200000000035</v>
      </c>
    </row>
    <row r="41" spans="2:41" s="2" customFormat="1" x14ac:dyDescent="0.2">
      <c r="B41" s="2" t="s">
        <v>26</v>
      </c>
      <c r="C41" s="4"/>
      <c r="D41" s="4"/>
      <c r="E41" s="4"/>
      <c r="F41" s="4"/>
      <c r="G41" s="4"/>
      <c r="H41" s="4"/>
      <c r="I41" s="4">
        <f>2.749-44.327+12.261-0.793</f>
        <v>-30.109999999999996</v>
      </c>
      <c r="J41" s="4"/>
      <c r="K41" s="4"/>
      <c r="L41" s="4"/>
      <c r="M41" s="4">
        <f>-3.251-46.977+14.034-10.798</f>
        <v>-46.991999999999997</v>
      </c>
      <c r="N41" s="4"/>
      <c r="W41" s="2">
        <v>-157.059</v>
      </c>
      <c r="X41" s="2">
        <v>-166.142</v>
      </c>
      <c r="Y41" s="2">
        <v>-187.96100000000001</v>
      </c>
    </row>
    <row r="42" spans="2:41" s="2" customFormat="1" x14ac:dyDescent="0.2">
      <c r="B42" s="2" t="s">
        <v>27</v>
      </c>
      <c r="C42" s="4"/>
      <c r="D42" s="4"/>
      <c r="E42" s="4"/>
      <c r="F42" s="4"/>
      <c r="G42" s="4"/>
      <c r="H42" s="4"/>
      <c r="I42" s="4">
        <f>+I40+I41</f>
        <v>278.73799999999989</v>
      </c>
      <c r="J42" s="4"/>
      <c r="K42" s="4"/>
      <c r="L42" s="4"/>
      <c r="M42" s="4">
        <f>+M40+M41</f>
        <v>145.21799999999999</v>
      </c>
      <c r="N42" s="4"/>
      <c r="W42" s="2">
        <f>W40+W41</f>
        <v>1526.4510000000002</v>
      </c>
      <c r="X42" s="2">
        <f>X40+X41</f>
        <v>1287.5690000000002</v>
      </c>
      <c r="Y42" s="2">
        <f>Y40+Y41</f>
        <v>740.60100000000034</v>
      </c>
    </row>
    <row r="43" spans="2:41" s="2" customFormat="1" x14ac:dyDescent="0.2">
      <c r="B43" s="2" t="s">
        <v>30</v>
      </c>
      <c r="C43" s="4"/>
      <c r="D43" s="4"/>
      <c r="E43" s="4"/>
      <c r="F43" s="4"/>
      <c r="G43" s="4"/>
      <c r="H43" s="4"/>
      <c r="I43" s="4">
        <v>119.867</v>
      </c>
      <c r="J43" s="4"/>
      <c r="K43" s="4"/>
      <c r="L43" s="4"/>
      <c r="M43" s="4">
        <v>77.763000000000005</v>
      </c>
      <c r="N43" s="4"/>
      <c r="X43" s="2">
        <v>187.232</v>
      </c>
      <c r="Y43" s="2">
        <v>621.47299999999996</v>
      </c>
    </row>
    <row r="44" spans="2:41" s="2" customFormat="1" x14ac:dyDescent="0.2">
      <c r="B44" s="2" t="s">
        <v>31</v>
      </c>
      <c r="C44" s="4"/>
      <c r="D44" s="4"/>
      <c r="E44" s="4"/>
      <c r="F44" s="4"/>
      <c r="G44" s="4"/>
      <c r="H44" s="4"/>
      <c r="I44" s="4">
        <f>+I42-I43</f>
        <v>158.87099999999987</v>
      </c>
      <c r="J44" s="4"/>
      <c r="K44" s="4"/>
      <c r="L44" s="4"/>
      <c r="M44" s="4">
        <f>+M42-M43</f>
        <v>67.454999999999984</v>
      </c>
      <c r="N44" s="4"/>
      <c r="W44" s="2">
        <f>W42-W43</f>
        <v>1526.4510000000002</v>
      </c>
      <c r="X44" s="2">
        <f>X42-X43</f>
        <v>1100.3370000000002</v>
      </c>
      <c r="Y44" s="2">
        <f>Y42-Y43</f>
        <v>119.12800000000038</v>
      </c>
    </row>
    <row r="45" spans="2:41" x14ac:dyDescent="0.2">
      <c r="B45" s="2" t="s">
        <v>32</v>
      </c>
      <c r="I45" s="7">
        <f>+I44/I46</f>
        <v>0.26165646091565165</v>
      </c>
      <c r="M45" s="7">
        <f>+M44/M46</f>
        <v>0.11108714053746049</v>
      </c>
      <c r="X45" s="1">
        <f>X44/X46</f>
        <v>1.812220838768331</v>
      </c>
      <c r="Y45" s="1">
        <f>Y44/Y46</f>
        <v>0.19618460403409677</v>
      </c>
    </row>
    <row r="46" spans="2:41" x14ac:dyDescent="0.2">
      <c r="B46" s="2" t="s">
        <v>1</v>
      </c>
      <c r="I46" s="4">
        <v>607.17399999999998</v>
      </c>
      <c r="M46" s="4">
        <v>607.226</v>
      </c>
      <c r="W46" s="2"/>
      <c r="X46" s="2">
        <v>607.17600000000004</v>
      </c>
      <c r="Y46" s="2">
        <v>607.22400000000005</v>
      </c>
    </row>
    <row r="48" spans="2:41" x14ac:dyDescent="0.2">
      <c r="B48" s="2" t="s">
        <v>106</v>
      </c>
      <c r="X48" s="2">
        <f>X30</f>
        <v>2608.5420000000004</v>
      </c>
      <c r="Y48" s="2">
        <f>Y30</f>
        <v>3231.4569999999999</v>
      </c>
    </row>
    <row r="49" spans="2:25" x14ac:dyDescent="0.2">
      <c r="B49" s="2" t="s">
        <v>107</v>
      </c>
      <c r="X49" s="2">
        <v>479.60399999999998</v>
      </c>
      <c r="Y49" s="2">
        <v>441.96300000000002</v>
      </c>
    </row>
    <row r="50" spans="2:25" x14ac:dyDescent="0.2">
      <c r="B50" s="2" t="s">
        <v>108</v>
      </c>
      <c r="X50" s="2">
        <f>X48-X49</f>
        <v>2128.9380000000006</v>
      </c>
      <c r="Y50" s="2">
        <f>Y48-Y49</f>
        <v>2789.4939999999997</v>
      </c>
    </row>
    <row r="51" spans="2:25" x14ac:dyDescent="0.2">
      <c r="B51" s="2" t="s">
        <v>109</v>
      </c>
      <c r="X51" s="2">
        <v>184.511</v>
      </c>
      <c r="Y51" s="2">
        <v>222.96899999999999</v>
      </c>
    </row>
    <row r="52" spans="2:25" x14ac:dyDescent="0.2">
      <c r="B52" s="2" t="s">
        <v>110</v>
      </c>
      <c r="X52" s="2">
        <f>X50-X51</f>
        <v>1944.4270000000006</v>
      </c>
      <c r="Y52" s="2">
        <f>Y50-Y51</f>
        <v>2566.5249999999996</v>
      </c>
    </row>
    <row r="53" spans="2:25" x14ac:dyDescent="0.2">
      <c r="B53" s="2" t="s">
        <v>111</v>
      </c>
      <c r="X53" s="2">
        <f>6.876+193.208</f>
        <v>200.084</v>
      </c>
      <c r="Y53" s="2">
        <f>2.106+175</f>
        <v>177.10599999999999</v>
      </c>
    </row>
    <row r="54" spans="2:25" x14ac:dyDescent="0.2">
      <c r="B54" s="2" t="s">
        <v>112</v>
      </c>
      <c r="X54" s="2">
        <v>127.295</v>
      </c>
      <c r="Y54" s="2">
        <v>145.15700000000001</v>
      </c>
    </row>
    <row r="55" spans="2:25" x14ac:dyDescent="0.2">
      <c r="B55" s="2" t="s">
        <v>113</v>
      </c>
      <c r="X55" s="2">
        <f>34.855-7.339+16.093</f>
        <v>43.608999999999995</v>
      </c>
      <c r="Y55" s="2">
        <f>9.896-1.059</f>
        <v>8.8370000000000015</v>
      </c>
    </row>
    <row r="56" spans="2:25" s="2" customFormat="1" x14ac:dyDescent="0.2">
      <c r="B56" s="2" t="s">
        <v>33</v>
      </c>
      <c r="C56" s="4"/>
      <c r="D56" s="4"/>
      <c r="E56" s="4"/>
      <c r="F56" s="4"/>
      <c r="G56" s="4"/>
      <c r="H56" s="4"/>
      <c r="I56" s="4">
        <f>1527.579-H56-G56</f>
        <v>1527.579</v>
      </c>
      <c r="J56" s="4"/>
      <c r="K56" s="4"/>
      <c r="L56" s="4"/>
      <c r="M56" s="4">
        <f>1574.049-L56-K56</f>
        <v>1574.049</v>
      </c>
      <c r="N56" s="4"/>
      <c r="X56" s="2">
        <f>X52-X53-X54-X55</f>
        <v>1573.4390000000005</v>
      </c>
      <c r="Y56" s="2">
        <f>Y52-Y53-Y54-Y55</f>
        <v>2235.4249999999997</v>
      </c>
    </row>
    <row r="57" spans="2:25" x14ac:dyDescent="0.2">
      <c r="B57" s="2" t="s">
        <v>114</v>
      </c>
      <c r="X57" s="2">
        <v>607.17600000000004</v>
      </c>
      <c r="Y57" s="2">
        <v>607.22400000000005</v>
      </c>
    </row>
    <row r="58" spans="2:25" x14ac:dyDescent="0.2">
      <c r="B58" s="2" t="s">
        <v>115</v>
      </c>
      <c r="X58" s="1">
        <f>X56/X57</f>
        <v>2.5914051280024251</v>
      </c>
      <c r="Y58" s="1">
        <f>Y56/Y57</f>
        <v>3.6813844643821714</v>
      </c>
    </row>
    <row r="60" spans="2:25" x14ac:dyDescent="0.2">
      <c r="B60" s="2" t="s">
        <v>3</v>
      </c>
      <c r="Y60" s="2">
        <f>1710.751+24.421+1.3+112.348+226.3+397.175</f>
        <v>2472.2950000000001</v>
      </c>
    </row>
    <row r="61" spans="2:25" x14ac:dyDescent="0.2">
      <c r="B61" s="2" t="s">
        <v>116</v>
      </c>
      <c r="Y61" s="2">
        <f>691.319+13493.106</f>
        <v>14184.424999999999</v>
      </c>
    </row>
    <row r="62" spans="2:25" x14ac:dyDescent="0.2">
      <c r="B62" s="2" t="s">
        <v>117</v>
      </c>
      <c r="Y62" s="2">
        <f>16.83+19.767</f>
        <v>36.596999999999994</v>
      </c>
    </row>
    <row r="63" spans="2:25" x14ac:dyDescent="0.2">
      <c r="B63" s="2" t="s">
        <v>118</v>
      </c>
      <c r="Y63" s="2">
        <f>90.52+29.629</f>
        <v>120.149</v>
      </c>
    </row>
    <row r="64" spans="2:25" x14ac:dyDescent="0.2">
      <c r="B64" s="2" t="s">
        <v>119</v>
      </c>
      <c r="Y64" s="2">
        <f>SUM(Y60:Y63)</f>
        <v>16813.466000000004</v>
      </c>
    </row>
    <row r="66" spans="2:25" x14ac:dyDescent="0.2">
      <c r="B66" s="2" t="s">
        <v>120</v>
      </c>
      <c r="Y66" s="2">
        <f>94.803</f>
        <v>94.802999999999997</v>
      </c>
    </row>
    <row r="67" spans="2:25" x14ac:dyDescent="0.2">
      <c r="B67" s="2" t="s">
        <v>121</v>
      </c>
      <c r="Y67" s="2">
        <v>7.9059999999999997</v>
      </c>
    </row>
    <row r="68" spans="2:25" x14ac:dyDescent="0.2">
      <c r="B68" s="2" t="s">
        <v>112</v>
      </c>
      <c r="Y68" s="2">
        <v>54.161999999999999</v>
      </c>
    </row>
    <row r="69" spans="2:25" x14ac:dyDescent="0.2">
      <c r="B69" s="2" t="s">
        <v>4</v>
      </c>
      <c r="Y69" s="2">
        <f>997.512+6118.81</f>
        <v>7116.3220000000001</v>
      </c>
    </row>
    <row r="70" spans="2:25" x14ac:dyDescent="0.2">
      <c r="B70" s="2" t="s">
        <v>122</v>
      </c>
      <c r="Y70" s="2">
        <f>2.5+12.4</f>
        <v>14.9</v>
      </c>
    </row>
    <row r="71" spans="2:25" x14ac:dyDescent="0.2">
      <c r="B71" s="2" t="s">
        <v>123</v>
      </c>
      <c r="Y71" s="2">
        <f>SUM(Y66:Y70)</f>
        <v>7288.0929999999998</v>
      </c>
    </row>
    <row r="74" spans="2:25" x14ac:dyDescent="0.2">
      <c r="B74" s="2" t="s">
        <v>124</v>
      </c>
      <c r="W74" s="2">
        <v>2034.6289999999999</v>
      </c>
      <c r="X74" s="2">
        <v>2017.5360000000001</v>
      </c>
      <c r="Y74" s="2">
        <v>2143.98</v>
      </c>
    </row>
    <row r="75" spans="2:25" x14ac:dyDescent="0.2">
      <c r="B75" s="2" t="s">
        <v>125</v>
      </c>
      <c r="W75" s="2">
        <v>2182.2460000000001</v>
      </c>
      <c r="X75" s="2">
        <v>2191.502</v>
      </c>
      <c r="Y75" s="2">
        <v>1741.64</v>
      </c>
    </row>
    <row r="76" spans="2:25" x14ac:dyDescent="0.2">
      <c r="B76" s="2" t="s">
        <v>126</v>
      </c>
      <c r="W76" s="2">
        <v>543.952</v>
      </c>
      <c r="X76" s="2">
        <v>479.60399999999998</v>
      </c>
      <c r="Y76" s="2">
        <v>441.96300000000002</v>
      </c>
    </row>
    <row r="77" spans="2:25" x14ac:dyDescent="0.2">
      <c r="B77" s="2" t="s">
        <v>127</v>
      </c>
      <c r="W77" s="2">
        <v>112.49</v>
      </c>
      <c r="X77" s="2">
        <v>285.18400000000003</v>
      </c>
      <c r="Y77" s="2">
        <v>333.322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2022-11-24T05:35:58Z</dcterms:created>
  <dcterms:modified xsi:type="dcterms:W3CDTF">2023-04-04T17:20:40Z</dcterms:modified>
</cp:coreProperties>
</file>