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6A1E152-671C-4995-A5B7-87D5E77B563C}" xr6:coauthVersionLast="47" xr6:coauthVersionMax="47" xr10:uidLastSave="{00000000-0000-0000-0000-000000000000}"/>
  <bookViews>
    <workbookView xWindow="10515" yWindow="0" windowWidth="41190" windowHeight="2098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9" i="1" l="1"/>
  <c r="B68" i="1"/>
  <c r="B67" i="1"/>
  <c r="B66" i="1"/>
  <c r="B65" i="1"/>
  <c r="B64" i="1"/>
  <c r="B63" i="1"/>
  <c r="G65" i="1"/>
  <c r="H65" i="1"/>
  <c r="F65" i="1"/>
  <c r="J65" i="1"/>
  <c r="G63" i="1"/>
  <c r="J63" i="1"/>
  <c r="F63" i="1" s="1"/>
  <c r="H63" i="1" s="1"/>
  <c r="J116" i="1" l="1"/>
  <c r="F116" i="1" s="1"/>
  <c r="G116" i="1"/>
  <c r="K27" i="1"/>
  <c r="H116" i="1" l="1"/>
  <c r="G95" i="1"/>
  <c r="J95" i="1"/>
  <c r="F95" i="1" s="1"/>
  <c r="H95" i="1" l="1"/>
  <c r="J62" i="1"/>
  <c r="F62" i="1" s="1"/>
  <c r="G59" i="1" l="1"/>
  <c r="J59" i="1"/>
  <c r="F59" i="1" s="1"/>
  <c r="H59" i="1" l="1"/>
  <c r="G20" i="1"/>
  <c r="F20" i="1"/>
  <c r="H20" i="1" l="1"/>
  <c r="J49" i="1"/>
  <c r="F49" i="1" s="1"/>
  <c r="H49" i="1" s="1"/>
  <c r="G50" i="1"/>
  <c r="J50" i="1"/>
  <c r="F50" i="1" s="1"/>
  <c r="G68" i="1"/>
  <c r="J68" i="1"/>
  <c r="F68" i="1" s="1"/>
  <c r="H50" i="1" l="1"/>
  <c r="H68" i="1"/>
  <c r="K13" i="1"/>
  <c r="G44" i="1" l="1"/>
  <c r="G43" i="1"/>
  <c r="J44" i="1"/>
  <c r="F44" i="1" s="1"/>
  <c r="J43" i="1"/>
  <c r="F43" i="1" s="1"/>
  <c r="G96" i="1"/>
  <c r="J96" i="1"/>
  <c r="F96" i="1" s="1"/>
  <c r="G60" i="1"/>
  <c r="J60" i="1"/>
  <c r="F60" i="1" s="1"/>
  <c r="G94" i="1"/>
  <c r="J94" i="1"/>
  <c r="F94" i="1" s="1"/>
  <c r="H96" i="1" l="1"/>
  <c r="H44" i="1"/>
  <c r="H43" i="1"/>
  <c r="H60" i="1"/>
  <c r="H94" i="1"/>
  <c r="G56" i="1"/>
  <c r="J56" i="1"/>
  <c r="F56" i="1" s="1"/>
  <c r="H56" i="1" s="1"/>
  <c r="G51" i="1"/>
  <c r="J51" i="1"/>
  <c r="F51" i="1" s="1"/>
  <c r="H51" i="1" l="1"/>
  <c r="J66" i="1"/>
  <c r="F66" i="1" s="1"/>
  <c r="G66" i="1"/>
  <c r="H66" i="1" l="1"/>
  <c r="K9" i="1"/>
  <c r="J11" i="1" l="1"/>
  <c r="G11" i="1"/>
  <c r="G113" i="1" l="1"/>
  <c r="J113" i="1"/>
  <c r="F113" i="1" s="1"/>
  <c r="H113" i="1" l="1"/>
  <c r="G154" i="1"/>
  <c r="J154" i="1"/>
  <c r="F154" i="1" s="1"/>
  <c r="F97" i="1" a="1"/>
  <c r="F97" i="1" s="1"/>
  <c r="H154" i="1" l="1"/>
  <c r="J48" i="1"/>
  <c r="G48" i="1"/>
  <c r="G54" i="1" l="1"/>
  <c r="J54" i="1"/>
  <c r="F54" i="1" s="1"/>
  <c r="H54" i="1" l="1"/>
  <c r="J6" i="1"/>
  <c r="F6" i="1" s="1"/>
  <c r="G6" i="1"/>
  <c r="H6" i="1" l="1"/>
  <c r="J47" i="1" l="1"/>
  <c r="F47" i="1" s="1"/>
  <c r="G58" i="1"/>
  <c r="J58" i="1"/>
  <c r="F58" i="1" s="1"/>
  <c r="G61" i="1"/>
  <c r="J61" i="1"/>
  <c r="F61" i="1" s="1"/>
  <c r="G39" i="1"/>
  <c r="H39" i="1" s="1"/>
  <c r="J39" i="1"/>
  <c r="J38" i="1"/>
  <c r="F38" i="1" s="1" a="1"/>
  <c r="F38" i="1" s="1"/>
  <c r="H38" i="1" s="1"/>
  <c r="F150" i="1"/>
  <c r="H58" i="1" l="1"/>
  <c r="H61" i="1"/>
  <c r="G69" i="1"/>
  <c r="J69" i="1"/>
  <c r="F69" i="1" s="1"/>
  <c r="P40" i="1"/>
  <c r="O40" i="1"/>
  <c r="N40" i="1"/>
  <c r="L40" i="1"/>
  <c r="M40" i="1" s="1"/>
  <c r="H69" i="1" l="1"/>
  <c r="J55" i="1"/>
  <c r="F55" i="1" s="1"/>
  <c r="P52" i="1" l="1"/>
  <c r="O52" i="1"/>
  <c r="N52" i="1"/>
  <c r="L52" i="1"/>
  <c r="M52" i="1" s="1"/>
  <c r="G52" i="1"/>
  <c r="J52" i="1"/>
  <c r="F52" i="1" s="1"/>
  <c r="H52" i="1" l="1"/>
  <c r="G45" i="1" l="1"/>
  <c r="J45" i="1"/>
  <c r="F45" i="1" s="1"/>
  <c r="J53" i="1"/>
  <c r="F53" i="1" s="1"/>
  <c r="G53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7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56" i="1" l="1"/>
  <c r="J156" i="1"/>
  <c r="F156" i="1" s="1"/>
  <c r="J114" i="1"/>
  <c r="F114" i="1" s="1"/>
  <c r="G114" i="1"/>
  <c r="G117" i="1"/>
  <c r="J117" i="1"/>
  <c r="F117" i="1" s="1"/>
  <c r="H156" i="1" l="1"/>
  <c r="H117" i="1"/>
  <c r="H114" i="1"/>
  <c r="G27" i="1"/>
  <c r="G26" i="1"/>
  <c r="J27" i="1"/>
  <c r="F27" i="1" s="1"/>
  <c r="J26" i="1"/>
  <c r="F26" i="1" s="1"/>
  <c r="G23" i="1"/>
  <c r="G22" i="1"/>
  <c r="J22" i="1"/>
  <c r="J23" i="1" s="1"/>
  <c r="H27" i="1" l="1"/>
  <c r="H26" i="1"/>
  <c r="G167" i="1" l="1"/>
  <c r="J167" i="1"/>
  <c r="F167" i="1" s="1"/>
  <c r="G118" i="1"/>
  <c r="J118" i="1"/>
  <c r="F118" i="1" s="1"/>
  <c r="H118" i="1" l="1"/>
  <c r="H167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5" i="1" l="1"/>
  <c r="B26" i="1" s="1"/>
  <c r="B27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5" i="1" l="1"/>
  <c r="F35" i="1"/>
  <c r="J25" i="1"/>
  <c r="F25" i="1" s="1"/>
  <c r="H25" i="1" l="1"/>
  <c r="G162" i="1"/>
  <c r="J162" i="1"/>
  <c r="F162" i="1" s="1"/>
  <c r="G67" i="1"/>
  <c r="J67" i="1"/>
  <c r="F67" i="1" s="1"/>
  <c r="H67" i="1" l="1"/>
  <c r="H162" i="1"/>
  <c r="J19" i="1"/>
  <c r="F19" i="1" s="1"/>
  <c r="G7" i="1" l="1"/>
  <c r="J7" i="1"/>
  <c r="F7" i="1" s="1"/>
  <c r="G9" i="1" l="1"/>
  <c r="G8" i="1"/>
  <c r="J9" i="1"/>
  <c r="F9" i="1" s="1"/>
  <c r="H9" i="1" s="1"/>
  <c r="J8" i="1"/>
  <c r="F8" i="1" s="1"/>
  <c r="AB5" i="1" l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4" i="1" l="1"/>
  <c r="J64" i="1"/>
  <c r="F64" i="1" s="1"/>
  <c r="H64" i="1" l="1"/>
  <c r="G155" i="1"/>
  <c r="F155" i="1"/>
  <c r="H155" i="1" l="1"/>
  <c r="H53" i="1" l="1"/>
  <c r="G115" i="1"/>
  <c r="F115" i="1"/>
  <c r="G153" i="1"/>
  <c r="F153" i="1"/>
  <c r="F28" i="1"/>
  <c r="G28" i="1"/>
  <c r="H115" i="1" l="1"/>
  <c r="H153" i="1"/>
  <c r="H28" i="1"/>
  <c r="G47" i="1"/>
  <c r="H47" i="1" s="1"/>
  <c r="G169" i="1"/>
  <c r="F169" i="1"/>
  <c r="H35" i="1" l="1"/>
  <c r="H169" i="1"/>
  <c r="G62" i="1"/>
  <c r="G19" i="1"/>
  <c r="H62" i="1" l="1"/>
  <c r="H19" i="1"/>
  <c r="F4" i="1"/>
  <c r="G55" i="1" l="1"/>
  <c r="H55" i="1" l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8" i="1"/>
  <c r="F168" i="1"/>
  <c r="G166" i="1"/>
  <c r="F166" i="1"/>
  <c r="G24" i="1"/>
  <c r="G18" i="1"/>
  <c r="F18" i="1"/>
  <c r="G17" i="1"/>
  <c r="H8" i="1"/>
  <c r="G4" i="1"/>
  <c r="H4" i="1" s="1"/>
  <c r="H24" i="1" l="1"/>
  <c r="H174" i="1"/>
  <c r="H23" i="1"/>
  <c r="H12" i="1"/>
  <c r="H7" i="1"/>
  <c r="H173" i="1"/>
  <c r="H175" i="1"/>
  <c r="H18" i="1"/>
  <c r="H170" i="1"/>
  <c r="H22" i="1"/>
  <c r="H171" i="1"/>
  <c r="H17" i="1"/>
  <c r="H166" i="1"/>
  <c r="H168" i="1"/>
  <c r="H10" i="1"/>
  <c r="H16" i="1"/>
  <c r="H172" i="1"/>
  <c r="H5" i="1" l="1"/>
  <c r="V5" i="1" l="1"/>
  <c r="S5" i="1"/>
  <c r="R5" i="1"/>
  <c r="Q5" i="1"/>
  <c r="U5" i="1"/>
  <c r="T5" i="1"/>
  <c r="B3" i="5" l="1"/>
  <c r="B4" i="5" s="1"/>
  <c r="B5" i="5" s="1"/>
  <c r="B1" i="5" l="1"/>
  <c r="B2" i="5" l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" i="5" l="1"/>
  <c r="B7" i="5" s="1"/>
  <c r="B62" i="1"/>
  <c r="B70" i="1" l="1"/>
  <c r="B71" i="1" s="1"/>
  <c r="B72" i="1" s="1"/>
  <c r="B73" i="1" s="1"/>
  <c r="B75" i="1" s="1"/>
  <c r="B76" i="1" s="1"/>
  <c r="B77" i="1" s="1"/>
  <c r="B78" i="1" s="1"/>
  <c r="B79" i="1" s="1"/>
  <c r="B80" i="1" s="1"/>
  <c r="B81" i="1" s="1"/>
  <c r="B82" i="1" l="1"/>
  <c r="B83" i="1" s="1"/>
  <c r="B8" i="5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74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7" i="1" s="1"/>
  <c r="B118" i="1" s="1"/>
  <c r="B119" i="1" s="1"/>
  <c r="B120" i="1" s="1"/>
  <c r="B121" i="1" s="1"/>
  <c r="B122" i="1" s="1"/>
  <c r="B123" i="1" s="1"/>
  <c r="B151" i="1" s="1"/>
  <c r="B124" i="1" s="1"/>
  <c r="B125" i="1" s="1"/>
  <c r="B126" i="1" s="1"/>
  <c r="B127" i="1" s="1"/>
  <c r="B128" i="1" s="1"/>
  <c r="B116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l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<sst xmlns="http://schemas.openxmlformats.org/spreadsheetml/2006/main" count="829" uniqueCount="647">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</sst>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84" Type="http://schemas.openxmlformats.org/officeDocument/2006/relationships/externalLink" Target="externalLinks/externalLink79.xml"/><Relationship Id="rId89" Type="http://schemas.openxmlformats.org/officeDocument/2006/relationships/theme" Target="theme/theme1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externalLink" Target="externalLinks/externalLink74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externalLink" Target="externalLinks/externalLink75.xml"/><Relationship Id="rId85" Type="http://schemas.openxmlformats.org/officeDocument/2006/relationships/externalLink" Target="externalLinks/externalLink80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83" Type="http://schemas.openxmlformats.org/officeDocument/2006/relationships/externalLink" Target="externalLinks/externalLink78.xml"/><Relationship Id="rId88" Type="http://schemas.openxmlformats.org/officeDocument/2006/relationships/externalLink" Target="externalLinks/externalLink83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externalLink" Target="externalLinks/externalLink73.xml"/><Relationship Id="rId81" Type="http://schemas.openxmlformats.org/officeDocument/2006/relationships/externalLink" Target="externalLinks/externalLink76.xml"/><Relationship Id="rId86" Type="http://schemas.openxmlformats.org/officeDocument/2006/relationships/externalLink" Target="externalLinks/externalLink8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Relationship Id="rId87" Type="http://schemas.openxmlformats.org/officeDocument/2006/relationships/externalLink" Target="externalLinks/externalLink82.xml"/><Relationship Id="rId61" Type="http://schemas.openxmlformats.org/officeDocument/2006/relationships/externalLink" Target="externalLinks/externalLink56.xml"/><Relationship Id="rId82" Type="http://schemas.openxmlformats.org/officeDocument/2006/relationships/externalLink" Target="externalLinks/externalLink77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56" Type="http://schemas.openxmlformats.org/officeDocument/2006/relationships/externalLink" Target="externalLinks/externalLink51.xml"/><Relationship Id="rId77" Type="http://schemas.openxmlformats.org/officeDocument/2006/relationships/externalLink" Target="externalLinks/externalLink7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GE.xlsx" TargetMode="External"/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TX.xlsx" TargetMode="External"/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1550.9924860000001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mpaveli"/>
      <sheetName val="Model"/>
    </sheetNames>
    <sheetDataSet>
      <sheetData sheetId="0">
        <row r="3">
          <cell r="L3">
            <v>110.77200000000001</v>
          </cell>
        </row>
        <row r="5">
          <cell r="L5">
            <v>551.80100000000004</v>
          </cell>
        </row>
        <row r="6">
          <cell r="L6">
            <v>92.736000000000004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56" Type="http://schemas.openxmlformats.org/officeDocument/2006/relationships/hyperlink" Target="BIIB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227"/>
  <sheetViews>
    <sheetView tabSelected="1" zoomScale="190" zoomScaleNormal="190" workbookViewId="0">
      <pane xSplit="3" ySplit="3" topLeftCell="D44" activePane="bottomRight" state="frozen"/>
      <selection pane="topRight" activeCell="C1" sqref="C1"/>
      <selection pane="bottomLeft" activeCell="A4" sqref="A4"/>
      <selection pane="bottomRight" activeCell="L65" sqref="L65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RANDBETWEEN(1,B167)</f>
        <v>94</v>
      </c>
    </row>
    <row r="2" spans="1:29" x14ac:dyDescent="0.2">
      <c r="K2" s="9">
        <f>MIN(K4:K61)</f>
        <v>44889</v>
      </c>
      <c r="Q2" s="26" t="s">
        <v>319</v>
      </c>
      <c r="R2" s="26"/>
      <c r="S2" s="26"/>
      <c r="T2" s="26"/>
      <c r="U2" s="26"/>
      <c r="V2" s="26"/>
      <c r="W2" s="26" t="s">
        <v>318</v>
      </c>
      <c r="X2" s="26"/>
      <c r="Y2" s="26"/>
      <c r="Z2" s="26"/>
      <c r="AA2" s="26"/>
      <c r="AB2" s="26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307</v>
      </c>
      <c r="K3" s="3" t="s">
        <v>313</v>
      </c>
      <c r="L3" s="3" t="s">
        <v>320</v>
      </c>
      <c r="M3" s="3" t="s">
        <v>322</v>
      </c>
      <c r="N3" s="3" t="s">
        <v>323</v>
      </c>
      <c r="O3" s="3" t="s">
        <v>324</v>
      </c>
      <c r="P3" s="3" t="s">
        <v>321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342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431481.15</v>
      </c>
      <c r="G4" s="6">
        <f>+[1]Main!$Q$5-[1]Main!$Q$6</f>
        <v>2052</v>
      </c>
      <c r="H4" s="6">
        <f t="shared" ref="H4:H19" si="0">F4-G4</f>
        <v>429429.15</v>
      </c>
      <c r="I4" s="3" t="s">
        <v>432</v>
      </c>
      <c r="J4" s="6">
        <f>+[1]Main!$Q$3</f>
        <v>2661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342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308</v>
      </c>
      <c r="J5" s="6">
        <f>+[2]Main!$J$3</f>
        <v>902.94</v>
      </c>
      <c r="K5" s="9">
        <v>44959</v>
      </c>
      <c r="L5" s="7">
        <f>+[2]Model!$DM$83</f>
        <v>199.11953397226424</v>
      </c>
      <c r="M5" s="10">
        <f>L5/E5-1</f>
        <v>-0.42304261134601229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($H$5/$J$5)/W5</f>
        <v>40.134415605476178</v>
      </c>
      <c r="R5" s="12">
        <f t="shared" si="2"/>
        <v>46.706501094519005</v>
      </c>
      <c r="S5" s="12">
        <f t="shared" si="2"/>
        <v>25.085826371624574</v>
      </c>
      <c r="T5" s="12">
        <f t="shared" si="2"/>
        <v>23.286682483152301</v>
      </c>
      <c r="U5" s="12">
        <f t="shared" si="2"/>
        <v>21.459431270342769</v>
      </c>
      <c r="V5" s="12">
        <f t="shared" si="2"/>
        <v>20.481209668807779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342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432</v>
      </c>
      <c r="J6" s="6">
        <f>+[3]Main!$K$3</f>
        <v>1768.4805080000001</v>
      </c>
      <c r="K6" s="9">
        <v>44970</v>
      </c>
      <c r="L6" s="9"/>
      <c r="M6" s="9"/>
      <c r="N6" s="9"/>
      <c r="O6" s="9"/>
      <c r="P6" s="9"/>
    </row>
    <row r="7" spans="1:29" x14ac:dyDescent="0.2">
      <c r="A7" t="s">
        <v>342</v>
      </c>
      <c r="B7" s="1">
        <f t="shared" si="1"/>
        <v>4</v>
      </c>
      <c r="C7" s="5" t="s">
        <v>28</v>
      </c>
      <c r="D7" s="1" t="s">
        <v>29</v>
      </c>
      <c r="E7" s="7">
        <v>108.57</v>
      </c>
      <c r="F7" s="6">
        <f>+E7*J7</f>
        <v>275984.94</v>
      </c>
      <c r="G7" s="6">
        <f>+[4]Main!$J$5-[4]Main!$J$6</f>
        <v>-21297</v>
      </c>
      <c r="H7" s="6">
        <f>F7-G7</f>
        <v>297281.94</v>
      </c>
      <c r="I7" s="3" t="s">
        <v>432</v>
      </c>
      <c r="J7" s="6">
        <f>+[4]Main!$J$3</f>
        <v>2542</v>
      </c>
      <c r="K7" s="9">
        <v>44959</v>
      </c>
    </row>
    <row r="8" spans="1:29" x14ac:dyDescent="0.2">
      <c r="A8" t="s">
        <v>342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432</v>
      </c>
      <c r="J8" s="6">
        <f>+[5]Main!$J$3</f>
        <v>2268.5</v>
      </c>
      <c r="K8" s="9">
        <v>44959</v>
      </c>
    </row>
    <row r="9" spans="1:29" x14ac:dyDescent="0.2">
      <c r="A9" t="s">
        <v>342</v>
      </c>
      <c r="B9" s="1">
        <f>+B8</f>
        <v>5</v>
      </c>
      <c r="C9" s="5" t="s">
        <v>26</v>
      </c>
      <c r="D9" t="s">
        <v>325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>F9-G9</f>
        <v>259429.38667833077</v>
      </c>
      <c r="I9" s="3" t="s">
        <v>432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342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342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432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342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536</v>
      </c>
      <c r="J12" s="6">
        <f>+[8]Main!$K$3</f>
        <v>2119.6090570000001</v>
      </c>
      <c r="K12" s="9">
        <v>44968</v>
      </c>
    </row>
    <row r="13" spans="1:29" x14ac:dyDescent="0.2">
      <c r="A13" t="s">
        <v>342</v>
      </c>
      <c r="B13" s="1">
        <f>+B12</f>
        <v>8</v>
      </c>
      <c r="C13" s="5" t="s">
        <v>30</v>
      </c>
      <c r="D13" t="s">
        <v>435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536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342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308</v>
      </c>
      <c r="J14" s="6">
        <f>+[9]Main!$K$3</f>
        <v>1560</v>
      </c>
      <c r="K14" s="9">
        <v>44929</v>
      </c>
    </row>
    <row r="15" spans="1:29" x14ac:dyDescent="0.2">
      <c r="A15" s="1" t="s">
        <v>342</v>
      </c>
      <c r="B15" s="1">
        <f>+B14</f>
        <v>9</v>
      </c>
      <c r="C15" s="5" t="s">
        <v>38</v>
      </c>
      <c r="D15" s="1" t="s">
        <v>430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308</v>
      </c>
      <c r="J15" s="6">
        <f>+[9]Main!$K$3</f>
        <v>1560</v>
      </c>
      <c r="K15" s="9">
        <v>44929</v>
      </c>
    </row>
    <row r="16" spans="1:29" x14ac:dyDescent="0.2">
      <c r="A16" t="s">
        <v>342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308</v>
      </c>
      <c r="J16" s="6">
        <f>+[10]Main!$K$3</f>
        <v>2135.2551579999999</v>
      </c>
      <c r="K16" s="9">
        <v>44959</v>
      </c>
    </row>
    <row r="17" spans="1:11" x14ac:dyDescent="0.2">
      <c r="A17" t="s">
        <v>342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308</v>
      </c>
      <c r="J17" s="6">
        <f>+[11]Main!$J$3</f>
        <v>539</v>
      </c>
      <c r="K17" s="9">
        <v>44985</v>
      </c>
    </row>
    <row r="18" spans="1:11" x14ac:dyDescent="0.2">
      <c r="A18" t="s">
        <v>342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308</v>
      </c>
      <c r="J18" s="6">
        <f>+[12]Main!$K$3</f>
        <v>1251</v>
      </c>
      <c r="K18" s="9">
        <v>44986</v>
      </c>
    </row>
    <row r="19" spans="1:11" x14ac:dyDescent="0.2">
      <c r="A19" t="s">
        <v>342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432</v>
      </c>
      <c r="J19" s="6">
        <f>+[13]Main!$J$3</f>
        <v>1254</v>
      </c>
      <c r="K19" s="9">
        <v>44958</v>
      </c>
    </row>
    <row r="20" spans="1:11" x14ac:dyDescent="0.2">
      <c r="A20" t="s">
        <v>342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432</v>
      </c>
      <c r="J20" s="3">
        <v>435</v>
      </c>
      <c r="K20" s="9">
        <v>44984</v>
      </c>
    </row>
    <row r="21" spans="1:11" x14ac:dyDescent="0.2">
      <c r="A21" s="1" t="s">
        <v>342</v>
      </c>
      <c r="B21" s="1">
        <f>+B20+1</f>
        <v>15</v>
      </c>
      <c r="C21" s="5" t="s">
        <v>261</v>
      </c>
      <c r="D21" t="s">
        <v>262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432</v>
      </c>
      <c r="J21" s="6">
        <f>+[15]Main!$J$3</f>
        <v>982.42</v>
      </c>
      <c r="K21" s="9">
        <v>44908</v>
      </c>
    </row>
    <row r="22" spans="1:11" x14ac:dyDescent="0.2">
      <c r="A22" t="s">
        <v>342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308</v>
      </c>
      <c r="J22" s="6">
        <f>+[16]Main!$J$4</f>
        <v>4025</v>
      </c>
      <c r="K22" s="9">
        <v>44987</v>
      </c>
    </row>
    <row r="23" spans="1:11" x14ac:dyDescent="0.2">
      <c r="A23" t="s">
        <v>342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308</v>
      </c>
      <c r="J23" s="6">
        <f>+J22</f>
        <v>4025</v>
      </c>
      <c r="K23" s="9">
        <f>+K22</f>
        <v>44987</v>
      </c>
    </row>
    <row r="24" spans="1:11" x14ac:dyDescent="0.2">
      <c r="A24" t="s">
        <v>342</v>
      </c>
      <c r="B24" s="1">
        <f>+B23+1</f>
        <v>17</v>
      </c>
      <c r="C24" s="5" t="s">
        <v>45</v>
      </c>
      <c r="D24" s="1" t="s">
        <v>434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308</v>
      </c>
      <c r="J24" s="6">
        <f>+[17]Main!$J$3</f>
        <v>470.117188</v>
      </c>
      <c r="K24" s="9">
        <v>44917</v>
      </c>
    </row>
    <row r="25" spans="1:11" x14ac:dyDescent="0.2">
      <c r="A25" t="s">
        <v>342</v>
      </c>
      <c r="B25" s="1">
        <f>B24+1</f>
        <v>18</v>
      </c>
      <c r="C25" s="5" t="s">
        <v>52</v>
      </c>
      <c r="D25" s="1" t="s">
        <v>53</v>
      </c>
      <c r="E25" s="7">
        <v>799</v>
      </c>
      <c r="F25" s="6">
        <f>+E25*J25</f>
        <v>87351.100068</v>
      </c>
      <c r="G25" s="6">
        <f>+[18]Main!$J$5-[18]Main!$J$6</f>
        <v>12353.3</v>
      </c>
      <c r="H25" s="6">
        <f>F25-G25</f>
        <v>74997.800067999997</v>
      </c>
      <c r="I25" s="3" t="s">
        <v>536</v>
      </c>
      <c r="J25" s="6">
        <f>+[18]Main!$J$3</f>
        <v>109.325532</v>
      </c>
      <c r="K25" s="9">
        <v>44989</v>
      </c>
    </row>
    <row r="26" spans="1:11" x14ac:dyDescent="0.2">
      <c r="A26" t="s">
        <v>342</v>
      </c>
      <c r="B26" s="1">
        <f>B25+1</f>
        <v>19</v>
      </c>
      <c r="C26" s="5" t="s">
        <v>62</v>
      </c>
      <c r="D26" s="1" t="s">
        <v>63</v>
      </c>
      <c r="E26" s="3">
        <v>13.12</v>
      </c>
      <c r="F26" s="6">
        <f>+E26*2*J26</f>
        <v>40698.04283264</v>
      </c>
      <c r="G26" s="6">
        <f>([19]Main!$K$6-[19]Main!$K$7)/JPY</f>
        <v>-28305.661165656984</v>
      </c>
      <c r="H26" s="6">
        <f>+F26-G26</f>
        <v>69003.703998296987</v>
      </c>
      <c r="I26" s="3" t="s">
        <v>308</v>
      </c>
      <c r="J26" s="6">
        <f>+[19]Main!$K$4</f>
        <v>1550.9924860000001</v>
      </c>
      <c r="K26" s="9">
        <v>44997</v>
      </c>
    </row>
    <row r="27" spans="1:11" x14ac:dyDescent="0.2">
      <c r="A27" t="s">
        <v>342</v>
      </c>
      <c r="B27" s="1">
        <f>+B26</f>
        <v>19</v>
      </c>
      <c r="C27" s="5" t="s">
        <v>62</v>
      </c>
      <c r="D27" s="1" t="s">
        <v>343</v>
      </c>
      <c r="E27" s="17">
        <v>3842</v>
      </c>
      <c r="F27" s="6">
        <f>+E27*J27/JPY</f>
        <v>41493.72001401017</v>
      </c>
      <c r="G27" s="6">
        <f>([19]Main!$K$6-[19]Main!$K$7)/JPY</f>
        <v>-28305.661165656984</v>
      </c>
      <c r="H27" s="6">
        <f>+F27-G27</f>
        <v>69799.381179667151</v>
      </c>
      <c r="I27" s="3" t="s">
        <v>308</v>
      </c>
      <c r="J27" s="6">
        <f>+[19]Main!$K$4</f>
        <v>1550.9924860000001</v>
      </c>
      <c r="K27" s="9">
        <f>K26</f>
        <v>44997</v>
      </c>
    </row>
    <row r="28" spans="1:11" x14ac:dyDescent="0.2">
      <c r="A28" t="s">
        <v>342</v>
      </c>
      <c r="B28" s="1">
        <f>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432</v>
      </c>
      <c r="J28" s="6">
        <f>+[20]Main!$M$3</f>
        <v>259.5</v>
      </c>
      <c r="K28" s="9">
        <v>44917</v>
      </c>
    </row>
    <row r="29" spans="1:11" x14ac:dyDescent="0.2">
      <c r="A29" s="1" t="s">
        <v>342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308</v>
      </c>
      <c r="J29" s="6">
        <f>+[21]Main!$M$3</f>
        <v>1917.031393</v>
      </c>
      <c r="K29" s="9">
        <v>44918</v>
      </c>
    </row>
    <row r="30" spans="1:11" x14ac:dyDescent="0.2">
      <c r="A30" t="s">
        <v>342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432</v>
      </c>
      <c r="J30" s="6">
        <f>+[22]Main!$L$3</f>
        <v>384.18046900000002</v>
      </c>
      <c r="K30" s="9">
        <v>44937</v>
      </c>
    </row>
    <row r="31" spans="1:11" x14ac:dyDescent="0.2">
      <c r="A31" s="1" t="s">
        <v>342</v>
      </c>
      <c r="B31" s="1">
        <f t="shared" si="3"/>
        <v>23</v>
      </c>
      <c r="C31" s="5" t="s">
        <v>263</v>
      </c>
      <c r="D31" t="s">
        <v>264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432</v>
      </c>
      <c r="J31" s="6">
        <f>+[23]Main!$M$3</f>
        <v>71.174000000000007</v>
      </c>
      <c r="K31" s="9">
        <v>44921</v>
      </c>
    </row>
    <row r="32" spans="1:11" x14ac:dyDescent="0.2">
      <c r="A32" t="s">
        <v>342</v>
      </c>
      <c r="B32" s="1">
        <f t="shared" si="3"/>
        <v>24</v>
      </c>
      <c r="C32" s="5" t="s">
        <v>269</v>
      </c>
      <c r="D32" t="s">
        <v>270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432</v>
      </c>
      <c r="J32" s="6">
        <f>+[24]Main!$J$3</f>
        <v>145</v>
      </c>
      <c r="K32" s="9">
        <v>44922</v>
      </c>
    </row>
    <row r="33" spans="1:29" x14ac:dyDescent="0.2">
      <c r="A33" t="s">
        <v>342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432</v>
      </c>
      <c r="J33" s="6">
        <f>+[25]Main!$K$3</f>
        <v>504.12075900000002</v>
      </c>
      <c r="K33" s="9">
        <v>44958</v>
      </c>
    </row>
    <row r="34" spans="1:29" x14ac:dyDescent="0.2">
      <c r="A34" t="s">
        <v>342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308</v>
      </c>
      <c r="J34" s="6">
        <f>+[26]Main!$J$3</f>
        <v>1644.7253820000001</v>
      </c>
      <c r="K34" s="9">
        <v>44889</v>
      </c>
    </row>
    <row r="35" spans="1:29" x14ac:dyDescent="0.2">
      <c r="A35" s="1" t="s">
        <v>342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432</v>
      </c>
      <c r="J35" s="6">
        <f>+[27]Main!$M$3</f>
        <v>1196.8139590000001</v>
      </c>
      <c r="K35" s="9">
        <v>44998</v>
      </c>
    </row>
    <row r="36" spans="1:29" x14ac:dyDescent="0.2">
      <c r="A36" s="1" t="s">
        <v>342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+E36*J36</f>
        <v>25503.315389999996</v>
      </c>
      <c r="G36" s="6">
        <f>+[28]Main!$L$5-[28]Main!$L$6</f>
        <v>-4557.8819999999996</v>
      </c>
      <c r="H36" s="6">
        <f>+F36-G36</f>
        <v>30061.197389999994</v>
      </c>
      <c r="I36" s="3" t="s">
        <v>432</v>
      </c>
      <c r="J36" s="6">
        <f>+[28]Main!$L$3</f>
        <v>607.22179499999993</v>
      </c>
      <c r="K36" s="9">
        <v>44889</v>
      </c>
    </row>
    <row r="37" spans="1:29" x14ac:dyDescent="0.2">
      <c r="A37" s="1" t="s">
        <v>342</v>
      </c>
      <c r="B37" s="1">
        <f t="shared" si="3"/>
        <v>29</v>
      </c>
      <c r="C37" s="5" t="s">
        <v>265</v>
      </c>
      <c r="D37" s="1" t="s">
        <v>266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308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342</v>
      </c>
      <c r="B38" s="1">
        <f t="shared" si="3"/>
        <v>30</v>
      </c>
      <c r="C38" s="5" t="s">
        <v>271</v>
      </c>
      <c r="D38" t="s">
        <v>272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432</v>
      </c>
      <c r="J38" s="6">
        <f>+[30]Main!$J$3</f>
        <v>2399</v>
      </c>
      <c r="K38" s="9">
        <v>44925</v>
      </c>
    </row>
    <row r="39" spans="1:29" x14ac:dyDescent="0.2">
      <c r="B39" s="1">
        <f t="shared" si="3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432</v>
      </c>
      <c r="J39" s="6">
        <f>+[31]Main!$L$3</f>
        <v>226.621465</v>
      </c>
      <c r="K39" s="9">
        <v>44925</v>
      </c>
    </row>
    <row r="40" spans="1:29" x14ac:dyDescent="0.2">
      <c r="A40" s="1" t="s">
        <v>342</v>
      </c>
      <c r="B40" s="1">
        <f t="shared" si="3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432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342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25103.603606991153</v>
      </c>
      <c r="G41" s="6">
        <f>([33]Main!$K$5-[33]Main!$K$6)/JPY</f>
        <v>1443.3953067335142</v>
      </c>
      <c r="H41" s="6">
        <f>+F41-G41</f>
        <v>23660.20830025764</v>
      </c>
      <c r="I41" s="3" t="s">
        <v>432</v>
      </c>
      <c r="J41" s="6">
        <f>+[33]Main!$K$3</f>
        <v>1822.6130000000001</v>
      </c>
      <c r="K41" s="9">
        <v>44969</v>
      </c>
    </row>
    <row r="42" spans="1:29" x14ac:dyDescent="0.2"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432</v>
      </c>
      <c r="J42" s="6">
        <f>+[34]Main!$L$3</f>
        <v>122.991</v>
      </c>
      <c r="K42" s="9">
        <v>44930</v>
      </c>
    </row>
    <row r="43" spans="1:29" x14ac:dyDescent="0.2">
      <c r="A43" t="s">
        <v>342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432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533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432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4"/>
        <v>19364.74007</v>
      </c>
      <c r="I45" s="3" t="s">
        <v>432</v>
      </c>
      <c r="J45" s="6">
        <f>+[36]Main!$K$3</f>
        <v>55.203654999999998</v>
      </c>
      <c r="K45" s="9">
        <v>44900</v>
      </c>
    </row>
    <row r="46" spans="1:29" x14ac:dyDescent="0.2">
      <c r="A46" s="1" t="s">
        <v>342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308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432</v>
      </c>
      <c r="J47" s="6">
        <f>+[38]Main!$L$3</f>
        <v>103.8184753846154</v>
      </c>
      <c r="K47" s="9">
        <v>44926</v>
      </c>
    </row>
    <row r="48" spans="1:29" x14ac:dyDescent="0.2">
      <c r="B48" s="1">
        <f t="shared" ref="B48:B104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432</v>
      </c>
      <c r="J48" s="6">
        <f>+[39]Main!$L$3</f>
        <v>185.84891500000001</v>
      </c>
      <c r="K48" s="9">
        <v>44937</v>
      </c>
    </row>
    <row r="49" spans="1:29" x14ac:dyDescent="0.2">
      <c r="A49" s="1" t="s">
        <v>342</v>
      </c>
      <c r="B49" s="1">
        <f t="shared" si="5"/>
        <v>40</v>
      </c>
      <c r="C49" s="5" t="s">
        <v>280</v>
      </c>
      <c r="D49" t="s">
        <v>281</v>
      </c>
      <c r="E49" s="17">
        <v>8704</v>
      </c>
      <c r="F49" s="6">
        <f>+E49*J49/JPY</f>
        <v>17379.271527052431</v>
      </c>
      <c r="H49" s="6">
        <f>F49-G49</f>
        <v>17379.271527052431</v>
      </c>
      <c r="I49" s="3" t="s">
        <v>536</v>
      </c>
      <c r="J49" s="6">
        <f>+[40]Main!$K$3</f>
        <v>286.74599999999998</v>
      </c>
      <c r="K49" s="9">
        <v>44982</v>
      </c>
    </row>
    <row r="50" spans="1:29" x14ac:dyDescent="0.2"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308</v>
      </c>
      <c r="J50" s="6">
        <f>+[41]Main!$L$3</f>
        <v>687.55490800000007</v>
      </c>
      <c r="K50" s="9">
        <v>44981</v>
      </c>
    </row>
    <row r="51" spans="1:29" x14ac:dyDescent="0.2">
      <c r="B51" s="1">
        <f t="shared" si="5"/>
        <v>42</v>
      </c>
      <c r="C51" s="5" t="s">
        <v>362</v>
      </c>
      <c r="D51" t="s">
        <v>363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432</v>
      </c>
      <c r="J51" s="6">
        <f>+[42]Main!$J$3</f>
        <v>140.76785100000001</v>
      </c>
      <c r="K51" s="9">
        <v>44960</v>
      </c>
    </row>
    <row r="52" spans="1:29" x14ac:dyDescent="0.2">
      <c r="B52" s="1">
        <f t="shared" si="5"/>
        <v>43</v>
      </c>
      <c r="C52" s="5" t="s">
        <v>94</v>
      </c>
      <c r="D52" s="1" t="s">
        <v>95</v>
      </c>
      <c r="E52" s="7">
        <v>156</v>
      </c>
      <c r="F52" s="6">
        <f>+E52*J52</f>
        <v>9794.4599999999991</v>
      </c>
      <c r="G52" s="6">
        <f>+[43]Main!$K$5-[43]Main!$K$6</f>
        <v>-4827.4560000000001</v>
      </c>
      <c r="H52" s="6">
        <f>+F52-G52</f>
        <v>14621.915999999999</v>
      </c>
      <c r="I52" s="3" t="s">
        <v>432</v>
      </c>
      <c r="J52" s="6">
        <f>+[43]Main!$K$3</f>
        <v>62.784999999999997</v>
      </c>
      <c r="K52" s="9">
        <v>44914</v>
      </c>
      <c r="L52" s="7">
        <f>+[43]Model!$AL$29</f>
        <v>157.64588492556646</v>
      </c>
      <c r="M52" s="10">
        <f>+L52/E52-1</f>
        <v>1.0550544394656747E-2</v>
      </c>
      <c r="N52" s="10">
        <f>+[43]Model!$AL$26</f>
        <v>0.02</v>
      </c>
      <c r="O52" s="10">
        <f>+[43]Model!$AL$25</f>
        <v>-0.05</v>
      </c>
      <c r="P52" s="10">
        <f>+[43]Model!$AL$27</f>
        <v>0.08</v>
      </c>
    </row>
    <row r="53" spans="1:29" x14ac:dyDescent="0.2">
      <c r="B53" s="1">
        <f t="shared" si="5"/>
        <v>44</v>
      </c>
      <c r="C53" s="5" t="s">
        <v>50</v>
      </c>
      <c r="D53" s="1" t="s">
        <v>51</v>
      </c>
      <c r="E53" s="7">
        <v>77.83</v>
      </c>
      <c r="F53" s="6">
        <f>+E53*J53</f>
        <v>17315.265674440001</v>
      </c>
      <c r="G53" s="6">
        <f>+[44]Main!$K$5-[44]Main!$K$6</f>
        <v>3126.2459999999996</v>
      </c>
      <c r="H53" s="6">
        <f t="shared" ref="H53:H61" si="6">F53-G53</f>
        <v>14189.019674440002</v>
      </c>
      <c r="I53" s="3" t="s">
        <v>432</v>
      </c>
      <c r="J53" s="6">
        <f>+[44]Main!$K$3</f>
        <v>222.47546800000001</v>
      </c>
      <c r="K53" s="9">
        <v>44893</v>
      </c>
    </row>
    <row r="54" spans="1:29" x14ac:dyDescent="0.2">
      <c r="B54" s="1">
        <f t="shared" si="5"/>
        <v>45</v>
      </c>
      <c r="C54" s="5" t="s">
        <v>68</v>
      </c>
      <c r="D54" s="1" t="s">
        <v>69</v>
      </c>
      <c r="E54" s="17">
        <v>4360</v>
      </c>
      <c r="F54" s="6">
        <f>+E54*J54/JPY</f>
        <v>16471.21531676067</v>
      </c>
      <c r="G54" s="6">
        <f>([45]Main!$L$5-[45]Main!$L$6)/JPY</f>
        <v>5560.3648770976943</v>
      </c>
      <c r="H54" s="6">
        <f t="shared" si="6"/>
        <v>10910.850439662976</v>
      </c>
      <c r="I54" s="3" t="s">
        <v>432</v>
      </c>
      <c r="J54" s="6">
        <f>+[45]Main!$L$3</f>
        <v>542.53009899999995</v>
      </c>
      <c r="K54" s="9">
        <v>44930</v>
      </c>
    </row>
    <row r="55" spans="1:29" x14ac:dyDescent="0.2">
      <c r="B55" s="1">
        <f t="shared" si="5"/>
        <v>46</v>
      </c>
      <c r="C55" s="5" t="s">
        <v>90</v>
      </c>
      <c r="D55" s="1" t="s">
        <v>91</v>
      </c>
      <c r="E55" s="7">
        <v>273.75</v>
      </c>
      <c r="F55" s="6">
        <f>+E55*J55</f>
        <v>13057.875</v>
      </c>
      <c r="G55" s="6">
        <f>[46]Main!$K$5-[46]Main!$K$6</f>
        <v>3027</v>
      </c>
      <c r="H55" s="6">
        <f t="shared" si="6"/>
        <v>10030.875</v>
      </c>
      <c r="I55" s="3" t="s">
        <v>432</v>
      </c>
      <c r="J55" s="6">
        <f>+[46]Main!$K$3</f>
        <v>47.7</v>
      </c>
      <c r="K55" s="9">
        <v>44917</v>
      </c>
    </row>
    <row r="56" spans="1:29" x14ac:dyDescent="0.2">
      <c r="B56" s="1">
        <f t="shared" si="5"/>
        <v>47</v>
      </c>
      <c r="C56" s="5" t="s">
        <v>129</v>
      </c>
      <c r="D56" s="1" t="s">
        <v>130</v>
      </c>
      <c r="E56" s="7">
        <v>119</v>
      </c>
      <c r="F56" s="6">
        <f>+E56*J56</f>
        <v>10446.126544000001</v>
      </c>
      <c r="G56" s="6">
        <f>+[47]Main!$L$5-[47]Main!$L$6</f>
        <v>529.71399999999994</v>
      </c>
      <c r="H56" s="6">
        <f>+F56-G56</f>
        <v>9916.4125440000007</v>
      </c>
      <c r="I56" s="3" t="s">
        <v>456</v>
      </c>
      <c r="J56" s="6">
        <f>+[47]Main!$L$3</f>
        <v>87.782576000000006</v>
      </c>
      <c r="K56" s="9">
        <v>44961</v>
      </c>
    </row>
    <row r="57" spans="1:29" x14ac:dyDescent="0.2">
      <c r="B57" s="1">
        <f t="shared" si="5"/>
        <v>48</v>
      </c>
      <c r="C57" s="5" t="s">
        <v>92</v>
      </c>
      <c r="D57" s="1" t="s">
        <v>93</v>
      </c>
      <c r="E57" s="3">
        <v>109.54</v>
      </c>
      <c r="F57" s="6">
        <v>10476.331222340001</v>
      </c>
      <c r="G57" s="6">
        <v>968.3</v>
      </c>
      <c r="H57" s="6">
        <f t="shared" si="6"/>
        <v>9508.0312223400015</v>
      </c>
      <c r="I57" s="3" t="s">
        <v>308</v>
      </c>
      <c r="J57" s="6">
        <v>95.639320999999995</v>
      </c>
      <c r="K57" s="9">
        <v>44929</v>
      </c>
    </row>
    <row r="58" spans="1:29" x14ac:dyDescent="0.2">
      <c r="A58" t="s">
        <v>342</v>
      </c>
      <c r="B58" s="1">
        <f t="shared" si="5"/>
        <v>49</v>
      </c>
      <c r="C58" s="5" t="s">
        <v>421</v>
      </c>
      <c r="D58" t="s">
        <v>422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308</v>
      </c>
      <c r="J58" s="6">
        <f>+[48]Main!$J$3</f>
        <v>5922.3500700000004</v>
      </c>
      <c r="K58" s="9">
        <v>44926</v>
      </c>
    </row>
    <row r="59" spans="1:29" x14ac:dyDescent="0.2">
      <c r="B59" s="1">
        <f t="shared" si="5"/>
        <v>50</v>
      </c>
      <c r="C59" s="5" t="s">
        <v>374</v>
      </c>
      <c r="D59" t="s">
        <v>375</v>
      </c>
      <c r="E59" s="15">
        <v>38.75</v>
      </c>
      <c r="F59" s="24">
        <f>E59*J59</f>
        <v>8103.5997950000001</v>
      </c>
      <c r="G59" s="6">
        <f>([49]Main!$M$5-[49]Main!$M$6)*EUR</f>
        <v>-749.2414500000001</v>
      </c>
      <c r="H59" s="6">
        <f>+F59-G59</f>
        <v>8852.8412449999996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29" x14ac:dyDescent="0.2">
      <c r="B60" s="1">
        <f t="shared" si="5"/>
        <v>51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432</v>
      </c>
      <c r="J60" s="6">
        <f>+[50]Main!$M$3</f>
        <v>135.21305799999999</v>
      </c>
      <c r="K60" s="9">
        <v>44963</v>
      </c>
    </row>
    <row r="61" spans="1:29" x14ac:dyDescent="0.2">
      <c r="A61" t="s">
        <v>342</v>
      </c>
      <c r="B61" s="1">
        <f t="shared" si="5"/>
        <v>52</v>
      </c>
      <c r="C61" s="5" t="s">
        <v>419</v>
      </c>
      <c r="D61" t="s">
        <v>420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308</v>
      </c>
      <c r="J61" s="6">
        <f>+[51]Main!$K$3</f>
        <v>18658.823689000001</v>
      </c>
      <c r="K61" s="9">
        <v>44926</v>
      </c>
    </row>
    <row r="62" spans="1:29" x14ac:dyDescent="0.2">
      <c r="B62" s="1">
        <f t="shared" si="5"/>
        <v>53</v>
      </c>
      <c r="C62" s="5" t="s">
        <v>135</v>
      </c>
      <c r="D62" s="1" t="s">
        <v>136</v>
      </c>
      <c r="E62" s="7">
        <v>57</v>
      </c>
      <c r="F62" s="6">
        <f>E62*J62</f>
        <v>6314.0039999999999</v>
      </c>
      <c r="G62" s="6">
        <f>+[52]Main!$L$5-[52]Main!$L$6</f>
        <v>459.06500000000005</v>
      </c>
      <c r="H62" s="6">
        <f t="shared" ref="H62:H69" si="7">+F62-G62</f>
        <v>5854.9390000000003</v>
      </c>
      <c r="I62" s="3" t="s">
        <v>536</v>
      </c>
      <c r="J62" s="6">
        <f>[52]Main!$L$3</f>
        <v>110.77200000000001</v>
      </c>
      <c r="K62" s="9">
        <v>44990</v>
      </c>
    </row>
    <row r="63" spans="1:29" x14ac:dyDescent="0.2">
      <c r="B63" s="1">
        <f t="shared" si="5"/>
        <v>54</v>
      </c>
      <c r="C63" s="5" t="s">
        <v>139</v>
      </c>
      <c r="D63" s="1" t="s">
        <v>140</v>
      </c>
      <c r="E63" s="7">
        <v>112</v>
      </c>
      <c r="F63" s="6">
        <f>E63*J63</f>
        <v>6253.1348319999997</v>
      </c>
      <c r="G63" s="6">
        <f>[53]Main!$L$5-[53]Main!$L$6</f>
        <v>402.00300000000004</v>
      </c>
      <c r="H63" s="6">
        <f>F63-G63</f>
        <v>5851.131832</v>
      </c>
      <c r="J63" s="6">
        <f>[53]Main!$L$3</f>
        <v>55.831561000000001</v>
      </c>
      <c r="AC63" s="1">
        <v>2007</v>
      </c>
    </row>
    <row r="64" spans="1:29" x14ac:dyDescent="0.2">
      <c r="B64" s="1">
        <f t="shared" si="5"/>
        <v>55</v>
      </c>
      <c r="C64" s="5" t="s">
        <v>303</v>
      </c>
      <c r="D64" t="s">
        <v>304</v>
      </c>
      <c r="E64" s="22">
        <v>1721.48</v>
      </c>
      <c r="F64" s="6">
        <f>+E64*J64/100*GBP</f>
        <v>4492.3742080000002</v>
      </c>
      <c r="G64" s="6">
        <f>+[54]Main!$K$5-[54]Main!$K$6</f>
        <v>-337</v>
      </c>
      <c r="H64" s="6">
        <f t="shared" si="7"/>
        <v>4829.3742080000002</v>
      </c>
      <c r="I64" s="3" t="s">
        <v>23</v>
      </c>
      <c r="J64" s="6">
        <f>+[54]Main!$K$3</f>
        <v>233</v>
      </c>
    </row>
    <row r="65" spans="2:11" x14ac:dyDescent="0.2">
      <c r="B65" s="1">
        <f t="shared" si="5"/>
        <v>56</v>
      </c>
      <c r="C65" s="5" t="s">
        <v>619</v>
      </c>
      <c r="D65" t="s">
        <v>620</v>
      </c>
      <c r="E65" s="7">
        <v>176</v>
      </c>
      <c r="F65" s="6">
        <f>E65*J65</f>
        <v>6074.6458080000002</v>
      </c>
      <c r="G65" s="6">
        <f>[83]Main!$L$5-[83]Main!$L$6</f>
        <v>1124.0440000000001</v>
      </c>
      <c r="H65" s="6">
        <f>F65-G65</f>
        <v>4950.6018080000003</v>
      </c>
      <c r="I65" s="3" t="s">
        <v>536</v>
      </c>
      <c r="J65" s="6">
        <f>[83]Main!$L$3</f>
        <v>34.515033000000003</v>
      </c>
      <c r="K65" s="9">
        <v>45008</v>
      </c>
    </row>
    <row r="66" spans="2:11" x14ac:dyDescent="0.2">
      <c r="B66" s="1">
        <f t="shared" si="5"/>
        <v>57</v>
      </c>
      <c r="C66" s="5" t="s">
        <v>102</v>
      </c>
      <c r="D66" s="1" t="s">
        <v>103</v>
      </c>
      <c r="E66" s="3">
        <v>35.26</v>
      </c>
      <c r="F66" s="6">
        <f>+E66*J66</f>
        <v>5008.6948473599996</v>
      </c>
      <c r="G66" s="6">
        <f>+[55]Main!$L$5-[55]Main!$L$6</f>
        <v>816.24800000000005</v>
      </c>
      <c r="H66" s="6">
        <f t="shared" si="7"/>
        <v>4192.4468473599991</v>
      </c>
      <c r="I66" s="9" t="s">
        <v>432</v>
      </c>
      <c r="J66" s="6">
        <f>+[55]Main!$L$3</f>
        <v>142.05033599999999</v>
      </c>
      <c r="K66" s="9">
        <v>44959</v>
      </c>
    </row>
    <row r="67" spans="2:11" x14ac:dyDescent="0.2">
      <c r="B67" s="1">
        <f t="shared" si="5"/>
        <v>58</v>
      </c>
      <c r="C67" s="5" t="s">
        <v>137</v>
      </c>
      <c r="D67" s="1" t="s">
        <v>138</v>
      </c>
      <c r="E67" s="3">
        <v>28.03</v>
      </c>
      <c r="F67" s="6">
        <f>+J67*E67</f>
        <v>4604.0473282500006</v>
      </c>
      <c r="G67" s="6">
        <f>+[56]Main!$L$5-[56]Main!$L$6</f>
        <v>465.44</v>
      </c>
      <c r="H67" s="6">
        <f t="shared" si="7"/>
        <v>4138.607328250001</v>
      </c>
      <c r="I67" s="3" t="s">
        <v>308</v>
      </c>
      <c r="J67" s="6">
        <f>+[56]Main!$L$3</f>
        <v>164.25427500000001</v>
      </c>
      <c r="K67" s="9">
        <v>44782</v>
      </c>
    </row>
    <row r="68" spans="2:11" x14ac:dyDescent="0.2">
      <c r="B68" s="1">
        <f t="shared" si="5"/>
        <v>59</v>
      </c>
      <c r="C68" s="5" t="s">
        <v>124</v>
      </c>
      <c r="D68" s="1" t="s">
        <v>125</v>
      </c>
      <c r="E68" s="3">
        <v>18.559999999999999</v>
      </c>
      <c r="F68" s="6">
        <f>+E68*J68</f>
        <v>6012.5305600000002</v>
      </c>
      <c r="G68" s="6">
        <f>+[57]Main!$M$5-[57]Main!$M$6</f>
        <v>2065.1990000000001</v>
      </c>
      <c r="H68" s="6">
        <f t="shared" si="7"/>
        <v>3947.3315600000001</v>
      </c>
      <c r="I68" s="3" t="s">
        <v>536</v>
      </c>
      <c r="J68" s="6">
        <f>+[57]Main!$M$3</f>
        <v>323.95100000000002</v>
      </c>
      <c r="K68" s="9">
        <v>44971</v>
      </c>
    </row>
    <row r="69" spans="2:11" x14ac:dyDescent="0.2">
      <c r="B69" s="1">
        <f t="shared" si="5"/>
        <v>60</v>
      </c>
      <c r="C69" s="5" t="s">
        <v>445</v>
      </c>
      <c r="D69" t="s">
        <v>446</v>
      </c>
      <c r="E69" s="7">
        <v>73.790000000000006</v>
      </c>
      <c r="F69" s="6">
        <f>+E69*J69</f>
        <v>3204.4164939800003</v>
      </c>
      <c r="G69" s="6">
        <f>+[58]Main!$L$5-[58]Main!$L$6</f>
        <v>133.33705900000001</v>
      </c>
      <c r="H69" s="6">
        <f t="shared" si="7"/>
        <v>3071.0794349800003</v>
      </c>
      <c r="I69" s="3" t="s">
        <v>432</v>
      </c>
      <c r="J69" s="6">
        <f>+[58]Main!$L$3</f>
        <v>43.426161999999998</v>
      </c>
      <c r="K69" s="9">
        <v>44920</v>
      </c>
    </row>
    <row r="70" spans="2:11" x14ac:dyDescent="0.2">
      <c r="B70" s="1">
        <f t="shared" si="5"/>
        <v>61</v>
      </c>
      <c r="C70" s="1" t="s">
        <v>391</v>
      </c>
      <c r="D70" t="s">
        <v>392</v>
      </c>
    </row>
    <row r="71" spans="2:11" x14ac:dyDescent="0.2">
      <c r="B71" s="1">
        <f>+B70</f>
        <v>61</v>
      </c>
      <c r="C71" s="1" t="s">
        <v>391</v>
      </c>
      <c r="D71" t="s">
        <v>393</v>
      </c>
    </row>
    <row r="72" spans="2:11" x14ac:dyDescent="0.2">
      <c r="B72" s="1">
        <f t="shared" si="5"/>
        <v>62</v>
      </c>
      <c r="C72" t="s">
        <v>277</v>
      </c>
      <c r="D72" t="s">
        <v>277</v>
      </c>
      <c r="E72" s="15">
        <v>73.56</v>
      </c>
    </row>
    <row r="73" spans="2:11" x14ac:dyDescent="0.2">
      <c r="B73" s="1">
        <f t="shared" si="5"/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2:11" x14ac:dyDescent="0.2">
      <c r="B74" s="1">
        <f>B99+1</f>
        <v>73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2:11" x14ac:dyDescent="0.2">
      <c r="B75" s="1">
        <f>B73+1</f>
        <v>64</v>
      </c>
      <c r="C75" t="s">
        <v>378</v>
      </c>
      <c r="D75" t="s">
        <v>379</v>
      </c>
    </row>
    <row r="76" spans="2:11" x14ac:dyDescent="0.2">
      <c r="B76" s="1">
        <f t="shared" si="5"/>
        <v>65</v>
      </c>
      <c r="C76" t="s">
        <v>380</v>
      </c>
      <c r="D76" t="s">
        <v>381</v>
      </c>
    </row>
    <row r="77" spans="2:11" x14ac:dyDescent="0.2">
      <c r="B77" s="1">
        <f t="shared" si="5"/>
        <v>66</v>
      </c>
      <c r="C77" t="s">
        <v>382</v>
      </c>
      <c r="D77" t="s">
        <v>383</v>
      </c>
    </row>
    <row r="78" spans="2:11" x14ac:dyDescent="0.2">
      <c r="B78" s="1">
        <f t="shared" si="5"/>
        <v>67</v>
      </c>
      <c r="C78" t="s">
        <v>376</v>
      </c>
      <c r="D78" t="s">
        <v>377</v>
      </c>
    </row>
    <row r="79" spans="2:11" x14ac:dyDescent="0.2">
      <c r="B79" s="1">
        <f t="shared" si="5"/>
        <v>68</v>
      </c>
      <c r="C79" t="s">
        <v>282</v>
      </c>
      <c r="D79" t="s">
        <v>283</v>
      </c>
    </row>
    <row r="80" spans="2:11" x14ac:dyDescent="0.2">
      <c r="B80" s="1">
        <f t="shared" si="5"/>
        <v>69</v>
      </c>
      <c r="C80" t="s">
        <v>364</v>
      </c>
      <c r="D80" t="s">
        <v>365</v>
      </c>
    </row>
    <row r="81" spans="2:11" x14ac:dyDescent="0.2">
      <c r="B81" s="1">
        <f t="shared" si="5"/>
        <v>70</v>
      </c>
      <c r="C81" t="s">
        <v>368</v>
      </c>
      <c r="D81" t="s">
        <v>369</v>
      </c>
    </row>
    <row r="82" spans="2:11" x14ac:dyDescent="0.2">
      <c r="B82" s="1">
        <f t="shared" si="5"/>
        <v>71</v>
      </c>
      <c r="C82" t="s">
        <v>366</v>
      </c>
      <c r="D82" t="s">
        <v>367</v>
      </c>
    </row>
    <row r="83" spans="2:11" x14ac:dyDescent="0.2">
      <c r="B83" s="1">
        <f t="shared" si="5"/>
        <v>72</v>
      </c>
      <c r="C83" t="s">
        <v>278</v>
      </c>
      <c r="D83" t="s">
        <v>279</v>
      </c>
    </row>
    <row r="84" spans="2:11" x14ac:dyDescent="0.2">
      <c r="B84" s="1">
        <f>B65+1</f>
        <v>57</v>
      </c>
      <c r="C84" t="s">
        <v>621</v>
      </c>
      <c r="D84" t="s">
        <v>622</v>
      </c>
      <c r="E84" s="7">
        <v>43</v>
      </c>
      <c r="F84" s="6">
        <v>2510</v>
      </c>
    </row>
    <row r="85" spans="2:11" x14ac:dyDescent="0.2">
      <c r="B85" s="1">
        <f t="shared" si="5"/>
        <v>58</v>
      </c>
      <c r="C85" t="s">
        <v>275</v>
      </c>
      <c r="D85" t="s">
        <v>276</v>
      </c>
    </row>
    <row r="86" spans="2:11" x14ac:dyDescent="0.2">
      <c r="B86" s="1">
        <f t="shared" si="5"/>
        <v>59</v>
      </c>
      <c r="C86" t="s">
        <v>372</v>
      </c>
      <c r="D86" t="s">
        <v>373</v>
      </c>
    </row>
    <row r="87" spans="2:11" x14ac:dyDescent="0.2">
      <c r="B87" s="1">
        <f t="shared" si="5"/>
        <v>60</v>
      </c>
      <c r="C87" t="s">
        <v>387</v>
      </c>
      <c r="D87" t="s">
        <v>388</v>
      </c>
      <c r="E87" s="7">
        <v>43.5</v>
      </c>
    </row>
    <row r="88" spans="2:11" x14ac:dyDescent="0.2">
      <c r="B88" s="1">
        <f t="shared" si="5"/>
        <v>61</v>
      </c>
      <c r="C88" s="1" t="s">
        <v>106</v>
      </c>
      <c r="D88" s="1" t="s">
        <v>107</v>
      </c>
      <c r="E88" s="3">
        <v>24.78</v>
      </c>
    </row>
    <row r="89" spans="2:11" x14ac:dyDescent="0.2">
      <c r="B89" s="1">
        <f t="shared" si="5"/>
        <v>62</v>
      </c>
      <c r="C89" s="1" t="s">
        <v>108</v>
      </c>
      <c r="D89" s="1" t="s">
        <v>109</v>
      </c>
      <c r="E89" s="3">
        <v>4.72</v>
      </c>
    </row>
    <row r="90" spans="2:11" x14ac:dyDescent="0.2">
      <c r="B90" s="1">
        <f t="shared" si="5"/>
        <v>63</v>
      </c>
      <c r="C90" s="1" t="s">
        <v>110</v>
      </c>
      <c r="D90" s="1" t="s">
        <v>111</v>
      </c>
      <c r="E90" s="3">
        <v>24.53</v>
      </c>
    </row>
    <row r="91" spans="2:11" x14ac:dyDescent="0.2">
      <c r="B91" s="1">
        <f t="shared" si="5"/>
        <v>64</v>
      </c>
      <c r="C91" t="s">
        <v>617</v>
      </c>
      <c r="D91" t="s">
        <v>618</v>
      </c>
    </row>
    <row r="92" spans="2:11" x14ac:dyDescent="0.2">
      <c r="B92" s="1">
        <f t="shared" si="5"/>
        <v>65</v>
      </c>
      <c r="C92" s="1" t="s">
        <v>112</v>
      </c>
      <c r="D92" s="1" t="s">
        <v>113</v>
      </c>
      <c r="E92" s="3">
        <v>23.02</v>
      </c>
      <c r="F92" s="6">
        <v>1690</v>
      </c>
    </row>
    <row r="93" spans="2:11" x14ac:dyDescent="0.2">
      <c r="B93" s="1">
        <f t="shared" si="5"/>
        <v>66</v>
      </c>
      <c r="C93" t="s">
        <v>531</v>
      </c>
      <c r="D93" t="s">
        <v>532</v>
      </c>
      <c r="E93" s="3">
        <v>17.37</v>
      </c>
      <c r="F93" s="6">
        <v>563</v>
      </c>
    </row>
    <row r="94" spans="2:11" x14ac:dyDescent="0.2">
      <c r="B94" s="1">
        <f t="shared" si="5"/>
        <v>67</v>
      </c>
      <c r="C94" s="5" t="s">
        <v>114</v>
      </c>
      <c r="D94" s="1" t="s">
        <v>115</v>
      </c>
      <c r="E94" s="3">
        <v>29.12</v>
      </c>
      <c r="F94" s="6">
        <f>+E94*J94</f>
        <v>3086.8866246400003</v>
      </c>
      <c r="G94" s="6">
        <f>+[59]Main!$L$5-[59]Main!$L$6</f>
        <v>482.26800000000003</v>
      </c>
      <c r="H94" s="6">
        <f>+F94-G94</f>
        <v>2604.6186246400002</v>
      </c>
      <c r="I94" s="3" t="s">
        <v>432</v>
      </c>
      <c r="J94" s="6">
        <f>+[59]Main!$L$3</f>
        <v>106.00572200000001</v>
      </c>
      <c r="K94" s="9">
        <v>44963</v>
      </c>
    </row>
    <row r="95" spans="2:11" x14ac:dyDescent="0.2">
      <c r="B95" s="1">
        <f t="shared" si="5"/>
        <v>68</v>
      </c>
      <c r="C95" s="5" t="s">
        <v>122</v>
      </c>
      <c r="D95" s="1" t="s">
        <v>123</v>
      </c>
      <c r="E95" s="7">
        <v>47</v>
      </c>
      <c r="F95" s="6">
        <f>E95*J95</f>
        <v>3696.3939130000003</v>
      </c>
      <c r="G95" s="6">
        <f>[60]Main!$N$5-[60]Main!$N$6</f>
        <v>1868.4480000000001</v>
      </c>
      <c r="H95" s="6">
        <f>+F95-G95</f>
        <v>1827.9459130000002</v>
      </c>
      <c r="I95" s="3" t="s">
        <v>536</v>
      </c>
      <c r="J95" s="6">
        <f>[60]Main!$N$3</f>
        <v>78.646679000000006</v>
      </c>
      <c r="K95" s="9">
        <v>44994</v>
      </c>
    </row>
    <row r="96" spans="2:11" x14ac:dyDescent="0.2">
      <c r="B96" s="1">
        <f t="shared" si="5"/>
        <v>69</v>
      </c>
      <c r="C96" s="5" t="s">
        <v>98</v>
      </c>
      <c r="D96" s="1" t="s">
        <v>99</v>
      </c>
      <c r="E96" s="3">
        <v>20.34</v>
      </c>
      <c r="F96" s="6">
        <f>+E96*J96</f>
        <v>1539.4211638199999</v>
      </c>
      <c r="G96" s="6">
        <f>+[61]Main!$M$5-[61]Main!$M$6</f>
        <v>306.53399999999999</v>
      </c>
      <c r="H96" s="6">
        <f>+F96-G96</f>
        <v>1232.8871638199998</v>
      </c>
      <c r="I96" s="3" t="s">
        <v>432</v>
      </c>
      <c r="J96" s="6">
        <f>+[61]Main!$M$3</f>
        <v>75.684422999999995</v>
      </c>
      <c r="K96" s="9">
        <v>44963</v>
      </c>
    </row>
    <row r="97" spans="2:29" x14ac:dyDescent="0.2">
      <c r="B97" s="1">
        <f t="shared" si="5"/>
        <v>70</v>
      </c>
      <c r="C97" t="s">
        <v>451</v>
      </c>
      <c r="D97" s="23" t="s">
        <v>452</v>
      </c>
      <c r="E97" s="3">
        <v>27.98</v>
      </c>
      <c r="F97" s="6" cm="1">
        <f t="array" ref="F97">40290/CNY</f>
        <v>5951.2555391432797</v>
      </c>
    </row>
    <row r="98" spans="2:29" x14ac:dyDescent="0.2">
      <c r="B98" s="1">
        <f t="shared" si="5"/>
        <v>71</v>
      </c>
      <c r="C98" s="1" t="s">
        <v>116</v>
      </c>
      <c r="D98" s="1" t="s">
        <v>117</v>
      </c>
      <c r="E98" s="3">
        <v>33.17</v>
      </c>
    </row>
    <row r="99" spans="2:29" x14ac:dyDescent="0.2">
      <c r="B99" s="1">
        <f t="shared" si="5"/>
        <v>72</v>
      </c>
      <c r="C99" s="1" t="s">
        <v>118</v>
      </c>
      <c r="D99" s="1" t="s">
        <v>119</v>
      </c>
      <c r="E99" s="3">
        <v>53.21</v>
      </c>
    </row>
    <row r="100" spans="2:29" x14ac:dyDescent="0.2">
      <c r="B100" s="1">
        <f>B74+1</f>
        <v>74</v>
      </c>
      <c r="C100" s="1" t="s">
        <v>127</v>
      </c>
      <c r="D100" s="1" t="s">
        <v>128</v>
      </c>
      <c r="E100" s="3">
        <v>19.510000000000002</v>
      </c>
      <c r="F100" s="3">
        <v>3220</v>
      </c>
    </row>
    <row r="101" spans="2:29" x14ac:dyDescent="0.2">
      <c r="B101" s="1">
        <f t="shared" si="5"/>
        <v>75</v>
      </c>
      <c r="C101" s="1" t="s">
        <v>131</v>
      </c>
      <c r="D101" s="1" t="s">
        <v>132</v>
      </c>
      <c r="E101" s="3">
        <v>54.94</v>
      </c>
      <c r="F101" s="3">
        <v>4170</v>
      </c>
    </row>
    <row r="102" spans="2:29" x14ac:dyDescent="0.2">
      <c r="B102" s="1">
        <f t="shared" si="5"/>
        <v>76</v>
      </c>
      <c r="C102" s="1" t="s">
        <v>133</v>
      </c>
      <c r="D102" s="1" t="s">
        <v>134</v>
      </c>
      <c r="E102" s="3">
        <v>38.840000000000003</v>
      </c>
    </row>
    <row r="103" spans="2:29" x14ac:dyDescent="0.2">
      <c r="B103" s="1">
        <f>B63+1</f>
        <v>55</v>
      </c>
      <c r="C103" s="1" t="s">
        <v>141</v>
      </c>
      <c r="D103" s="1" t="s">
        <v>142</v>
      </c>
      <c r="E103" s="3">
        <v>60.72</v>
      </c>
    </row>
    <row r="104" spans="2:29" x14ac:dyDescent="0.2">
      <c r="B104" s="1">
        <f t="shared" si="5"/>
        <v>56</v>
      </c>
      <c r="C104" s="1" t="s">
        <v>143</v>
      </c>
      <c r="D104" s="1" t="s">
        <v>144</v>
      </c>
      <c r="E104" s="7">
        <v>12.2</v>
      </c>
    </row>
    <row r="105" spans="2:29" x14ac:dyDescent="0.2">
      <c r="B105" s="1">
        <f t="shared" ref="B105:B172" si="8">B104+1</f>
        <v>57</v>
      </c>
      <c r="C105" s="1" t="s">
        <v>145</v>
      </c>
      <c r="D105" s="1" t="s">
        <v>146</v>
      </c>
      <c r="E105" s="3">
        <v>2.37</v>
      </c>
    </row>
    <row r="106" spans="2:29" x14ac:dyDescent="0.2">
      <c r="B106" s="1">
        <f t="shared" si="8"/>
        <v>58</v>
      </c>
      <c r="C106" t="s">
        <v>314</v>
      </c>
      <c r="D106" t="s">
        <v>315</v>
      </c>
      <c r="E106" s="3">
        <v>4.26</v>
      </c>
      <c r="AC106" s="1">
        <v>2011</v>
      </c>
    </row>
    <row r="107" spans="2:29" x14ac:dyDescent="0.2">
      <c r="B107" s="1">
        <f t="shared" si="8"/>
        <v>59</v>
      </c>
      <c r="C107" s="1" t="s">
        <v>149</v>
      </c>
      <c r="D107" s="1" t="s">
        <v>150</v>
      </c>
      <c r="E107" s="3">
        <v>23.92</v>
      </c>
    </row>
    <row r="108" spans="2:29" x14ac:dyDescent="0.2">
      <c r="B108" s="1">
        <f t="shared" si="8"/>
        <v>60</v>
      </c>
      <c r="C108" s="1" t="s">
        <v>151</v>
      </c>
      <c r="D108" s="1" t="s">
        <v>152</v>
      </c>
      <c r="E108" s="3">
        <v>53.29</v>
      </c>
    </row>
    <row r="109" spans="2:29" x14ac:dyDescent="0.2">
      <c r="B109" s="1">
        <f t="shared" si="8"/>
        <v>61</v>
      </c>
      <c r="C109" s="1" t="s">
        <v>167</v>
      </c>
      <c r="D109" s="1" t="s">
        <v>168</v>
      </c>
      <c r="E109" s="7">
        <v>11.53</v>
      </c>
      <c r="F109" s="6">
        <v>3240</v>
      </c>
    </row>
    <row r="110" spans="2:29" x14ac:dyDescent="0.2">
      <c r="B110" s="1">
        <f t="shared" si="8"/>
        <v>62</v>
      </c>
      <c r="C110" s="1" t="s">
        <v>169</v>
      </c>
      <c r="D110" s="1" t="s">
        <v>170</v>
      </c>
      <c r="E110" s="3">
        <v>55.33</v>
      </c>
      <c r="F110" s="6">
        <v>3280</v>
      </c>
    </row>
    <row r="111" spans="2:29" x14ac:dyDescent="0.2">
      <c r="B111" s="1">
        <f t="shared" si="8"/>
        <v>63</v>
      </c>
      <c r="C111" s="1" t="s">
        <v>155</v>
      </c>
      <c r="D111" s="1" t="s">
        <v>156</v>
      </c>
      <c r="E111" s="3">
        <v>41.92</v>
      </c>
      <c r="F111" s="6">
        <v>2510</v>
      </c>
    </row>
    <row r="112" spans="2:29" x14ac:dyDescent="0.2">
      <c r="B112" s="1">
        <f t="shared" si="8"/>
        <v>64</v>
      </c>
      <c r="C112" s="1" t="s">
        <v>157</v>
      </c>
      <c r="D112" s="1" t="s">
        <v>158</v>
      </c>
      <c r="E112" s="3">
        <v>29.49</v>
      </c>
      <c r="F112" s="6">
        <v>2880</v>
      </c>
    </row>
    <row r="113" spans="2:11" x14ac:dyDescent="0.2">
      <c r="B113" s="1">
        <f t="shared" si="8"/>
        <v>65</v>
      </c>
      <c r="C113" s="5" t="s">
        <v>147</v>
      </c>
      <c r="D113" s="1" t="s">
        <v>148</v>
      </c>
      <c r="E113" s="3">
        <v>42.98</v>
      </c>
      <c r="F113" s="6">
        <f>+E113*J113</f>
        <v>3665.5079962199993</v>
      </c>
      <c r="G113" s="6">
        <f>+[62]Main!$J$5-[62]Main!$J$6</f>
        <v>1178.829</v>
      </c>
      <c r="H113" s="6">
        <f>+F113-G113</f>
        <v>2486.6789962199991</v>
      </c>
      <c r="I113" s="3" t="s">
        <v>456</v>
      </c>
      <c r="J113" s="6">
        <f>+[62]Main!$J$3</f>
        <v>85.284038999999993</v>
      </c>
      <c r="K113" s="9">
        <v>44955</v>
      </c>
    </row>
    <row r="114" spans="2:11" x14ac:dyDescent="0.2">
      <c r="B114" s="1">
        <f t="shared" si="8"/>
        <v>66</v>
      </c>
      <c r="C114" s="5" t="s">
        <v>161</v>
      </c>
      <c r="D114" s="1" t="s">
        <v>162</v>
      </c>
      <c r="E114" s="7">
        <v>46.19</v>
      </c>
      <c r="F114" s="6">
        <f>+E114*J114</f>
        <v>3249.6786968599999</v>
      </c>
      <c r="G114" s="6">
        <f>+[63]Main!$K$5-[63]Main!$K$6</f>
        <v>1178.8610000000001</v>
      </c>
      <c r="H114" s="6">
        <f>+F114-G114</f>
        <v>2070.8176968600001</v>
      </c>
      <c r="I114" s="3" t="s">
        <v>308</v>
      </c>
      <c r="J114" s="6">
        <f>+[63]Main!$K$3</f>
        <v>70.354594000000006</v>
      </c>
      <c r="K114" s="9">
        <v>44827</v>
      </c>
    </row>
    <row r="115" spans="2:11" x14ac:dyDescent="0.2">
      <c r="B115" s="1">
        <f t="shared" si="8"/>
        <v>67</v>
      </c>
      <c r="C115" s="5" t="s">
        <v>159</v>
      </c>
      <c r="D115" s="1" t="s">
        <v>160</v>
      </c>
      <c r="E115" s="3">
        <v>9.18</v>
      </c>
      <c r="F115" s="6">
        <f>+E115*[64]Main!$N$3</f>
        <v>2859.4049160599998</v>
      </c>
      <c r="G115" s="6">
        <f>+[64]Main!$N$5-[64]Main!$N$6</f>
        <v>869.93499999999995</v>
      </c>
      <c r="H115" s="6">
        <f>+F115-G115</f>
        <v>1989.4699160599998</v>
      </c>
      <c r="I115" s="3" t="s">
        <v>16</v>
      </c>
    </row>
    <row r="116" spans="2:11" x14ac:dyDescent="0.2">
      <c r="B116" s="1">
        <f>B128+1</f>
        <v>81</v>
      </c>
      <c r="C116" s="5" t="s">
        <v>185</v>
      </c>
      <c r="D116" s="1" t="s">
        <v>186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536</v>
      </c>
      <c r="J116" s="6">
        <f>[65]Main!$K$3</f>
        <v>59.717607999999998</v>
      </c>
      <c r="K116" s="9">
        <v>44999</v>
      </c>
    </row>
    <row r="117" spans="2:11" x14ac:dyDescent="0.2">
      <c r="B117" s="1">
        <f>B115+1</f>
        <v>68</v>
      </c>
      <c r="C117" s="5" t="s">
        <v>385</v>
      </c>
      <c r="D117" t="s">
        <v>386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308</v>
      </c>
      <c r="J117" s="6">
        <f>+[66]Main!$J$3</f>
        <v>58.068182</v>
      </c>
      <c r="K117" s="9">
        <v>44824</v>
      </c>
    </row>
    <row r="118" spans="2:11" x14ac:dyDescent="0.2">
      <c r="B118" s="1">
        <f t="shared" si="8"/>
        <v>69</v>
      </c>
      <c r="C118" s="5" t="s">
        <v>358</v>
      </c>
      <c r="D118" t="s">
        <v>359</v>
      </c>
      <c r="E118" s="3">
        <v>3.42</v>
      </c>
      <c r="F118" s="6">
        <f>+E118*J118</f>
        <v>2379.9056977800001</v>
      </c>
      <c r="G118" s="6">
        <f>+[67]Main!$K$5-[67]Main!$K$6</f>
        <v>1840.732</v>
      </c>
      <c r="H118" s="6">
        <f>+F118-G118</f>
        <v>539.17369778000011</v>
      </c>
      <c r="I118" s="3" t="s">
        <v>308</v>
      </c>
      <c r="J118" s="6">
        <f>+[67]Main!$K$3</f>
        <v>695.87885900000003</v>
      </c>
      <c r="K118" s="9">
        <v>44816</v>
      </c>
    </row>
    <row r="119" spans="2:11" x14ac:dyDescent="0.2">
      <c r="B119" s="1">
        <f t="shared" si="8"/>
        <v>70</v>
      </c>
      <c r="C119" s="1" t="s">
        <v>165</v>
      </c>
      <c r="D119" s="1" t="s">
        <v>166</v>
      </c>
      <c r="E119" s="3">
        <v>6.2</v>
      </c>
      <c r="F119" s="6">
        <v>2230</v>
      </c>
    </row>
    <row r="120" spans="2:11" x14ac:dyDescent="0.2">
      <c r="B120" s="1">
        <f t="shared" si="8"/>
        <v>71</v>
      </c>
      <c r="C120" s="1" t="s">
        <v>542</v>
      </c>
      <c r="D120" t="s">
        <v>126</v>
      </c>
      <c r="F120" s="6"/>
    </row>
    <row r="121" spans="2:11" x14ac:dyDescent="0.2">
      <c r="B121" s="1">
        <f t="shared" si="8"/>
        <v>72</v>
      </c>
      <c r="C121" s="1" t="s">
        <v>177</v>
      </c>
      <c r="D121" s="1" t="s">
        <v>178</v>
      </c>
      <c r="E121" s="7">
        <v>20.010000000000002</v>
      </c>
      <c r="F121" s="6">
        <v>2150</v>
      </c>
    </row>
    <row r="122" spans="2:11" x14ac:dyDescent="0.2">
      <c r="B122" s="25">
        <f t="shared" si="8"/>
        <v>73</v>
      </c>
      <c r="C122" s="25" t="s">
        <v>527</v>
      </c>
      <c r="D122" s="25" t="s">
        <v>528</v>
      </c>
      <c r="E122" s="7">
        <v>23.01</v>
      </c>
      <c r="F122" s="6">
        <v>2080</v>
      </c>
    </row>
    <row r="123" spans="2:11" x14ac:dyDescent="0.2">
      <c r="B123" s="1">
        <f t="shared" si="8"/>
        <v>74</v>
      </c>
      <c r="C123" s="1" t="s">
        <v>525</v>
      </c>
      <c r="D123" t="s">
        <v>526</v>
      </c>
      <c r="E123" s="7">
        <v>14.79</v>
      </c>
      <c r="F123" s="6">
        <v>2160</v>
      </c>
    </row>
    <row r="124" spans="2:11" x14ac:dyDescent="0.2">
      <c r="B124" s="1">
        <f>B151+1</f>
        <v>76</v>
      </c>
      <c r="C124" s="1" t="s">
        <v>179</v>
      </c>
      <c r="D124" s="1" t="s">
        <v>180</v>
      </c>
      <c r="E124" s="3">
        <v>19.010000000000002</v>
      </c>
      <c r="F124" s="6">
        <v>2580</v>
      </c>
    </row>
    <row r="125" spans="2:11" x14ac:dyDescent="0.2">
      <c r="B125" s="1">
        <f t="shared" si="8"/>
        <v>77</v>
      </c>
      <c r="C125" t="s">
        <v>351</v>
      </c>
      <c r="D125" t="s">
        <v>352</v>
      </c>
      <c r="E125" s="7">
        <v>14.86</v>
      </c>
      <c r="F125" s="6">
        <v>2880</v>
      </c>
    </row>
    <row r="126" spans="2:11" x14ac:dyDescent="0.2">
      <c r="B126" s="1">
        <f t="shared" si="8"/>
        <v>78</v>
      </c>
      <c r="C126" s="1" t="s">
        <v>208</v>
      </c>
      <c r="D126" s="1" t="s">
        <v>209</v>
      </c>
      <c r="E126" s="7">
        <v>57.1</v>
      </c>
      <c r="F126" s="6">
        <v>2590</v>
      </c>
    </row>
    <row r="127" spans="2:11" x14ac:dyDescent="0.2">
      <c r="B127" s="1">
        <f t="shared" si="8"/>
        <v>79</v>
      </c>
      <c r="C127" s="1" t="s">
        <v>183</v>
      </c>
      <c r="D127" s="1" t="s">
        <v>184</v>
      </c>
      <c r="E127" s="3">
        <v>48.73</v>
      </c>
      <c r="F127" s="6">
        <v>2540</v>
      </c>
    </row>
    <row r="128" spans="2:11" x14ac:dyDescent="0.2">
      <c r="B128" s="1">
        <f t="shared" si="8"/>
        <v>80</v>
      </c>
      <c r="C128" s="1" t="s">
        <v>196</v>
      </c>
      <c r="D128" s="1" t="s">
        <v>197</v>
      </c>
      <c r="E128" s="3">
        <v>37.96</v>
      </c>
      <c r="F128" s="6">
        <v>2360</v>
      </c>
    </row>
    <row r="129" spans="2:6" x14ac:dyDescent="0.2">
      <c r="B129" s="1">
        <f>B116+1</f>
        <v>82</v>
      </c>
      <c r="C129" s="1" t="s">
        <v>299</v>
      </c>
      <c r="D129" s="1" t="s">
        <v>189</v>
      </c>
      <c r="E129" s="3">
        <v>10.85</v>
      </c>
      <c r="F129" s="6">
        <v>2020</v>
      </c>
    </row>
    <row r="130" spans="2:6" x14ac:dyDescent="0.2">
      <c r="B130" s="1">
        <f t="shared" si="8"/>
        <v>83</v>
      </c>
      <c r="C130" s="1" t="s">
        <v>218</v>
      </c>
      <c r="D130" s="1" t="s">
        <v>219</v>
      </c>
      <c r="E130" s="3">
        <v>3.17</v>
      </c>
      <c r="F130" s="6">
        <v>2010</v>
      </c>
    </row>
    <row r="131" spans="2:6" x14ac:dyDescent="0.2">
      <c r="B131" s="1">
        <f t="shared" si="8"/>
        <v>84</v>
      </c>
      <c r="C131" s="1" t="s">
        <v>216</v>
      </c>
      <c r="D131" s="1" t="s">
        <v>217</v>
      </c>
      <c r="E131" s="3">
        <v>36.86</v>
      </c>
      <c r="F131" s="6">
        <v>1990</v>
      </c>
    </row>
    <row r="132" spans="2:6" x14ac:dyDescent="0.2">
      <c r="B132" s="1">
        <f t="shared" si="8"/>
        <v>85</v>
      </c>
      <c r="C132" s="1" t="s">
        <v>204</v>
      </c>
      <c r="D132" s="1" t="s">
        <v>205</v>
      </c>
      <c r="E132" s="7">
        <v>76.78</v>
      </c>
      <c r="F132" s="6">
        <v>1970</v>
      </c>
    </row>
    <row r="133" spans="2:6" x14ac:dyDescent="0.2">
      <c r="B133" s="1">
        <f t="shared" si="8"/>
        <v>86</v>
      </c>
      <c r="C133" s="1" t="s">
        <v>222</v>
      </c>
      <c r="D133" s="1" t="s">
        <v>223</v>
      </c>
      <c r="E133" s="3">
        <v>18.309999999999999</v>
      </c>
      <c r="F133" s="6">
        <v>1930</v>
      </c>
    </row>
    <row r="134" spans="2:6" x14ac:dyDescent="0.2">
      <c r="B134" s="1">
        <f t="shared" si="8"/>
        <v>87</v>
      </c>
      <c r="C134" s="1" t="s">
        <v>192</v>
      </c>
      <c r="D134" s="1" t="s">
        <v>193</v>
      </c>
      <c r="E134" s="7">
        <v>10.1</v>
      </c>
      <c r="F134" s="6">
        <v>1880</v>
      </c>
    </row>
    <row r="135" spans="2:6" x14ac:dyDescent="0.2">
      <c r="B135" s="1">
        <f t="shared" si="8"/>
        <v>88</v>
      </c>
      <c r="C135" s="1" t="s">
        <v>173</v>
      </c>
      <c r="D135" s="1" t="s">
        <v>174</v>
      </c>
      <c r="E135" s="3">
        <v>38.67</v>
      </c>
      <c r="F135" s="6">
        <v>1770</v>
      </c>
    </row>
    <row r="136" spans="2:6" x14ac:dyDescent="0.2">
      <c r="B136" s="1">
        <f t="shared" si="8"/>
        <v>89</v>
      </c>
      <c r="C136" s="1" t="s">
        <v>187</v>
      </c>
      <c r="D136" s="1" t="s">
        <v>188</v>
      </c>
      <c r="E136" s="3">
        <v>41.59</v>
      </c>
      <c r="F136" s="6">
        <v>1730</v>
      </c>
    </row>
    <row r="137" spans="2:6" x14ac:dyDescent="0.2">
      <c r="B137" s="1">
        <f t="shared" si="8"/>
        <v>90</v>
      </c>
      <c r="C137" s="1" t="s">
        <v>181</v>
      </c>
      <c r="D137" s="1" t="s">
        <v>182</v>
      </c>
      <c r="E137" s="3">
        <v>22.22</v>
      </c>
      <c r="F137" s="6">
        <v>1720</v>
      </c>
    </row>
    <row r="138" spans="2:6" x14ac:dyDescent="0.2">
      <c r="B138" s="1">
        <f t="shared" si="8"/>
        <v>91</v>
      </c>
      <c r="C138" s="1" t="s">
        <v>210</v>
      </c>
      <c r="D138" s="1" t="s">
        <v>211</v>
      </c>
      <c r="E138" s="3">
        <v>28.37</v>
      </c>
      <c r="F138" s="6">
        <v>1370</v>
      </c>
    </row>
    <row r="139" spans="2:6" x14ac:dyDescent="0.2">
      <c r="B139" s="1">
        <f t="shared" si="8"/>
        <v>92</v>
      </c>
      <c r="C139" s="1" t="s">
        <v>212</v>
      </c>
      <c r="D139" s="1" t="s">
        <v>213</v>
      </c>
      <c r="E139" s="7">
        <v>7.13</v>
      </c>
      <c r="F139" s="6">
        <v>1350</v>
      </c>
    </row>
    <row r="140" spans="2:6" x14ac:dyDescent="0.2">
      <c r="B140" s="1">
        <f t="shared" si="8"/>
        <v>93</v>
      </c>
      <c r="C140" s="1" t="s">
        <v>163</v>
      </c>
      <c r="D140" s="1" t="s">
        <v>164</v>
      </c>
      <c r="E140" s="7">
        <v>5.75</v>
      </c>
      <c r="F140" s="6">
        <v>1100</v>
      </c>
    </row>
    <row r="141" spans="2:6" x14ac:dyDescent="0.2">
      <c r="B141" s="1">
        <f t="shared" si="8"/>
        <v>94</v>
      </c>
      <c r="C141" s="1" t="s">
        <v>171</v>
      </c>
      <c r="D141" s="1" t="s">
        <v>172</v>
      </c>
      <c r="E141" s="3">
        <v>2.15</v>
      </c>
      <c r="F141" s="6">
        <v>1050</v>
      </c>
    </row>
    <row r="142" spans="2:6" x14ac:dyDescent="0.2">
      <c r="B142" s="1">
        <f t="shared" si="8"/>
        <v>95</v>
      </c>
      <c r="C142" t="s">
        <v>454</v>
      </c>
      <c r="D142" t="s">
        <v>455</v>
      </c>
      <c r="E142" s="3">
        <v>23.13</v>
      </c>
      <c r="F142" s="6">
        <v>1000</v>
      </c>
    </row>
    <row r="143" spans="2:6" x14ac:dyDescent="0.2">
      <c r="B143" s="1">
        <f t="shared" si="8"/>
        <v>96</v>
      </c>
      <c r="C143" s="1" t="s">
        <v>175</v>
      </c>
      <c r="D143" s="1" t="s">
        <v>176</v>
      </c>
      <c r="E143" s="7">
        <v>21.6</v>
      </c>
      <c r="F143" s="6">
        <v>991</v>
      </c>
    </row>
    <row r="144" spans="2:6" x14ac:dyDescent="0.2">
      <c r="B144" s="1">
        <f t="shared" si="8"/>
        <v>97</v>
      </c>
      <c r="C144" s="1" t="s">
        <v>220</v>
      </c>
      <c r="D144" s="1" t="s">
        <v>221</v>
      </c>
      <c r="E144" s="3">
        <v>9.7799999999999994</v>
      </c>
      <c r="F144" s="6">
        <v>903</v>
      </c>
    </row>
    <row r="145" spans="2:29" x14ac:dyDescent="0.2">
      <c r="B145" s="1">
        <f t="shared" si="8"/>
        <v>98</v>
      </c>
      <c r="C145" s="1" t="s">
        <v>88</v>
      </c>
      <c r="D145" s="1" t="s">
        <v>89</v>
      </c>
      <c r="E145" s="3">
        <v>12.61</v>
      </c>
      <c r="F145" s="6">
        <v>860</v>
      </c>
    </row>
    <row r="146" spans="2:29" x14ac:dyDescent="0.2">
      <c r="B146" s="1">
        <f t="shared" si="8"/>
        <v>99</v>
      </c>
      <c r="C146" s="1" t="s">
        <v>202</v>
      </c>
      <c r="D146" s="1" t="s">
        <v>203</v>
      </c>
      <c r="E146" s="3">
        <v>2.42</v>
      </c>
      <c r="F146" s="6">
        <v>823</v>
      </c>
    </row>
    <row r="147" spans="2:29" x14ac:dyDescent="0.2">
      <c r="B147" s="1">
        <f t="shared" si="8"/>
        <v>100</v>
      </c>
      <c r="C147" s="1" t="s">
        <v>200</v>
      </c>
      <c r="D147" s="1" t="s">
        <v>201</v>
      </c>
      <c r="E147" s="7">
        <v>5.7</v>
      </c>
      <c r="F147" s="6">
        <v>821</v>
      </c>
    </row>
    <row r="148" spans="2:29" x14ac:dyDescent="0.2">
      <c r="B148" s="1">
        <f t="shared" si="8"/>
        <v>101</v>
      </c>
      <c r="C148" t="s">
        <v>311</v>
      </c>
      <c r="D148" t="s">
        <v>312</v>
      </c>
      <c r="E148" s="3">
        <v>3.23</v>
      </c>
      <c r="F148" s="6">
        <v>630</v>
      </c>
    </row>
    <row r="149" spans="2:29" x14ac:dyDescent="0.2">
      <c r="B149" s="1">
        <f t="shared" si="8"/>
        <v>102</v>
      </c>
      <c r="C149" s="1" t="s">
        <v>206</v>
      </c>
      <c r="D149" s="1" t="s">
        <v>207</v>
      </c>
      <c r="E149" s="3">
        <v>4.16</v>
      </c>
      <c r="F149" s="6">
        <v>590</v>
      </c>
    </row>
    <row r="150" spans="2:29" x14ac:dyDescent="0.2">
      <c r="B150" s="1">
        <f t="shared" si="8"/>
        <v>103</v>
      </c>
      <c r="C150" t="s">
        <v>297</v>
      </c>
      <c r="D150" t="s">
        <v>298</v>
      </c>
      <c r="E150" s="3">
        <v>8.4499999999999993</v>
      </c>
      <c r="F150" s="6">
        <f>4406/HKD</f>
        <v>561.27388535031855</v>
      </c>
    </row>
    <row r="151" spans="2:29" x14ac:dyDescent="0.2">
      <c r="B151" s="1">
        <f>B123+1</f>
        <v>75</v>
      </c>
      <c r="C151" t="s">
        <v>529</v>
      </c>
      <c r="D151" t="s">
        <v>530</v>
      </c>
      <c r="E151" s="7">
        <v>3.19</v>
      </c>
      <c r="F151" s="6">
        <v>439</v>
      </c>
    </row>
    <row r="152" spans="2:29" x14ac:dyDescent="0.2">
      <c r="B152" s="1">
        <f>B150+1</f>
        <v>104</v>
      </c>
      <c r="C152" s="1" t="s">
        <v>214</v>
      </c>
      <c r="D152" s="1" t="s">
        <v>215</v>
      </c>
      <c r="E152" s="3">
        <v>10.98</v>
      </c>
      <c r="F152" s="6">
        <v>548</v>
      </c>
    </row>
    <row r="153" spans="2:29" x14ac:dyDescent="0.2">
      <c r="B153" s="1">
        <f t="shared" si="8"/>
        <v>105</v>
      </c>
      <c r="C153" s="5" t="s">
        <v>294</v>
      </c>
      <c r="D153" t="s">
        <v>295</v>
      </c>
      <c r="E153" s="3">
        <v>15.65</v>
      </c>
      <c r="F153" s="6">
        <f>E153*[68]Main!$L$3</f>
        <v>1253.1559559500001</v>
      </c>
      <c r="G153" s="6">
        <f>+[68]Main!$L$5-[68]Main!$L$6</f>
        <v>112.015</v>
      </c>
      <c r="H153" s="6">
        <f>+F153-G153</f>
        <v>1141.14095595</v>
      </c>
      <c r="I153" s="3" t="s">
        <v>16</v>
      </c>
    </row>
    <row r="154" spans="2:29" x14ac:dyDescent="0.2">
      <c r="B154" s="1">
        <f t="shared" si="8"/>
        <v>106</v>
      </c>
      <c r="C154" s="5" t="s">
        <v>230</v>
      </c>
      <c r="D154" s="1" t="s">
        <v>231</v>
      </c>
      <c r="E154" s="3">
        <v>23.75</v>
      </c>
      <c r="F154" s="6">
        <f>+E154*J154</f>
        <v>1355.4004112499999</v>
      </c>
      <c r="G154" s="6">
        <f>+[69]Main!$K$5-[69]Main!$K$6</f>
        <v>449.76100000000002</v>
      </c>
      <c r="H154" s="6">
        <f>+F154-G154</f>
        <v>905.63941124999997</v>
      </c>
      <c r="I154" s="3" t="s">
        <v>432</v>
      </c>
      <c r="J154" s="6">
        <f>+[69]Main!$K$3</f>
        <v>57.069490999999999</v>
      </c>
      <c r="K154" s="9">
        <v>44947</v>
      </c>
      <c r="AC154" s="1">
        <v>2015</v>
      </c>
    </row>
    <row r="155" spans="2:29" x14ac:dyDescent="0.2">
      <c r="B155" s="1">
        <f t="shared" si="8"/>
        <v>107</v>
      </c>
      <c r="C155" s="5" t="s">
        <v>305</v>
      </c>
      <c r="D155" t="s">
        <v>306</v>
      </c>
      <c r="E155" s="3">
        <v>11</v>
      </c>
      <c r="F155" s="6">
        <f>+E155*[70]Main!$L$3</f>
        <v>798.23003700000004</v>
      </c>
      <c r="G155" s="6">
        <f>+[70]Main!$L$5-[70]Main!$L$6</f>
        <v>153.25991400000001</v>
      </c>
      <c r="H155" s="6">
        <f>+F155-G155</f>
        <v>644.97012300000006</v>
      </c>
      <c r="I155" s="3" t="s">
        <v>16</v>
      </c>
      <c r="K155" s="9">
        <v>44771</v>
      </c>
      <c r="L155" s="9"/>
      <c r="M155" s="9"/>
      <c r="N155" s="9"/>
      <c r="O155" s="9"/>
      <c r="P155" s="9"/>
    </row>
    <row r="156" spans="2:29" x14ac:dyDescent="0.2">
      <c r="B156" s="1">
        <f t="shared" si="8"/>
        <v>108</v>
      </c>
      <c r="C156" s="5" t="s">
        <v>198</v>
      </c>
      <c r="D156" s="1" t="s">
        <v>199</v>
      </c>
      <c r="E156" s="3">
        <v>7.36</v>
      </c>
      <c r="F156" s="6">
        <f>+E156*J156</f>
        <v>897.18233664000002</v>
      </c>
      <c r="G156" s="6">
        <f>+[71]Main!$J$5-[71]Main!$J$6</f>
        <v>601.58999999999992</v>
      </c>
      <c r="H156" s="6">
        <f>+F156-G156</f>
        <v>295.5923366400001</v>
      </c>
      <c r="I156" s="3" t="s">
        <v>16</v>
      </c>
      <c r="J156" s="6">
        <f>+[71]Main!$J$3</f>
        <v>121.89977399999999</v>
      </c>
      <c r="K156" s="9">
        <v>44827</v>
      </c>
    </row>
    <row r="157" spans="2:29" x14ac:dyDescent="0.2">
      <c r="B157" s="1">
        <f t="shared" si="8"/>
        <v>109</v>
      </c>
      <c r="C157" t="s">
        <v>309</v>
      </c>
      <c r="D157" t="s">
        <v>310</v>
      </c>
      <c r="E157" s="3">
        <v>12.42</v>
      </c>
      <c r="F157" s="6">
        <v>516</v>
      </c>
    </row>
    <row r="158" spans="2:29" x14ac:dyDescent="0.2">
      <c r="B158" s="1">
        <f t="shared" si="8"/>
        <v>110</v>
      </c>
      <c r="C158" t="s">
        <v>316</v>
      </c>
      <c r="D158" t="s">
        <v>317</v>
      </c>
      <c r="E158" s="3">
        <v>3.26</v>
      </c>
      <c r="F158" s="6">
        <v>272</v>
      </c>
    </row>
    <row r="159" spans="2:29" x14ac:dyDescent="0.2">
      <c r="B159" s="1">
        <f t="shared" si="8"/>
        <v>111</v>
      </c>
      <c r="C159" s="1" t="s">
        <v>224</v>
      </c>
      <c r="D159" s="1" t="s">
        <v>225</v>
      </c>
      <c r="E159" s="3">
        <v>6.34</v>
      </c>
      <c r="F159" s="3">
        <v>547</v>
      </c>
    </row>
    <row r="160" spans="2:29" x14ac:dyDescent="0.2">
      <c r="B160" s="1">
        <f t="shared" si="8"/>
        <v>112</v>
      </c>
      <c r="C160" s="1" t="s">
        <v>226</v>
      </c>
      <c r="D160" s="1" t="s">
        <v>227</v>
      </c>
      <c r="E160" s="7">
        <v>31.39</v>
      </c>
      <c r="F160" s="3">
        <v>1020</v>
      </c>
    </row>
    <row r="161" spans="2:29" x14ac:dyDescent="0.2">
      <c r="B161" s="1">
        <f t="shared" si="8"/>
        <v>113</v>
      </c>
      <c r="C161" s="1" t="s">
        <v>228</v>
      </c>
      <c r="D161" s="1" t="s">
        <v>229</v>
      </c>
      <c r="E161" s="7">
        <v>5.9</v>
      </c>
      <c r="F161" s="3">
        <v>508</v>
      </c>
    </row>
    <row r="162" spans="2:29" x14ac:dyDescent="0.2">
      <c r="B162" s="1">
        <f t="shared" si="8"/>
        <v>114</v>
      </c>
      <c r="C162" s="5" t="s">
        <v>329</v>
      </c>
      <c r="D162" t="s">
        <v>330</v>
      </c>
      <c r="E162" s="3">
        <v>3.23</v>
      </c>
      <c r="F162" s="6">
        <f>+E162*J162</f>
        <v>30.407559149999997</v>
      </c>
      <c r="G162" s="6">
        <f>+[72]Main!$N$5-[72]Main!$N$6</f>
        <v>-7.4640000000000004</v>
      </c>
      <c r="H162" s="6">
        <f>+F162-G162</f>
        <v>37.871559149999996</v>
      </c>
      <c r="I162" s="3" t="s">
        <v>308</v>
      </c>
      <c r="J162" s="6">
        <f>+[72]Main!$N$3</f>
        <v>9.4141049999999993</v>
      </c>
      <c r="K162" s="9">
        <v>44780</v>
      </c>
    </row>
    <row r="163" spans="2:29" x14ac:dyDescent="0.2">
      <c r="B163" s="1">
        <f t="shared" si="8"/>
        <v>115</v>
      </c>
      <c r="C163" s="1" t="s">
        <v>232</v>
      </c>
      <c r="D163" s="1" t="s">
        <v>233</v>
      </c>
      <c r="E163" s="3">
        <v>10.31</v>
      </c>
      <c r="F163" s="3">
        <v>1240</v>
      </c>
    </row>
    <row r="164" spans="2:29" x14ac:dyDescent="0.2">
      <c r="B164" s="1">
        <f t="shared" si="8"/>
        <v>116</v>
      </c>
      <c r="C164" s="1" t="s">
        <v>234</v>
      </c>
      <c r="D164" s="1" t="s">
        <v>235</v>
      </c>
      <c r="E164" s="7">
        <v>1.3</v>
      </c>
      <c r="F164" s="3">
        <v>107</v>
      </c>
    </row>
    <row r="165" spans="2:29" x14ac:dyDescent="0.2">
      <c r="B165" s="1">
        <f t="shared" si="8"/>
        <v>117</v>
      </c>
      <c r="C165" s="1" t="s">
        <v>236</v>
      </c>
      <c r="D165" s="1" t="s">
        <v>237</v>
      </c>
      <c r="E165" s="3">
        <v>3.35</v>
      </c>
      <c r="F165" s="3">
        <v>457</v>
      </c>
    </row>
    <row r="166" spans="2:29" x14ac:dyDescent="0.2">
      <c r="B166" s="1">
        <f t="shared" si="8"/>
        <v>118</v>
      </c>
      <c r="C166" s="5" t="s">
        <v>238</v>
      </c>
      <c r="D166" s="1" t="s">
        <v>239</v>
      </c>
      <c r="E166" s="3">
        <v>7.06</v>
      </c>
      <c r="F166" s="6">
        <f>E166*[73]Main!$J$3</f>
        <v>725.62786605999997</v>
      </c>
      <c r="G166" s="6">
        <f>[73]Main!$J$5-[73]Main!$J$6</f>
        <v>197.79600000000002</v>
      </c>
      <c r="H166" s="8">
        <f>+F166-G166</f>
        <v>527.83186605999992</v>
      </c>
      <c r="I166" s="3" t="s">
        <v>16</v>
      </c>
    </row>
    <row r="167" spans="2:29" x14ac:dyDescent="0.2">
      <c r="B167" s="1">
        <f t="shared" si="8"/>
        <v>119</v>
      </c>
      <c r="C167" s="5" t="s">
        <v>360</v>
      </c>
      <c r="D167" s="1" t="s">
        <v>361</v>
      </c>
      <c r="E167" s="7">
        <v>0.6</v>
      </c>
      <c r="F167" s="6">
        <f>+E167*J167</f>
        <v>486.43225439999998</v>
      </c>
      <c r="G167" s="6">
        <f>+[74]Main!$K$5-[74]Main!$K$6</f>
        <v>-37.984000000000002</v>
      </c>
      <c r="H167" s="8">
        <f t="shared" ref="H167" si="9">+F167-G167</f>
        <v>524.41625439999996</v>
      </c>
      <c r="I167" s="3" t="s">
        <v>308</v>
      </c>
      <c r="J167" s="6">
        <f>+[74]Main!$K$3</f>
        <v>810.72042399999998</v>
      </c>
      <c r="K167" s="9">
        <v>44816</v>
      </c>
      <c r="AC167" s="1">
        <v>2002</v>
      </c>
    </row>
    <row r="168" spans="2:29" x14ac:dyDescent="0.2">
      <c r="B168" s="1">
        <f t="shared" si="8"/>
        <v>120</v>
      </c>
      <c r="C168" s="5" t="s">
        <v>240</v>
      </c>
      <c r="D168" s="1" t="s">
        <v>241</v>
      </c>
      <c r="E168" s="3">
        <v>14.68</v>
      </c>
      <c r="F168" s="6">
        <f>E168*[75]Main!$L$3</f>
        <v>587.26396075999992</v>
      </c>
      <c r="G168" s="6">
        <f>[75]Main!$L$5-[75]Main!$L$6</f>
        <v>277.88299999999998</v>
      </c>
      <c r="H168" s="8">
        <f>+F168-G168</f>
        <v>309.38096075999994</v>
      </c>
      <c r="I168" s="3" t="s">
        <v>16</v>
      </c>
    </row>
    <row r="169" spans="2:29" x14ac:dyDescent="0.2">
      <c r="B169" s="1">
        <f t="shared" si="8"/>
        <v>121</v>
      </c>
      <c r="C169" s="5" t="s">
        <v>242</v>
      </c>
      <c r="D169" s="1" t="s">
        <v>243</v>
      </c>
      <c r="E169" s="3">
        <v>4.8600000000000003</v>
      </c>
      <c r="F169" s="6">
        <f>E169*[76]Main!$J$3</f>
        <v>312.71415336000001</v>
      </c>
      <c r="G169" s="8">
        <f>+[76]Main!$J$5-[76]Main!$J$6</f>
        <v>92.317999999999998</v>
      </c>
      <c r="H169" s="8">
        <f>+F169-G169</f>
        <v>220.39615336000003</v>
      </c>
      <c r="I169" s="3" t="s">
        <v>16</v>
      </c>
    </row>
    <row r="170" spans="2:29" x14ac:dyDescent="0.2">
      <c r="B170" s="1">
        <f t="shared" si="8"/>
        <v>122</v>
      </c>
      <c r="C170" s="5" t="s">
        <v>244</v>
      </c>
      <c r="D170" s="1" t="s">
        <v>245</v>
      </c>
      <c r="E170" s="3">
        <v>7.57</v>
      </c>
      <c r="F170" s="6">
        <f>E170*[77]Main!$M$3</f>
        <v>338.45983246000003</v>
      </c>
      <c r="G170" s="6">
        <f>[77]Main!$M$5-[77]Main!$M$6</f>
        <v>120.43700000000001</v>
      </c>
      <c r="H170" s="8">
        <f t="shared" ref="H170:H175" si="10">+F170-G170</f>
        <v>218.02283246000002</v>
      </c>
      <c r="I170" s="3" t="s">
        <v>16</v>
      </c>
    </row>
    <row r="171" spans="2:29" x14ac:dyDescent="0.2">
      <c r="B171" s="1">
        <f t="shared" si="8"/>
        <v>123</v>
      </c>
      <c r="C171" s="5" t="s">
        <v>246</v>
      </c>
      <c r="D171" s="1" t="s">
        <v>247</v>
      </c>
      <c r="E171" s="7">
        <v>0.7</v>
      </c>
      <c r="F171" s="6">
        <f>E171*[78]Main!$M$3</f>
        <v>128.9392503</v>
      </c>
      <c r="G171" s="6">
        <f>[78]Main!$M$5-[78]Main!$M$6</f>
        <v>-59.50200000000001</v>
      </c>
      <c r="H171" s="8">
        <f t="shared" si="10"/>
        <v>188.44125030000001</v>
      </c>
      <c r="I171" s="3" t="s">
        <v>16</v>
      </c>
    </row>
    <row r="172" spans="2:29" x14ac:dyDescent="0.2">
      <c r="B172" s="1">
        <f t="shared" si="8"/>
        <v>124</v>
      </c>
      <c r="C172" s="5" t="s">
        <v>248</v>
      </c>
      <c r="D172" s="1" t="s">
        <v>249</v>
      </c>
      <c r="E172" s="3">
        <v>1.98</v>
      </c>
      <c r="F172" s="6">
        <f>E172*[79]Main!$N$3</f>
        <v>39.757463459999997</v>
      </c>
      <c r="G172" s="6">
        <f>[79]Main!$N$5-[79]Main!$N$6</f>
        <v>15.942</v>
      </c>
      <c r="H172" s="8">
        <f t="shared" si="10"/>
        <v>23.815463459999997</v>
      </c>
      <c r="I172" s="3" t="s">
        <v>16</v>
      </c>
    </row>
    <row r="173" spans="2:29" x14ac:dyDescent="0.2">
      <c r="B173" s="1">
        <f t="shared" ref="B173:B213" si="11">B172+1</f>
        <v>125</v>
      </c>
      <c r="C173" s="5" t="s">
        <v>250</v>
      </c>
      <c r="D173" s="1" t="s">
        <v>251</v>
      </c>
      <c r="E173" s="3">
        <v>0.62</v>
      </c>
      <c r="F173" s="6">
        <f>E173*[80]Main!$L$3</f>
        <v>30.1881658</v>
      </c>
      <c r="G173" s="6">
        <f>[80]Main!$L$5-[80]Main!$L$6</f>
        <v>13.262999999999998</v>
      </c>
      <c r="H173" s="8">
        <f t="shared" si="10"/>
        <v>16.925165800000002</v>
      </c>
      <c r="I173" s="3" t="s">
        <v>16</v>
      </c>
    </row>
    <row r="174" spans="2:29" x14ac:dyDescent="0.2">
      <c r="B174" s="1">
        <f t="shared" si="11"/>
        <v>126</v>
      </c>
      <c r="C174" s="5" t="s">
        <v>252</v>
      </c>
      <c r="D174" s="1" t="s">
        <v>253</v>
      </c>
      <c r="E174" s="3">
        <v>6.12</v>
      </c>
      <c r="F174" s="6">
        <f>E174*[81]Main!$M$3</f>
        <v>125.46108324000001</v>
      </c>
      <c r="G174" s="6">
        <f>[81]Main!$M$5-[81]Main!$M$6</f>
        <v>131.17699999999999</v>
      </c>
      <c r="H174" s="8">
        <f t="shared" si="10"/>
        <v>-5.7159167599999847</v>
      </c>
      <c r="I174" s="3" t="s">
        <v>16</v>
      </c>
    </row>
    <row r="175" spans="2:29" x14ac:dyDescent="0.2">
      <c r="B175" s="1">
        <f t="shared" si="11"/>
        <v>127</v>
      </c>
      <c r="C175" s="5" t="s">
        <v>254</v>
      </c>
      <c r="D175" s="1" t="s">
        <v>255</v>
      </c>
      <c r="E175" s="3">
        <v>0.98</v>
      </c>
      <c r="F175" s="6">
        <f>E175*[82]Main!$M$3</f>
        <v>20.935517539999999</v>
      </c>
      <c r="G175" s="6">
        <f>[82]Main!$M$5-[82]Main!$M$6</f>
        <v>55.28</v>
      </c>
      <c r="H175" s="8">
        <f t="shared" si="10"/>
        <v>-34.344482460000002</v>
      </c>
      <c r="I175" s="3" t="s">
        <v>16</v>
      </c>
    </row>
    <row r="176" spans="2:29" x14ac:dyDescent="0.2">
      <c r="B176" s="1">
        <f t="shared" si="11"/>
        <v>128</v>
      </c>
      <c r="C176" s="1" t="s">
        <v>256</v>
      </c>
      <c r="D176" s="1" t="s">
        <v>257</v>
      </c>
      <c r="E176" s="3">
        <v>0.61</v>
      </c>
    </row>
    <row r="177" spans="2:6" x14ac:dyDescent="0.2">
      <c r="B177" s="1">
        <f t="shared" si="11"/>
        <v>129</v>
      </c>
      <c r="C177" s="1" t="s">
        <v>258</v>
      </c>
      <c r="D177" s="1" t="s">
        <v>259</v>
      </c>
      <c r="E177" s="3">
        <v>5.55</v>
      </c>
    </row>
    <row r="178" spans="2:6" x14ac:dyDescent="0.2">
      <c r="B178" s="1">
        <f t="shared" si="11"/>
        <v>130</v>
      </c>
      <c r="C178" s="1" t="s">
        <v>356</v>
      </c>
      <c r="D178" t="s">
        <v>357</v>
      </c>
      <c r="E178" s="7">
        <v>4.2</v>
      </c>
    </row>
    <row r="179" spans="2:6" x14ac:dyDescent="0.2">
      <c r="B179" s="1">
        <f t="shared" si="11"/>
        <v>131</v>
      </c>
      <c r="C179" s="1" t="s">
        <v>340</v>
      </c>
      <c r="D179" t="s">
        <v>341</v>
      </c>
      <c r="E179" s="7">
        <v>4</v>
      </c>
    </row>
    <row r="180" spans="2:6" x14ac:dyDescent="0.2">
      <c r="B180" s="1">
        <f t="shared" si="11"/>
        <v>132</v>
      </c>
      <c r="C180" t="s">
        <v>344</v>
      </c>
      <c r="D180" t="s">
        <v>345</v>
      </c>
      <c r="E180" s="3">
        <v>20.18</v>
      </c>
    </row>
    <row r="181" spans="2:6" x14ac:dyDescent="0.2">
      <c r="B181" s="1">
        <f t="shared" si="11"/>
        <v>133</v>
      </c>
      <c r="C181" s="1" t="s">
        <v>389</v>
      </c>
      <c r="D181" s="1" t="s">
        <v>390</v>
      </c>
      <c r="E181" s="3">
        <v>25.85</v>
      </c>
    </row>
    <row r="182" spans="2:6" x14ac:dyDescent="0.2">
      <c r="B182" s="1">
        <f t="shared" si="11"/>
        <v>134</v>
      </c>
      <c r="C182" t="s">
        <v>395</v>
      </c>
      <c r="D182" t="s">
        <v>396</v>
      </c>
      <c r="E182" s="3">
        <v>9.26</v>
      </c>
      <c r="F182" s="3">
        <v>204</v>
      </c>
    </row>
    <row r="183" spans="2:6" x14ac:dyDescent="0.2">
      <c r="B183" s="1">
        <f t="shared" si="11"/>
        <v>135</v>
      </c>
      <c r="C183" t="s">
        <v>442</v>
      </c>
      <c r="D183" t="s">
        <v>441</v>
      </c>
    </row>
    <row r="184" spans="2:6" x14ac:dyDescent="0.2">
      <c r="B184" s="1">
        <f t="shared" si="11"/>
        <v>136</v>
      </c>
      <c r="C184" t="s">
        <v>443</v>
      </c>
      <c r="D184" t="s">
        <v>444</v>
      </c>
    </row>
    <row r="185" spans="2:6" x14ac:dyDescent="0.2">
      <c r="B185" s="1">
        <f t="shared" si="11"/>
        <v>137</v>
      </c>
      <c r="C185" s="1" t="s">
        <v>406</v>
      </c>
      <c r="D185" s="1" t="s">
        <v>407</v>
      </c>
    </row>
    <row r="186" spans="2:6" x14ac:dyDescent="0.2">
      <c r="B186" s="1">
        <f t="shared" si="11"/>
        <v>138</v>
      </c>
      <c r="C186" t="s">
        <v>436</v>
      </c>
      <c r="D186" t="s">
        <v>437</v>
      </c>
      <c r="E186" s="3">
        <v>20.32</v>
      </c>
    </row>
    <row r="187" spans="2:6" x14ac:dyDescent="0.2">
      <c r="B187" s="1">
        <f t="shared" si="11"/>
        <v>139</v>
      </c>
      <c r="C187" s="1" t="s">
        <v>516</v>
      </c>
      <c r="D187" s="1" t="s">
        <v>517</v>
      </c>
    </row>
    <row r="188" spans="2:6" x14ac:dyDescent="0.2">
      <c r="B188" s="1">
        <f t="shared" si="11"/>
        <v>140</v>
      </c>
      <c r="C188" t="s">
        <v>523</v>
      </c>
      <c r="D188" t="s">
        <v>524</v>
      </c>
    </row>
    <row r="189" spans="2:6" x14ac:dyDescent="0.2">
      <c r="B189" s="1">
        <f t="shared" si="11"/>
        <v>141</v>
      </c>
      <c r="C189" s="1" t="s">
        <v>534</v>
      </c>
      <c r="D189" s="1" t="s">
        <v>535</v>
      </c>
    </row>
    <row r="190" spans="2:6" x14ac:dyDescent="0.2">
      <c r="B190" s="1">
        <f t="shared" si="11"/>
        <v>142</v>
      </c>
      <c r="C190" t="s">
        <v>539</v>
      </c>
      <c r="D190" t="s">
        <v>540</v>
      </c>
    </row>
    <row r="191" spans="2:6" x14ac:dyDescent="0.2">
      <c r="B191" s="1">
        <f t="shared" si="11"/>
        <v>143</v>
      </c>
      <c r="C191" s="1" t="s">
        <v>543</v>
      </c>
      <c r="D191" s="1" t="s">
        <v>544</v>
      </c>
    </row>
    <row r="192" spans="2:6" x14ac:dyDescent="0.2">
      <c r="B192" s="1">
        <f t="shared" si="11"/>
        <v>144</v>
      </c>
      <c r="C192" t="s">
        <v>546</v>
      </c>
      <c r="D192" t="s">
        <v>545</v>
      </c>
    </row>
    <row r="193" spans="2:4" x14ac:dyDescent="0.2">
      <c r="B193" s="1">
        <f t="shared" si="11"/>
        <v>145</v>
      </c>
      <c r="C193" t="s">
        <v>547</v>
      </c>
      <c r="D193" t="s">
        <v>548</v>
      </c>
    </row>
    <row r="194" spans="2:4" x14ac:dyDescent="0.2">
      <c r="B194" s="1">
        <f t="shared" si="11"/>
        <v>146</v>
      </c>
      <c r="C194" t="s">
        <v>549</v>
      </c>
      <c r="D194" t="s">
        <v>550</v>
      </c>
    </row>
    <row r="195" spans="2:4" x14ac:dyDescent="0.2">
      <c r="B195" s="1">
        <f t="shared" si="11"/>
        <v>147</v>
      </c>
      <c r="C195" t="s">
        <v>551</v>
      </c>
      <c r="D195" t="s">
        <v>552</v>
      </c>
    </row>
    <row r="196" spans="2:4" x14ac:dyDescent="0.2">
      <c r="B196" s="1">
        <f t="shared" si="11"/>
        <v>148</v>
      </c>
      <c r="C196" t="s">
        <v>553</v>
      </c>
      <c r="D196" t="s">
        <v>554</v>
      </c>
    </row>
    <row r="197" spans="2:4" x14ac:dyDescent="0.2">
      <c r="B197" s="1">
        <f t="shared" si="11"/>
        <v>149</v>
      </c>
      <c r="C197" t="s">
        <v>555</v>
      </c>
      <c r="D197" t="s">
        <v>556</v>
      </c>
    </row>
    <row r="198" spans="2:4" x14ac:dyDescent="0.2">
      <c r="B198" s="1">
        <f t="shared" si="11"/>
        <v>150</v>
      </c>
      <c r="C198" t="s">
        <v>557</v>
      </c>
      <c r="D198" t="s">
        <v>558</v>
      </c>
    </row>
    <row r="199" spans="2:4" x14ac:dyDescent="0.2">
      <c r="B199" s="1">
        <f t="shared" si="11"/>
        <v>151</v>
      </c>
      <c r="C199" t="s">
        <v>559</v>
      </c>
      <c r="D199" t="s">
        <v>560</v>
      </c>
    </row>
    <row r="200" spans="2:4" x14ac:dyDescent="0.2">
      <c r="B200" s="1">
        <f t="shared" si="11"/>
        <v>152</v>
      </c>
      <c r="C200" t="s">
        <v>561</v>
      </c>
      <c r="D200" t="s">
        <v>562</v>
      </c>
    </row>
    <row r="201" spans="2:4" x14ac:dyDescent="0.2">
      <c r="B201" s="1">
        <f t="shared" si="11"/>
        <v>153</v>
      </c>
      <c r="C201" t="s">
        <v>563</v>
      </c>
      <c r="D201" t="s">
        <v>564</v>
      </c>
    </row>
    <row r="202" spans="2:4" x14ac:dyDescent="0.2">
      <c r="B202" s="1">
        <f t="shared" si="11"/>
        <v>154</v>
      </c>
      <c r="C202" t="s">
        <v>565</v>
      </c>
      <c r="D202" t="s">
        <v>566</v>
      </c>
    </row>
    <row r="203" spans="2:4" x14ac:dyDescent="0.2">
      <c r="B203" s="1">
        <f t="shared" si="11"/>
        <v>155</v>
      </c>
      <c r="C203" t="s">
        <v>567</v>
      </c>
      <c r="D203" t="s">
        <v>568</v>
      </c>
    </row>
    <row r="204" spans="2:4" x14ac:dyDescent="0.2">
      <c r="B204" s="1">
        <f t="shared" si="11"/>
        <v>156</v>
      </c>
      <c r="C204" t="s">
        <v>569</v>
      </c>
      <c r="D204" t="s">
        <v>570</v>
      </c>
    </row>
    <row r="205" spans="2:4" x14ac:dyDescent="0.2">
      <c r="B205" s="1">
        <f t="shared" si="11"/>
        <v>157</v>
      </c>
      <c r="C205" t="s">
        <v>571</v>
      </c>
      <c r="D205" t="s">
        <v>572</v>
      </c>
    </row>
    <row r="206" spans="2:4" x14ac:dyDescent="0.2">
      <c r="B206" s="1">
        <f t="shared" si="11"/>
        <v>158</v>
      </c>
      <c r="C206" t="s">
        <v>573</v>
      </c>
      <c r="D206" t="s">
        <v>574</v>
      </c>
    </row>
    <row r="207" spans="2:4" x14ac:dyDescent="0.2">
      <c r="B207" s="1">
        <f t="shared" si="11"/>
        <v>159</v>
      </c>
      <c r="C207" t="s">
        <v>575</v>
      </c>
      <c r="D207" t="s">
        <v>576</v>
      </c>
    </row>
    <row r="208" spans="2:4" x14ac:dyDescent="0.2">
      <c r="B208" s="1">
        <f t="shared" si="11"/>
        <v>160</v>
      </c>
      <c r="C208" t="s">
        <v>577</v>
      </c>
      <c r="D208" t="s">
        <v>578</v>
      </c>
    </row>
    <row r="209" spans="2:5" x14ac:dyDescent="0.2">
      <c r="B209" s="1">
        <f t="shared" si="11"/>
        <v>161</v>
      </c>
      <c r="C209" t="s">
        <v>579</v>
      </c>
      <c r="D209" t="s">
        <v>580</v>
      </c>
    </row>
    <row r="210" spans="2:5" x14ac:dyDescent="0.2">
      <c r="B210" s="1">
        <f t="shared" si="11"/>
        <v>162</v>
      </c>
      <c r="C210" t="s">
        <v>581</v>
      </c>
      <c r="D210" t="s">
        <v>582</v>
      </c>
    </row>
    <row r="211" spans="2:5" x14ac:dyDescent="0.2">
      <c r="B211" s="1">
        <f t="shared" si="11"/>
        <v>163</v>
      </c>
      <c r="C211" t="s">
        <v>583</v>
      </c>
      <c r="D211" t="s">
        <v>584</v>
      </c>
    </row>
    <row r="212" spans="2:5" x14ac:dyDescent="0.2">
      <c r="B212" s="1">
        <f t="shared" si="11"/>
        <v>164</v>
      </c>
      <c r="C212" t="s">
        <v>585</v>
      </c>
      <c r="D212" t="s">
        <v>586</v>
      </c>
    </row>
    <row r="213" spans="2:5" x14ac:dyDescent="0.2">
      <c r="B213" s="1">
        <f t="shared" si="11"/>
        <v>165</v>
      </c>
      <c r="C213" t="s">
        <v>587</v>
      </c>
      <c r="D213" t="s">
        <v>588</v>
      </c>
      <c r="E213"/>
    </row>
    <row r="214" spans="2:5" x14ac:dyDescent="0.2">
      <c r="B214" s="1">
        <f t="shared" ref="B214:B227" si="12">B213+1</f>
        <v>166</v>
      </c>
      <c r="C214" t="s">
        <v>590</v>
      </c>
      <c r="D214" t="s">
        <v>589</v>
      </c>
    </row>
    <row r="215" spans="2:5" x14ac:dyDescent="0.2">
      <c r="B215" s="1">
        <f t="shared" si="12"/>
        <v>167</v>
      </c>
      <c r="C215" t="s">
        <v>591</v>
      </c>
      <c r="D215" t="s">
        <v>592</v>
      </c>
    </row>
    <row r="216" spans="2:5" x14ac:dyDescent="0.2">
      <c r="B216" s="1">
        <f t="shared" si="12"/>
        <v>168</v>
      </c>
      <c r="C216" t="s">
        <v>356</v>
      </c>
      <c r="D216" t="s">
        <v>357</v>
      </c>
    </row>
    <row r="217" spans="2:5" x14ac:dyDescent="0.2">
      <c r="B217" s="1">
        <f t="shared" si="12"/>
        <v>169</v>
      </c>
      <c r="C217" t="s">
        <v>593</v>
      </c>
      <c r="D217" t="s">
        <v>594</v>
      </c>
    </row>
    <row r="218" spans="2:5" x14ac:dyDescent="0.2">
      <c r="B218" s="1">
        <f t="shared" si="12"/>
        <v>170</v>
      </c>
      <c r="C218" t="s">
        <v>595</v>
      </c>
      <c r="D218" t="s">
        <v>596</v>
      </c>
    </row>
    <row r="219" spans="2:5" x14ac:dyDescent="0.2">
      <c r="B219" s="1">
        <f t="shared" si="12"/>
        <v>171</v>
      </c>
      <c r="C219" t="s">
        <v>597</v>
      </c>
      <c r="D219" t="s">
        <v>598</v>
      </c>
    </row>
    <row r="220" spans="2:5" x14ac:dyDescent="0.2">
      <c r="B220" s="1">
        <f t="shared" si="12"/>
        <v>172</v>
      </c>
      <c r="C220" t="s">
        <v>599</v>
      </c>
      <c r="D220" t="s">
        <v>600</v>
      </c>
    </row>
    <row r="221" spans="2:5" x14ac:dyDescent="0.2">
      <c r="B221" s="1">
        <f t="shared" si="12"/>
        <v>173</v>
      </c>
      <c r="C221" t="s">
        <v>601</v>
      </c>
      <c r="D221" t="s">
        <v>602</v>
      </c>
    </row>
    <row r="222" spans="2:5" x14ac:dyDescent="0.2">
      <c r="B222" s="1">
        <f t="shared" si="12"/>
        <v>174</v>
      </c>
      <c r="C222" t="s">
        <v>603</v>
      </c>
      <c r="D222" t="s">
        <v>604</v>
      </c>
    </row>
    <row r="223" spans="2:5" x14ac:dyDescent="0.2">
      <c r="B223" s="1">
        <f t="shared" si="12"/>
        <v>175</v>
      </c>
      <c r="C223" t="s">
        <v>605</v>
      </c>
      <c r="D223" t="s">
        <v>606</v>
      </c>
    </row>
    <row r="224" spans="2:5" x14ac:dyDescent="0.2">
      <c r="B224" s="1">
        <f t="shared" si="12"/>
        <v>176</v>
      </c>
      <c r="C224" t="s">
        <v>607</v>
      </c>
      <c r="D224" t="s">
        <v>608</v>
      </c>
    </row>
    <row r="225" spans="2:4" x14ac:dyDescent="0.2">
      <c r="B225" s="1">
        <f t="shared" si="12"/>
        <v>177</v>
      </c>
      <c r="C225" s="1" t="s">
        <v>609</v>
      </c>
      <c r="D225" s="1" t="s">
        <v>610</v>
      </c>
    </row>
    <row r="226" spans="2:4" x14ac:dyDescent="0.2">
      <c r="B226" s="1">
        <f t="shared" si="12"/>
        <v>178</v>
      </c>
      <c r="C226" t="s">
        <v>611</v>
      </c>
      <c r="D226" t="s">
        <v>612</v>
      </c>
    </row>
    <row r="227" spans="2:4" x14ac:dyDescent="0.2">
      <c r="B227" s="1">
        <f t="shared" si="12"/>
        <v>179</v>
      </c>
      <c r="C227" t="s">
        <v>613</v>
      </c>
      <c r="D227" t="s">
        <v>614</v>
      </c>
    </row>
  </sheetData>
  <sortState xmlns:xlrd2="http://schemas.microsoft.com/office/spreadsheetml/2017/richdata2" ref="A125:AC152">
    <sortCondition descending="1" ref="F125:F152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3" r:id="rId18" xr:uid="{6EF35D30-7113-4CE8-9077-C5BE97F74D36}"/>
    <hyperlink ref="C25" r:id="rId19" xr:uid="{1F769FA7-6B90-4B6B-9BCC-7D6679675B06}"/>
    <hyperlink ref="C26" r:id="rId20" xr:uid="{61277D68-67DC-475B-9B61-B7E2F3017110}"/>
    <hyperlink ref="C169" r:id="rId21" xr:uid="{14A63DAF-63A6-4B91-A2AF-AE28EA251457}"/>
    <hyperlink ref="C172" r:id="rId22" xr:uid="{4ACA7C7F-E42A-4687-A776-AB8065DB40FF}"/>
    <hyperlink ref="C168" r:id="rId23" xr:uid="{B3421391-7EC0-4253-8F62-5ED45A5BFA02}"/>
    <hyperlink ref="C173" r:id="rId24" xr:uid="{F6A45FC7-B73C-4143-9CAB-B3ADA19B5FD7}"/>
    <hyperlink ref="C170" r:id="rId25" xr:uid="{BBD267CB-7407-4913-9D05-6A6AA380019F}"/>
    <hyperlink ref="C175" r:id="rId26" xr:uid="{85368858-6D0F-4ABE-975C-AE5530342445}"/>
    <hyperlink ref="C166" r:id="rId27" xr:uid="{8B5BC1F5-14D4-45A0-B224-31FAF227EAF3}"/>
    <hyperlink ref="C174" r:id="rId28" xr:uid="{D5FB3BFE-F0A8-4C09-90A1-9F506EF0ADE4}"/>
    <hyperlink ref="C171" r:id="rId29" xr:uid="{11598046-2AED-42E7-ACA5-251A20A59427}"/>
    <hyperlink ref="C55" r:id="rId30" xr:uid="{A1C90F9B-FBBF-4C72-9A11-3798F692A0D2}"/>
    <hyperlink ref="C62" r:id="rId31" xr:uid="{F7B6503D-1F84-47C4-B87E-BDA7159D1B9F}"/>
    <hyperlink ref="C47" r:id="rId32" xr:uid="{D0EE43E7-C3F5-4256-99AE-DDCA9EC11DCF}"/>
    <hyperlink ref="C35" r:id="rId33" xr:uid="{1C25970A-A568-4869-A34A-5C6C7551D812}"/>
    <hyperlink ref="C153" r:id="rId34" xr:uid="{C3A06396-38CD-486E-9F4F-233A79292B4F}"/>
    <hyperlink ref="C115" r:id="rId35" xr:uid="{B83625D8-44D2-4842-9139-F29C8D5F2D8E}"/>
    <hyperlink ref="C155" r:id="rId36" xr:uid="{5FF32E6A-C6C7-4793-8271-BD230B9C7641}"/>
    <hyperlink ref="C64" r:id="rId37" xr:uid="{E5739E03-9FE4-4D05-90C8-36ABF7D078CB}"/>
    <hyperlink ref="C67" r:id="rId38" xr:uid="{25285F59-771C-40DB-8B78-E1E454C61406}"/>
    <hyperlink ref="C162" r:id="rId39" xr:uid="{C000061C-001D-4088-90A4-B672D181D3C5}"/>
    <hyperlink ref="C30" r:id="rId40" xr:uid="{6A1F812B-EA91-4B3C-B4DC-88F792A7D0DE}"/>
    <hyperlink ref="C46" r:id="rId41" xr:uid="{6930A656-C59A-465F-8634-B30B4FEF47BC}"/>
    <hyperlink ref="C118" r:id="rId42" xr:uid="{559FAD8A-D620-4B93-BE14-CC22630BD57E}"/>
    <hyperlink ref="C9" r:id="rId43" xr:uid="{467EEBCD-6BD7-4E71-B2C9-FCF3DB57F059}"/>
    <hyperlink ref="C167" r:id="rId44" xr:uid="{6A576FDB-A573-4A00-8381-4BECF13B35A1}"/>
    <hyperlink ref="C23" r:id="rId45" xr:uid="{994E2867-C411-41E7-8332-43A0B3B0CC2B}"/>
    <hyperlink ref="C117" r:id="rId46" xr:uid="{51C9506E-5D60-43F8-BADA-7F72A25DAFF6}"/>
    <hyperlink ref="C114" r:id="rId47" xr:uid="{9E4325F2-98CF-4735-96D0-66A9DC5A8E86}"/>
    <hyperlink ref="C156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7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2" r:id="rId65" xr:uid="{E9207892-DA1F-48D2-B2C3-EFA59FCA8A47}"/>
    <hyperlink ref="C69" r:id="rId66" xr:uid="{DE2D1DDB-B5B7-4055-B885-0CD9E7670070}"/>
    <hyperlink ref="C38" r:id="rId67" xr:uid="{9DD12163-063E-4F73-89A5-34D8E8AC0534}"/>
    <hyperlink ref="C39" r:id="rId68" xr:uid="{30732F31-0D9B-4774-8215-75872BFC9B96}"/>
    <hyperlink ref="C61" r:id="rId69" xr:uid="{1D3A6A47-22C9-4CC1-94BD-20DE3BB08016}"/>
    <hyperlink ref="C58" r:id="rId70" xr:uid="{27FB3DB4-8430-405F-9558-F31A0B69ED5F}"/>
    <hyperlink ref="C54" r:id="rId71" xr:uid="{144D13FD-59BD-499B-A0B4-B06985623C68}"/>
    <hyperlink ref="C154" r:id="rId72" xr:uid="{E48CD1EB-CFA1-47B1-BD8B-09F09CDD4FA4}"/>
    <hyperlink ref="C113" r:id="rId73" xr:uid="{6E9AFF81-F520-4A86-9FC2-D5CFE68E7EB7}"/>
    <hyperlink ref="C66" r:id="rId74" xr:uid="{ED527D70-0B51-4151-8378-8C40B68FF19D}"/>
    <hyperlink ref="C51" r:id="rId75" xr:uid="{A902B26E-CA39-4DC5-9F23-4459D8D315E8}"/>
    <hyperlink ref="C56" r:id="rId76" xr:uid="{5F0313F8-3376-4F67-9822-E1412CAA5959}"/>
    <hyperlink ref="C94" r:id="rId77" xr:uid="{AE3A3FD9-E651-4A72-81DB-B29CC61B516B}"/>
    <hyperlink ref="C60" r:id="rId78" xr:uid="{6FA4EBE7-4729-4097-A12F-CAD4CB58FFA6}"/>
    <hyperlink ref="C96" r:id="rId79" xr:uid="{C6F461C3-F385-4BE1-8914-0B22F9A9FF52}"/>
    <hyperlink ref="C44" r:id="rId80" xr:uid="{98D02B7D-F218-457E-B156-7FE773CF515A}"/>
    <hyperlink ref="C43" r:id="rId81" xr:uid="{02CB6FD9-C55D-44A1-9F2E-6A96A222EE6B}"/>
    <hyperlink ref="C68" r:id="rId82" xr:uid="{C691BA46-1169-4CAF-84E5-2A83E1B5404A}"/>
    <hyperlink ref="C50" r:id="rId83" xr:uid="{425EA3DE-2A59-4B96-B380-B688A4EDE233}"/>
    <hyperlink ref="C49" r:id="rId84" xr:uid="{1F24E207-02BC-4A1F-B083-69F8E95AC067}"/>
    <hyperlink ref="C59" r:id="rId85" xr:uid="{CE56D1ED-1CAA-4667-A3D9-82426599D26C}"/>
    <hyperlink ref="C27" r:id="rId86" xr:uid="{A79848CD-7CC3-4C10-B9EC-DDD33362E673}"/>
    <hyperlink ref="C95" r:id="rId87" xr:uid="{ED810682-5208-4265-9E0E-6746A399EA34}"/>
    <hyperlink ref="C116" r:id="rId88" xr:uid="{44DEB74A-F098-4876-A279-D1E6237DF8DB}"/>
    <hyperlink ref="C63" r:id="rId89" xr:uid="{ADF59BEC-B8D8-4144-ADEB-041425B69409}"/>
    <hyperlink ref="C65" r:id="rId90" xr:uid="{5448F263-AB4A-41FB-B7B9-A94746C9D9E1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9"/>
  <sheetViews>
    <sheetView workbookViewId="0">
      <selection activeCell="B9" sqref="B9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342</v>
      </c>
      <c r="B1" s="1">
        <f>Main!B40+1</f>
        <v>33</v>
      </c>
      <c r="C1" t="s">
        <v>267</v>
      </c>
      <c r="D1" t="s">
        <v>268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342</v>
      </c>
      <c r="B2" s="1">
        <f>Main!B41+1</f>
        <v>34</v>
      </c>
      <c r="C2" t="s">
        <v>273</v>
      </c>
      <c r="D2" t="s">
        <v>274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342</v>
      </c>
      <c r="B3" s="1">
        <f>Main!B38+1</f>
        <v>31</v>
      </c>
      <c r="C3" t="s">
        <v>284</v>
      </c>
      <c r="D3" t="s">
        <v>285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342</v>
      </c>
      <c r="B4" s="1">
        <f>B3+1</f>
        <v>32</v>
      </c>
      <c r="C4" t="s">
        <v>415</v>
      </c>
      <c r="D4" t="s">
        <v>416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342</v>
      </c>
      <c r="B5" s="1">
        <f>B4+1</f>
        <v>33</v>
      </c>
      <c r="C5" t="s">
        <v>417</v>
      </c>
      <c r="D5" t="s">
        <v>418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342</v>
      </c>
      <c r="B6" s="1">
        <f>Main!B58+1</f>
        <v>50</v>
      </c>
      <c r="C6" t="s">
        <v>423</v>
      </c>
      <c r="D6" t="s">
        <v>424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342</v>
      </c>
      <c r="B7" s="1">
        <f>B6+1</f>
        <v>51</v>
      </c>
      <c r="C7" t="s">
        <v>425</v>
      </c>
      <c r="D7" t="s">
        <v>426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Main!B81+1</f>
        <v>71</v>
      </c>
      <c r="C8" t="s">
        <v>370</v>
      </c>
      <c r="D8" t="s">
        <v>371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C9" t="s">
        <v>615</v>
      </c>
      <c r="D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384</v>
      </c>
      <c r="C7">
        <v>143.61000000000001</v>
      </c>
    </row>
    <row r="8" spans="2:3" x14ac:dyDescent="0.2">
      <c r="B8" t="s">
        <v>408</v>
      </c>
      <c r="C8">
        <v>7.85</v>
      </c>
    </row>
    <row r="9" spans="2:3" x14ac:dyDescent="0.2">
      <c r="B9" t="s">
        <v>411</v>
      </c>
      <c r="C9">
        <v>1433</v>
      </c>
    </row>
    <row r="10" spans="2:3" x14ac:dyDescent="0.2">
      <c r="B10" t="s">
        <v>447</v>
      </c>
      <c r="C10">
        <v>82.55</v>
      </c>
    </row>
    <row r="11" spans="2:3" x14ac:dyDescent="0.2">
      <c r="B11" t="s">
        <v>453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94"/>
  <sheetViews>
    <sheetView zoomScale="145" zoomScaleNormal="145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E94" sqref="E94"/>
    </sheetView>
  </sheetViews>
  <sheetFormatPr defaultRowHeight="12.75" x14ac:dyDescent="0.2"/>
  <cols>
    <col min="1" max="1" width="5" bestFit="1" customWidth="1"/>
    <col min="2" max="2" width="26.8554687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292</v>
      </c>
    </row>
    <row r="2" spans="1:9" x14ac:dyDescent="0.2">
      <c r="B2" t="s">
        <v>1</v>
      </c>
      <c r="C2" t="s">
        <v>2</v>
      </c>
      <c r="D2" t="s">
        <v>290</v>
      </c>
      <c r="E2" t="s">
        <v>332</v>
      </c>
      <c r="F2" t="s">
        <v>334</v>
      </c>
      <c r="G2" t="s">
        <v>335</v>
      </c>
      <c r="H2" t="s">
        <v>338</v>
      </c>
      <c r="I2" t="s">
        <v>440</v>
      </c>
    </row>
    <row r="3" spans="1:9" x14ac:dyDescent="0.2">
      <c r="B3" t="s">
        <v>518</v>
      </c>
      <c r="E3" t="s">
        <v>333</v>
      </c>
      <c r="F3" t="s">
        <v>519</v>
      </c>
      <c r="G3" t="s">
        <v>520</v>
      </c>
    </row>
    <row r="4" spans="1:9" x14ac:dyDescent="0.2">
      <c r="B4" t="s">
        <v>458</v>
      </c>
      <c r="C4">
        <v>2018</v>
      </c>
      <c r="D4" t="s">
        <v>459</v>
      </c>
      <c r="E4" t="s">
        <v>403</v>
      </c>
      <c r="F4" t="s">
        <v>460</v>
      </c>
    </row>
    <row r="5" spans="1:9" x14ac:dyDescent="0.2">
      <c r="B5" t="s">
        <v>495</v>
      </c>
    </row>
    <row r="6" spans="1:9" x14ac:dyDescent="0.2">
      <c r="B6" t="s">
        <v>496</v>
      </c>
    </row>
    <row r="7" spans="1:9" x14ac:dyDescent="0.2">
      <c r="B7" t="s">
        <v>497</v>
      </c>
    </row>
    <row r="8" spans="1:9" x14ac:dyDescent="0.2">
      <c r="B8" t="s">
        <v>498</v>
      </c>
      <c r="C8">
        <v>2019</v>
      </c>
      <c r="I8" t="s">
        <v>522</v>
      </c>
    </row>
    <row r="9" spans="1:9" x14ac:dyDescent="0.2">
      <c r="B9" t="s">
        <v>499</v>
      </c>
    </row>
    <row r="10" spans="1:9" x14ac:dyDescent="0.2">
      <c r="B10" t="s">
        <v>500</v>
      </c>
    </row>
    <row r="11" spans="1:9" x14ac:dyDescent="0.2">
      <c r="B11" t="s">
        <v>501</v>
      </c>
    </row>
    <row r="12" spans="1:9" x14ac:dyDescent="0.2">
      <c r="B12" t="s">
        <v>502</v>
      </c>
    </row>
    <row r="13" spans="1:9" x14ac:dyDescent="0.2">
      <c r="B13" t="s">
        <v>503</v>
      </c>
    </row>
    <row r="14" spans="1:9" x14ac:dyDescent="0.2">
      <c r="B14" t="s">
        <v>504</v>
      </c>
    </row>
    <row r="15" spans="1:9" x14ac:dyDescent="0.2">
      <c r="B15" t="s">
        <v>505</v>
      </c>
      <c r="C15">
        <v>2018</v>
      </c>
      <c r="E15" t="s">
        <v>634</v>
      </c>
      <c r="F15" t="s">
        <v>635</v>
      </c>
      <c r="G15" t="s">
        <v>640</v>
      </c>
      <c r="H15" s="13">
        <v>44817</v>
      </c>
      <c r="I15" t="s">
        <v>633</v>
      </c>
    </row>
    <row r="16" spans="1:9" x14ac:dyDescent="0.2">
      <c r="B16" t="s">
        <v>505</v>
      </c>
      <c r="C16">
        <v>2018</v>
      </c>
      <c r="E16" t="s">
        <v>403</v>
      </c>
      <c r="F16" t="s">
        <v>636</v>
      </c>
      <c r="G16" t="s">
        <v>639</v>
      </c>
      <c r="H16" s="13">
        <v>44362</v>
      </c>
    </row>
    <row r="17" spans="2:8" x14ac:dyDescent="0.2">
      <c r="B17" t="s">
        <v>505</v>
      </c>
      <c r="C17">
        <v>2018</v>
      </c>
      <c r="E17" t="s">
        <v>623</v>
      </c>
      <c r="F17" t="s">
        <v>637</v>
      </c>
      <c r="G17" t="s">
        <v>639</v>
      </c>
      <c r="H17" s="13">
        <v>44173</v>
      </c>
    </row>
    <row r="18" spans="2:8" x14ac:dyDescent="0.2">
      <c r="B18" t="s">
        <v>505</v>
      </c>
      <c r="C18">
        <v>2018</v>
      </c>
      <c r="E18" t="s">
        <v>333</v>
      </c>
      <c r="F18" t="s">
        <v>625</v>
      </c>
      <c r="G18" t="s">
        <v>638</v>
      </c>
      <c r="H18" s="13">
        <v>44118</v>
      </c>
    </row>
    <row r="19" spans="2:8" x14ac:dyDescent="0.2">
      <c r="B19" t="s">
        <v>506</v>
      </c>
    </row>
    <row r="20" spans="2:8" x14ac:dyDescent="0.2">
      <c r="B20" t="s">
        <v>507</v>
      </c>
    </row>
    <row r="21" spans="2:8" x14ac:dyDescent="0.2">
      <c r="B21" t="s">
        <v>508</v>
      </c>
    </row>
    <row r="22" spans="2:8" x14ac:dyDescent="0.2">
      <c r="B22" t="s">
        <v>509</v>
      </c>
    </row>
    <row r="23" spans="2:8" x14ac:dyDescent="0.2">
      <c r="B23" t="s">
        <v>510</v>
      </c>
    </row>
    <row r="24" spans="2:8" x14ac:dyDescent="0.2">
      <c r="B24" t="s">
        <v>511</v>
      </c>
    </row>
    <row r="25" spans="2:8" x14ac:dyDescent="0.2">
      <c r="B25" t="s">
        <v>512</v>
      </c>
    </row>
    <row r="26" spans="2:8" x14ac:dyDescent="0.2">
      <c r="B26" t="s">
        <v>513</v>
      </c>
    </row>
    <row r="27" spans="2:8" x14ac:dyDescent="0.2">
      <c r="B27" t="s">
        <v>514</v>
      </c>
    </row>
    <row r="28" spans="2:8" x14ac:dyDescent="0.2">
      <c r="B28" t="s">
        <v>515</v>
      </c>
    </row>
    <row r="29" spans="2:8" x14ac:dyDescent="0.2">
      <c r="B29" t="s">
        <v>462</v>
      </c>
    </row>
    <row r="30" spans="2:8" x14ac:dyDescent="0.2">
      <c r="B30" t="s">
        <v>463</v>
      </c>
    </row>
    <row r="31" spans="2:8" x14ac:dyDescent="0.2">
      <c r="B31" t="s">
        <v>464</v>
      </c>
    </row>
    <row r="32" spans="2:8" x14ac:dyDescent="0.2">
      <c r="B32" t="s">
        <v>465</v>
      </c>
    </row>
    <row r="33" spans="2:2" x14ac:dyDescent="0.2">
      <c r="B33" t="s">
        <v>466</v>
      </c>
    </row>
    <row r="34" spans="2:2" x14ac:dyDescent="0.2">
      <c r="B34" t="s">
        <v>468</v>
      </c>
    </row>
    <row r="35" spans="2:2" x14ac:dyDescent="0.2">
      <c r="B35" t="s">
        <v>467</v>
      </c>
    </row>
    <row r="36" spans="2:2" x14ac:dyDescent="0.2">
      <c r="B36" t="s">
        <v>469</v>
      </c>
    </row>
    <row r="37" spans="2:2" x14ac:dyDescent="0.2">
      <c r="B37" t="s">
        <v>470</v>
      </c>
    </row>
    <row r="38" spans="2:2" x14ac:dyDescent="0.2">
      <c r="B38" t="s">
        <v>471</v>
      </c>
    </row>
    <row r="39" spans="2:2" x14ac:dyDescent="0.2">
      <c r="B39" t="s">
        <v>472</v>
      </c>
    </row>
    <row r="40" spans="2:2" x14ac:dyDescent="0.2">
      <c r="B40" t="s">
        <v>473</v>
      </c>
    </row>
    <row r="41" spans="2:2" x14ac:dyDescent="0.2">
      <c r="B41" t="s">
        <v>474</v>
      </c>
    </row>
    <row r="42" spans="2:2" x14ac:dyDescent="0.2">
      <c r="B42" t="s">
        <v>491</v>
      </c>
    </row>
    <row r="43" spans="2:2" x14ac:dyDescent="0.2">
      <c r="B43" t="s">
        <v>492</v>
      </c>
    </row>
    <row r="44" spans="2:2" x14ac:dyDescent="0.2">
      <c r="B44" t="s">
        <v>494</v>
      </c>
    </row>
    <row r="45" spans="2:2" x14ac:dyDescent="0.2">
      <c r="B45" t="s">
        <v>493</v>
      </c>
    </row>
    <row r="46" spans="2:2" x14ac:dyDescent="0.2">
      <c r="B46" t="s">
        <v>475</v>
      </c>
    </row>
    <row r="47" spans="2:2" x14ac:dyDescent="0.2">
      <c r="B47" t="s">
        <v>476</v>
      </c>
    </row>
    <row r="48" spans="2:2" x14ac:dyDescent="0.2">
      <c r="B48" t="s">
        <v>477</v>
      </c>
    </row>
    <row r="49" spans="2:2" x14ac:dyDescent="0.2">
      <c r="B49" t="s">
        <v>479</v>
      </c>
    </row>
    <row r="50" spans="2:2" x14ac:dyDescent="0.2">
      <c r="B50" t="s">
        <v>480</v>
      </c>
    </row>
    <row r="51" spans="2:2" x14ac:dyDescent="0.2">
      <c r="B51" t="s">
        <v>481</v>
      </c>
    </row>
    <row r="52" spans="2:2" x14ac:dyDescent="0.2">
      <c r="B52" t="s">
        <v>482</v>
      </c>
    </row>
    <row r="53" spans="2:2" x14ac:dyDescent="0.2">
      <c r="B53" t="s">
        <v>484</v>
      </c>
    </row>
    <row r="54" spans="2:2" x14ac:dyDescent="0.2">
      <c r="B54" t="s">
        <v>485</v>
      </c>
    </row>
    <row r="55" spans="2:2" x14ac:dyDescent="0.2">
      <c r="B55" t="s">
        <v>486</v>
      </c>
    </row>
    <row r="56" spans="2:2" x14ac:dyDescent="0.2">
      <c r="B56" t="s">
        <v>487</v>
      </c>
    </row>
    <row r="57" spans="2:2" x14ac:dyDescent="0.2">
      <c r="B57" t="s">
        <v>488</v>
      </c>
    </row>
    <row r="58" spans="2:2" x14ac:dyDescent="0.2">
      <c r="B58" t="s">
        <v>489</v>
      </c>
    </row>
    <row r="59" spans="2:2" x14ac:dyDescent="0.2">
      <c r="B59" t="s">
        <v>490</v>
      </c>
    </row>
    <row r="60" spans="2:2" x14ac:dyDescent="0.2">
      <c r="B60" t="s">
        <v>483</v>
      </c>
    </row>
    <row r="61" spans="2:2" x14ac:dyDescent="0.2">
      <c r="B61" t="s">
        <v>478</v>
      </c>
    </row>
    <row r="62" spans="2:2" x14ac:dyDescent="0.2">
      <c r="B62" t="s">
        <v>461</v>
      </c>
    </row>
    <row r="63" spans="2:2" x14ac:dyDescent="0.2">
      <c r="B63" t="s">
        <v>0</v>
      </c>
    </row>
    <row r="64" spans="2:2" x14ac:dyDescent="0.2">
      <c r="B64" t="s">
        <v>286</v>
      </c>
    </row>
    <row r="65" spans="2:9" x14ac:dyDescent="0.2">
      <c r="B65" t="s">
        <v>287</v>
      </c>
    </row>
    <row r="66" spans="2:9" x14ac:dyDescent="0.2">
      <c r="B66" t="s">
        <v>288</v>
      </c>
      <c r="C66">
        <v>2019</v>
      </c>
      <c r="D66" t="s">
        <v>289</v>
      </c>
    </row>
    <row r="67" spans="2:9" x14ac:dyDescent="0.2">
      <c r="B67" t="s">
        <v>291</v>
      </c>
    </row>
    <row r="68" spans="2:9" x14ac:dyDescent="0.2">
      <c r="B68" t="s">
        <v>293</v>
      </c>
    </row>
    <row r="69" spans="2:9" x14ac:dyDescent="0.2">
      <c r="B69" t="s">
        <v>296</v>
      </c>
    </row>
    <row r="70" spans="2:9" x14ac:dyDescent="0.2">
      <c r="B70" t="s">
        <v>331</v>
      </c>
      <c r="C70">
        <v>2019</v>
      </c>
      <c r="D70" t="s">
        <v>339</v>
      </c>
      <c r="E70" t="s">
        <v>333</v>
      </c>
      <c r="F70" t="s">
        <v>337</v>
      </c>
      <c r="G70" t="s">
        <v>336</v>
      </c>
      <c r="H70" s="13">
        <v>44599</v>
      </c>
    </row>
    <row r="71" spans="2:9" x14ac:dyDescent="0.2">
      <c r="B71" t="s">
        <v>346</v>
      </c>
      <c r="E71" t="s">
        <v>333</v>
      </c>
      <c r="F71" t="s">
        <v>347</v>
      </c>
    </row>
    <row r="72" spans="2:9" x14ac:dyDescent="0.2">
      <c r="B72" t="s">
        <v>348</v>
      </c>
    </row>
    <row r="73" spans="2:9" x14ac:dyDescent="0.2">
      <c r="B73" t="s">
        <v>349</v>
      </c>
      <c r="I73" t="s">
        <v>350</v>
      </c>
    </row>
    <row r="74" spans="2:9" x14ac:dyDescent="0.2">
      <c r="B74" t="s">
        <v>394</v>
      </c>
    </row>
    <row r="75" spans="2:9" x14ac:dyDescent="0.2">
      <c r="B75" t="s">
        <v>397</v>
      </c>
      <c r="C75" t="s">
        <v>398</v>
      </c>
      <c r="E75" t="s">
        <v>333</v>
      </c>
      <c r="F75" t="s">
        <v>399</v>
      </c>
      <c r="H75" s="13">
        <v>43466</v>
      </c>
      <c r="I75" t="s">
        <v>400</v>
      </c>
    </row>
    <row r="76" spans="2:9" x14ac:dyDescent="0.2">
      <c r="B76" t="s">
        <v>401</v>
      </c>
    </row>
    <row r="77" spans="2:9" x14ac:dyDescent="0.2">
      <c r="B77" t="s">
        <v>402</v>
      </c>
      <c r="E77" t="s">
        <v>403</v>
      </c>
      <c r="F77" t="s">
        <v>404</v>
      </c>
      <c r="I77" t="s">
        <v>405</v>
      </c>
    </row>
    <row r="78" spans="2:9" x14ac:dyDescent="0.2">
      <c r="B78" t="s">
        <v>409</v>
      </c>
      <c r="E78" t="s">
        <v>403</v>
      </c>
      <c r="F78" t="s">
        <v>410</v>
      </c>
    </row>
    <row r="79" spans="2:9" x14ac:dyDescent="0.2">
      <c r="B79" t="s">
        <v>427</v>
      </c>
    </row>
    <row r="80" spans="2:9" x14ac:dyDescent="0.2">
      <c r="B80" t="s">
        <v>431</v>
      </c>
    </row>
    <row r="81" spans="2:9" x14ac:dyDescent="0.2">
      <c r="B81" t="s">
        <v>433</v>
      </c>
    </row>
    <row r="82" spans="2:9" x14ac:dyDescent="0.2">
      <c r="B82" t="s">
        <v>438</v>
      </c>
      <c r="I82" t="s">
        <v>439</v>
      </c>
    </row>
    <row r="83" spans="2:9" x14ac:dyDescent="0.2">
      <c r="B83" t="s">
        <v>457</v>
      </c>
    </row>
    <row r="84" spans="2:9" x14ac:dyDescent="0.2">
      <c r="B84" t="s">
        <v>521</v>
      </c>
    </row>
    <row r="85" spans="2:9" x14ac:dyDescent="0.2">
      <c r="B85" t="s">
        <v>537</v>
      </c>
      <c r="I85" t="s">
        <v>538</v>
      </c>
    </row>
    <row r="86" spans="2:9" x14ac:dyDescent="0.2">
      <c r="B86" t="s">
        <v>541</v>
      </c>
      <c r="I86" t="s">
        <v>538</v>
      </c>
    </row>
    <row r="87" spans="2:9" x14ac:dyDescent="0.2">
      <c r="B87" t="s">
        <v>627</v>
      </c>
      <c r="C87">
        <v>2018</v>
      </c>
      <c r="D87" t="s">
        <v>630</v>
      </c>
      <c r="E87" t="s">
        <v>628</v>
      </c>
      <c r="F87" t="s">
        <v>629</v>
      </c>
      <c r="H87" s="13">
        <v>43251</v>
      </c>
    </row>
    <row r="88" spans="2:9" x14ac:dyDescent="0.2">
      <c r="B88" t="s">
        <v>627</v>
      </c>
      <c r="C88">
        <v>2018</v>
      </c>
      <c r="D88" t="s">
        <v>630</v>
      </c>
      <c r="E88" t="s">
        <v>626</v>
      </c>
      <c r="F88" t="s">
        <v>625</v>
      </c>
    </row>
    <row r="89" spans="2:9" x14ac:dyDescent="0.2">
      <c r="B89" t="s">
        <v>627</v>
      </c>
      <c r="C89">
        <v>2018</v>
      </c>
      <c r="D89" t="s">
        <v>630</v>
      </c>
      <c r="E89" t="s">
        <v>623</v>
      </c>
      <c r="F89" t="s">
        <v>624</v>
      </c>
    </row>
    <row r="90" spans="2:9" x14ac:dyDescent="0.2">
      <c r="B90" t="s">
        <v>631</v>
      </c>
      <c r="I90" t="s">
        <v>632</v>
      </c>
    </row>
    <row r="91" spans="2:9" x14ac:dyDescent="0.2">
      <c r="B91" t="s">
        <v>641</v>
      </c>
      <c r="E91" t="s">
        <v>623</v>
      </c>
      <c r="F91" t="s">
        <v>643</v>
      </c>
    </row>
    <row r="92" spans="2:9" x14ac:dyDescent="0.2">
      <c r="B92" t="s">
        <v>641</v>
      </c>
      <c r="E92" t="s">
        <v>333</v>
      </c>
      <c r="F92" t="s">
        <v>642</v>
      </c>
      <c r="G92" t="s">
        <v>644</v>
      </c>
    </row>
    <row r="93" spans="2:9" x14ac:dyDescent="0.2">
      <c r="B93" t="s">
        <v>645</v>
      </c>
      <c r="E93" t="s">
        <v>403</v>
      </c>
      <c r="F93" t="s">
        <v>646</v>
      </c>
    </row>
    <row r="94" spans="2:9" x14ac:dyDescent="0.2">
      <c r="B94" t="s">
        <v>645</v>
      </c>
      <c r="E94" t="s">
        <v>634</v>
      </c>
      <c r="F94" t="s">
        <v>629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292</v>
      </c>
    </row>
    <row r="2" spans="1:4" x14ac:dyDescent="0.2">
      <c r="B2" t="s">
        <v>301</v>
      </c>
      <c r="C2" t="s">
        <v>302</v>
      </c>
      <c r="D2" t="s">
        <v>327</v>
      </c>
    </row>
    <row r="3" spans="1:4" x14ac:dyDescent="0.2">
      <c r="B3" t="s">
        <v>300</v>
      </c>
      <c r="C3" t="s">
        <v>94</v>
      </c>
    </row>
    <row r="4" spans="1:4" x14ac:dyDescent="0.2">
      <c r="B4" t="s">
        <v>326</v>
      </c>
      <c r="C4" t="s">
        <v>46</v>
      </c>
      <c r="D4" t="s">
        <v>328</v>
      </c>
    </row>
    <row r="5" spans="1:4" x14ac:dyDescent="0.2">
      <c r="B5" t="s">
        <v>353</v>
      </c>
      <c r="C5" t="s">
        <v>36</v>
      </c>
    </row>
    <row r="6" spans="1:4" x14ac:dyDescent="0.2">
      <c r="B6" t="s">
        <v>354</v>
      </c>
      <c r="C6" t="s">
        <v>14</v>
      </c>
    </row>
    <row r="7" spans="1:4" x14ac:dyDescent="0.2">
      <c r="B7" t="s">
        <v>355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412</v>
      </c>
      <c r="C9" t="s">
        <v>24</v>
      </c>
    </row>
    <row r="10" spans="1:4" x14ac:dyDescent="0.2">
      <c r="B10" t="s">
        <v>413</v>
      </c>
      <c r="C10" t="s">
        <v>24</v>
      </c>
    </row>
    <row r="11" spans="1:4" x14ac:dyDescent="0.2">
      <c r="B11" t="s">
        <v>414</v>
      </c>
      <c r="C11" t="s">
        <v>24</v>
      </c>
    </row>
    <row r="12" spans="1:4" x14ac:dyDescent="0.2">
      <c r="B12" t="s">
        <v>428</v>
      </c>
      <c r="C12" t="s">
        <v>36</v>
      </c>
      <c r="D12" t="s">
        <v>429</v>
      </c>
    </row>
    <row r="13" spans="1:4" x14ac:dyDescent="0.2">
      <c r="B13" s="1" t="s">
        <v>194</v>
      </c>
      <c r="C13" s="1" t="s">
        <v>195</v>
      </c>
      <c r="D13" s="3">
        <v>67.849999999999994</v>
      </c>
    </row>
    <row r="14" spans="1:4" x14ac:dyDescent="0.2">
      <c r="B14" s="1" t="s">
        <v>190</v>
      </c>
      <c r="C14" s="1" t="s">
        <v>191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260</v>
      </c>
    </row>
    <row r="17" spans="2:4" x14ac:dyDescent="0.2">
      <c r="B17" t="s">
        <v>448</v>
      </c>
      <c r="C17" t="s">
        <v>18</v>
      </c>
    </row>
    <row r="18" spans="2:4" x14ac:dyDescent="0.2">
      <c r="B18" t="s">
        <v>450</v>
      </c>
      <c r="C18" t="s">
        <v>29</v>
      </c>
      <c r="D18" t="s">
        <v>449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2023-03-24T01:04:31Z</dcterms:modified>
</cp:coreProperties>
</file>